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720" yWindow="135" windowWidth="9555" windowHeight="4935" tabRatio="856" activeTab="3"/>
  </bookViews>
  <sheets>
    <sheet name="Process_Diagram" sheetId="1" r:id="rId1"/>
    <sheet name="Carbon_Energy_Balances" sheetId="2" r:id="rId2"/>
    <sheet name="Brick Production" sheetId="3" r:id="rId3"/>
    <sheet name="ER_Calculations" sheetId="6" r:id="rId4"/>
    <sheet name="NCV of Producer Gas" sheetId="5" r:id="rId5"/>
    <sheet name="Vol of Producer Gas" sheetId="7" r:id="rId6"/>
  </sheets>
  <calcPr calcId="125725" iterate="1" iterateCount="106"/>
</workbook>
</file>

<file path=xl/calcChain.xml><?xml version="1.0" encoding="utf-8"?>
<calcChain xmlns="http://schemas.openxmlformats.org/spreadsheetml/2006/main">
  <c r="I16" i="7"/>
  <c r="G9"/>
  <c r="G8"/>
  <c r="G7"/>
  <c r="G6"/>
  <c r="G5"/>
  <c r="I17" l="1"/>
  <c r="I18"/>
  <c r="I19"/>
  <c r="I15"/>
  <c r="E19"/>
  <c r="D19"/>
  <c r="F19" s="1"/>
  <c r="C19"/>
  <c r="B19"/>
  <c r="E18"/>
  <c r="C18"/>
  <c r="B18"/>
  <c r="D18" s="1"/>
  <c r="F18" s="1"/>
  <c r="C17"/>
  <c r="E17" s="1"/>
  <c r="B17"/>
  <c r="D17" s="1"/>
  <c r="C16"/>
  <c r="E16" s="1"/>
  <c r="B16"/>
  <c r="D16" s="1"/>
  <c r="F16" s="1"/>
  <c r="E15"/>
  <c r="D15"/>
  <c r="F15" s="1"/>
  <c r="C15"/>
  <c r="B15"/>
  <c r="F17" l="1"/>
  <c r="K150" i="2" l="1"/>
  <c r="C141"/>
  <c r="D141" s="1"/>
  <c r="H29"/>
  <c r="C13"/>
  <c r="I5" i="7"/>
  <c r="C16" i="2"/>
  <c r="B47" i="5" l="1"/>
  <c r="B50" i="3"/>
  <c r="C78" i="2"/>
  <c r="B151"/>
  <c r="B5" i="7"/>
  <c r="C5" s="1"/>
  <c r="D5"/>
  <c r="B6"/>
  <c r="C6" s="1"/>
  <c r="B7"/>
  <c r="C7" s="1"/>
  <c r="D7"/>
  <c r="B8"/>
  <c r="C8" s="1"/>
  <c r="B106" i="2"/>
  <c r="D44"/>
  <c r="C17"/>
  <c r="D30" s="1"/>
  <c r="D60"/>
  <c r="D67"/>
  <c r="D52"/>
  <c r="D32"/>
  <c r="E24"/>
  <c r="B24" i="5"/>
  <c r="D9" i="7" s="1"/>
  <c r="D34" i="2"/>
  <c r="D46"/>
  <c r="D42"/>
  <c r="D50"/>
  <c r="D59"/>
  <c r="D63"/>
  <c r="D48"/>
  <c r="D69"/>
  <c r="D65"/>
  <c r="D61"/>
  <c r="D31"/>
  <c r="D33"/>
  <c r="D35"/>
  <c r="D53"/>
  <c r="D51"/>
  <c r="D49"/>
  <c r="D47"/>
  <c r="D45"/>
  <c r="D43"/>
  <c r="D70"/>
  <c r="D68"/>
  <c r="D66"/>
  <c r="D64"/>
  <c r="D62"/>
  <c r="B23" i="5"/>
  <c r="D8" i="7" s="1"/>
  <c r="B22" i="5"/>
  <c r="B21"/>
  <c r="D6" i="7" s="1"/>
  <c r="I6"/>
  <c r="I7" s="1"/>
  <c r="I8" s="1"/>
  <c r="I9" s="1"/>
  <c r="I10" s="1"/>
  <c r="C42"/>
  <c r="B33" i="5"/>
  <c r="B38"/>
  <c r="B44" s="1"/>
  <c r="B34"/>
  <c r="C10" i="2"/>
  <c r="C9"/>
  <c r="J21" i="1" s="1"/>
  <c r="B39" i="5"/>
  <c r="B45"/>
  <c r="F24" i="2"/>
  <c r="H24" s="1"/>
  <c r="B36"/>
  <c r="B90" s="1"/>
  <c r="C90" s="1"/>
  <c r="B64" i="3"/>
  <c r="A69" s="1"/>
  <c r="B69"/>
  <c r="F60" i="2"/>
  <c r="F61"/>
  <c r="F62"/>
  <c r="G62" s="1"/>
  <c r="F63"/>
  <c r="F64"/>
  <c r="F65"/>
  <c r="F118" s="1"/>
  <c r="G118" s="1"/>
  <c r="F66"/>
  <c r="F119" s="1"/>
  <c r="G119" s="1"/>
  <c r="F67"/>
  <c r="F68"/>
  <c r="F69"/>
  <c r="H69" s="1"/>
  <c r="F70"/>
  <c r="H70" s="1"/>
  <c r="F59"/>
  <c r="F43"/>
  <c r="F44"/>
  <c r="H44" s="1"/>
  <c r="F45"/>
  <c r="F98" s="1"/>
  <c r="G98" s="1"/>
  <c r="F46"/>
  <c r="F47"/>
  <c r="F48"/>
  <c r="F49"/>
  <c r="F102" s="1"/>
  <c r="G102" s="1"/>
  <c r="F50"/>
  <c r="F51"/>
  <c r="F52"/>
  <c r="F53"/>
  <c r="F106" s="1"/>
  <c r="G106" s="1"/>
  <c r="F42"/>
  <c r="F25"/>
  <c r="F26"/>
  <c r="F27"/>
  <c r="F81" s="1"/>
  <c r="G81" s="1"/>
  <c r="F28"/>
  <c r="F29"/>
  <c r="F30"/>
  <c r="H30" s="1"/>
  <c r="F31"/>
  <c r="F85" s="1"/>
  <c r="G85" s="1"/>
  <c r="F32"/>
  <c r="F33"/>
  <c r="F34"/>
  <c r="F88" s="1"/>
  <c r="G88" s="1"/>
  <c r="F35"/>
  <c r="F89" s="1"/>
  <c r="G89" s="1"/>
  <c r="F86"/>
  <c r="H32"/>
  <c r="H86" s="1"/>
  <c r="I86" s="1"/>
  <c r="F82"/>
  <c r="H28"/>
  <c r="F95"/>
  <c r="H42"/>
  <c r="I42" s="1"/>
  <c r="J42" s="1"/>
  <c r="F103"/>
  <c r="H50"/>
  <c r="H48"/>
  <c r="F101"/>
  <c r="G101" s="1"/>
  <c r="F97"/>
  <c r="F112"/>
  <c r="H59"/>
  <c r="H112" s="1"/>
  <c r="I112" s="1"/>
  <c r="F120"/>
  <c r="H67"/>
  <c r="H65"/>
  <c r="I65" s="1"/>
  <c r="H61"/>
  <c r="F114"/>
  <c r="H33"/>
  <c r="F87"/>
  <c r="F83"/>
  <c r="G83" s="1"/>
  <c r="H25"/>
  <c r="I25" s="1"/>
  <c r="F79"/>
  <c r="H51"/>
  <c r="I51" s="1"/>
  <c r="J51" s="1"/>
  <c r="F104"/>
  <c r="H47"/>
  <c r="I47" s="1"/>
  <c r="J47" s="1"/>
  <c r="F100"/>
  <c r="H43"/>
  <c r="I43" s="1"/>
  <c r="J43" s="1"/>
  <c r="F96"/>
  <c r="H68"/>
  <c r="F121"/>
  <c r="G121" s="1"/>
  <c r="H64"/>
  <c r="F117"/>
  <c r="G117" s="1"/>
  <c r="H60"/>
  <c r="F113"/>
  <c r="F84"/>
  <c r="H26"/>
  <c r="F80"/>
  <c r="G80" s="1"/>
  <c r="H52"/>
  <c r="F105"/>
  <c r="F99"/>
  <c r="H46"/>
  <c r="I46" s="1"/>
  <c r="F116"/>
  <c r="H63"/>
  <c r="A71" i="3"/>
  <c r="C144" i="2"/>
  <c r="D144" s="1"/>
  <c r="C57" i="3" s="1"/>
  <c r="D57" s="1"/>
  <c r="B114" s="1"/>
  <c r="C148" i="2"/>
  <c r="D148" s="1"/>
  <c r="C61" i="3" s="1"/>
  <c r="D61" s="1"/>
  <c r="B118" s="1"/>
  <c r="C142" i="2"/>
  <c r="C146"/>
  <c r="D146" s="1"/>
  <c r="C59" i="3" s="1"/>
  <c r="D59" s="1"/>
  <c r="B116" s="1"/>
  <c r="C150" i="2"/>
  <c r="D150" s="1"/>
  <c r="C63" i="3" s="1"/>
  <c r="D63" s="1"/>
  <c r="B120" s="1"/>
  <c r="C143" i="2"/>
  <c r="D143" s="1"/>
  <c r="C56" i="3" s="1"/>
  <c r="D56" s="1"/>
  <c r="B113" s="1"/>
  <c r="C145" i="2"/>
  <c r="D145" s="1"/>
  <c r="C58" i="3" s="1"/>
  <c r="D58" s="1"/>
  <c r="B115" s="1"/>
  <c r="C147" i="2"/>
  <c r="D147" s="1"/>
  <c r="C60" i="3" s="1"/>
  <c r="D60" s="1"/>
  <c r="B117" s="1"/>
  <c r="C149" i="2"/>
  <c r="D149" s="1"/>
  <c r="C62" i="3" s="1"/>
  <c r="D62" s="1"/>
  <c r="B119" s="1"/>
  <c r="C42" i="2"/>
  <c r="C25"/>
  <c r="C24"/>
  <c r="F36"/>
  <c r="F90" s="1"/>
  <c r="G90" s="1"/>
  <c r="B35" i="5"/>
  <c r="B40"/>
  <c r="B46"/>
  <c r="C36" i="2"/>
  <c r="C54" i="3"/>
  <c r="D54" s="1"/>
  <c r="B111" s="1"/>
  <c r="B9" i="5"/>
  <c r="B9" i="7" s="1"/>
  <c r="N21" i="1"/>
  <c r="N20"/>
  <c r="J20"/>
  <c r="F21"/>
  <c r="F20"/>
  <c r="B9"/>
  <c r="B8"/>
  <c r="B65" i="3"/>
  <c r="T32" i="1"/>
  <c r="D36" i="7" s="1"/>
  <c r="K143" i="2"/>
  <c r="D54" i="6" s="1"/>
  <c r="J124" i="2"/>
  <c r="D123"/>
  <c r="E123"/>
  <c r="B123"/>
  <c r="C123" s="1"/>
  <c r="D122"/>
  <c r="E122"/>
  <c r="B122"/>
  <c r="D121"/>
  <c r="E121" s="1"/>
  <c r="B121"/>
  <c r="D120"/>
  <c r="E120"/>
  <c r="B120"/>
  <c r="D119"/>
  <c r="E119"/>
  <c r="B119"/>
  <c r="C119" s="1"/>
  <c r="D118"/>
  <c r="E118"/>
  <c r="B118"/>
  <c r="D117"/>
  <c r="E117" s="1"/>
  <c r="B117"/>
  <c r="D116"/>
  <c r="E116"/>
  <c r="B116"/>
  <c r="D115"/>
  <c r="E115"/>
  <c r="B115"/>
  <c r="C115" s="1"/>
  <c r="D114"/>
  <c r="E114"/>
  <c r="B114"/>
  <c r="D113"/>
  <c r="E113" s="1"/>
  <c r="B113"/>
  <c r="D112"/>
  <c r="B112"/>
  <c r="J107"/>
  <c r="D106"/>
  <c r="E106" s="1"/>
  <c r="D105"/>
  <c r="E105"/>
  <c r="B105"/>
  <c r="C105" s="1"/>
  <c r="D104"/>
  <c r="E104"/>
  <c r="B104"/>
  <c r="D103"/>
  <c r="E103" s="1"/>
  <c r="B103"/>
  <c r="D102"/>
  <c r="E102"/>
  <c r="B102"/>
  <c r="D101"/>
  <c r="E101"/>
  <c r="B101"/>
  <c r="C101" s="1"/>
  <c r="D100"/>
  <c r="E100"/>
  <c r="B100"/>
  <c r="D99"/>
  <c r="E99" s="1"/>
  <c r="B99"/>
  <c r="D98"/>
  <c r="E98"/>
  <c r="B98"/>
  <c r="D97"/>
  <c r="E97"/>
  <c r="B97"/>
  <c r="C97" s="1"/>
  <c r="D96"/>
  <c r="E96"/>
  <c r="B96"/>
  <c r="D95"/>
  <c r="E95" s="1"/>
  <c r="B95"/>
  <c r="J90"/>
  <c r="D89"/>
  <c r="E89"/>
  <c r="B89"/>
  <c r="C89" s="1"/>
  <c r="D88"/>
  <c r="E88"/>
  <c r="B88"/>
  <c r="H87"/>
  <c r="I87" s="1"/>
  <c r="D87"/>
  <c r="E87" s="1"/>
  <c r="B87"/>
  <c r="D86"/>
  <c r="E86"/>
  <c r="B86"/>
  <c r="D85"/>
  <c r="E85"/>
  <c r="B85"/>
  <c r="C85" s="1"/>
  <c r="B84"/>
  <c r="H83"/>
  <c r="I83" s="1"/>
  <c r="D83"/>
  <c r="E83" s="1"/>
  <c r="B83"/>
  <c r="H82"/>
  <c r="I82" s="1"/>
  <c r="D82"/>
  <c r="E82"/>
  <c r="B82"/>
  <c r="D81"/>
  <c r="E81"/>
  <c r="B81"/>
  <c r="C81" s="1"/>
  <c r="H80"/>
  <c r="I80" s="1"/>
  <c r="D80"/>
  <c r="E80" s="1"/>
  <c r="B80"/>
  <c r="C80"/>
  <c r="H79"/>
  <c r="I79" s="1"/>
  <c r="D79"/>
  <c r="E79"/>
  <c r="B79"/>
  <c r="C79" s="1"/>
  <c r="D78"/>
  <c r="B78"/>
  <c r="B71"/>
  <c r="F71" s="1"/>
  <c r="E70"/>
  <c r="C70"/>
  <c r="E69"/>
  <c r="C69"/>
  <c r="E68"/>
  <c r="C68"/>
  <c r="E67"/>
  <c r="C67"/>
  <c r="E66"/>
  <c r="C66"/>
  <c r="E65"/>
  <c r="J65" s="1"/>
  <c r="C65"/>
  <c r="E64"/>
  <c r="C64"/>
  <c r="E63"/>
  <c r="C63"/>
  <c r="E62"/>
  <c r="C62"/>
  <c r="E61"/>
  <c r="C61"/>
  <c r="E60"/>
  <c r="C60"/>
  <c r="E59"/>
  <c r="C59"/>
  <c r="B54"/>
  <c r="D54" s="1"/>
  <c r="E53"/>
  <c r="C53"/>
  <c r="E52"/>
  <c r="C52"/>
  <c r="E51"/>
  <c r="C51"/>
  <c r="E50"/>
  <c r="C50"/>
  <c r="E49"/>
  <c r="C49"/>
  <c r="E48"/>
  <c r="C48"/>
  <c r="E47"/>
  <c r="C47"/>
  <c r="E46"/>
  <c r="C46"/>
  <c r="J46" s="1"/>
  <c r="E45"/>
  <c r="C45"/>
  <c r="E44"/>
  <c r="C44"/>
  <c r="E43"/>
  <c r="C43"/>
  <c r="E42"/>
  <c r="E35"/>
  <c r="C35"/>
  <c r="E34"/>
  <c r="C34"/>
  <c r="I33"/>
  <c r="E33"/>
  <c r="C33"/>
  <c r="E32"/>
  <c r="C32"/>
  <c r="E31"/>
  <c r="C31"/>
  <c r="C30"/>
  <c r="I29"/>
  <c r="J29" s="1"/>
  <c r="E29"/>
  <c r="C29"/>
  <c r="I28"/>
  <c r="E28"/>
  <c r="C28"/>
  <c r="E27"/>
  <c r="C27"/>
  <c r="I26"/>
  <c r="E26"/>
  <c r="C26"/>
  <c r="E25"/>
  <c r="K144"/>
  <c r="D56" i="6"/>
  <c r="D58"/>
  <c r="D60"/>
  <c r="D59"/>
  <c r="B6" i="1"/>
  <c r="B10" s="1"/>
  <c r="C54" i="2"/>
  <c r="C71"/>
  <c r="E78"/>
  <c r="C82"/>
  <c r="C83"/>
  <c r="C84"/>
  <c r="C86"/>
  <c r="C87"/>
  <c r="C88"/>
  <c r="C95"/>
  <c r="C96"/>
  <c r="C98"/>
  <c r="C99"/>
  <c r="C100"/>
  <c r="C102"/>
  <c r="C103"/>
  <c r="C104"/>
  <c r="C106"/>
  <c r="C112"/>
  <c r="E112"/>
  <c r="C113"/>
  <c r="C114"/>
  <c r="C116"/>
  <c r="C117"/>
  <c r="C118"/>
  <c r="C120"/>
  <c r="C121"/>
  <c r="C122"/>
  <c r="G42"/>
  <c r="G120"/>
  <c r="G60"/>
  <c r="G116"/>
  <c r="G87"/>
  <c r="G32"/>
  <c r="G29"/>
  <c r="G114"/>
  <c r="G84"/>
  <c r="G79"/>
  <c r="G59"/>
  <c r="G47"/>
  <c r="G68"/>
  <c r="G48"/>
  <c r="G113"/>
  <c r="G86"/>
  <c r="G82"/>
  <c r="G104"/>
  <c r="G100"/>
  <c r="G96"/>
  <c r="G27"/>
  <c r="G50"/>
  <c r="G28"/>
  <c r="J28"/>
  <c r="G43"/>
  <c r="G51"/>
  <c r="G64"/>
  <c r="G35"/>
  <c r="G67"/>
  <c r="G63"/>
  <c r="G36"/>
  <c r="G105"/>
  <c r="G103"/>
  <c r="G99"/>
  <c r="G97"/>
  <c r="G25"/>
  <c r="G33"/>
  <c r="G46"/>
  <c r="G52"/>
  <c r="G26"/>
  <c r="G30"/>
  <c r="G34"/>
  <c r="G45"/>
  <c r="G66"/>
  <c r="G31"/>
  <c r="G44"/>
  <c r="G61"/>
  <c r="G65"/>
  <c r="G69"/>
  <c r="K145"/>
  <c r="L31" i="1"/>
  <c r="G112" i="2"/>
  <c r="G95"/>
  <c r="H121"/>
  <c r="I121" s="1"/>
  <c r="I68"/>
  <c r="H120"/>
  <c r="I120" s="1"/>
  <c r="I67"/>
  <c r="H117"/>
  <c r="I117" s="1"/>
  <c r="I64"/>
  <c r="J64" s="1"/>
  <c r="H116"/>
  <c r="I116" s="1"/>
  <c r="I63"/>
  <c r="H114"/>
  <c r="I114" s="1"/>
  <c r="I61"/>
  <c r="H113"/>
  <c r="I113" s="1"/>
  <c r="I60"/>
  <c r="I59"/>
  <c r="H105"/>
  <c r="I105" s="1"/>
  <c r="I52"/>
  <c r="J52" s="1"/>
  <c r="H103"/>
  <c r="I103" s="1"/>
  <c r="I50"/>
  <c r="J50" s="1"/>
  <c r="H101"/>
  <c r="I101" s="1"/>
  <c r="I48"/>
  <c r="H100"/>
  <c r="I100" s="1"/>
  <c r="H99"/>
  <c r="I99" s="1"/>
  <c r="H96"/>
  <c r="I96" s="1"/>
  <c r="H95"/>
  <c r="I95" s="1"/>
  <c r="J61"/>
  <c r="D55" i="6" l="1"/>
  <c r="D57"/>
  <c r="D142" i="2"/>
  <c r="C55" i="3" s="1"/>
  <c r="D55" s="1"/>
  <c r="B112" s="1"/>
  <c r="C151" i="2"/>
  <c r="D151" s="1"/>
  <c r="C64" i="3" s="1"/>
  <c r="D64" s="1"/>
  <c r="B121" s="1"/>
  <c r="E5" i="7"/>
  <c r="E7"/>
  <c r="J68" i="2"/>
  <c r="J33"/>
  <c r="J59"/>
  <c r="J63"/>
  <c r="J67"/>
  <c r="J48"/>
  <c r="J60"/>
  <c r="J26"/>
  <c r="J25"/>
  <c r="F124"/>
  <c r="G124" s="1"/>
  <c r="G71"/>
  <c r="B10" i="7"/>
  <c r="C9"/>
  <c r="H78" i="2"/>
  <c r="I78" s="1"/>
  <c r="I24"/>
  <c r="E54"/>
  <c r="D107"/>
  <c r="E107" s="1"/>
  <c r="I30"/>
  <c r="H84"/>
  <c r="I84" s="1"/>
  <c r="I44"/>
  <c r="H97"/>
  <c r="I97" s="1"/>
  <c r="H122"/>
  <c r="I122" s="1"/>
  <c r="I69"/>
  <c r="J69" s="1"/>
  <c r="E35" i="6"/>
  <c r="E36"/>
  <c r="E37"/>
  <c r="E38"/>
  <c r="E33"/>
  <c r="E34"/>
  <c r="B25" i="7"/>
  <c r="E32" i="6"/>
  <c r="J44" i="2"/>
  <c r="E6" i="7"/>
  <c r="I70" i="2"/>
  <c r="H123"/>
  <c r="I123" s="1"/>
  <c r="D84"/>
  <c r="E84" s="1"/>
  <c r="E30"/>
  <c r="J30" s="1"/>
  <c r="D36"/>
  <c r="E69" i="3"/>
  <c r="B140" i="2" s="1"/>
  <c r="E8" i="7"/>
  <c r="H104" i="2"/>
  <c r="I104" s="1"/>
  <c r="H118"/>
  <c r="I118" s="1"/>
  <c r="G70"/>
  <c r="G49"/>
  <c r="I32"/>
  <c r="J32" s="1"/>
  <c r="H62"/>
  <c r="H66"/>
  <c r="H27"/>
  <c r="H31"/>
  <c r="H35"/>
  <c r="F122"/>
  <c r="G122" s="1"/>
  <c r="H34"/>
  <c r="F78"/>
  <c r="G78" s="1"/>
  <c r="D71"/>
  <c r="G53"/>
  <c r="F115"/>
  <c r="G115" s="1"/>
  <c r="F123"/>
  <c r="G123" s="1"/>
  <c r="H45"/>
  <c r="H49"/>
  <c r="H53"/>
  <c r="G24"/>
  <c r="J24" s="1"/>
  <c r="H54"/>
  <c r="B124"/>
  <c r="C124" s="1"/>
  <c r="F54"/>
  <c r="H71"/>
  <c r="B107"/>
  <c r="C107" s="1"/>
  <c r="C140" l="1"/>
  <c r="C71" i="3"/>
  <c r="E71" s="1"/>
  <c r="H36" i="2"/>
  <c r="N18" i="1" s="1"/>
  <c r="J70" i="2"/>
  <c r="B152"/>
  <c r="L33" i="1" s="1"/>
  <c r="C55" i="6" s="1"/>
  <c r="D140" i="2"/>
  <c r="C53" i="3" s="1"/>
  <c r="D53" s="1"/>
  <c r="B110" s="1"/>
  <c r="H90" i="2"/>
  <c r="I90" s="1"/>
  <c r="I36"/>
  <c r="H124"/>
  <c r="I124" s="1"/>
  <c r="I71"/>
  <c r="H89"/>
  <c r="I89" s="1"/>
  <c r="I35"/>
  <c r="J35" s="1"/>
  <c r="I34"/>
  <c r="J34" s="1"/>
  <c r="H88"/>
  <c r="I88" s="1"/>
  <c r="F107"/>
  <c r="G107" s="1"/>
  <c r="G54"/>
  <c r="J18" i="1"/>
  <c r="I53" i="2"/>
  <c r="J53" s="1"/>
  <c r="H106"/>
  <c r="I106" s="1"/>
  <c r="H85"/>
  <c r="I85" s="1"/>
  <c r="I31"/>
  <c r="J31" s="1"/>
  <c r="H115"/>
  <c r="I115" s="1"/>
  <c r="I62"/>
  <c r="J62" s="1"/>
  <c r="E71"/>
  <c r="J71" s="1"/>
  <c r="D124"/>
  <c r="E124" s="1"/>
  <c r="H107"/>
  <c r="I107" s="1"/>
  <c r="I54"/>
  <c r="H98"/>
  <c r="I98" s="1"/>
  <c r="I45"/>
  <c r="J45" s="1"/>
  <c r="C152"/>
  <c r="H119"/>
  <c r="I119" s="1"/>
  <c r="I66"/>
  <c r="J66" s="1"/>
  <c r="D90"/>
  <c r="E90" s="1"/>
  <c r="E36"/>
  <c r="J36" s="1"/>
  <c r="C129" s="1"/>
  <c r="F18" i="1"/>
  <c r="I49" i="2"/>
  <c r="J49" s="1"/>
  <c r="H102"/>
  <c r="I102" s="1"/>
  <c r="H81"/>
  <c r="I81" s="1"/>
  <c r="I27"/>
  <c r="J27" s="1"/>
  <c r="E9" i="7"/>
  <c r="E10" s="1"/>
  <c r="C10"/>
  <c r="C57" i="6" l="1"/>
  <c r="J54" i="2"/>
  <c r="C130" s="1"/>
  <c r="C59" i="6"/>
  <c r="C60"/>
  <c r="C56"/>
  <c r="C54"/>
  <c r="C58"/>
  <c r="B24" i="7"/>
  <c r="B41" s="1"/>
  <c r="F5"/>
  <c r="H5" s="1"/>
  <c r="F7"/>
  <c r="H7" s="1"/>
  <c r="J7" s="1"/>
  <c r="F8"/>
  <c r="H8" s="1"/>
  <c r="J8" s="1"/>
  <c r="L34" i="1"/>
  <c r="D152" i="2"/>
  <c r="C65" i="3"/>
  <c r="J22" i="1"/>
  <c r="F9" i="7"/>
  <c r="H9" s="1"/>
  <c r="J9" s="1"/>
  <c r="F6"/>
  <c r="H6" s="1"/>
  <c r="J6" s="1"/>
  <c r="F22" i="1"/>
  <c r="C131" i="2"/>
  <c r="N22" i="1"/>
  <c r="D65" i="3" l="1"/>
  <c r="H9" s="1"/>
  <c r="E56" i="6"/>
  <c r="B56" s="1"/>
  <c r="D75" s="1"/>
  <c r="E60"/>
  <c r="B60" s="1"/>
  <c r="D79" s="1"/>
  <c r="E59"/>
  <c r="B59" s="1"/>
  <c r="D78" s="1"/>
  <c r="E58"/>
  <c r="B58" s="1"/>
  <c r="D77" s="1"/>
  <c r="E54"/>
  <c r="B54" s="1"/>
  <c r="D73" s="1"/>
  <c r="E57"/>
  <c r="B57" s="1"/>
  <c r="D76" s="1"/>
  <c r="E55"/>
  <c r="B55" s="1"/>
  <c r="D74" s="1"/>
  <c r="D153" i="2"/>
  <c r="L30" i="1"/>
  <c r="D14" i="6" s="1"/>
  <c r="F10" i="7"/>
  <c r="G9" i="3" l="1"/>
  <c r="I9"/>
  <c r="L32" i="1"/>
  <c r="D18" i="6"/>
  <c r="C36" i="7"/>
  <c r="D16" i="6"/>
  <c r="D15"/>
  <c r="D13"/>
  <c r="D12"/>
  <c r="D17"/>
  <c r="D80"/>
  <c r="H10" i="7"/>
  <c r="B42" s="1"/>
  <c r="B46" s="1"/>
  <c r="J5"/>
  <c r="J10" s="1"/>
  <c r="C5" i="3"/>
  <c r="D5"/>
  <c r="C6"/>
  <c r="D6"/>
  <c r="G6"/>
  <c r="H6"/>
  <c r="I6"/>
  <c r="B7"/>
  <c r="C7"/>
  <c r="D7"/>
  <c r="C8"/>
  <c r="D8"/>
  <c r="C9"/>
  <c r="D9"/>
  <c r="C10"/>
  <c r="D10"/>
  <c r="C11"/>
  <c r="D11"/>
  <c r="C12"/>
  <c r="D12"/>
  <c r="C13"/>
  <c r="D13"/>
  <c r="C14"/>
  <c r="D14"/>
  <c r="B15"/>
  <c r="C15"/>
  <c r="D15"/>
  <c r="C16"/>
  <c r="D16"/>
  <c r="B17"/>
  <c r="C17"/>
  <c r="D17"/>
  <c r="C22"/>
  <c r="D22"/>
  <c r="C23"/>
  <c r="D23"/>
  <c r="B24"/>
  <c r="C24"/>
  <c r="D24"/>
  <c r="C25"/>
  <c r="D25"/>
  <c r="C26"/>
  <c r="D26"/>
  <c r="C27"/>
  <c r="D27"/>
  <c r="C28"/>
  <c r="D28"/>
  <c r="C29"/>
  <c r="D29"/>
  <c r="C30"/>
  <c r="D30"/>
  <c r="C31"/>
  <c r="D31"/>
  <c r="C32"/>
  <c r="D32"/>
  <c r="C33"/>
  <c r="D33"/>
  <c r="B34"/>
  <c r="C34"/>
  <c r="D34"/>
  <c r="C38"/>
  <c r="D38"/>
  <c r="C39"/>
  <c r="D39"/>
  <c r="C40"/>
  <c r="D40"/>
  <c r="C41"/>
  <c r="D41"/>
  <c r="C42"/>
  <c r="D42"/>
  <c r="C43"/>
  <c r="D43"/>
  <c r="C44"/>
  <c r="D44"/>
  <c r="C45"/>
  <c r="D45"/>
  <c r="C46"/>
  <c r="D46"/>
  <c r="C47"/>
  <c r="D47"/>
  <c r="C48"/>
  <c r="D48"/>
  <c r="C49"/>
  <c r="D49"/>
  <c r="C50"/>
  <c r="D50"/>
  <c r="B74"/>
  <c r="C74"/>
  <c r="D74"/>
  <c r="B75"/>
  <c r="C75"/>
  <c r="D75"/>
  <c r="B76"/>
  <c r="C76"/>
  <c r="D76"/>
  <c r="B77"/>
  <c r="C77"/>
  <c r="D77"/>
  <c r="B78"/>
  <c r="C78"/>
  <c r="D78"/>
  <c r="B79"/>
  <c r="C79"/>
  <c r="D79"/>
  <c r="B80"/>
  <c r="C80"/>
  <c r="D80"/>
  <c r="B81"/>
  <c r="C81"/>
  <c r="D81"/>
  <c r="B82"/>
  <c r="C82"/>
  <c r="D82"/>
  <c r="B83"/>
  <c r="C83"/>
  <c r="D83"/>
  <c r="B84"/>
  <c r="C84"/>
  <c r="D84"/>
  <c r="B85"/>
  <c r="C85"/>
  <c r="D85"/>
  <c r="B86"/>
  <c r="C86"/>
  <c r="D86"/>
  <c r="B87"/>
  <c r="C87"/>
  <c r="D87"/>
  <c r="B88"/>
  <c r="C88"/>
  <c r="D88"/>
  <c r="B89"/>
  <c r="C89"/>
  <c r="D89"/>
  <c r="B90"/>
  <c r="C90"/>
  <c r="D90"/>
  <c r="B91"/>
  <c r="C91"/>
  <c r="D91"/>
  <c r="B92"/>
  <c r="C92"/>
  <c r="D92"/>
  <c r="B93"/>
  <c r="C93"/>
  <c r="D93"/>
  <c r="B94"/>
  <c r="C94"/>
  <c r="D94"/>
  <c r="B95"/>
  <c r="C95"/>
  <c r="D95"/>
  <c r="B96"/>
  <c r="C96"/>
  <c r="D96"/>
  <c r="B97"/>
  <c r="C97"/>
  <c r="D97"/>
  <c r="B98"/>
  <c r="C98"/>
  <c r="D98"/>
  <c r="B99"/>
  <c r="C99"/>
  <c r="D99"/>
  <c r="B100"/>
  <c r="C100"/>
  <c r="D100"/>
  <c r="B101"/>
  <c r="C101"/>
  <c r="D101"/>
  <c r="B102"/>
  <c r="C102"/>
  <c r="D102"/>
  <c r="B103"/>
  <c r="C103"/>
  <c r="D103"/>
  <c r="B104"/>
  <c r="C104"/>
  <c r="D104"/>
  <c r="B105"/>
  <c r="C105"/>
  <c r="D105"/>
  <c r="B106"/>
  <c r="C106"/>
  <c r="D106"/>
  <c r="B107"/>
  <c r="C107"/>
  <c r="D107"/>
  <c r="B108"/>
  <c r="C108"/>
  <c r="D108"/>
  <c r="B109"/>
  <c r="C109"/>
  <c r="D109"/>
  <c r="C110"/>
  <c r="D110"/>
  <c r="C111"/>
  <c r="D111"/>
  <c r="C112"/>
  <c r="D112"/>
  <c r="C113"/>
  <c r="D113"/>
  <c r="C114"/>
  <c r="D114"/>
  <c r="C115"/>
  <c r="D115"/>
  <c r="C116"/>
  <c r="D116"/>
  <c r="C117"/>
  <c r="D117"/>
  <c r="C118"/>
  <c r="D118"/>
  <c r="C119"/>
  <c r="D119"/>
  <c r="C120"/>
  <c r="D120"/>
  <c r="C121"/>
  <c r="D121"/>
  <c r="K71" i="2"/>
  <c r="K78"/>
  <c r="L78"/>
  <c r="M78"/>
  <c r="K79"/>
  <c r="L79"/>
  <c r="M79"/>
  <c r="K80"/>
  <c r="L80"/>
  <c r="M80"/>
  <c r="K81"/>
  <c r="L81"/>
  <c r="M81"/>
  <c r="K82"/>
  <c r="L82"/>
  <c r="M82"/>
  <c r="K83"/>
  <c r="L83"/>
  <c r="M83"/>
  <c r="K84"/>
  <c r="L84"/>
  <c r="M84"/>
  <c r="K85"/>
  <c r="L85"/>
  <c r="M85"/>
  <c r="K86"/>
  <c r="L86"/>
  <c r="M86"/>
  <c r="K87"/>
  <c r="L87"/>
  <c r="M87"/>
  <c r="K88"/>
  <c r="L88"/>
  <c r="M88"/>
  <c r="K89"/>
  <c r="L89"/>
  <c r="M89"/>
  <c r="K90"/>
  <c r="L90"/>
  <c r="M90"/>
  <c r="K95"/>
  <c r="L95"/>
  <c r="M95"/>
  <c r="K96"/>
  <c r="L96"/>
  <c r="M96"/>
  <c r="K97"/>
  <c r="L97"/>
  <c r="M97"/>
  <c r="K98"/>
  <c r="L98"/>
  <c r="M98"/>
  <c r="K99"/>
  <c r="L99"/>
  <c r="M99"/>
  <c r="K100"/>
  <c r="L100"/>
  <c r="M100"/>
  <c r="K101"/>
  <c r="L101"/>
  <c r="M101"/>
  <c r="K102"/>
  <c r="L102"/>
  <c r="M102"/>
  <c r="K103"/>
  <c r="L103"/>
  <c r="M103"/>
  <c r="K104"/>
  <c r="L104"/>
  <c r="M104"/>
  <c r="K105"/>
  <c r="L105"/>
  <c r="M105"/>
  <c r="K106"/>
  <c r="L106"/>
  <c r="M106"/>
  <c r="K107"/>
  <c r="L107"/>
  <c r="M107"/>
  <c r="K112"/>
  <c r="L112"/>
  <c r="M112"/>
  <c r="K113"/>
  <c r="L113"/>
  <c r="M113"/>
  <c r="K114"/>
  <c r="L114"/>
  <c r="M114"/>
  <c r="K115"/>
  <c r="L115"/>
  <c r="M115"/>
  <c r="K116"/>
  <c r="L116"/>
  <c r="M116"/>
  <c r="K117"/>
  <c r="L117"/>
  <c r="M117"/>
  <c r="K118"/>
  <c r="L118"/>
  <c r="M118"/>
  <c r="K119"/>
  <c r="L119"/>
  <c r="M119"/>
  <c r="K120"/>
  <c r="L120"/>
  <c r="M120"/>
  <c r="K121"/>
  <c r="L121"/>
  <c r="M121"/>
  <c r="K122"/>
  <c r="L122"/>
  <c r="M122"/>
  <c r="K123"/>
  <c r="L123"/>
  <c r="M123"/>
  <c r="K124"/>
  <c r="L124"/>
  <c r="M124"/>
  <c r="C132"/>
  <c r="C133"/>
  <c r="B12" i="6"/>
  <c r="C12"/>
  <c r="B13"/>
  <c r="C13"/>
  <c r="B14"/>
  <c r="C14"/>
  <c r="B15"/>
  <c r="C15"/>
  <c r="B16"/>
  <c r="C16"/>
  <c r="B17"/>
  <c r="C17"/>
  <c r="B18"/>
  <c r="C18"/>
  <c r="B32"/>
  <c r="C32"/>
  <c r="D32"/>
  <c r="F32"/>
  <c r="B33"/>
  <c r="C33"/>
  <c r="D33"/>
  <c r="F33"/>
  <c r="B34"/>
  <c r="C34"/>
  <c r="D34"/>
  <c r="F34"/>
  <c r="B35"/>
  <c r="C35"/>
  <c r="D35"/>
  <c r="F35"/>
  <c r="B36"/>
  <c r="C36"/>
  <c r="D36"/>
  <c r="F36"/>
  <c r="B37"/>
  <c r="C37"/>
  <c r="D37"/>
  <c r="F37"/>
  <c r="B38"/>
  <c r="C38"/>
  <c r="D38"/>
  <c r="F38"/>
  <c r="B73"/>
  <c r="C73"/>
  <c r="B74"/>
  <c r="C74"/>
  <c r="B75"/>
  <c r="C75"/>
  <c r="B76"/>
  <c r="C76"/>
  <c r="B77"/>
  <c r="C77"/>
  <c r="B78"/>
  <c r="C78"/>
  <c r="B79"/>
  <c r="C79"/>
  <c r="B80"/>
  <c r="C80"/>
  <c r="O2" i="1"/>
  <c r="O3"/>
  <c r="B7"/>
  <c r="T9"/>
  <c r="O10"/>
  <c r="O11"/>
  <c r="O12"/>
  <c r="F19"/>
  <c r="J19"/>
  <c r="N19"/>
  <c r="A36" i="7"/>
  <c r="B36"/>
  <c r="E36"/>
  <c r="B48"/>
  <c r="B53"/>
  <c r="B55"/>
</calcChain>
</file>

<file path=xl/comments1.xml><?xml version="1.0" encoding="utf-8"?>
<comments xmlns="http://schemas.openxmlformats.org/spreadsheetml/2006/main">
  <authors>
    <author>Sunel Nortje</author>
  </authors>
  <commentList>
    <comment ref="D37" authorId="0">
      <text>
        <r>
          <rPr>
            <b/>
            <sz val="8"/>
            <color indexed="81"/>
            <rFont val="Tahoma"/>
            <family val="2"/>
          </rPr>
          <t>Sunel Nortje:</t>
        </r>
        <r>
          <rPr>
            <sz val="8"/>
            <color indexed="81"/>
            <rFont val="Tahoma"/>
            <family val="2"/>
          </rPr>
          <t xml:space="preserve">
Invoices for first 6 months. These figures were used to calculate a factor to estimate the duff sales for other periods. This was a conservative approach.</t>
        </r>
      </text>
    </comment>
  </commentList>
</comments>
</file>

<file path=xl/comments2.xml><?xml version="1.0" encoding="utf-8"?>
<comments xmlns="http://schemas.openxmlformats.org/spreadsheetml/2006/main">
  <authors>
    <author>Karolina Euler-van Hulst</author>
  </authors>
  <commentList>
    <comment ref="B7" authorId="0">
      <text>
        <r>
          <rPr>
            <b/>
            <sz val="8"/>
            <color indexed="81"/>
            <rFont val="Tahoma"/>
            <family val="2"/>
          </rPr>
          <t>Karolina Euler-van Hulst:</t>
        </r>
        <r>
          <rPr>
            <sz val="8"/>
            <color indexed="81"/>
            <rFont val="Tahoma"/>
            <family val="2"/>
          </rPr>
          <t xml:space="preserve">
The red numbers have been calculated based on the total energy use and fixed average use of 8.02 GJ/1000 bricks</t>
        </r>
      </text>
    </comment>
  </commentList>
</comments>
</file>

<file path=xl/sharedStrings.xml><?xml version="1.0" encoding="utf-8"?>
<sst xmlns="http://schemas.openxmlformats.org/spreadsheetml/2006/main" count="596" uniqueCount="288">
  <si>
    <t>Driefontein Fuel Switch</t>
  </si>
  <si>
    <t>coal consumption (tons)</t>
  </si>
  <si>
    <t>Baseline (average over 3 years)</t>
  </si>
  <si>
    <t>coal calorific value (GJ/ton)</t>
  </si>
  <si>
    <t>coal consumption per 1000 bricks (tons/1000 bricks)</t>
  </si>
  <si>
    <t>coal emission factor (tCO2/GJ)</t>
  </si>
  <si>
    <t>Duff production (tons)</t>
  </si>
  <si>
    <t>Duff calorific value (GJ/ton)</t>
  </si>
  <si>
    <t>Duff per 1000 bricks (tons/1000 bricks)</t>
  </si>
  <si>
    <t>Duff emission factor (tCO2/GJ)</t>
  </si>
  <si>
    <t>Ash production (tons)</t>
  </si>
  <si>
    <t>Ash per 1000 bricks (tons/1000 bricks)</t>
  </si>
  <si>
    <t>Ash calorific value (GJ/ton)</t>
  </si>
  <si>
    <t>Tar production (tons)</t>
  </si>
  <si>
    <t>Tar per 1000 bricks (tons/1000 bricks)</t>
  </si>
  <si>
    <t>Tar calorific value (GJ/ton)</t>
  </si>
  <si>
    <t>Tar emission factor (tCO2/GJ)</t>
  </si>
  <si>
    <t>Energy consumption (GJ)</t>
  </si>
  <si>
    <t>Energy consumption (GJ/1000 bricks)</t>
  </si>
  <si>
    <t>Brick production (1000 bricks)</t>
  </si>
  <si>
    <t>Project Activity</t>
  </si>
  <si>
    <t>Gas consumption (GJ)</t>
  </si>
  <si>
    <t>Gas emission factor (tons CO2/GJ)</t>
  </si>
  <si>
    <t>Calorific value of coal/duff</t>
  </si>
  <si>
    <t>GJ/ton</t>
  </si>
  <si>
    <t>Emission factor for coal/duff</t>
  </si>
  <si>
    <t>Ash content of coal</t>
  </si>
  <si>
    <t>Carbon content of ash</t>
  </si>
  <si>
    <t>Calorific value of ash</t>
  </si>
  <si>
    <t>Atomic mass of carbon</t>
  </si>
  <si>
    <t>Periodic table</t>
  </si>
  <si>
    <t>Calorific value of tar</t>
  </si>
  <si>
    <t>Emission factor for tar</t>
  </si>
  <si>
    <t>Carbon Balance</t>
  </si>
  <si>
    <t>Date</t>
  </si>
  <si>
    <t>Coal consumption (tons)</t>
  </si>
  <si>
    <t>Duff sold (tons)</t>
  </si>
  <si>
    <t>Ash produced (tons)</t>
  </si>
  <si>
    <t>Tar (tons)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</si>
  <si>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</si>
  <si>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</si>
  <si>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</si>
  <si>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</si>
  <si>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</si>
  <si>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</si>
  <si>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</si>
  <si>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</si>
  <si>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</si>
  <si>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</si>
  <si>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</si>
  <si>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</si>
  <si>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</t>
  </si>
  <si>
    <t>Energy Balance</t>
  </si>
  <si>
    <t>Energy in coal (GJ)</t>
  </si>
  <si>
    <t>Energy in Duff (GJ)</t>
  </si>
  <si>
    <t>Energy in ash (GJ)</t>
  </si>
  <si>
    <t>Energy in tar (GJ)</t>
  </si>
  <si>
    <t>Energy put into gasifier and screening (GJ)</t>
  </si>
  <si>
    <t>Energy losses to the outside (GJ)</t>
  </si>
  <si>
    <t>Energy in the producer gas (GJ)</t>
  </si>
  <si>
    <t>Energy in the producer gas (MWh)</t>
  </si>
  <si>
    <t>CV of producer gas</t>
  </si>
  <si>
    <t>tons CO2/MWh</t>
  </si>
  <si>
    <t>Baseline Emissions</t>
  </si>
  <si>
    <t>Baseline emission factor</t>
  </si>
  <si>
    <t>Project Emissions</t>
  </si>
  <si>
    <t>Year 2008</t>
  </si>
  <si>
    <t>kg/TJ</t>
  </si>
  <si>
    <t>tons/TJ</t>
  </si>
  <si>
    <t>tons/GJ</t>
  </si>
  <si>
    <t>Natural gas EF</t>
  </si>
  <si>
    <t>Emission Reductions</t>
  </si>
  <si>
    <t>Bricks</t>
  </si>
  <si>
    <t>Energy used (GJ)</t>
  </si>
  <si>
    <t>GJ/1000 bricks</t>
  </si>
  <si>
    <t>GJ/1000 brick</t>
  </si>
  <si>
    <t>Ash emission factor (tCO2/ton ash)</t>
  </si>
  <si>
    <t>energy in coal (GJ)</t>
  </si>
  <si>
    <t>Energy in duff (GJ)</t>
  </si>
  <si>
    <t>CO</t>
  </si>
  <si>
    <t>Calorific value of the gas</t>
  </si>
  <si>
    <t>GJ/ton of CO</t>
  </si>
  <si>
    <t>GJ</t>
  </si>
  <si>
    <t>tons</t>
  </si>
  <si>
    <t>Total</t>
  </si>
  <si>
    <t>Equation 1</t>
  </si>
  <si>
    <r>
      <t>BE</t>
    </r>
    <r>
      <rPr>
        <vertAlign val="subscript"/>
        <sz val="11"/>
        <color indexed="8"/>
        <rFont val="Times New Roman"/>
        <family val="1"/>
      </rPr>
      <t>y</t>
    </r>
  </si>
  <si>
    <r>
      <t>EF</t>
    </r>
    <r>
      <rPr>
        <vertAlign val="subscript"/>
        <sz val="11"/>
        <color indexed="8"/>
        <rFont val="Times New Roman"/>
        <family val="1"/>
      </rPr>
      <t>BSL</t>
    </r>
  </si>
  <si>
    <r>
      <t>BE</t>
    </r>
    <r>
      <rPr>
        <b/>
        <vertAlign val="subscript"/>
        <sz val="11"/>
        <color indexed="8"/>
        <rFont val="Times New Roman"/>
        <family val="1"/>
      </rPr>
      <t>y</t>
    </r>
  </si>
  <si>
    <r>
      <t>EF</t>
    </r>
    <r>
      <rPr>
        <b/>
        <vertAlign val="subscript"/>
        <sz val="11"/>
        <color indexed="8"/>
        <rFont val="Times New Roman"/>
        <family val="1"/>
      </rPr>
      <t>BSL</t>
    </r>
  </si>
  <si>
    <t>Equation 2</t>
  </si>
  <si>
    <r>
      <t>FC</t>
    </r>
    <r>
      <rPr>
        <vertAlign val="subscript"/>
        <sz val="11"/>
        <color indexed="8"/>
        <rFont val="Times New Roman"/>
        <family val="1"/>
      </rPr>
      <t>BSL</t>
    </r>
  </si>
  <si>
    <r>
      <t>EF</t>
    </r>
    <r>
      <rPr>
        <vertAlign val="subscript"/>
        <sz val="11"/>
        <color indexed="8"/>
        <rFont val="Times New Roman"/>
        <family val="1"/>
      </rPr>
      <t>CO2</t>
    </r>
  </si>
  <si>
    <t>NCV</t>
  </si>
  <si>
    <r>
      <t>Q</t>
    </r>
    <r>
      <rPr>
        <vertAlign val="subscript"/>
        <sz val="11"/>
        <color indexed="8"/>
        <rFont val="Times New Roman"/>
        <family val="1"/>
      </rPr>
      <t>BSL</t>
    </r>
  </si>
  <si>
    <t xml:space="preserve">Net energy generated in the captive plant in the baseline situation during the </t>
  </si>
  <si>
    <t>corresponding period of time for which the total fuel consumption was taken, in accordance with paragraph (MWh)</t>
  </si>
  <si>
    <r>
      <t>FC</t>
    </r>
    <r>
      <rPr>
        <b/>
        <vertAlign val="subscript"/>
        <sz val="11"/>
        <color indexed="8"/>
        <rFont val="Times New Roman"/>
        <family val="1"/>
      </rPr>
      <t>BSL</t>
    </r>
  </si>
  <si>
    <r>
      <t>EF</t>
    </r>
    <r>
      <rPr>
        <b/>
        <vertAlign val="subscript"/>
        <sz val="11"/>
        <color indexed="8"/>
        <rFont val="Times New Roman"/>
        <family val="1"/>
      </rPr>
      <t>CO2</t>
    </r>
  </si>
  <si>
    <r>
      <t>Q</t>
    </r>
    <r>
      <rPr>
        <b/>
        <vertAlign val="subscript"/>
        <sz val="11"/>
        <color indexed="8"/>
        <rFont val="Times New Roman"/>
        <family val="1"/>
      </rPr>
      <t>BSL</t>
    </r>
  </si>
  <si>
    <t>Equation 3</t>
  </si>
  <si>
    <t>Gas consumption (GJ/1000 bricks)</t>
  </si>
  <si>
    <r>
      <t>FC</t>
    </r>
    <r>
      <rPr>
        <vertAlign val="subscript"/>
        <sz val="11"/>
        <color indexed="8"/>
        <rFont val="Times New Roman"/>
        <family val="1"/>
      </rPr>
      <t>y</t>
    </r>
  </si>
  <si>
    <r>
      <t>PE</t>
    </r>
    <r>
      <rPr>
        <vertAlign val="subscript"/>
        <sz val="11"/>
        <color indexed="8"/>
        <rFont val="Times New Roman"/>
        <family val="1"/>
      </rPr>
      <t>y</t>
    </r>
  </si>
  <si>
    <r>
      <t>PE</t>
    </r>
    <r>
      <rPr>
        <b/>
        <vertAlign val="subscript"/>
        <sz val="11"/>
        <color indexed="8"/>
        <rFont val="Times New Roman"/>
        <family val="1"/>
      </rPr>
      <t>y</t>
    </r>
  </si>
  <si>
    <r>
      <t>FC</t>
    </r>
    <r>
      <rPr>
        <b/>
        <vertAlign val="subscript"/>
        <sz val="11"/>
        <color indexed="8"/>
        <rFont val="Times New Roman"/>
        <family val="1"/>
      </rPr>
      <t>y</t>
    </r>
  </si>
  <si>
    <t>Equation 4</t>
  </si>
  <si>
    <r>
      <t>ER</t>
    </r>
    <r>
      <rPr>
        <vertAlign val="subscript"/>
        <sz val="11"/>
        <color indexed="8"/>
        <rFont val="Times New Roman"/>
        <family val="1"/>
      </rPr>
      <t>y</t>
    </r>
  </si>
  <si>
    <r>
      <t>ER</t>
    </r>
    <r>
      <rPr>
        <b/>
        <vertAlign val="subscript"/>
        <sz val="11"/>
        <color indexed="8"/>
        <rFont val="Times New Roman"/>
        <family val="1"/>
      </rPr>
      <t>y</t>
    </r>
  </si>
  <si>
    <r>
      <t>CO</t>
    </r>
    <r>
      <rPr>
        <vertAlign val="subscript"/>
        <sz val="11"/>
        <color indexed="8"/>
        <rFont val="Calibri"/>
        <family val="2"/>
      </rPr>
      <t>2</t>
    </r>
  </si>
  <si>
    <r>
      <t>CH</t>
    </r>
    <r>
      <rPr>
        <vertAlign val="subscript"/>
        <sz val="11"/>
        <color indexed="8"/>
        <rFont val="Calibri"/>
        <family val="2"/>
      </rPr>
      <t>4</t>
    </r>
  </si>
  <si>
    <r>
      <t>H</t>
    </r>
    <r>
      <rPr>
        <vertAlign val="subscript"/>
        <sz val="11"/>
        <color indexed="8"/>
        <rFont val="Calibri"/>
        <family val="2"/>
      </rPr>
      <t>2</t>
    </r>
  </si>
  <si>
    <r>
      <t>N</t>
    </r>
    <r>
      <rPr>
        <vertAlign val="subscript"/>
        <sz val="11"/>
        <color indexed="8"/>
        <rFont val="Calibri"/>
        <family val="2"/>
      </rPr>
      <t>2</t>
    </r>
  </si>
  <si>
    <r>
      <t>Nm</t>
    </r>
    <r>
      <rPr>
        <vertAlign val="superscript"/>
        <sz val="11"/>
        <color indexed="8"/>
        <rFont val="Calibri"/>
        <family val="2"/>
      </rPr>
      <t>3</t>
    </r>
  </si>
  <si>
    <r>
      <t>GJ/Nm</t>
    </r>
    <r>
      <rPr>
        <vertAlign val="superscript"/>
        <sz val="11"/>
        <color indexed="8"/>
        <rFont val="Calibri"/>
        <family val="2"/>
      </rPr>
      <t>3</t>
    </r>
  </si>
  <si>
    <t>Composition of Producer Gas</t>
  </si>
  <si>
    <t>Volume %</t>
  </si>
  <si>
    <t>Inputs</t>
  </si>
  <si>
    <t>Calculations</t>
  </si>
  <si>
    <r>
      <t>H</t>
    </r>
    <r>
      <rPr>
        <vertAlign val="subscript"/>
        <sz val="11"/>
        <rFont val="Calibri"/>
        <family val="2"/>
      </rPr>
      <t>2</t>
    </r>
  </si>
  <si>
    <r>
      <t>GJ/ton of H</t>
    </r>
    <r>
      <rPr>
        <vertAlign val="subscript"/>
        <sz val="11"/>
        <rFont val="Calibri"/>
        <family val="2"/>
      </rPr>
      <t>2</t>
    </r>
  </si>
  <si>
    <r>
      <t>CH</t>
    </r>
    <r>
      <rPr>
        <vertAlign val="subscript"/>
        <sz val="11"/>
        <rFont val="Calibri"/>
        <family val="2"/>
      </rPr>
      <t>4</t>
    </r>
  </si>
  <si>
    <r>
      <t>GJ/ton of CH</t>
    </r>
    <r>
      <rPr>
        <vertAlign val="subscript"/>
        <sz val="11"/>
        <rFont val="Calibri"/>
        <family val="2"/>
      </rPr>
      <t>4</t>
    </r>
  </si>
  <si>
    <r>
      <t>1 Nm</t>
    </r>
    <r>
      <rPr>
        <vertAlign val="superscript"/>
        <sz val="11"/>
        <color indexed="8"/>
        <rFont val="Calibri"/>
        <family val="2"/>
      </rPr>
      <t>3</t>
    </r>
    <r>
      <rPr>
        <sz val="11"/>
        <color theme="1"/>
        <rFont val="Calibri"/>
        <family val="2"/>
        <scheme val="minor"/>
      </rPr>
      <t xml:space="preserve"> of gas contains:</t>
    </r>
  </si>
  <si>
    <r>
      <t>Nm</t>
    </r>
    <r>
      <rPr>
        <vertAlign val="superscript"/>
        <sz val="11"/>
        <rFont val="Calibri"/>
        <family val="2"/>
      </rPr>
      <t>3</t>
    </r>
    <r>
      <rPr>
        <sz val="11"/>
        <rFont val="Calibri"/>
        <family val="2"/>
      </rPr>
      <t>/kg</t>
    </r>
  </si>
  <si>
    <t>Volume</t>
  </si>
  <si>
    <t>Mass</t>
  </si>
  <si>
    <t>Energy</t>
  </si>
  <si>
    <t>Producer Gas</t>
  </si>
  <si>
    <r>
      <t>= 1Nm</t>
    </r>
    <r>
      <rPr>
        <vertAlign val="superscript"/>
        <sz val="11"/>
        <color indexed="8"/>
        <rFont val="Calibri"/>
        <family val="2"/>
      </rPr>
      <t>3</t>
    </r>
    <r>
      <rPr>
        <sz val="11"/>
        <color theme="1"/>
        <rFont val="Calibri"/>
        <family val="2"/>
        <scheme val="minor"/>
      </rPr>
      <t xml:space="preserve"> x Volume %</t>
    </r>
  </si>
  <si>
    <r>
      <t>= [Volume [Nm</t>
    </r>
    <r>
      <rPr>
        <vertAlign val="superscript"/>
        <sz val="11"/>
        <color indexed="8"/>
        <rFont val="Calibri"/>
        <family val="2"/>
      </rPr>
      <t>3</t>
    </r>
    <r>
      <rPr>
        <sz val="11"/>
        <color theme="1"/>
        <rFont val="Calibri"/>
        <family val="2"/>
        <scheme val="minor"/>
      </rPr>
      <t>] / Specific volume [Nm</t>
    </r>
    <r>
      <rPr>
        <vertAlign val="superscript"/>
        <sz val="11"/>
        <color indexed="8"/>
        <rFont val="Calibri"/>
        <family val="2"/>
      </rPr>
      <t>3</t>
    </r>
    <r>
      <rPr>
        <sz val="11"/>
        <color theme="1"/>
        <rFont val="Calibri"/>
        <family val="2"/>
        <scheme val="minor"/>
      </rPr>
      <t>/kg]] / 1000 [kg/ton]</t>
    </r>
  </si>
  <si>
    <t>=Mass [tons] x Gas energy content [GJ/ton]</t>
  </si>
  <si>
    <t>Brick Production</t>
  </si>
  <si>
    <r>
      <t>CO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in coal (tons CO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>)</t>
    </r>
  </si>
  <si>
    <r>
      <t>CO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in duff (tons CO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>)</t>
    </r>
  </si>
  <si>
    <r>
      <t>CO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in ash (tons CO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>)</t>
    </r>
  </si>
  <si>
    <r>
      <t>CO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in tar (tons CO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>)</t>
    </r>
  </si>
  <si>
    <r>
      <t>CO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in producer gas (tons CO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>)</t>
    </r>
  </si>
  <si>
    <t>Tar             (tons)</t>
  </si>
  <si>
    <t>2007</t>
  </si>
  <si>
    <t>2006</t>
  </si>
  <si>
    <t>2005</t>
  </si>
  <si>
    <t>Carbon and Energy Balances</t>
  </si>
  <si>
    <t>Tar            (tons)</t>
  </si>
  <si>
    <t>Energy in the producer gas         (GJ)</t>
  </si>
  <si>
    <r>
      <t>tons CO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>/GJ</t>
    </r>
  </si>
  <si>
    <r>
      <t>tons CO</t>
    </r>
    <r>
      <rPr>
        <vertAlign val="subscript"/>
        <sz val="11"/>
        <color indexed="8"/>
        <rFont val="Calibri"/>
        <family val="2"/>
      </rPr>
      <t>2</t>
    </r>
    <r>
      <rPr>
        <sz val="11"/>
        <color theme="1"/>
        <rFont val="Calibri"/>
        <family val="2"/>
        <scheme val="minor"/>
      </rPr>
      <t>/TJ</t>
    </r>
  </si>
  <si>
    <t>2008</t>
  </si>
  <si>
    <r>
      <t>Molecular mass of CO</t>
    </r>
    <r>
      <rPr>
        <b/>
        <vertAlign val="subscript"/>
        <sz val="11"/>
        <color indexed="8"/>
        <rFont val="Calibri"/>
        <family val="2"/>
      </rPr>
      <t>2</t>
    </r>
  </si>
  <si>
    <r>
      <t>tons CO</t>
    </r>
    <r>
      <rPr>
        <vertAlign val="subscript"/>
        <sz val="11"/>
        <color indexed="8"/>
        <rFont val="Calibri"/>
        <family val="2"/>
      </rPr>
      <t>2</t>
    </r>
    <r>
      <rPr>
        <sz val="11"/>
        <color theme="1"/>
        <rFont val="Calibri"/>
        <family val="2"/>
        <scheme val="minor"/>
      </rPr>
      <t>/GJ</t>
    </r>
  </si>
  <si>
    <r>
      <t>emission factor for the baseline situation (tCO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/MWh)</t>
    </r>
  </si>
  <si>
    <r>
      <t>NCV</t>
    </r>
    <r>
      <rPr>
        <vertAlign val="subscript"/>
        <sz val="11"/>
        <color indexed="8"/>
        <rFont val="Times New Roman"/>
        <family val="1"/>
      </rPr>
      <t>PG</t>
    </r>
  </si>
  <si>
    <r>
      <t>EF</t>
    </r>
    <r>
      <rPr>
        <vertAlign val="subscript"/>
        <sz val="11"/>
        <color indexed="8"/>
        <rFont val="Times New Roman"/>
        <family val="1"/>
      </rPr>
      <t>CO2,PG</t>
    </r>
  </si>
  <si>
    <r>
      <t>EF</t>
    </r>
    <r>
      <rPr>
        <b/>
        <vertAlign val="subscript"/>
        <sz val="11"/>
        <color indexed="8"/>
        <rFont val="Times New Roman"/>
        <family val="1"/>
      </rPr>
      <t>CO2,PG</t>
    </r>
  </si>
  <si>
    <r>
      <t>NCV</t>
    </r>
    <r>
      <rPr>
        <b/>
        <vertAlign val="subscript"/>
        <sz val="11"/>
        <color indexed="8"/>
        <rFont val="Times New Roman"/>
        <family val="1"/>
      </rPr>
      <t>PG</t>
    </r>
  </si>
  <si>
    <t>Amount of fossil fuel (natural gas) consumed for captive energy generation in the project activity in</t>
  </si>
  <si>
    <r>
      <t>CO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 xml:space="preserve"> emission factor for fossil fuel (natural gas) (tCO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/TJ)</t>
    </r>
  </si>
  <si>
    <r>
      <t>Project emissions in the project activity in year y (tCO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e)</t>
    </r>
  </si>
  <si>
    <r>
      <t>year y (Nm</t>
    </r>
    <r>
      <rPr>
        <vertAlign val="super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>)</t>
    </r>
  </si>
  <si>
    <r>
      <t>CO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 xml:space="preserve"> emission factor for the baseline producer gas (tCO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/TJ)</t>
    </r>
  </si>
  <si>
    <r>
      <t>Net calorific value for the baseline producer gss (TJ/Nm</t>
    </r>
    <r>
      <rPr>
        <vertAlign val="super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>)</t>
    </r>
  </si>
  <si>
    <r>
      <t>Emission reductions in the year y (tCO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e)</t>
    </r>
  </si>
  <si>
    <r>
      <t>Baseline emissions in the project activity in year y (tCO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e)</t>
    </r>
  </si>
  <si>
    <r>
      <t>total amount of producer gas consumed for captive energy generation in the baseline situation (Nm</t>
    </r>
    <r>
      <rPr>
        <vertAlign val="super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>)</t>
    </r>
  </si>
  <si>
    <t>net energy output in the project activity in year y (MWh)</t>
  </si>
  <si>
    <t>NCV/GCV</t>
  </si>
  <si>
    <t>NCV of Producer Gas</t>
  </si>
  <si>
    <t>Lower Heating Value</t>
  </si>
  <si>
    <t>Energy lost to atmosphere</t>
  </si>
  <si>
    <t>Energy losses</t>
  </si>
  <si>
    <r>
      <t>baseline emissions in the project activity in year y (tCO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e)</t>
    </r>
  </si>
  <si>
    <t>Doc 22</t>
  </si>
  <si>
    <t>Doc 23</t>
  </si>
  <si>
    <t>http://www.imteag.com/2-2005-06.pdf</t>
  </si>
  <si>
    <t>http://en.wikipedia.org/wiki/Heat_of_combustion</t>
  </si>
  <si>
    <t>Specific Volumes</t>
  </si>
  <si>
    <t>kg</t>
  </si>
  <si>
    <t>kJ/kg</t>
  </si>
  <si>
    <t>kJ/kg.K</t>
  </si>
  <si>
    <t>kJ</t>
  </si>
  <si>
    <t>Composition</t>
  </si>
  <si>
    <t>Vol %</t>
  </si>
  <si>
    <t>Component</t>
  </si>
  <si>
    <t>Specific Volume</t>
  </si>
  <si>
    <r>
      <t>Nm</t>
    </r>
    <r>
      <rPr>
        <vertAlign val="superscript"/>
        <sz val="11"/>
        <color indexed="8"/>
        <rFont val="Calibri"/>
        <family val="2"/>
      </rPr>
      <t>3</t>
    </r>
    <r>
      <rPr>
        <sz val="11"/>
        <color theme="1"/>
        <rFont val="Calibri"/>
        <family val="2"/>
        <scheme val="minor"/>
      </rPr>
      <t>/kg</t>
    </r>
  </si>
  <si>
    <r>
      <t>kg/Nm</t>
    </r>
    <r>
      <rPr>
        <vertAlign val="superscript"/>
        <sz val="11"/>
        <color indexed="8"/>
        <rFont val="Calibri"/>
        <family val="2"/>
      </rPr>
      <t>3</t>
    </r>
  </si>
  <si>
    <t>Specific Heat</t>
  </si>
  <si>
    <t>mass %</t>
  </si>
  <si>
    <t>K</t>
  </si>
  <si>
    <t>Specific Heat contribution</t>
  </si>
  <si>
    <t>Specific energy</t>
  </si>
  <si>
    <t>1000 bricks</t>
  </si>
  <si>
    <t>Cp  =</t>
  </si>
  <si>
    <t>m   =</t>
  </si>
  <si>
    <t>Volume of Producer Gas</t>
  </si>
  <si>
    <t>Gas consumption (Nm3)</t>
  </si>
  <si>
    <t>Emission Factor</t>
  </si>
  <si>
    <t>factor</t>
  </si>
  <si>
    <t>IPCC</t>
  </si>
  <si>
    <r>
      <t>in 1 Nm</t>
    </r>
    <r>
      <rPr>
        <b/>
        <vertAlign val="superscript"/>
        <sz val="11"/>
        <color indexed="8"/>
        <rFont val="Calibri"/>
        <family val="2"/>
      </rPr>
      <t>3</t>
    </r>
    <r>
      <rPr>
        <b/>
        <sz val="11"/>
        <color indexed="8"/>
        <rFont val="Calibri"/>
        <family val="2"/>
      </rPr>
      <t xml:space="preserve"> gas</t>
    </r>
  </si>
  <si>
    <r>
      <rPr>
        <b/>
        <sz val="11"/>
        <color indexed="8"/>
        <rFont val="Arial"/>
        <family val="2"/>
      </rPr>
      <t>Δ</t>
    </r>
    <r>
      <rPr>
        <b/>
        <sz val="11"/>
        <color indexed="8"/>
        <rFont val="Calibri"/>
        <family val="2"/>
      </rPr>
      <t>Temp</t>
    </r>
  </si>
  <si>
    <t xml:space="preserve">CO </t>
  </si>
  <si>
    <r>
      <t>CO</t>
    </r>
    <r>
      <rPr>
        <vertAlign val="subscript"/>
        <sz val="11"/>
        <color indexed="8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 </t>
    </r>
  </si>
  <si>
    <r>
      <t>H</t>
    </r>
    <r>
      <rPr>
        <vertAlign val="subscript"/>
        <sz val="11"/>
        <color indexed="8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 </t>
    </r>
  </si>
  <si>
    <r>
      <t>N</t>
    </r>
    <r>
      <rPr>
        <vertAlign val="subscript"/>
        <sz val="11"/>
        <color indexed="8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 </t>
    </r>
  </si>
  <si>
    <r>
      <t>CH</t>
    </r>
    <r>
      <rPr>
        <vertAlign val="subscript"/>
        <sz val="11"/>
        <color indexed="8"/>
        <rFont val="Calibri"/>
        <family val="2"/>
      </rPr>
      <t xml:space="preserve">4 </t>
    </r>
  </si>
  <si>
    <r>
      <t>NCV</t>
    </r>
    <r>
      <rPr>
        <vertAlign val="subscript"/>
        <sz val="11"/>
        <color indexed="8"/>
        <rFont val="Calibri"/>
        <family val="2"/>
      </rPr>
      <t>PG</t>
    </r>
    <r>
      <rPr>
        <sz val="11"/>
        <color theme="1"/>
        <rFont val="Calibri"/>
        <family val="2"/>
        <scheme val="minor"/>
      </rPr>
      <t xml:space="preserve">   =</t>
    </r>
  </si>
  <si>
    <t>http://hiq.linde-gas.com/International/Web/LG/SPG/like35lgspg.nsf/repositorybyalias/veriseq_carbdio/$file/VERISEQ_CarbonDioxide.pdf</t>
  </si>
  <si>
    <t>http://www.gas-plants.com/nitrogen-unit-conversion.html</t>
  </si>
  <si>
    <t>Specific energy consumption by the brick kiln before fuel switch = Specific energy consumption by the brick kiln after fuel switch</t>
  </si>
  <si>
    <r>
      <t>Energy consumption in baseline scenario (Energy</t>
    </r>
    <r>
      <rPr>
        <b/>
        <vertAlign val="subscript"/>
        <sz val="11"/>
        <color indexed="8"/>
        <rFont val="Calibri"/>
        <family val="2"/>
      </rPr>
      <t>baseline</t>
    </r>
    <r>
      <rPr>
        <b/>
        <sz val="11"/>
        <color indexed="8"/>
        <rFont val="Calibri"/>
        <family val="2"/>
      </rPr>
      <t>)</t>
    </r>
  </si>
  <si>
    <t>Brick production in baseline scenario</t>
  </si>
  <si>
    <t>Energy consumption in project scenario</t>
  </si>
  <si>
    <t>Brick production in project scenario</t>
  </si>
  <si>
    <r>
      <t>q</t>
    </r>
    <r>
      <rPr>
        <vertAlign val="subscript"/>
        <sz val="11"/>
        <color indexed="8"/>
        <rFont val="Calibri"/>
        <family val="2"/>
      </rPr>
      <t>PG</t>
    </r>
    <r>
      <rPr>
        <sz val="11"/>
        <color theme="1"/>
        <rFont val="Calibri"/>
        <family val="2"/>
        <scheme val="minor"/>
      </rPr>
      <t xml:space="preserve">  =</t>
    </r>
  </si>
  <si>
    <r>
      <t>Energy</t>
    </r>
    <r>
      <rPr>
        <vertAlign val="subscript"/>
        <sz val="11"/>
        <color indexed="8"/>
        <rFont val="Calibri"/>
        <family val="2"/>
      </rPr>
      <t>baseline</t>
    </r>
    <r>
      <rPr>
        <sz val="11"/>
        <color theme="1"/>
        <rFont val="Calibri"/>
        <family val="2"/>
        <scheme val="minor"/>
      </rPr>
      <t xml:space="preserve">  =</t>
    </r>
  </si>
  <si>
    <r>
      <t>Total m</t>
    </r>
    <r>
      <rPr>
        <b/>
        <vertAlign val="superscript"/>
        <sz val="11"/>
        <color indexed="8"/>
        <rFont val="Calibri"/>
        <family val="2"/>
      </rPr>
      <t>3</t>
    </r>
  </si>
  <si>
    <t>Average bricks Feb to Dec</t>
  </si>
  <si>
    <t>Total Bricks Feb to Dec</t>
  </si>
  <si>
    <r>
      <t>Avg [GJ/m</t>
    </r>
    <r>
      <rPr>
        <b/>
        <vertAlign val="superscript"/>
        <sz val="11"/>
        <color indexed="8"/>
        <rFont val="Calibri"/>
        <family val="2"/>
      </rPr>
      <t>3</t>
    </r>
    <r>
      <rPr>
        <b/>
        <sz val="11"/>
        <color indexed="8"/>
        <rFont val="Calibri"/>
        <family val="2"/>
      </rPr>
      <t>]</t>
    </r>
  </si>
  <si>
    <t xml:space="preserve">Calculation of factor to obtain gas consumption of January from brick production </t>
  </si>
  <si>
    <r>
      <t>corrected for temperature (15</t>
    </r>
    <r>
      <rPr>
        <sz val="11"/>
        <color indexed="8"/>
        <rFont val="Calibri"/>
        <family val="2"/>
      </rPr>
      <t>°</t>
    </r>
    <r>
      <rPr>
        <sz val="11"/>
        <color theme="1"/>
        <rFont val="Calibri"/>
        <family val="2"/>
        <scheme val="minor"/>
      </rPr>
      <t>C)</t>
    </r>
  </si>
  <si>
    <t>Conditions: 15°C, 1 atm (101.3 kPa)</t>
  </si>
  <si>
    <r>
      <t>tons CO</t>
    </r>
    <r>
      <rPr>
        <vertAlign val="subscript"/>
        <sz val="11"/>
        <color indexed="8"/>
        <rFont val="Calibri"/>
        <family val="2"/>
      </rPr>
      <t>2</t>
    </r>
  </si>
  <si>
    <r>
      <t>tons CO</t>
    </r>
    <r>
      <rPr>
        <vertAlign val="subscript"/>
        <sz val="11"/>
        <color indexed="8"/>
        <rFont val="Calibri"/>
        <family val="2"/>
      </rPr>
      <t>3</t>
    </r>
    <r>
      <rPr>
        <sz val="11"/>
        <color theme="1"/>
        <rFont val="Calibri"/>
        <family val="2"/>
        <scheme val="minor"/>
      </rPr>
      <t/>
    </r>
  </si>
  <si>
    <r>
      <t>tons CO</t>
    </r>
    <r>
      <rPr>
        <vertAlign val="subscript"/>
        <sz val="11"/>
        <color indexed="8"/>
        <rFont val="Calibri"/>
        <family val="2"/>
      </rPr>
      <t>4</t>
    </r>
    <r>
      <rPr>
        <sz val="11"/>
        <color theme="1"/>
        <rFont val="Calibri"/>
        <family val="2"/>
        <scheme val="minor"/>
      </rPr>
      <t/>
    </r>
  </si>
  <si>
    <t>Percentage on ash-free basis</t>
  </si>
  <si>
    <t>Tonne tar sold/tonne coal</t>
  </si>
  <si>
    <t>Tonne duff sold/tonne coal</t>
  </si>
  <si>
    <t>Project Scenario</t>
  </si>
  <si>
    <t>Variable</t>
  </si>
  <si>
    <t>Value</t>
  </si>
  <si>
    <t>Unit</t>
  </si>
  <si>
    <t>Reference</t>
  </si>
  <si>
    <t>21 - Coal Analysis Report, 2004-2007</t>
  </si>
  <si>
    <t xml:space="preserve">2006 IPCC Guidelines </t>
  </si>
  <si>
    <t>21b - Coal Analysis Report, 09-10-2007</t>
  </si>
  <si>
    <t>22 - Coal Analysis Report 30-05-2005, 31-07-2006, 29-03-2007</t>
  </si>
  <si>
    <t>Calculated</t>
  </si>
  <si>
    <t>27b</t>
  </si>
  <si>
    <t>calculated</t>
  </si>
  <si>
    <t>8b,8c, 27c</t>
  </si>
  <si>
    <r>
      <t xml:space="preserve">27d - Tar of series of SA coal types (Average value from Slaghuis, Johan H; Raijmakers, Natasja. 2003. </t>
    </r>
    <r>
      <rPr>
        <i/>
        <sz val="11"/>
        <color indexed="8"/>
        <rFont val="Calibri"/>
        <family val="2"/>
      </rPr>
      <t>The use of thermogravitmetry in establishing the fischer tar of a series of South African coal types)</t>
    </r>
  </si>
  <si>
    <r>
      <t>Net calorific value for the fossil fuel (natural gas) (TJ/Nm</t>
    </r>
    <r>
      <rPr>
        <vertAlign val="super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>)</t>
    </r>
  </si>
  <si>
    <t xml:space="preserve"> 2006 IPCC Guidelines</t>
  </si>
  <si>
    <r>
      <t>Consumption in Nm</t>
    </r>
    <r>
      <rPr>
        <b/>
        <vertAlign val="superscript"/>
        <sz val="10"/>
        <rFont val="Arial"/>
        <family val="2"/>
      </rPr>
      <t>3</t>
    </r>
  </si>
  <si>
    <r>
      <t>Energy Content (GJ/Nm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</si>
  <si>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Fuel consumption (Nm3)</t>
  </si>
  <si>
    <t>Calorific value (TJ/Nm3)</t>
  </si>
  <si>
    <t>Ref: 27e - Brick production 2005-2007</t>
  </si>
  <si>
    <t>Ref: 27f - Brick production 2008</t>
  </si>
  <si>
    <t>17 - 17j</t>
  </si>
  <si>
    <t>Reference Doc:</t>
  </si>
  <si>
    <t>27i - Sasol gas technical data</t>
  </si>
  <si>
    <t>27h - Producer gas composition</t>
  </si>
  <si>
    <t>Primary Reference</t>
  </si>
  <si>
    <t>Secondary Reference (to support Primary Reference)</t>
  </si>
  <si>
    <t>STEAM its generation and use. 41st Edition. Edited by J.B. Kitto &amp; S.C. Stultz.The Babcock &amp; Wilcox Company, Barberton, Ohio, USA.2005. Chapter 9. Sources of Chemical Energy, pg 9-12, Table 9: Selected Analyses of Gaseious Fuels Derived from Coal</t>
  </si>
  <si>
    <t>Reference Doc: 27g - Gas temperature</t>
  </si>
  <si>
    <t>slightly different in PDD due to rounding</t>
  </si>
  <si>
    <t>MIN</t>
  </si>
  <si>
    <t>MAX</t>
  </si>
  <si>
    <t>Baseline</t>
  </si>
  <si>
    <t>Project</t>
  </si>
  <si>
    <t>average</t>
  </si>
  <si>
    <t>Lower limit</t>
  </si>
  <si>
    <t>Upper Limit</t>
  </si>
  <si>
    <r>
      <t>Q</t>
    </r>
    <r>
      <rPr>
        <vertAlign val="subscript"/>
        <sz val="11"/>
        <color indexed="8"/>
        <rFont val="Times New Roman"/>
        <family val="1"/>
      </rPr>
      <t>PJ,y</t>
    </r>
  </si>
  <si>
    <r>
      <t>Q</t>
    </r>
    <r>
      <rPr>
        <b/>
        <vertAlign val="subscript"/>
        <sz val="11"/>
        <color indexed="8"/>
        <rFont val="Times New Roman"/>
        <family val="1"/>
      </rPr>
      <t>PJ,y</t>
    </r>
  </si>
  <si>
    <t>GJ/Nm3</t>
  </si>
  <si>
    <t>Density of Producer Gas</t>
  </si>
  <si>
    <t>CO2</t>
  </si>
  <si>
    <t>CH4</t>
  </si>
  <si>
    <t>H2</t>
  </si>
  <si>
    <t>N2</t>
  </si>
  <si>
    <t>Molar Mass</t>
  </si>
  <si>
    <t>Cp</t>
  </si>
  <si>
    <t>Conversion</t>
  </si>
  <si>
    <t>g/mol</t>
  </si>
  <si>
    <t>cal</t>
  </si>
  <si>
    <t>http://www.convertunits.com/from/kilojoules/to/calories</t>
  </si>
  <si>
    <t>T1 (K)</t>
  </si>
  <si>
    <t>T2 (K)</t>
  </si>
  <si>
    <t>Cp1 (cal/mol.K)</t>
  </si>
  <si>
    <t>Cp2 (cal/mol.K)</t>
  </si>
  <si>
    <t>Average Cp (cal/mol.K)</t>
  </si>
  <si>
    <t>The average Cp was calculated based on an average gas temperature between ambient temperature and gas temperature (15-291C)</t>
  </si>
  <si>
    <t>The formula's used to calculate Cp1 and Cp2 were obtained from Perry's chemical engineers' handbook (7th edition). Molar mass was obtained from the periodic table http://www.standnes.no/chemix/periodictable/realtive-atomic-mass.htm</t>
  </si>
</sst>
</file>

<file path=xl/styles.xml><?xml version="1.0" encoding="utf-8"?>
<styleSheet xmlns="http://schemas.openxmlformats.org/spreadsheetml/2006/main">
  <numFmts count="17">
    <numFmt numFmtId="43" formatCode="_ * #,##0.00_ ;_ * \-#,##0.00_ ;_ * &quot;-&quot;??_ ;_ @_ "/>
    <numFmt numFmtId="164" formatCode="_ * #,##0_ ;_ * \-#,##0_ ;_ * &quot;-&quot;??_ ;_ @_ "/>
    <numFmt numFmtId="165" formatCode="_ * #,##0.0000_ ;_ * \-#,##0.0000_ ;_ * &quot;-&quot;??_ ;_ @_ "/>
    <numFmt numFmtId="166" formatCode="_ * #,##0.000000_ ;_ * \-#,##0.000000_ ;_ * &quot;-&quot;??_ ;_ @_ "/>
    <numFmt numFmtId="167" formatCode="_(* #,##0_);_(* \(#,##0\);_(* &quot;-&quot;??_);_(@_)"/>
    <numFmt numFmtId="168" formatCode="_ * #,##0.0000000_ ;_ * \-#,##0.0000000_ ;_ * &quot;-&quot;??_ ;_ @_ "/>
    <numFmt numFmtId="169" formatCode="0.0000"/>
    <numFmt numFmtId="170" formatCode="_-* #,##0.00_-;\-* #,##0.00_-;_-* &quot;-&quot;??_-;_-@_-"/>
    <numFmt numFmtId="171" formatCode="_ * #,##0.000000_ ;_ * \-#,##0.000000_ ;_ * &quot;-&quot;??????_ ;_ @_ "/>
    <numFmt numFmtId="172" formatCode="0.000000"/>
    <numFmt numFmtId="173" formatCode="0.0000000"/>
    <numFmt numFmtId="174" formatCode="0.000%"/>
    <numFmt numFmtId="175" formatCode="0.000"/>
    <numFmt numFmtId="176" formatCode="_ * #,##0.000_ ;_ * \-#,##0.000_ ;_ * &quot;-&quot;??_ ;_ @_ "/>
    <numFmt numFmtId="177" formatCode="0.0"/>
    <numFmt numFmtId="178" formatCode="_ * #,##0.00000000_ ;_ * \-#,##0.00000000_ ;_ * &quot;-&quot;??_ ;_ @_ "/>
    <numFmt numFmtId="179" formatCode="_(* #,##0.0_);_(* \(#,##0.0\);_(* &quot;-&quot;??_);_(@_)"/>
  </numFmts>
  <fonts count="3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sz val="14"/>
      <color indexed="9"/>
      <name val="Calibri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11"/>
      <color indexed="8"/>
      <name val="Times New Roman"/>
      <family val="1"/>
    </font>
    <font>
      <sz val="10"/>
      <name val="Geneva"/>
    </font>
    <font>
      <b/>
      <sz val="11"/>
      <color indexed="8"/>
      <name val="Times New Roman"/>
      <family val="1"/>
    </font>
    <font>
      <vertAlign val="subscript"/>
      <sz val="11"/>
      <color indexed="8"/>
      <name val="Times New Roman"/>
      <family val="1"/>
    </font>
    <font>
      <b/>
      <vertAlign val="subscript"/>
      <sz val="11"/>
      <color indexed="8"/>
      <name val="Times New Roman"/>
      <family val="1"/>
    </font>
    <font>
      <vertAlign val="subscript"/>
      <sz val="11"/>
      <color indexed="8"/>
      <name val="Calibri"/>
      <family val="2"/>
    </font>
    <font>
      <vertAlign val="superscript"/>
      <sz val="11"/>
      <color indexed="8"/>
      <name val="Calibri"/>
      <family val="2"/>
    </font>
    <font>
      <sz val="11"/>
      <name val="Calibri"/>
      <family val="2"/>
    </font>
    <font>
      <vertAlign val="subscript"/>
      <sz val="11"/>
      <name val="Calibri"/>
      <family val="2"/>
    </font>
    <font>
      <vertAlign val="superscript"/>
      <sz val="11"/>
      <name val="Calibri"/>
      <family val="2"/>
    </font>
    <font>
      <b/>
      <vertAlign val="subscript"/>
      <sz val="11"/>
      <color indexed="8"/>
      <name val="Calibri"/>
      <family val="2"/>
    </font>
    <font>
      <b/>
      <sz val="12"/>
      <color indexed="8"/>
      <name val="Calibri"/>
      <family val="2"/>
    </font>
    <font>
      <vertAlign val="superscript"/>
      <sz val="11"/>
      <color indexed="8"/>
      <name val="Times New Roman"/>
      <family val="1"/>
    </font>
    <font>
      <b/>
      <vertAlign val="superscript"/>
      <sz val="11"/>
      <color indexed="8"/>
      <name val="Calibri"/>
      <family val="2"/>
    </font>
    <font>
      <b/>
      <sz val="11"/>
      <color indexed="8"/>
      <name val="Arial"/>
      <family val="2"/>
    </font>
    <font>
      <sz val="10"/>
      <color indexed="8"/>
      <name val="Calibri"/>
      <family val="2"/>
    </font>
    <font>
      <i/>
      <sz val="11"/>
      <color indexed="8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u/>
      <sz val="12"/>
      <color indexed="8"/>
      <name val="Calibri"/>
      <family val="2"/>
    </font>
    <font>
      <sz val="8"/>
      <name val="Calibri"/>
      <family val="2"/>
    </font>
    <font>
      <u/>
      <sz val="11"/>
      <color theme="10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232">
    <xf numFmtId="0" fontId="0" fillId="0" borderId="0" xfId="0"/>
    <xf numFmtId="0" fontId="2" fillId="0" borderId="0" xfId="0" applyFont="1"/>
    <xf numFmtId="0" fontId="0" fillId="0" borderId="0" xfId="0" applyFill="1"/>
    <xf numFmtId="0" fontId="0" fillId="2" borderId="0" xfId="0" applyFill="1"/>
    <xf numFmtId="0" fontId="4" fillId="2" borderId="0" xfId="0" applyFont="1" applyFill="1"/>
    <xf numFmtId="164" fontId="0" fillId="0" borderId="0" xfId="1" applyNumberFormat="1" applyFont="1"/>
    <xf numFmtId="9" fontId="0" fillId="0" borderId="0" xfId="4" applyFont="1"/>
    <xf numFmtId="0" fontId="2" fillId="0" borderId="1" xfId="0" applyFont="1" applyBorder="1"/>
    <xf numFmtId="0" fontId="2" fillId="0" borderId="0" xfId="0" applyFont="1" applyBorder="1"/>
    <xf numFmtId="0" fontId="0" fillId="0" borderId="1" xfId="0" applyBorder="1"/>
    <xf numFmtId="164" fontId="0" fillId="0" borderId="1" xfId="1" applyNumberFormat="1" applyFont="1" applyBorder="1"/>
    <xf numFmtId="164" fontId="0" fillId="0" borderId="0" xfId="1" applyNumberFormat="1" applyFont="1" applyBorder="1"/>
    <xf numFmtId="0" fontId="0" fillId="0" borderId="0" xfId="0" applyFill="1" applyBorder="1"/>
    <xf numFmtId="164" fontId="0" fillId="0" borderId="0" xfId="1" applyNumberFormat="1" applyFont="1" applyFill="1" applyBorder="1"/>
    <xf numFmtId="164" fontId="0" fillId="0" borderId="0" xfId="1" applyNumberFormat="1" applyFont="1" applyFill="1"/>
    <xf numFmtId="165" fontId="0" fillId="0" borderId="0" xfId="1" applyNumberFormat="1" applyFont="1"/>
    <xf numFmtId="164" fontId="0" fillId="0" borderId="0" xfId="0" applyNumberFormat="1"/>
    <xf numFmtId="43" fontId="0" fillId="0" borderId="0" xfId="0" applyNumberFormat="1"/>
    <xf numFmtId="43" fontId="0" fillId="0" borderId="0" xfId="1" applyFont="1"/>
    <xf numFmtId="0" fontId="2" fillId="0" borderId="0" xfId="0" applyFont="1" applyBorder="1" applyAlignment="1">
      <alignment wrapText="1"/>
    </xf>
    <xf numFmtId="0" fontId="0" fillId="0" borderId="0" xfId="0" applyBorder="1"/>
    <xf numFmtId="164" fontId="2" fillId="3" borderId="0" xfId="1" applyNumberFormat="1" applyFont="1" applyFill="1"/>
    <xf numFmtId="0" fontId="2" fillId="3" borderId="0" xfId="0" applyFont="1" applyFill="1"/>
    <xf numFmtId="1" fontId="0" fillId="0" borderId="0" xfId="0" applyNumberFormat="1"/>
    <xf numFmtId="43" fontId="2" fillId="3" borderId="0" xfId="1" applyFont="1" applyFill="1"/>
    <xf numFmtId="43" fontId="2" fillId="3" borderId="0" xfId="1" applyNumberFormat="1" applyFont="1" applyFill="1"/>
    <xf numFmtId="165" fontId="2" fillId="3" borderId="0" xfId="1" applyNumberFormat="1" applyFont="1" applyFill="1"/>
    <xf numFmtId="169" fontId="2" fillId="3" borderId="0" xfId="0" applyNumberFormat="1" applyFont="1" applyFill="1"/>
    <xf numFmtId="164" fontId="2" fillId="3" borderId="0" xfId="0" applyNumberFormat="1" applyFont="1" applyFill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9" fillId="0" borderId="1" xfId="0" applyFont="1" applyBorder="1" applyAlignment="1">
      <alignment horizontal="center"/>
    </xf>
    <xf numFmtId="164" fontId="9" fillId="0" borderId="1" xfId="1" applyNumberFormat="1" applyFont="1" applyBorder="1" applyAlignment="1">
      <alignment horizontal="center"/>
    </xf>
    <xf numFmtId="43" fontId="9" fillId="0" borderId="1" xfId="1" applyNumberFormat="1" applyFont="1" applyBorder="1" applyAlignment="1">
      <alignment horizontal="center"/>
    </xf>
    <xf numFmtId="168" fontId="9" fillId="0" borderId="1" xfId="1" applyNumberFormat="1" applyFont="1" applyBorder="1" applyAlignment="1">
      <alignment horizontal="center"/>
    </xf>
    <xf numFmtId="164" fontId="9" fillId="0" borderId="1" xfId="1" applyNumberFormat="1" applyFont="1" applyFill="1" applyBorder="1" applyAlignment="1">
      <alignment horizontal="center"/>
    </xf>
    <xf numFmtId="168" fontId="9" fillId="0" borderId="1" xfId="1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0" xfId="0" applyFont="1" applyBorder="1"/>
    <xf numFmtId="0" fontId="11" fillId="0" borderId="0" xfId="0" applyFont="1" applyBorder="1" applyAlignment="1">
      <alignment horizontal="center"/>
    </xf>
    <xf numFmtId="164" fontId="9" fillId="0" borderId="0" xfId="1" applyNumberFormat="1" applyFont="1" applyFill="1" applyBorder="1" applyAlignment="1">
      <alignment horizontal="center"/>
    </xf>
    <xf numFmtId="164" fontId="9" fillId="0" borderId="0" xfId="1" applyNumberFormat="1" applyFont="1" applyBorder="1" applyAlignment="1">
      <alignment horizontal="center"/>
    </xf>
    <xf numFmtId="166" fontId="2" fillId="3" borderId="0" xfId="1" applyNumberFormat="1" applyFont="1" applyFill="1"/>
    <xf numFmtId="164" fontId="9" fillId="0" borderId="0" xfId="0" applyNumberFormat="1" applyFont="1"/>
    <xf numFmtId="0" fontId="0" fillId="4" borderId="0" xfId="0" applyFill="1"/>
    <xf numFmtId="0" fontId="2" fillId="4" borderId="0" xfId="0" applyFont="1" applyFill="1"/>
    <xf numFmtId="0" fontId="2" fillId="0" borderId="0" xfId="0" applyFont="1" applyFill="1"/>
    <xf numFmtId="0" fontId="10" fillId="4" borderId="0" xfId="0" applyFont="1" applyFill="1"/>
    <xf numFmtId="0" fontId="2" fillId="4" borderId="3" xfId="0" applyFont="1" applyFill="1" applyBorder="1"/>
    <xf numFmtId="0" fontId="0" fillId="4" borderId="4" xfId="0" applyFill="1" applyBorder="1"/>
    <xf numFmtId="0" fontId="2" fillId="0" borderId="1" xfId="0" applyFont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10" fillId="0" borderId="0" xfId="0" applyFont="1" applyFill="1"/>
    <xf numFmtId="0" fontId="6" fillId="4" borderId="0" xfId="0" applyFont="1" applyFill="1"/>
    <xf numFmtId="0" fontId="6" fillId="0" borderId="0" xfId="0" applyFont="1" applyFill="1"/>
    <xf numFmtId="0" fontId="16" fillId="0" borderId="1" xfId="0" applyFont="1" applyBorder="1"/>
    <xf numFmtId="170" fontId="16" fillId="0" borderId="1" xfId="2" applyNumberFormat="1" applyFont="1" applyFill="1" applyBorder="1"/>
    <xf numFmtId="166" fontId="0" fillId="0" borderId="1" xfId="1" applyNumberFormat="1" applyFont="1" applyBorder="1"/>
    <xf numFmtId="0" fontId="16" fillId="0" borderId="1" xfId="0" applyFont="1" applyFill="1" applyBorder="1" applyAlignment="1">
      <alignment vertical="center"/>
    </xf>
    <xf numFmtId="166" fontId="0" fillId="0" borderId="0" xfId="1" applyNumberFormat="1" applyFont="1" applyBorder="1"/>
    <xf numFmtId="0" fontId="2" fillId="0" borderId="0" xfId="0" applyFont="1" applyFill="1" applyBorder="1"/>
    <xf numFmtId="0" fontId="0" fillId="4" borderId="0" xfId="0" applyFont="1" applyFill="1"/>
    <xf numFmtId="0" fontId="0" fillId="0" borderId="0" xfId="1" quotePrefix="1" applyNumberFormat="1" applyFont="1"/>
    <xf numFmtId="0" fontId="0" fillId="0" borderId="0" xfId="0" quotePrefix="1"/>
    <xf numFmtId="172" fontId="0" fillId="0" borderId="1" xfId="0" applyNumberForma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/>
    </xf>
    <xf numFmtId="164" fontId="2" fillId="2" borderId="5" xfId="0" applyNumberFormat="1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7" fontId="2" fillId="2" borderId="6" xfId="1" applyNumberFormat="1" applyFont="1" applyFill="1" applyBorder="1"/>
    <xf numFmtId="43" fontId="2" fillId="2" borderId="7" xfId="0" applyNumberFormat="1" applyFont="1" applyFill="1" applyBorder="1"/>
    <xf numFmtId="0" fontId="9" fillId="4" borderId="0" xfId="0" applyFont="1" applyFill="1"/>
    <xf numFmtId="0" fontId="11" fillId="4" borderId="0" xfId="0" applyFont="1" applyFill="1"/>
    <xf numFmtId="0" fontId="11" fillId="0" borderId="0" xfId="0" applyFont="1" applyFill="1"/>
    <xf numFmtId="0" fontId="11" fillId="4" borderId="3" xfId="0" applyFont="1" applyFill="1" applyBorder="1"/>
    <xf numFmtId="0" fontId="11" fillId="4" borderId="4" xfId="0" applyFont="1" applyFill="1" applyBorder="1"/>
    <xf numFmtId="0" fontId="11" fillId="0" borderId="0" xfId="0" applyFont="1" applyFill="1" applyBorder="1"/>
    <xf numFmtId="0" fontId="11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2" borderId="6" xfId="0" applyFont="1" applyFill="1" applyBorder="1"/>
    <xf numFmtId="164" fontId="11" fillId="2" borderId="6" xfId="0" applyNumberFormat="1" applyFont="1" applyFill="1" applyBorder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164" fontId="2" fillId="0" borderId="0" xfId="1" applyNumberFormat="1" applyFont="1" applyAlignment="1">
      <alignment wrapText="1"/>
    </xf>
    <xf numFmtId="0" fontId="2" fillId="0" borderId="0" xfId="0" applyFont="1" applyAlignment="1">
      <alignment wrapText="1"/>
    </xf>
    <xf numFmtId="0" fontId="2" fillId="2" borderId="1" xfId="0" applyFont="1" applyFill="1" applyBorder="1" applyAlignment="1">
      <alignment horizontal="left" wrapText="1"/>
    </xf>
    <xf numFmtId="164" fontId="0" fillId="4" borderId="0" xfId="1" applyNumberFormat="1" applyFont="1" applyFill="1"/>
    <xf numFmtId="0" fontId="2" fillId="4" borderId="0" xfId="0" quotePrefix="1" applyFont="1" applyFill="1"/>
    <xf numFmtId="164" fontId="0" fillId="0" borderId="1" xfId="1" applyNumberFormat="1" applyFont="1" applyFill="1" applyBorder="1"/>
    <xf numFmtId="164" fontId="2" fillId="2" borderId="5" xfId="1" applyNumberFormat="1" applyFont="1" applyFill="1" applyBorder="1"/>
    <xf numFmtId="0" fontId="2" fillId="4" borderId="4" xfId="0" applyFont="1" applyFill="1" applyBorder="1"/>
    <xf numFmtId="164" fontId="0" fillId="4" borderId="4" xfId="1" applyNumberFormat="1" applyFont="1" applyFill="1" applyBorder="1"/>
    <xf numFmtId="164" fontId="0" fillId="4" borderId="4" xfId="0" applyNumberFormat="1" applyFill="1" applyBorder="1"/>
    <xf numFmtId="0" fontId="0" fillId="0" borderId="0" xfId="0" applyAlignment="1">
      <alignment horizontal="center" wrapText="1"/>
    </xf>
    <xf numFmtId="164" fontId="2" fillId="2" borderId="1" xfId="1" applyNumberFormat="1" applyFont="1" applyFill="1" applyBorder="1" applyAlignment="1">
      <alignment horizontal="center" wrapText="1"/>
    </xf>
    <xf numFmtId="43" fontId="0" fillId="0" borderId="1" xfId="0" applyNumberFormat="1" applyFill="1" applyBorder="1"/>
    <xf numFmtId="164" fontId="2" fillId="0" borderId="0" xfId="1" applyNumberFormat="1" applyFont="1" applyFill="1" applyBorder="1"/>
    <xf numFmtId="164" fontId="2" fillId="0" borderId="0" xfId="0" applyNumberFormat="1" applyFont="1" applyFill="1" applyBorder="1"/>
    <xf numFmtId="43" fontId="2" fillId="0" borderId="0" xfId="0" applyNumberFormat="1" applyFont="1" applyFill="1" applyBorder="1"/>
    <xf numFmtId="0" fontId="0" fillId="0" borderId="0" xfId="0" applyNumberFormat="1"/>
    <xf numFmtId="164" fontId="2" fillId="4" borderId="0" xfId="1" applyNumberFormat="1" applyFont="1" applyFill="1"/>
    <xf numFmtId="0" fontId="0" fillId="2" borderId="1" xfId="0" applyFill="1" applyBorder="1" applyAlignment="1">
      <alignment horizontal="center" wrapText="1"/>
    </xf>
    <xf numFmtId="0" fontId="8" fillId="0" borderId="1" xfId="0" applyFont="1" applyFill="1" applyBorder="1"/>
    <xf numFmtId="0" fontId="0" fillId="0" borderId="0" xfId="0" applyFont="1" applyFill="1"/>
    <xf numFmtId="164" fontId="1" fillId="0" borderId="0" xfId="1" applyNumberFormat="1" applyFont="1" applyFill="1"/>
    <xf numFmtId="0" fontId="8" fillId="0" borderId="0" xfId="0" applyFont="1" applyFill="1"/>
    <xf numFmtId="43" fontId="0" fillId="0" borderId="0" xfId="0" applyNumberFormat="1" applyFill="1"/>
    <xf numFmtId="0" fontId="6" fillId="2" borderId="5" xfId="0" applyFont="1" applyFill="1" applyBorder="1"/>
    <xf numFmtId="0" fontId="20" fillId="4" borderId="3" xfId="0" applyFont="1" applyFill="1" applyBorder="1"/>
    <xf numFmtId="43" fontId="0" fillId="2" borderId="0" xfId="0" applyNumberFormat="1" applyFill="1"/>
    <xf numFmtId="172" fontId="0" fillId="2" borderId="5" xfId="0" applyNumberFormat="1" applyFill="1" applyBorder="1"/>
    <xf numFmtId="0" fontId="0" fillId="2" borderId="5" xfId="0" applyFill="1" applyBorder="1"/>
    <xf numFmtId="0" fontId="0" fillId="0" borderId="1" xfId="0" applyFill="1" applyBorder="1"/>
    <xf numFmtId="43" fontId="0" fillId="0" borderId="1" xfId="1" applyFont="1" applyFill="1" applyBorder="1"/>
    <xf numFmtId="164" fontId="0" fillId="0" borderId="1" xfId="0" applyNumberFormat="1" applyFill="1" applyBorder="1"/>
    <xf numFmtId="167" fontId="0" fillId="0" borderId="1" xfId="1" applyNumberFormat="1" applyFont="1" applyFill="1" applyBorder="1"/>
    <xf numFmtId="43" fontId="2" fillId="2" borderId="5" xfId="0" applyNumberFormat="1" applyFont="1" applyFill="1" applyBorder="1"/>
    <xf numFmtId="9" fontId="0" fillId="0" borderId="0" xfId="4" applyFont="1" applyFill="1"/>
    <xf numFmtId="173" fontId="0" fillId="0" borderId="1" xfId="1" applyNumberFormat="1" applyFont="1" applyFill="1" applyBorder="1"/>
    <xf numFmtId="173" fontId="0" fillId="0" borderId="1" xfId="0" applyNumberFormat="1" applyFill="1" applyBorder="1"/>
    <xf numFmtId="168" fontId="2" fillId="2" borderId="5" xfId="1" applyNumberFormat="1" applyFont="1" applyFill="1" applyBorder="1"/>
    <xf numFmtId="0" fontId="9" fillId="0" borderId="0" xfId="0" applyFont="1" applyFill="1"/>
    <xf numFmtId="174" fontId="0" fillId="0" borderId="0" xfId="4" applyNumberFormat="1" applyFont="1"/>
    <xf numFmtId="9" fontId="2" fillId="3" borderId="0" xfId="4" applyFont="1" applyFill="1"/>
    <xf numFmtId="164" fontId="5" fillId="0" borderId="0" xfId="0" applyNumberFormat="1" applyFont="1" applyFill="1"/>
    <xf numFmtId="0" fontId="8" fillId="0" borderId="0" xfId="0" applyFont="1" applyFill="1" applyBorder="1"/>
    <xf numFmtId="167" fontId="0" fillId="0" borderId="0" xfId="1" applyNumberFormat="1" applyFont="1" applyFill="1" applyBorder="1"/>
    <xf numFmtId="164" fontId="0" fillId="0" borderId="0" xfId="0" applyNumberFormat="1" applyBorder="1"/>
    <xf numFmtId="165" fontId="0" fillId="0" borderId="1" xfId="1" applyNumberFormat="1" applyFont="1" applyFill="1" applyBorder="1"/>
    <xf numFmtId="9" fontId="0" fillId="0" borderId="1" xfId="4" applyFont="1" applyFill="1" applyBorder="1"/>
    <xf numFmtId="0" fontId="30" fillId="0" borderId="0" xfId="3" applyAlignment="1" applyProtection="1"/>
    <xf numFmtId="0" fontId="16" fillId="0" borderId="0" xfId="0" applyFont="1" applyBorder="1"/>
    <xf numFmtId="170" fontId="16" fillId="0" borderId="0" xfId="2" applyNumberFormat="1" applyFont="1" applyFill="1" applyBorder="1"/>
    <xf numFmtId="0" fontId="16" fillId="0" borderId="2" xfId="0" applyFont="1" applyFill="1" applyBorder="1" applyAlignment="1"/>
    <xf numFmtId="0" fontId="8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/>
    <xf numFmtId="175" fontId="0" fillId="0" borderId="1" xfId="0" applyNumberFormat="1" applyBorder="1"/>
    <xf numFmtId="1" fontId="0" fillId="0" borderId="1" xfId="0" applyNumberFormat="1" applyBorder="1"/>
    <xf numFmtId="43" fontId="0" fillId="0" borderId="1" xfId="0" applyNumberFormat="1" applyBorder="1"/>
    <xf numFmtId="0" fontId="0" fillId="0" borderId="1" xfId="0" applyFill="1" applyBorder="1" applyAlignment="1">
      <alignment horizontal="center"/>
    </xf>
    <xf numFmtId="177" fontId="0" fillId="0" borderId="1" xfId="0" applyNumberFormat="1" applyBorder="1"/>
    <xf numFmtId="2" fontId="2" fillId="0" borderId="1" xfId="0" applyNumberFormat="1" applyFont="1" applyBorder="1"/>
    <xf numFmtId="175" fontId="2" fillId="0" borderId="1" xfId="0" applyNumberFormat="1" applyFont="1" applyBorder="1"/>
    <xf numFmtId="177" fontId="2" fillId="0" borderId="1" xfId="0" applyNumberFormat="1" applyFont="1" applyBorder="1"/>
    <xf numFmtId="164" fontId="0" fillId="0" borderId="1" xfId="1" applyNumberFormat="1" applyFont="1" applyBorder="1" applyAlignment="1">
      <alignment horizontal="center"/>
    </xf>
    <xf numFmtId="0" fontId="3" fillId="0" borderId="0" xfId="0" applyFont="1" applyBorder="1"/>
    <xf numFmtId="0" fontId="0" fillId="0" borderId="0" xfId="0" quotePrefix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2" fontId="0" fillId="0" borderId="1" xfId="0" applyNumberFormat="1" applyFill="1" applyBorder="1"/>
    <xf numFmtId="175" fontId="0" fillId="0" borderId="1" xfId="0" applyNumberFormat="1" applyFill="1" applyBorder="1"/>
    <xf numFmtId="1" fontId="0" fillId="0" borderId="1" xfId="0" applyNumberFormat="1" applyFill="1" applyBorder="1"/>
    <xf numFmtId="0" fontId="30" fillId="0" borderId="0" xfId="3" applyFill="1" applyAlignment="1" applyProtection="1"/>
    <xf numFmtId="0" fontId="2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/>
    </xf>
    <xf numFmtId="2" fontId="0" fillId="2" borderId="2" xfId="0" applyNumberFormat="1" applyFill="1" applyBorder="1"/>
    <xf numFmtId="0" fontId="0" fillId="2" borderId="8" xfId="0" applyFill="1" applyBorder="1"/>
    <xf numFmtId="0" fontId="2" fillId="2" borderId="9" xfId="0" applyFont="1" applyFill="1" applyBorder="1"/>
    <xf numFmtId="164" fontId="2" fillId="2" borderId="10" xfId="0" applyNumberFormat="1" applyFont="1" applyFill="1" applyBorder="1"/>
    <xf numFmtId="0" fontId="2" fillId="2" borderId="11" xfId="0" applyFont="1" applyFill="1" applyBorder="1"/>
    <xf numFmtId="164" fontId="0" fillId="0" borderId="1" xfId="0" applyNumberFormat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Border="1" applyAlignment="1"/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2" fontId="0" fillId="0" borderId="0" xfId="0" applyNumberFormat="1" applyBorder="1"/>
    <xf numFmtId="175" fontId="0" fillId="0" borderId="0" xfId="0" applyNumberFormat="1" applyBorder="1"/>
    <xf numFmtId="1" fontId="0" fillId="0" borderId="0" xfId="0" applyNumberFormat="1" applyBorder="1"/>
    <xf numFmtId="43" fontId="0" fillId="0" borderId="0" xfId="0" applyNumberFormat="1" applyBorder="1"/>
    <xf numFmtId="176" fontId="6" fillId="0" borderId="0" xfId="0" applyNumberFormat="1" applyFont="1" applyBorder="1"/>
    <xf numFmtId="165" fontId="6" fillId="0" borderId="0" xfId="0" applyNumberFormat="1" applyFont="1" applyBorder="1"/>
    <xf numFmtId="43" fontId="6" fillId="0" borderId="0" xfId="0" applyNumberFormat="1" applyFont="1" applyBorder="1"/>
    <xf numFmtId="0" fontId="0" fillId="5" borderId="0" xfId="0" applyFill="1"/>
    <xf numFmtId="0" fontId="4" fillId="5" borderId="0" xfId="0" applyFont="1" applyFill="1"/>
    <xf numFmtId="164" fontId="0" fillId="5" borderId="0" xfId="0" applyNumberFormat="1" applyFill="1"/>
    <xf numFmtId="0" fontId="0" fillId="5" borderId="0" xfId="0" applyFill="1" applyAlignment="1">
      <alignment wrapText="1"/>
    </xf>
    <xf numFmtId="43" fontId="0" fillId="5" borderId="0" xfId="0" applyNumberFormat="1" applyFill="1"/>
    <xf numFmtId="165" fontId="0" fillId="0" borderId="0" xfId="1" applyNumberFormat="1" applyFont="1" applyFill="1" applyBorder="1"/>
    <xf numFmtId="164" fontId="0" fillId="0" borderId="0" xfId="0" applyNumberFormat="1" applyFill="1"/>
    <xf numFmtId="165" fontId="0" fillId="0" borderId="1" xfId="1" applyNumberFormat="1" applyFont="1" applyBorder="1"/>
    <xf numFmtId="10" fontId="0" fillId="0" borderId="1" xfId="4" applyNumberFormat="1" applyFont="1" applyFill="1" applyBorder="1" applyAlignment="1">
      <alignment vertical="center"/>
    </xf>
    <xf numFmtId="9" fontId="0" fillId="0" borderId="0" xfId="4" applyFont="1" applyAlignment="1">
      <alignment horizontal="center"/>
    </xf>
    <xf numFmtId="165" fontId="0" fillId="0" borderId="0" xfId="1" applyNumberFormat="1" applyFont="1" applyFill="1"/>
    <xf numFmtId="166" fontId="0" fillId="0" borderId="0" xfId="0" applyNumberFormat="1" applyFill="1"/>
    <xf numFmtId="168" fontId="0" fillId="0" borderId="1" xfId="0" applyNumberFormat="1" applyBorder="1"/>
    <xf numFmtId="178" fontId="9" fillId="0" borderId="1" xfId="1" applyNumberFormat="1" applyFont="1" applyFill="1" applyBorder="1" applyAlignment="1">
      <alignment horizontal="center"/>
    </xf>
    <xf numFmtId="0" fontId="28" fillId="5" borderId="0" xfId="0" applyFont="1" applyFill="1"/>
    <xf numFmtId="175" fontId="2" fillId="4" borderId="0" xfId="0" applyNumberFormat="1" applyFont="1" applyFill="1"/>
    <xf numFmtId="164" fontId="0" fillId="0" borderId="12" xfId="1" applyNumberFormat="1" applyFont="1" applyFill="1" applyBorder="1"/>
    <xf numFmtId="0" fontId="0" fillId="0" borderId="0" xfId="0" applyAlignment="1">
      <alignment horizontal="right"/>
    </xf>
    <xf numFmtId="2" fontId="0" fillId="0" borderId="0" xfId="0" applyNumberFormat="1"/>
    <xf numFmtId="179" fontId="2" fillId="2" borderId="6" xfId="1" applyNumberFormat="1" applyFont="1" applyFill="1" applyBorder="1"/>
    <xf numFmtId="0" fontId="32" fillId="0" borderId="0" xfId="0" applyFont="1"/>
    <xf numFmtId="43" fontId="32" fillId="0" borderId="0" xfId="1" applyFont="1"/>
    <xf numFmtId="0" fontId="33" fillId="0" borderId="0" xfId="0" applyFont="1"/>
    <xf numFmtId="179" fontId="0" fillId="0" borderId="0" xfId="0" applyNumberFormat="1"/>
    <xf numFmtId="0" fontId="31" fillId="0" borderId="1" xfId="0" applyFont="1" applyBorder="1"/>
    <xf numFmtId="179" fontId="2" fillId="0" borderId="6" xfId="1" applyNumberFormat="1" applyFont="1" applyFill="1" applyBorder="1"/>
    <xf numFmtId="43" fontId="32" fillId="0" borderId="0" xfId="0" applyNumberFormat="1" applyFont="1" applyFill="1"/>
    <xf numFmtId="167" fontId="31" fillId="0" borderId="1" xfId="1" applyNumberFormat="1" applyFont="1" applyFill="1" applyBorder="1" applyAlignment="1">
      <alignment horizontal="center"/>
    </xf>
    <xf numFmtId="164" fontId="11" fillId="4" borderId="0" xfId="0" applyNumberFormat="1" applyFont="1" applyFill="1"/>
    <xf numFmtId="164" fontId="2" fillId="6" borderId="0" xfId="1" applyNumberFormat="1" applyFont="1" applyFill="1"/>
    <xf numFmtId="179" fontId="2" fillId="0" borderId="0" xfId="1" applyNumberFormat="1" applyFont="1" applyFill="1" applyBorder="1"/>
    <xf numFmtId="0" fontId="32" fillId="0" borderId="1" xfId="0" applyFont="1" applyBorder="1"/>
    <xf numFmtId="1" fontId="32" fillId="0" borderId="1" xfId="0" applyNumberFormat="1" applyFont="1" applyBorder="1"/>
    <xf numFmtId="17" fontId="0" fillId="0" borderId="0" xfId="0" applyNumberFormat="1"/>
    <xf numFmtId="0" fontId="32" fillId="0" borderId="0" xfId="0" applyFont="1" applyAlignment="1">
      <alignment horizontal="center"/>
    </xf>
    <xf numFmtId="0" fontId="0" fillId="0" borderId="0" xfId="0"/>
    <xf numFmtId="176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0" fillId="0" borderId="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2" fillId="2" borderId="2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left"/>
    </xf>
    <xf numFmtId="0" fontId="2" fillId="4" borderId="14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32" fillId="0" borderId="1" xfId="0" applyFont="1" applyBorder="1" applyAlignment="1">
      <alignment horizontal="left"/>
    </xf>
  </cellXfs>
  <cellStyles count="5">
    <cellStyle name="Comma" xfId="1" builtinId="3"/>
    <cellStyle name="Comma_P103-Gas Evaluation KZN RevB" xfId="2"/>
    <cellStyle name="Hyperlink" xfId="3" builtinId="8"/>
    <cellStyle name="Normal" xfId="0" builtinId="0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title>
      <c:tx>
        <c:rich>
          <a:bodyPr/>
          <a:lstStyle/>
          <a:p>
            <a:pPr>
              <a:defRPr sz="1400"/>
            </a:pPr>
            <a:r>
              <a:rPr lang="en-ZA" sz="1400"/>
              <a:t>Average Energy Consumption (GJ) per production of 1000 bricks before (2005-2007) and after (2008) project implementation</a:t>
            </a:r>
          </a:p>
        </c:rich>
      </c:tx>
    </c:title>
    <c:plotArea>
      <c:layout>
        <c:manualLayout>
          <c:layoutTarget val="inner"/>
          <c:xMode val="edge"/>
          <c:yMode val="edge"/>
          <c:x val="0.13837286176332031"/>
          <c:y val="0.18654311224197473"/>
          <c:w val="0.81990269315883235"/>
          <c:h val="0.68336691538011896"/>
        </c:manualLayout>
      </c:layout>
      <c:scatterChart>
        <c:scatterStyle val="lineMarker"/>
        <c:ser>
          <c:idx val="0"/>
          <c:order val="0"/>
          <c:tx>
            <c:strRef>
              <c:f>'Brick Production'!$B$73</c:f>
              <c:strCache>
                <c:ptCount val="1"/>
              </c:strCache>
            </c:strRef>
          </c:tx>
          <c:spPr>
            <a:ln w="28575">
              <a:noFill/>
            </a:ln>
          </c:spPr>
          <c:xVal>
            <c:numRef>
              <c:f>'Brick Production'!$A$74:$A$121</c:f>
              <c:numCache>
                <c:formatCode>mmm\-yy</c:formatCode>
                <c:ptCount val="48"/>
                <c:pt idx="0">
                  <c:v>38353</c:v>
                </c:pt>
                <c:pt idx="1">
                  <c:v>38384</c:v>
                </c:pt>
                <c:pt idx="2">
                  <c:v>38412</c:v>
                </c:pt>
                <c:pt idx="3">
                  <c:v>38443</c:v>
                </c:pt>
                <c:pt idx="4">
                  <c:v>38473</c:v>
                </c:pt>
                <c:pt idx="5">
                  <c:v>38504</c:v>
                </c:pt>
                <c:pt idx="6">
                  <c:v>38534</c:v>
                </c:pt>
                <c:pt idx="7">
                  <c:v>38565</c:v>
                </c:pt>
                <c:pt idx="8">
                  <c:v>38596</c:v>
                </c:pt>
                <c:pt idx="9">
                  <c:v>38626</c:v>
                </c:pt>
                <c:pt idx="10">
                  <c:v>38657</c:v>
                </c:pt>
                <c:pt idx="11">
                  <c:v>38687</c:v>
                </c:pt>
                <c:pt idx="12">
                  <c:v>38718</c:v>
                </c:pt>
                <c:pt idx="13">
                  <c:v>38749</c:v>
                </c:pt>
                <c:pt idx="14">
                  <c:v>38777</c:v>
                </c:pt>
                <c:pt idx="15">
                  <c:v>38808</c:v>
                </c:pt>
                <c:pt idx="16">
                  <c:v>38838</c:v>
                </c:pt>
                <c:pt idx="17">
                  <c:v>38869</c:v>
                </c:pt>
                <c:pt idx="18">
                  <c:v>38899</c:v>
                </c:pt>
                <c:pt idx="19">
                  <c:v>38930</c:v>
                </c:pt>
                <c:pt idx="20">
                  <c:v>38961</c:v>
                </c:pt>
                <c:pt idx="21">
                  <c:v>38991</c:v>
                </c:pt>
                <c:pt idx="22">
                  <c:v>39022</c:v>
                </c:pt>
                <c:pt idx="23">
                  <c:v>39052</c:v>
                </c:pt>
                <c:pt idx="24">
                  <c:v>39083</c:v>
                </c:pt>
                <c:pt idx="25">
                  <c:v>39114</c:v>
                </c:pt>
                <c:pt idx="26">
                  <c:v>39142</c:v>
                </c:pt>
                <c:pt idx="27">
                  <c:v>39173</c:v>
                </c:pt>
                <c:pt idx="28">
                  <c:v>39203</c:v>
                </c:pt>
                <c:pt idx="29">
                  <c:v>39234</c:v>
                </c:pt>
                <c:pt idx="30">
                  <c:v>39264</c:v>
                </c:pt>
                <c:pt idx="31">
                  <c:v>39295</c:v>
                </c:pt>
                <c:pt idx="32">
                  <c:v>39326</c:v>
                </c:pt>
                <c:pt idx="33">
                  <c:v>39356</c:v>
                </c:pt>
                <c:pt idx="34">
                  <c:v>39387</c:v>
                </c:pt>
                <c:pt idx="35">
                  <c:v>39417</c:v>
                </c:pt>
                <c:pt idx="36">
                  <c:v>39448</c:v>
                </c:pt>
                <c:pt idx="37">
                  <c:v>39479</c:v>
                </c:pt>
                <c:pt idx="38">
                  <c:v>39508</c:v>
                </c:pt>
                <c:pt idx="39">
                  <c:v>39539</c:v>
                </c:pt>
                <c:pt idx="40">
                  <c:v>39569</c:v>
                </c:pt>
                <c:pt idx="41">
                  <c:v>39600</c:v>
                </c:pt>
                <c:pt idx="42">
                  <c:v>39630</c:v>
                </c:pt>
                <c:pt idx="43">
                  <c:v>39661</c:v>
                </c:pt>
                <c:pt idx="44">
                  <c:v>39692</c:v>
                </c:pt>
                <c:pt idx="45">
                  <c:v>39722</c:v>
                </c:pt>
                <c:pt idx="46">
                  <c:v>39753</c:v>
                </c:pt>
                <c:pt idx="47">
                  <c:v>39783</c:v>
                </c:pt>
              </c:numCache>
            </c:numRef>
          </c:xVal>
          <c:yVal>
            <c:numRef>
              <c:f>'Brick Production'!$B$74:$B$121</c:f>
              <c:numCache>
                <c:formatCode>_ * #,##0.00_ ;_ * \-#,##0.00_ ;_ * "-"??_ ;_ @_ </c:formatCode>
                <c:ptCount val="48"/>
                <c:pt idx="0">
                  <c:v>7.9092193158976221</c:v>
                </c:pt>
                <c:pt idx="1">
                  <c:v>7.7852679186857543</c:v>
                </c:pt>
                <c:pt idx="2">
                  <c:v>8.02</c:v>
                </c:pt>
                <c:pt idx="3">
                  <c:v>6.8774052552294238</c:v>
                </c:pt>
                <c:pt idx="4">
                  <c:v>7.8131008493195946</c:v>
                </c:pt>
                <c:pt idx="5">
                  <c:v>10.31020447513632</c:v>
                </c:pt>
                <c:pt idx="6">
                  <c:v>7.7243729870566762</c:v>
                </c:pt>
                <c:pt idx="7">
                  <c:v>7.8889285710268204</c:v>
                </c:pt>
                <c:pt idx="8">
                  <c:v>8.6616272985513838</c:v>
                </c:pt>
                <c:pt idx="9">
                  <c:v>10.204417651499202</c:v>
                </c:pt>
                <c:pt idx="10">
                  <c:v>8.02</c:v>
                </c:pt>
                <c:pt idx="11">
                  <c:v>9.162783145487019</c:v>
                </c:pt>
                <c:pt idx="12">
                  <c:v>7.3553201415880611</c:v>
                </c:pt>
                <c:pt idx="13">
                  <c:v>7.3254855504219245</c:v>
                </c:pt>
                <c:pt idx="14">
                  <c:v>8.02</c:v>
                </c:pt>
                <c:pt idx="15">
                  <c:v>7.9402515581006989</c:v>
                </c:pt>
                <c:pt idx="16">
                  <c:v>6.7357411409063479</c:v>
                </c:pt>
                <c:pt idx="17">
                  <c:v>7.4563276680872335</c:v>
                </c:pt>
                <c:pt idx="18">
                  <c:v>7.6421036871803452</c:v>
                </c:pt>
                <c:pt idx="19">
                  <c:v>8.367486712021373</c:v>
                </c:pt>
                <c:pt idx="20">
                  <c:v>7.0249350560069574</c:v>
                </c:pt>
                <c:pt idx="21">
                  <c:v>7.1445557895227054</c:v>
                </c:pt>
                <c:pt idx="22">
                  <c:v>8.0150667989848809</c:v>
                </c:pt>
                <c:pt idx="23">
                  <c:v>7.5763097117052354</c:v>
                </c:pt>
                <c:pt idx="24">
                  <c:v>8.4606183610710808</c:v>
                </c:pt>
                <c:pt idx="25">
                  <c:v>7.3263700209626021</c:v>
                </c:pt>
                <c:pt idx="26">
                  <c:v>7.3439768339357334</c:v>
                </c:pt>
                <c:pt idx="27">
                  <c:v>8.573863927689203</c:v>
                </c:pt>
                <c:pt idx="28">
                  <c:v>8.3535699171859097</c:v>
                </c:pt>
                <c:pt idx="29">
                  <c:v>8.3162563535358771</c:v>
                </c:pt>
                <c:pt idx="30">
                  <c:v>8.6206256633997942</c:v>
                </c:pt>
                <c:pt idx="31">
                  <c:v>8.8304451292765211</c:v>
                </c:pt>
                <c:pt idx="32">
                  <c:v>8.4369816976039012</c:v>
                </c:pt>
                <c:pt idx="33">
                  <c:v>8.3593193959592451</c:v>
                </c:pt>
                <c:pt idx="34">
                  <c:v>8.1594779365607391</c:v>
                </c:pt>
                <c:pt idx="35">
                  <c:v>8.8791562919499505</c:v>
                </c:pt>
                <c:pt idx="36">
                  <c:v>8.0247402477018941</c:v>
                </c:pt>
                <c:pt idx="37">
                  <c:v>8.1881535107453853</c:v>
                </c:pt>
                <c:pt idx="38">
                  <c:v>7.8798628575321352</c:v>
                </c:pt>
                <c:pt idx="39">
                  <c:v>8.2975487091668434</c:v>
                </c:pt>
                <c:pt idx="40">
                  <c:v>8.1452569295008352</c:v>
                </c:pt>
                <c:pt idx="41">
                  <c:v>8.6678763531564194</c:v>
                </c:pt>
                <c:pt idx="42">
                  <c:v>7.98163432290632</c:v>
                </c:pt>
                <c:pt idx="43">
                  <c:v>8.3316736467575119</c:v>
                </c:pt>
                <c:pt idx="44">
                  <c:v>7.6451508636211454</c:v>
                </c:pt>
                <c:pt idx="45">
                  <c:v>7.5013022473466524</c:v>
                </c:pt>
                <c:pt idx="46">
                  <c:v>7.5513392193282352</c:v>
                </c:pt>
                <c:pt idx="47">
                  <c:v>8.1750294122421252</c:v>
                </c:pt>
              </c:numCache>
            </c:numRef>
          </c:yVal>
        </c:ser>
        <c:ser>
          <c:idx val="1"/>
          <c:order val="1"/>
          <c:tx>
            <c:strRef>
              <c:f>'Brick Production'!$C$73</c:f>
              <c:strCache>
                <c:ptCount val="1"/>
                <c:pt idx="0">
                  <c:v>Lower limit</c:v>
                </c:pt>
              </c:strCache>
            </c:strRef>
          </c:tx>
          <c:spPr>
            <a:ln w="28575">
              <a:solidFill>
                <a:schemeClr val="accent1"/>
              </a:solidFill>
            </a:ln>
          </c:spPr>
          <c:xVal>
            <c:numRef>
              <c:f>'Brick Production'!$A$74:$A$121</c:f>
              <c:numCache>
                <c:formatCode>mmm\-yy</c:formatCode>
                <c:ptCount val="48"/>
                <c:pt idx="0">
                  <c:v>38353</c:v>
                </c:pt>
                <c:pt idx="1">
                  <c:v>38384</c:v>
                </c:pt>
                <c:pt idx="2">
                  <c:v>38412</c:v>
                </c:pt>
                <c:pt idx="3">
                  <c:v>38443</c:v>
                </c:pt>
                <c:pt idx="4">
                  <c:v>38473</c:v>
                </c:pt>
                <c:pt idx="5">
                  <c:v>38504</c:v>
                </c:pt>
                <c:pt idx="6">
                  <c:v>38534</c:v>
                </c:pt>
                <c:pt idx="7">
                  <c:v>38565</c:v>
                </c:pt>
                <c:pt idx="8">
                  <c:v>38596</c:v>
                </c:pt>
                <c:pt idx="9">
                  <c:v>38626</c:v>
                </c:pt>
                <c:pt idx="10">
                  <c:v>38657</c:v>
                </c:pt>
                <c:pt idx="11">
                  <c:v>38687</c:v>
                </c:pt>
                <c:pt idx="12">
                  <c:v>38718</c:v>
                </c:pt>
                <c:pt idx="13">
                  <c:v>38749</c:v>
                </c:pt>
                <c:pt idx="14">
                  <c:v>38777</c:v>
                </c:pt>
                <c:pt idx="15">
                  <c:v>38808</c:v>
                </c:pt>
                <c:pt idx="16">
                  <c:v>38838</c:v>
                </c:pt>
                <c:pt idx="17">
                  <c:v>38869</c:v>
                </c:pt>
                <c:pt idx="18">
                  <c:v>38899</c:v>
                </c:pt>
                <c:pt idx="19">
                  <c:v>38930</c:v>
                </c:pt>
                <c:pt idx="20">
                  <c:v>38961</c:v>
                </c:pt>
                <c:pt idx="21">
                  <c:v>38991</c:v>
                </c:pt>
                <c:pt idx="22">
                  <c:v>39022</c:v>
                </c:pt>
                <c:pt idx="23">
                  <c:v>39052</c:v>
                </c:pt>
                <c:pt idx="24">
                  <c:v>39083</c:v>
                </c:pt>
                <c:pt idx="25">
                  <c:v>39114</c:v>
                </c:pt>
                <c:pt idx="26">
                  <c:v>39142</c:v>
                </c:pt>
                <c:pt idx="27">
                  <c:v>39173</c:v>
                </c:pt>
                <c:pt idx="28">
                  <c:v>39203</c:v>
                </c:pt>
                <c:pt idx="29">
                  <c:v>39234</c:v>
                </c:pt>
                <c:pt idx="30">
                  <c:v>39264</c:v>
                </c:pt>
                <c:pt idx="31">
                  <c:v>39295</c:v>
                </c:pt>
                <c:pt idx="32">
                  <c:v>39326</c:v>
                </c:pt>
                <c:pt idx="33">
                  <c:v>39356</c:v>
                </c:pt>
                <c:pt idx="34">
                  <c:v>39387</c:v>
                </c:pt>
                <c:pt idx="35">
                  <c:v>39417</c:v>
                </c:pt>
                <c:pt idx="36">
                  <c:v>39448</c:v>
                </c:pt>
                <c:pt idx="37">
                  <c:v>39479</c:v>
                </c:pt>
                <c:pt idx="38">
                  <c:v>39508</c:v>
                </c:pt>
                <c:pt idx="39">
                  <c:v>39539</c:v>
                </c:pt>
                <c:pt idx="40">
                  <c:v>39569</c:v>
                </c:pt>
                <c:pt idx="41">
                  <c:v>39600</c:v>
                </c:pt>
                <c:pt idx="42">
                  <c:v>39630</c:v>
                </c:pt>
                <c:pt idx="43">
                  <c:v>39661</c:v>
                </c:pt>
                <c:pt idx="44">
                  <c:v>39692</c:v>
                </c:pt>
                <c:pt idx="45">
                  <c:v>39722</c:v>
                </c:pt>
                <c:pt idx="46">
                  <c:v>39753</c:v>
                </c:pt>
                <c:pt idx="47">
                  <c:v>39783</c:v>
                </c:pt>
              </c:numCache>
            </c:numRef>
          </c:xVal>
          <c:yVal>
            <c:numRef>
              <c:f>'Brick Production'!$C$74:$C$121</c:f>
              <c:numCache>
                <c:formatCode>_ * #,##0.00_ ;_ * \-#,##0.00_ ;_ * "-"??_ ;_ @_ </c:formatCode>
                <c:ptCount val="48"/>
                <c:pt idx="0">
                  <c:v>6.6551372796870867</c:v>
                </c:pt>
                <c:pt idx="1">
                  <c:v>6.6551372796870867</c:v>
                </c:pt>
                <c:pt idx="2">
                  <c:v>6.6551372796870867</c:v>
                </c:pt>
                <c:pt idx="3">
                  <c:v>6.6551372796870867</c:v>
                </c:pt>
                <c:pt idx="4">
                  <c:v>6.6551372796870867</c:v>
                </c:pt>
                <c:pt idx="5">
                  <c:v>6.6551372796870867</c:v>
                </c:pt>
                <c:pt idx="6">
                  <c:v>6.6551372796870867</c:v>
                </c:pt>
                <c:pt idx="7">
                  <c:v>6.6551372796870867</c:v>
                </c:pt>
                <c:pt idx="8">
                  <c:v>6.6551372796870867</c:v>
                </c:pt>
                <c:pt idx="9">
                  <c:v>6.6551372796870867</c:v>
                </c:pt>
                <c:pt idx="10">
                  <c:v>6.6551372796870867</c:v>
                </c:pt>
                <c:pt idx="11">
                  <c:v>6.6551372796870867</c:v>
                </c:pt>
                <c:pt idx="12">
                  <c:v>6.6551372796870867</c:v>
                </c:pt>
                <c:pt idx="13">
                  <c:v>6.6551372796870867</c:v>
                </c:pt>
                <c:pt idx="14">
                  <c:v>6.6551372796870867</c:v>
                </c:pt>
                <c:pt idx="15">
                  <c:v>6.6551372796870867</c:v>
                </c:pt>
                <c:pt idx="16">
                  <c:v>6.6551372796870867</c:v>
                </c:pt>
                <c:pt idx="17">
                  <c:v>6.6551372796870867</c:v>
                </c:pt>
                <c:pt idx="18">
                  <c:v>6.6551372796870867</c:v>
                </c:pt>
                <c:pt idx="19">
                  <c:v>6.6551372796870867</c:v>
                </c:pt>
                <c:pt idx="20">
                  <c:v>6.6551372796870867</c:v>
                </c:pt>
                <c:pt idx="21">
                  <c:v>6.6551372796870867</c:v>
                </c:pt>
                <c:pt idx="22">
                  <c:v>6.6551372796870867</c:v>
                </c:pt>
                <c:pt idx="23">
                  <c:v>6.6551372796870867</c:v>
                </c:pt>
                <c:pt idx="24">
                  <c:v>6.6551372796870867</c:v>
                </c:pt>
                <c:pt idx="25">
                  <c:v>6.6551372796870867</c:v>
                </c:pt>
                <c:pt idx="26">
                  <c:v>6.6551372796870867</c:v>
                </c:pt>
                <c:pt idx="27">
                  <c:v>6.6551372796870867</c:v>
                </c:pt>
                <c:pt idx="28">
                  <c:v>6.6551372796870867</c:v>
                </c:pt>
                <c:pt idx="29">
                  <c:v>6.6551372796870867</c:v>
                </c:pt>
                <c:pt idx="30">
                  <c:v>6.6551372796870867</c:v>
                </c:pt>
                <c:pt idx="31">
                  <c:v>6.6551372796870867</c:v>
                </c:pt>
                <c:pt idx="32">
                  <c:v>6.6551372796870867</c:v>
                </c:pt>
                <c:pt idx="33">
                  <c:v>6.6551372796870867</c:v>
                </c:pt>
                <c:pt idx="34">
                  <c:v>6.6551372796870867</c:v>
                </c:pt>
                <c:pt idx="35">
                  <c:v>6.6551372796870867</c:v>
                </c:pt>
                <c:pt idx="36">
                  <c:v>6.6551372796870867</c:v>
                </c:pt>
                <c:pt idx="37">
                  <c:v>6.6551372796870867</c:v>
                </c:pt>
                <c:pt idx="38">
                  <c:v>6.6551372796870867</c:v>
                </c:pt>
                <c:pt idx="39">
                  <c:v>6.6551372796870867</c:v>
                </c:pt>
                <c:pt idx="40">
                  <c:v>6.6551372796870867</c:v>
                </c:pt>
                <c:pt idx="41">
                  <c:v>6.6551372796870867</c:v>
                </c:pt>
                <c:pt idx="42">
                  <c:v>6.6551372796870867</c:v>
                </c:pt>
                <c:pt idx="43">
                  <c:v>6.6551372796870867</c:v>
                </c:pt>
                <c:pt idx="44">
                  <c:v>6.6551372796870867</c:v>
                </c:pt>
                <c:pt idx="45">
                  <c:v>6.6551372796870867</c:v>
                </c:pt>
                <c:pt idx="46">
                  <c:v>6.6551372796870867</c:v>
                </c:pt>
                <c:pt idx="47">
                  <c:v>6.6551372796870867</c:v>
                </c:pt>
              </c:numCache>
            </c:numRef>
          </c:yVal>
        </c:ser>
        <c:ser>
          <c:idx val="2"/>
          <c:order val="2"/>
          <c:tx>
            <c:strRef>
              <c:f>'Brick Production'!$D$73</c:f>
              <c:strCache>
                <c:ptCount val="1"/>
                <c:pt idx="0">
                  <c:v>Upper Limit</c:v>
                </c:pt>
              </c:strCache>
            </c:strRef>
          </c:tx>
          <c:spPr>
            <a:ln w="28575">
              <a:solidFill>
                <a:srgbClr val="4F81BD"/>
              </a:solidFill>
            </a:ln>
          </c:spPr>
          <c:xVal>
            <c:numRef>
              <c:f>'Brick Production'!$A$74:$A$121</c:f>
              <c:numCache>
                <c:formatCode>mmm\-yy</c:formatCode>
                <c:ptCount val="48"/>
                <c:pt idx="0">
                  <c:v>38353</c:v>
                </c:pt>
                <c:pt idx="1">
                  <c:v>38384</c:v>
                </c:pt>
                <c:pt idx="2">
                  <c:v>38412</c:v>
                </c:pt>
                <c:pt idx="3">
                  <c:v>38443</c:v>
                </c:pt>
                <c:pt idx="4">
                  <c:v>38473</c:v>
                </c:pt>
                <c:pt idx="5">
                  <c:v>38504</c:v>
                </c:pt>
                <c:pt idx="6">
                  <c:v>38534</c:v>
                </c:pt>
                <c:pt idx="7">
                  <c:v>38565</c:v>
                </c:pt>
                <c:pt idx="8">
                  <c:v>38596</c:v>
                </c:pt>
                <c:pt idx="9">
                  <c:v>38626</c:v>
                </c:pt>
                <c:pt idx="10">
                  <c:v>38657</c:v>
                </c:pt>
                <c:pt idx="11">
                  <c:v>38687</c:v>
                </c:pt>
                <c:pt idx="12">
                  <c:v>38718</c:v>
                </c:pt>
                <c:pt idx="13">
                  <c:v>38749</c:v>
                </c:pt>
                <c:pt idx="14">
                  <c:v>38777</c:v>
                </c:pt>
                <c:pt idx="15">
                  <c:v>38808</c:v>
                </c:pt>
                <c:pt idx="16">
                  <c:v>38838</c:v>
                </c:pt>
                <c:pt idx="17">
                  <c:v>38869</c:v>
                </c:pt>
                <c:pt idx="18">
                  <c:v>38899</c:v>
                </c:pt>
                <c:pt idx="19">
                  <c:v>38930</c:v>
                </c:pt>
                <c:pt idx="20">
                  <c:v>38961</c:v>
                </c:pt>
                <c:pt idx="21">
                  <c:v>38991</c:v>
                </c:pt>
                <c:pt idx="22">
                  <c:v>39022</c:v>
                </c:pt>
                <c:pt idx="23">
                  <c:v>39052</c:v>
                </c:pt>
                <c:pt idx="24">
                  <c:v>39083</c:v>
                </c:pt>
                <c:pt idx="25">
                  <c:v>39114</c:v>
                </c:pt>
                <c:pt idx="26">
                  <c:v>39142</c:v>
                </c:pt>
                <c:pt idx="27">
                  <c:v>39173</c:v>
                </c:pt>
                <c:pt idx="28">
                  <c:v>39203</c:v>
                </c:pt>
                <c:pt idx="29">
                  <c:v>39234</c:v>
                </c:pt>
                <c:pt idx="30">
                  <c:v>39264</c:v>
                </c:pt>
                <c:pt idx="31">
                  <c:v>39295</c:v>
                </c:pt>
                <c:pt idx="32">
                  <c:v>39326</c:v>
                </c:pt>
                <c:pt idx="33">
                  <c:v>39356</c:v>
                </c:pt>
                <c:pt idx="34">
                  <c:v>39387</c:v>
                </c:pt>
                <c:pt idx="35">
                  <c:v>39417</c:v>
                </c:pt>
                <c:pt idx="36">
                  <c:v>39448</c:v>
                </c:pt>
                <c:pt idx="37">
                  <c:v>39479</c:v>
                </c:pt>
                <c:pt idx="38">
                  <c:v>39508</c:v>
                </c:pt>
                <c:pt idx="39">
                  <c:v>39539</c:v>
                </c:pt>
                <c:pt idx="40">
                  <c:v>39569</c:v>
                </c:pt>
                <c:pt idx="41">
                  <c:v>39600</c:v>
                </c:pt>
                <c:pt idx="42">
                  <c:v>39630</c:v>
                </c:pt>
                <c:pt idx="43">
                  <c:v>39661</c:v>
                </c:pt>
                <c:pt idx="44">
                  <c:v>39692</c:v>
                </c:pt>
                <c:pt idx="45">
                  <c:v>39722</c:v>
                </c:pt>
                <c:pt idx="46">
                  <c:v>39753</c:v>
                </c:pt>
                <c:pt idx="47">
                  <c:v>39783</c:v>
                </c:pt>
              </c:numCache>
            </c:numRef>
          </c:xVal>
          <c:yVal>
            <c:numRef>
              <c:f>'Brick Production'!$D$74:$D$121</c:f>
              <c:numCache>
                <c:formatCode>_ * #,##0.00_ ;_ * \-#,##0.00_ ;_ * "-"??_ ;_ @_ </c:formatCode>
                <c:ptCount val="48"/>
                <c:pt idx="0">
                  <c:v>9.471160267460899</c:v>
                </c:pt>
                <c:pt idx="1">
                  <c:v>9.471160267460899</c:v>
                </c:pt>
                <c:pt idx="2">
                  <c:v>9.471160267460899</c:v>
                </c:pt>
                <c:pt idx="3">
                  <c:v>9.471160267460899</c:v>
                </c:pt>
                <c:pt idx="4">
                  <c:v>9.471160267460899</c:v>
                </c:pt>
                <c:pt idx="5">
                  <c:v>9.471160267460899</c:v>
                </c:pt>
                <c:pt idx="6">
                  <c:v>9.471160267460899</c:v>
                </c:pt>
                <c:pt idx="7">
                  <c:v>9.471160267460899</c:v>
                </c:pt>
                <c:pt idx="8">
                  <c:v>9.471160267460899</c:v>
                </c:pt>
                <c:pt idx="9">
                  <c:v>9.471160267460899</c:v>
                </c:pt>
                <c:pt idx="10">
                  <c:v>9.471160267460899</c:v>
                </c:pt>
                <c:pt idx="11">
                  <c:v>9.471160267460899</c:v>
                </c:pt>
                <c:pt idx="12">
                  <c:v>9.471160267460899</c:v>
                </c:pt>
                <c:pt idx="13">
                  <c:v>9.471160267460899</c:v>
                </c:pt>
                <c:pt idx="14">
                  <c:v>9.471160267460899</c:v>
                </c:pt>
                <c:pt idx="15">
                  <c:v>9.471160267460899</c:v>
                </c:pt>
                <c:pt idx="16">
                  <c:v>9.471160267460899</c:v>
                </c:pt>
                <c:pt idx="17">
                  <c:v>9.471160267460899</c:v>
                </c:pt>
                <c:pt idx="18">
                  <c:v>9.471160267460899</c:v>
                </c:pt>
                <c:pt idx="19">
                  <c:v>9.471160267460899</c:v>
                </c:pt>
                <c:pt idx="20">
                  <c:v>9.471160267460899</c:v>
                </c:pt>
                <c:pt idx="21">
                  <c:v>9.471160267460899</c:v>
                </c:pt>
                <c:pt idx="22">
                  <c:v>9.471160267460899</c:v>
                </c:pt>
                <c:pt idx="23">
                  <c:v>9.471160267460899</c:v>
                </c:pt>
                <c:pt idx="24">
                  <c:v>9.471160267460899</c:v>
                </c:pt>
                <c:pt idx="25">
                  <c:v>9.471160267460899</c:v>
                </c:pt>
                <c:pt idx="26">
                  <c:v>9.471160267460899</c:v>
                </c:pt>
                <c:pt idx="27">
                  <c:v>9.471160267460899</c:v>
                </c:pt>
                <c:pt idx="28">
                  <c:v>9.471160267460899</c:v>
                </c:pt>
                <c:pt idx="29">
                  <c:v>9.471160267460899</c:v>
                </c:pt>
                <c:pt idx="30">
                  <c:v>9.471160267460899</c:v>
                </c:pt>
                <c:pt idx="31">
                  <c:v>9.471160267460899</c:v>
                </c:pt>
                <c:pt idx="32">
                  <c:v>9.471160267460899</c:v>
                </c:pt>
                <c:pt idx="33">
                  <c:v>9.471160267460899</c:v>
                </c:pt>
                <c:pt idx="34">
                  <c:v>9.471160267460899</c:v>
                </c:pt>
                <c:pt idx="35">
                  <c:v>9.471160267460899</c:v>
                </c:pt>
                <c:pt idx="36">
                  <c:v>9.471160267460899</c:v>
                </c:pt>
                <c:pt idx="37">
                  <c:v>9.471160267460899</c:v>
                </c:pt>
                <c:pt idx="38">
                  <c:v>9.471160267460899</c:v>
                </c:pt>
                <c:pt idx="39">
                  <c:v>9.471160267460899</c:v>
                </c:pt>
                <c:pt idx="40">
                  <c:v>9.471160267460899</c:v>
                </c:pt>
                <c:pt idx="41">
                  <c:v>9.471160267460899</c:v>
                </c:pt>
                <c:pt idx="42">
                  <c:v>9.471160267460899</c:v>
                </c:pt>
                <c:pt idx="43">
                  <c:v>9.471160267460899</c:v>
                </c:pt>
                <c:pt idx="44">
                  <c:v>9.471160267460899</c:v>
                </c:pt>
                <c:pt idx="45">
                  <c:v>9.471160267460899</c:v>
                </c:pt>
                <c:pt idx="46">
                  <c:v>9.471160267460899</c:v>
                </c:pt>
                <c:pt idx="47">
                  <c:v>9.471160267460899</c:v>
                </c:pt>
              </c:numCache>
            </c:numRef>
          </c:yVal>
        </c:ser>
        <c:axId val="83698432"/>
        <c:axId val="83700352"/>
      </c:scatterChart>
      <c:valAx>
        <c:axId val="83698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Date</a:t>
                </a:r>
                <a:r>
                  <a:rPr lang="en-ZA" baseline="0"/>
                  <a:t> 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0.51037541121839636"/>
              <c:y val="0.94700134098958344"/>
            </c:manualLayout>
          </c:layout>
        </c:title>
        <c:numFmt formatCode="mmm\-yy" sourceLinked="1"/>
        <c:majorTickMark val="none"/>
        <c:tickLblPos val="nextTo"/>
        <c:crossAx val="83700352"/>
        <c:crosses val="autoZero"/>
        <c:crossBetween val="midCat"/>
      </c:valAx>
      <c:valAx>
        <c:axId val="8370035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Energy</a:t>
                </a:r>
                <a:r>
                  <a:rPr lang="en-ZA" baseline="0"/>
                  <a:t> consumption by Kiln (GJ/1000 bricks)</a:t>
                </a:r>
                <a:endParaRPr lang="en-ZA"/>
              </a:p>
            </c:rich>
          </c:tx>
        </c:title>
        <c:numFmt formatCode="_ * #,##0.00_ ;_ * \-#,##0.00_ ;_ * &quot;-&quot;??_ ;_ @_ " sourceLinked="1"/>
        <c:majorTickMark val="none"/>
        <c:tickLblPos val="nextTo"/>
        <c:crossAx val="83698432"/>
        <c:crosses val="autoZero"/>
        <c:crossBetween val="midCat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4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11</xdr:col>
      <xdr:colOff>729343</xdr:colOff>
      <xdr:row>4</xdr:row>
      <xdr:rowOff>100693</xdr:rowOff>
    </xdr:to>
    <xdr:sp macro="" textlink="">
      <xdr:nvSpPr>
        <xdr:cNvPr id="15" name="Right Arrow 14"/>
        <xdr:cNvSpPr/>
      </xdr:nvSpPr>
      <xdr:spPr>
        <a:xfrm rot="16200000">
          <a:off x="9437915" y="73478"/>
          <a:ext cx="876300" cy="72934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ZA" sz="1100">
              <a:ln>
                <a:solidFill>
                  <a:schemeClr val="bg1"/>
                </a:solidFill>
              </a:ln>
              <a:solidFill>
                <a:schemeClr val="bg1"/>
              </a:solidFill>
            </a:rPr>
            <a:t>Heat losses</a:t>
          </a:r>
        </a:p>
      </xdr:txBody>
    </xdr:sp>
    <xdr:clientData/>
  </xdr:twoCellAnchor>
  <xdr:twoCellAnchor>
    <xdr:from>
      <xdr:col>3</xdr:col>
      <xdr:colOff>12246</xdr:colOff>
      <xdr:row>3</xdr:row>
      <xdr:rowOff>180976</xdr:rowOff>
    </xdr:from>
    <xdr:to>
      <xdr:col>6</xdr:col>
      <xdr:colOff>13607</xdr:colOff>
      <xdr:row>11</xdr:row>
      <xdr:rowOff>1</xdr:rowOff>
    </xdr:to>
    <xdr:sp macro="" textlink="">
      <xdr:nvSpPr>
        <xdr:cNvPr id="2" name="Rectangle 1"/>
        <xdr:cNvSpPr/>
      </xdr:nvSpPr>
      <xdr:spPr>
        <a:xfrm>
          <a:off x="3454853" y="752476"/>
          <a:ext cx="2056040" cy="1547132"/>
        </a:xfrm>
        <a:prstGeom prst="rec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ZA" sz="1400" b="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S c r e e n i n g</a:t>
          </a:r>
        </a:p>
      </xdr:txBody>
    </xdr:sp>
    <xdr:clientData/>
  </xdr:twoCellAnchor>
  <xdr:twoCellAnchor>
    <xdr:from>
      <xdr:col>7</xdr:col>
      <xdr:colOff>993722</xdr:colOff>
      <xdr:row>3</xdr:row>
      <xdr:rowOff>172810</xdr:rowOff>
    </xdr:from>
    <xdr:to>
      <xdr:col>11</xdr:col>
      <xdr:colOff>925286</xdr:colOff>
      <xdr:row>11</xdr:row>
      <xdr:rowOff>4001</xdr:rowOff>
    </xdr:to>
    <xdr:sp macro="" textlink="">
      <xdr:nvSpPr>
        <xdr:cNvPr id="3" name="Rectangle 2"/>
        <xdr:cNvSpPr/>
      </xdr:nvSpPr>
      <xdr:spPr>
        <a:xfrm>
          <a:off x="7116936" y="744310"/>
          <a:ext cx="3319743" cy="1559298"/>
        </a:xfrm>
        <a:prstGeom prst="rec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ZA" sz="140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G a s i f i c a t i o n</a:t>
          </a:r>
        </a:p>
      </xdr:txBody>
    </xdr:sp>
    <xdr:clientData/>
  </xdr:twoCellAnchor>
  <xdr:twoCellAnchor>
    <xdr:from>
      <xdr:col>15</xdr:col>
      <xdr:colOff>13607</xdr:colOff>
      <xdr:row>4</xdr:row>
      <xdr:rowOff>0</xdr:rowOff>
    </xdr:from>
    <xdr:to>
      <xdr:col>17</xdr:col>
      <xdr:colOff>892629</xdr:colOff>
      <xdr:row>11</xdr:row>
      <xdr:rowOff>19050</xdr:rowOff>
    </xdr:to>
    <xdr:sp macro="" textlink="">
      <xdr:nvSpPr>
        <xdr:cNvPr id="4" name="Rectangle 3"/>
        <xdr:cNvSpPr/>
      </xdr:nvSpPr>
      <xdr:spPr>
        <a:xfrm>
          <a:off x="13933714" y="775607"/>
          <a:ext cx="2103665" cy="1543050"/>
        </a:xfrm>
        <a:prstGeom prst="rec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ZA" sz="140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K i</a:t>
          </a:r>
          <a:r>
            <a:rPr lang="en-ZA" sz="1400" baseline="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l</a:t>
          </a:r>
          <a:r>
            <a:rPr lang="en-ZA" sz="140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n</a:t>
          </a:r>
        </a:p>
      </xdr:txBody>
    </xdr:sp>
    <xdr:clientData/>
  </xdr:twoCellAnchor>
  <xdr:twoCellAnchor>
    <xdr:from>
      <xdr:col>6</xdr:col>
      <xdr:colOff>17689</xdr:colOff>
      <xdr:row>6</xdr:row>
      <xdr:rowOff>119743</xdr:rowOff>
    </xdr:from>
    <xdr:to>
      <xdr:col>7</xdr:col>
      <xdr:colOff>978354</xdr:colOff>
      <xdr:row>8</xdr:row>
      <xdr:rowOff>138793</xdr:rowOff>
    </xdr:to>
    <xdr:sp macro="" textlink="">
      <xdr:nvSpPr>
        <xdr:cNvPr id="5" name="Right Arrow 4"/>
        <xdr:cNvSpPr/>
      </xdr:nvSpPr>
      <xdr:spPr>
        <a:xfrm>
          <a:off x="5909582" y="1276350"/>
          <a:ext cx="1572986" cy="5905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endParaRPr lang="en-ZA"/>
        </a:p>
      </xdr:txBody>
    </xdr:sp>
    <xdr:clientData/>
  </xdr:twoCellAnchor>
  <xdr:twoCellAnchor>
    <xdr:from>
      <xdr:col>11</xdr:col>
      <xdr:colOff>928488</xdr:colOff>
      <xdr:row>6</xdr:row>
      <xdr:rowOff>51707</xdr:rowOff>
    </xdr:from>
    <xdr:to>
      <xdr:col>14</xdr:col>
      <xdr:colOff>666750</xdr:colOff>
      <xdr:row>8</xdr:row>
      <xdr:rowOff>47225</xdr:rowOff>
    </xdr:to>
    <xdr:sp macro="" textlink="">
      <xdr:nvSpPr>
        <xdr:cNvPr id="6" name="Right Arrow 5"/>
        <xdr:cNvSpPr/>
      </xdr:nvSpPr>
      <xdr:spPr>
        <a:xfrm>
          <a:off x="10725631" y="1208314"/>
          <a:ext cx="2840690" cy="567018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ZA" sz="1100">
              <a:ln>
                <a:solidFill>
                  <a:schemeClr val="bg1"/>
                </a:solidFill>
              </a:ln>
              <a:solidFill>
                <a:schemeClr val="bg1"/>
              </a:solidFill>
            </a:rPr>
            <a:t>Producer</a:t>
          </a:r>
        </a:p>
      </xdr:txBody>
    </xdr:sp>
    <xdr:clientData/>
  </xdr:twoCellAnchor>
  <xdr:twoCellAnchor>
    <xdr:from>
      <xdr:col>17</xdr:col>
      <xdr:colOff>911679</xdr:colOff>
      <xdr:row>6</xdr:row>
      <xdr:rowOff>83003</xdr:rowOff>
    </xdr:from>
    <xdr:to>
      <xdr:col>19</xdr:col>
      <xdr:colOff>40821</xdr:colOff>
      <xdr:row>8</xdr:row>
      <xdr:rowOff>102053</xdr:rowOff>
    </xdr:to>
    <xdr:sp macro="" textlink="">
      <xdr:nvSpPr>
        <xdr:cNvPr id="7" name="Right Arrow 6"/>
        <xdr:cNvSpPr/>
      </xdr:nvSpPr>
      <xdr:spPr>
        <a:xfrm>
          <a:off x="15716250" y="1239610"/>
          <a:ext cx="993321" cy="5905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ZA" sz="1100">
              <a:ln>
                <a:solidFill>
                  <a:schemeClr val="bg1"/>
                </a:solidFill>
              </a:ln>
              <a:solidFill>
                <a:schemeClr val="bg1"/>
              </a:solidFill>
            </a:rPr>
            <a:t>Bricks</a:t>
          </a:r>
        </a:p>
      </xdr:txBody>
    </xdr:sp>
    <xdr:clientData/>
  </xdr:twoCellAnchor>
  <xdr:twoCellAnchor>
    <xdr:from>
      <xdr:col>4</xdr:col>
      <xdr:colOff>155121</xdr:colOff>
      <xdr:row>10</xdr:row>
      <xdr:rowOff>185058</xdr:rowOff>
    </xdr:from>
    <xdr:to>
      <xdr:col>4</xdr:col>
      <xdr:colOff>557892</xdr:colOff>
      <xdr:row>15</xdr:row>
      <xdr:rowOff>108858</xdr:rowOff>
    </xdr:to>
    <xdr:sp macro="" textlink="">
      <xdr:nvSpPr>
        <xdr:cNvPr id="8" name="Right Arrow 7"/>
        <xdr:cNvSpPr/>
      </xdr:nvSpPr>
      <xdr:spPr>
        <a:xfrm rot="5400000">
          <a:off x="3973286" y="2530929"/>
          <a:ext cx="876300" cy="402771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ZA" sz="1100">
              <a:ln>
                <a:solidFill>
                  <a:schemeClr val="bg1"/>
                </a:solidFill>
              </a:ln>
              <a:solidFill>
                <a:schemeClr val="bg1"/>
              </a:solidFill>
            </a:rPr>
            <a:t>Duff</a:t>
          </a:r>
        </a:p>
      </xdr:txBody>
    </xdr:sp>
    <xdr:clientData/>
  </xdr:twoCellAnchor>
  <xdr:twoCellAnchor>
    <xdr:from>
      <xdr:col>11</xdr:col>
      <xdr:colOff>171450</xdr:colOff>
      <xdr:row>10</xdr:row>
      <xdr:rowOff>189142</xdr:rowOff>
    </xdr:from>
    <xdr:to>
      <xdr:col>11</xdr:col>
      <xdr:colOff>721179</xdr:colOff>
      <xdr:row>15</xdr:row>
      <xdr:rowOff>112942</xdr:rowOff>
    </xdr:to>
    <xdr:sp macro="" textlink="">
      <xdr:nvSpPr>
        <xdr:cNvPr id="9" name="Right Arrow 8"/>
        <xdr:cNvSpPr/>
      </xdr:nvSpPr>
      <xdr:spPr>
        <a:xfrm rot="5400000">
          <a:off x="9805308" y="2461534"/>
          <a:ext cx="876300" cy="549729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ZA" sz="1100">
              <a:ln>
                <a:solidFill>
                  <a:schemeClr val="bg1"/>
                </a:solidFill>
              </a:ln>
              <a:solidFill>
                <a:schemeClr val="bg1"/>
              </a:solidFill>
            </a:rPr>
            <a:t>Tars</a:t>
          </a:r>
        </a:p>
      </xdr:txBody>
    </xdr:sp>
    <xdr:clientData/>
  </xdr:twoCellAnchor>
  <xdr:twoCellAnchor>
    <xdr:from>
      <xdr:col>8</xdr:col>
      <xdr:colOff>57791</xdr:colOff>
      <xdr:row>11</xdr:row>
      <xdr:rowOff>8164</xdr:rowOff>
    </xdr:from>
    <xdr:to>
      <xdr:col>8</xdr:col>
      <xdr:colOff>614723</xdr:colOff>
      <xdr:row>15</xdr:row>
      <xdr:rowOff>122464</xdr:rowOff>
    </xdr:to>
    <xdr:sp macro="" textlink="">
      <xdr:nvSpPr>
        <xdr:cNvPr id="10" name="Right Arrow 9"/>
        <xdr:cNvSpPr/>
      </xdr:nvSpPr>
      <xdr:spPr>
        <a:xfrm rot="5400000">
          <a:off x="7708607" y="2467455"/>
          <a:ext cx="876300" cy="55693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ZA" sz="1100">
              <a:ln>
                <a:solidFill>
                  <a:schemeClr val="bg1"/>
                </a:solidFill>
              </a:ln>
              <a:solidFill>
                <a:schemeClr val="bg1"/>
              </a:solidFill>
            </a:rPr>
            <a:t>Ash</a:t>
          </a:r>
        </a:p>
      </xdr:txBody>
    </xdr:sp>
    <xdr:clientData/>
  </xdr:twoCellAnchor>
  <xdr:twoCellAnchor>
    <xdr:from>
      <xdr:col>2</xdr:col>
      <xdr:colOff>9525</xdr:colOff>
      <xdr:row>6</xdr:row>
      <xdr:rowOff>38100</xdr:rowOff>
    </xdr:from>
    <xdr:to>
      <xdr:col>3</xdr:col>
      <xdr:colOff>0</xdr:colOff>
      <xdr:row>8</xdr:row>
      <xdr:rowOff>57150</xdr:rowOff>
    </xdr:to>
    <xdr:sp macro="" textlink="">
      <xdr:nvSpPr>
        <xdr:cNvPr id="11" name="Right Arrow 10"/>
        <xdr:cNvSpPr/>
      </xdr:nvSpPr>
      <xdr:spPr>
        <a:xfrm>
          <a:off x="2880632" y="1194707"/>
          <a:ext cx="561975" cy="5905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ZA" sz="1100">
              <a:ln>
                <a:solidFill>
                  <a:schemeClr val="bg1"/>
                </a:solidFill>
              </a:ln>
              <a:solidFill>
                <a:schemeClr val="bg1"/>
              </a:solidFill>
            </a:rPr>
            <a:t>coal</a:t>
          </a:r>
        </a:p>
      </xdr:txBody>
    </xdr:sp>
    <xdr:clientData/>
  </xdr:twoCellAnchor>
  <xdr:twoCellAnchor>
    <xdr:from>
      <xdr:col>15</xdr:col>
      <xdr:colOff>13607</xdr:colOff>
      <xdr:row>26</xdr:row>
      <xdr:rowOff>136072</xdr:rowOff>
    </xdr:from>
    <xdr:to>
      <xdr:col>17</xdr:col>
      <xdr:colOff>875819</xdr:colOff>
      <xdr:row>34</xdr:row>
      <xdr:rowOff>155122</xdr:rowOff>
    </xdr:to>
    <xdr:sp macro="" textlink="">
      <xdr:nvSpPr>
        <xdr:cNvPr id="12" name="Rectangle 11"/>
        <xdr:cNvSpPr/>
      </xdr:nvSpPr>
      <xdr:spPr>
        <a:xfrm>
          <a:off x="13593536" y="5293179"/>
          <a:ext cx="2086854" cy="1543050"/>
        </a:xfrm>
        <a:prstGeom prst="rec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ZA" sz="140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</a:rPr>
            <a:t>K i l n</a:t>
          </a:r>
        </a:p>
      </xdr:txBody>
    </xdr:sp>
    <xdr:clientData/>
  </xdr:twoCellAnchor>
  <xdr:twoCellAnchor>
    <xdr:from>
      <xdr:col>12</xdr:col>
      <xdr:colOff>40821</xdr:colOff>
      <xdr:row>29</xdr:row>
      <xdr:rowOff>10886</xdr:rowOff>
    </xdr:from>
    <xdr:to>
      <xdr:col>14</xdr:col>
      <xdr:colOff>663548</xdr:colOff>
      <xdr:row>32</xdr:row>
      <xdr:rowOff>6404</xdr:rowOff>
    </xdr:to>
    <xdr:sp macro="" textlink="">
      <xdr:nvSpPr>
        <xdr:cNvPr id="13" name="Right Arrow 12"/>
        <xdr:cNvSpPr/>
      </xdr:nvSpPr>
      <xdr:spPr>
        <a:xfrm>
          <a:off x="10776857" y="5739493"/>
          <a:ext cx="2786262" cy="567018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ZA" sz="1100">
              <a:ln>
                <a:solidFill>
                  <a:schemeClr val="bg1"/>
                </a:solidFill>
              </a:ln>
              <a:solidFill>
                <a:schemeClr val="bg1"/>
              </a:solidFill>
            </a:rPr>
            <a:t>Natural</a:t>
          </a:r>
          <a:r>
            <a:rPr lang="en-ZA" sz="1100" baseline="0">
              <a:ln>
                <a:solidFill>
                  <a:schemeClr val="bg1"/>
                </a:solidFill>
              </a:ln>
              <a:solidFill>
                <a:schemeClr val="bg1"/>
              </a:solidFill>
            </a:rPr>
            <a:t> Gas</a:t>
          </a:r>
          <a:endParaRPr lang="en-ZA" sz="1100">
            <a:ln>
              <a:solidFill>
                <a:schemeClr val="bg1"/>
              </a:solidFill>
            </a:ln>
            <a:solidFill>
              <a:schemeClr val="bg1"/>
            </a:solidFill>
          </a:endParaRPr>
        </a:p>
      </xdr:txBody>
    </xdr:sp>
    <xdr:clientData/>
  </xdr:twoCellAnchor>
  <xdr:twoCellAnchor>
    <xdr:from>
      <xdr:col>17</xdr:col>
      <xdr:colOff>911679</xdr:colOff>
      <xdr:row>29</xdr:row>
      <xdr:rowOff>1361</xdr:rowOff>
    </xdr:from>
    <xdr:to>
      <xdr:col>18</xdr:col>
      <xdr:colOff>905755</xdr:colOff>
      <xdr:row>32</xdr:row>
      <xdr:rowOff>20411</xdr:rowOff>
    </xdr:to>
    <xdr:sp macro="" textlink="">
      <xdr:nvSpPr>
        <xdr:cNvPr id="14" name="Right Arrow 13"/>
        <xdr:cNvSpPr/>
      </xdr:nvSpPr>
      <xdr:spPr>
        <a:xfrm>
          <a:off x="15716250" y="5729968"/>
          <a:ext cx="946576" cy="5905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ZA" sz="1100">
              <a:ln>
                <a:solidFill>
                  <a:schemeClr val="bg1"/>
                </a:solidFill>
              </a:ln>
              <a:solidFill>
                <a:schemeClr val="bg1"/>
              </a:solidFill>
            </a:rPr>
            <a:t>Bricks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504824</xdr:colOff>
      <xdr:row>74</xdr:row>
      <xdr:rowOff>142875</xdr:rowOff>
    </xdr:from>
    <xdr:to>
      <xdr:col>13</xdr:col>
      <xdr:colOff>390524</xdr:colOff>
      <xdr:row>97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152401</xdr:colOff>
      <xdr:row>29</xdr:row>
      <xdr:rowOff>114302</xdr:rowOff>
    </xdr:from>
    <xdr:to>
      <xdr:col>5</xdr:col>
      <xdr:colOff>352425</xdr:colOff>
      <xdr:row>34</xdr:row>
      <xdr:rowOff>95251</xdr:rowOff>
    </xdr:to>
    <xdr:cxnSp macro="">
      <xdr:nvCxnSpPr>
        <xdr:cNvPr id="2" name="Curved Connector 1"/>
        <xdr:cNvCxnSpPr/>
      </xdr:nvCxnSpPr>
      <xdr:spPr>
        <a:xfrm rot="10800000">
          <a:off x="4048126" y="5943602"/>
          <a:ext cx="1933574" cy="1504949"/>
        </a:xfrm>
        <a:prstGeom prst="curvedConnector3">
          <a:avLst>
            <a:gd name="adj1" fmla="val 41133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4.bin"/><Relationship Id="rId5" Type="http://schemas.openxmlformats.org/officeDocument/2006/relationships/oleObject" Target="../embeddings/oleObject3.bin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.bin"/><Relationship Id="rId3" Type="http://schemas.openxmlformats.org/officeDocument/2006/relationships/hyperlink" Target="http://en.wikipedia.org/wiki/Heat_of_combustion" TargetMode="External"/><Relationship Id="rId7" Type="http://schemas.openxmlformats.org/officeDocument/2006/relationships/hyperlink" Target="http://hiq.linde-gas.com/International/Web/LG/SPG/like35lgspg.nsf/repositorybyalias/veriseq_carbdio/$file/VERISEQ_CarbonDioxide.pdf" TargetMode="External"/><Relationship Id="rId2" Type="http://schemas.openxmlformats.org/officeDocument/2006/relationships/hyperlink" Target="http://en.wikipedia.org/wiki/Heat_of_combustion" TargetMode="External"/><Relationship Id="rId1" Type="http://schemas.openxmlformats.org/officeDocument/2006/relationships/hyperlink" Target="http://en.wikipedia.org/wiki/Heat_of_combustion" TargetMode="External"/><Relationship Id="rId6" Type="http://schemas.openxmlformats.org/officeDocument/2006/relationships/hyperlink" Target="http://www.gas-plants.com/nitrogen-unit-conversion.html" TargetMode="External"/><Relationship Id="rId5" Type="http://schemas.openxmlformats.org/officeDocument/2006/relationships/hyperlink" Target="http://www.imteag.com/2-2005-06.pdf" TargetMode="External"/><Relationship Id="rId4" Type="http://schemas.openxmlformats.org/officeDocument/2006/relationships/hyperlink" Target="http://www.imteag.com/2-2005-06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oleObject" Target="../embeddings/oleObject8.bin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6" Type="http://schemas.openxmlformats.org/officeDocument/2006/relationships/oleObject" Target="../embeddings/oleObject7.bin"/><Relationship Id="rId5" Type="http://schemas.openxmlformats.org/officeDocument/2006/relationships/oleObject" Target="../embeddings/oleObject6.bin"/><Relationship Id="rId4" Type="http://schemas.openxmlformats.org/officeDocument/2006/relationships/oleObject" Target="../embeddings/oleObject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6"/>
  <sheetViews>
    <sheetView zoomScale="70" zoomScaleNormal="70" workbookViewId="0">
      <selection activeCell="O12" sqref="O12"/>
    </sheetView>
  </sheetViews>
  <sheetFormatPr defaultRowHeight="15"/>
  <cols>
    <col min="1" max="1" width="29.42578125" customWidth="1"/>
    <col min="2" max="2" width="13.5703125" bestFit="1" customWidth="1"/>
    <col min="3" max="3" width="8.5703125" customWidth="1"/>
    <col min="5" max="5" width="15" customWidth="1"/>
    <col min="6" max="6" width="12.42578125" bestFit="1" customWidth="1"/>
    <col min="7" max="7" width="3.42578125" customWidth="1"/>
    <col min="8" max="8" width="19.5703125" customWidth="1"/>
    <col min="9" max="9" width="13.5703125" customWidth="1"/>
    <col min="10" max="10" width="13.28515625" customWidth="1"/>
    <col min="11" max="11" width="4.28515625" customWidth="1"/>
    <col min="12" max="12" width="14" customWidth="1"/>
    <col min="13" max="13" width="17.7109375" customWidth="1"/>
    <col min="14" max="14" width="14.7109375" customWidth="1"/>
    <col min="15" max="15" width="14.28515625" bestFit="1" customWidth="1"/>
    <col min="17" max="17" width="2.42578125" customWidth="1"/>
    <col min="18" max="18" width="1.5703125" customWidth="1"/>
    <col min="19" max="19" width="10.28515625" customWidth="1"/>
    <col min="20" max="20" width="13.140625" bestFit="1" customWidth="1"/>
    <col min="21" max="21" width="11.140625" bestFit="1" customWidth="1"/>
    <col min="23" max="23" width="9.7109375" bestFit="1" customWidth="1"/>
    <col min="24" max="24" width="10.5703125" bestFit="1" customWidth="1"/>
  </cols>
  <sheetData>
    <row r="1" spans="1:22" ht="15.75">
      <c r="A1" s="193" t="s">
        <v>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</row>
    <row r="2" spans="1:22">
      <c r="A2" s="179"/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 t="s">
        <v>169</v>
      </c>
      <c r="N2" s="179"/>
      <c r="O2" s="125">
        <f ca="1">O3/B10</f>
        <v>0.34004587932708824</v>
      </c>
      <c r="P2" s="179"/>
      <c r="Q2" s="179"/>
      <c r="R2" s="179"/>
      <c r="S2" s="179"/>
      <c r="T2" s="179"/>
      <c r="U2" s="179"/>
      <c r="V2" s="179"/>
    </row>
    <row r="3" spans="1:22">
      <c r="A3" s="180" t="s">
        <v>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 t="s">
        <v>168</v>
      </c>
      <c r="N3" s="179"/>
      <c r="O3" s="21">
        <f ca="1">B10-F22-J22-N22-O10</f>
        <v>266109.04944718227</v>
      </c>
      <c r="P3" s="179"/>
      <c r="Q3" s="181"/>
      <c r="R3" s="179"/>
      <c r="S3" s="179"/>
      <c r="T3" s="179"/>
      <c r="U3" s="179"/>
      <c r="V3" s="179"/>
    </row>
    <row r="4" spans="1:22" ht="15.75" customHeight="1">
      <c r="A4" s="179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</row>
    <row r="5" spans="1:22">
      <c r="A5" s="179"/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</row>
    <row r="6" spans="1:22">
      <c r="A6" s="182" t="s">
        <v>1</v>
      </c>
      <c r="B6" s="21">
        <f>(Carbon_Energy_Balances!B36+Carbon_Energy_Balances!B54+Carbon_Energy_Balances!B71)/3</f>
        <v>29323.94333333334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</row>
    <row r="7" spans="1:22" ht="30">
      <c r="A7" s="182" t="s">
        <v>4</v>
      </c>
      <c r="B7" s="24">
        <f ca="1">B6/T9</f>
        <v>0.569896579505481</v>
      </c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</row>
    <row r="8" spans="1:22">
      <c r="A8" s="179" t="s">
        <v>3</v>
      </c>
      <c r="B8" s="22">
        <f>Carbon_Energy_Balances!C6</f>
        <v>26.687000000000001</v>
      </c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 t="s">
        <v>19</v>
      </c>
      <c r="U8" s="179"/>
      <c r="V8" s="179"/>
    </row>
    <row r="9" spans="1:22">
      <c r="A9" s="179" t="s">
        <v>5</v>
      </c>
      <c r="B9" s="22">
        <f>Carbon_Energy_Balances!C7</f>
        <v>9.459999999999999E-2</v>
      </c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208">
        <f ca="1">(('Brick Production'!B17+'Brick Production'!B34+'Brick Production'!B50)/3)/1000</f>
        <v>51454.85056039245</v>
      </c>
      <c r="U9" s="179"/>
      <c r="V9" s="179"/>
    </row>
    <row r="10" spans="1:22">
      <c r="A10" s="179" t="s">
        <v>77</v>
      </c>
      <c r="B10" s="28">
        <f>B6*B8</f>
        <v>782568.07573666691</v>
      </c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 t="s">
        <v>17</v>
      </c>
      <c r="N10" s="179"/>
      <c r="O10" s="21">
        <f ca="1">L30/T32*T9</f>
        <v>412911.81023146765</v>
      </c>
      <c r="P10" s="179"/>
      <c r="Q10" s="179"/>
      <c r="R10" s="179"/>
      <c r="S10" s="179"/>
      <c r="T10" s="179"/>
      <c r="U10" s="179"/>
      <c r="V10" s="179"/>
    </row>
    <row r="11" spans="1:22">
      <c r="A11" s="179"/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 t="s">
        <v>18</v>
      </c>
      <c r="N11" s="179"/>
      <c r="O11" s="24">
        <f ca="1">O10/T9</f>
        <v>8.0247402477018941</v>
      </c>
      <c r="P11" s="179"/>
      <c r="Q11" s="179"/>
      <c r="R11" s="179"/>
      <c r="S11" s="179"/>
      <c r="T11" s="179"/>
      <c r="U11" s="179"/>
      <c r="V11" s="179"/>
    </row>
    <row r="12" spans="1:22">
      <c r="A12" s="179"/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 t="s">
        <v>195</v>
      </c>
      <c r="N12" s="179"/>
      <c r="O12" s="21">
        <f ca="1">'Vol of Producer Gas'!B55</f>
        <v>61338464.650468677</v>
      </c>
      <c r="P12" s="179"/>
      <c r="Q12" s="179"/>
      <c r="R12" s="179"/>
      <c r="S12" s="179"/>
      <c r="T12" s="179"/>
      <c r="U12" s="179"/>
      <c r="V12" s="179"/>
    </row>
    <row r="13" spans="1:22">
      <c r="A13" s="179"/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</row>
    <row r="14" spans="1:22">
      <c r="A14" s="179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</row>
    <row r="15" spans="1:22">
      <c r="A15" s="179"/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</row>
    <row r="16" spans="1:22">
      <c r="A16" s="179"/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</row>
    <row r="17" spans="1:22">
      <c r="A17" s="179"/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79"/>
      <c r="U17" s="183"/>
      <c r="V17" s="179"/>
    </row>
    <row r="18" spans="1:22">
      <c r="A18" s="179"/>
      <c r="B18" s="179"/>
      <c r="C18" s="179" t="s">
        <v>6</v>
      </c>
      <c r="D18" s="179"/>
      <c r="E18" s="179"/>
      <c r="F18" s="21">
        <f>(Carbon_Energy_Balances!D36+Carbon_Energy_Balances!D54+Carbon_Energy_Balances!D71)/3</f>
        <v>1112.8012884272141</v>
      </c>
      <c r="G18" s="179"/>
      <c r="H18" s="179" t="s">
        <v>10</v>
      </c>
      <c r="I18" s="179"/>
      <c r="J18" s="21">
        <f>(Carbon_Energy_Balances!F36+Carbon_Energy_Balances!F54+Carbon_Energy_Balances!F71)/3</f>
        <v>4691.8309333333336</v>
      </c>
      <c r="K18" s="179"/>
      <c r="L18" s="179" t="s">
        <v>13</v>
      </c>
      <c r="M18" s="179"/>
      <c r="N18" s="21">
        <f>(Carbon_Energy_Balances!H36+Carbon_Energy_Balances!H54+Carbon_Energy_Balances!H71)/3</f>
        <v>1411.4200405200002</v>
      </c>
      <c r="O18" s="179"/>
      <c r="P18" s="179"/>
      <c r="Q18" s="179"/>
      <c r="R18" s="179"/>
      <c r="S18" s="179"/>
      <c r="T18" s="179"/>
      <c r="U18" s="179"/>
      <c r="V18" s="179"/>
    </row>
    <row r="19" spans="1:22">
      <c r="A19" s="179"/>
      <c r="B19" s="179"/>
      <c r="C19" s="179" t="s">
        <v>8</v>
      </c>
      <c r="D19" s="179"/>
      <c r="E19" s="179"/>
      <c r="F19" s="22">
        <f ca="1">F18/T9</f>
        <v>2.1626751925382069E-2</v>
      </c>
      <c r="G19" s="179"/>
      <c r="H19" s="179" t="s">
        <v>11</v>
      </c>
      <c r="I19" s="179"/>
      <c r="J19" s="26">
        <f ca="1">J18/T9</f>
        <v>9.1183452720876954E-2</v>
      </c>
      <c r="K19" s="179"/>
      <c r="L19" s="179" t="s">
        <v>14</v>
      </c>
      <c r="M19" s="179"/>
      <c r="N19" s="27">
        <f ca="1">N18/T9</f>
        <v>2.7430262164757808E-2</v>
      </c>
      <c r="O19" s="179"/>
      <c r="P19" s="179"/>
      <c r="Q19" s="179"/>
      <c r="R19" s="179"/>
      <c r="S19" s="179"/>
      <c r="T19" s="179"/>
      <c r="U19" s="179"/>
      <c r="V19" s="179"/>
    </row>
    <row r="20" spans="1:22">
      <c r="A20" s="179"/>
      <c r="B20" s="179"/>
      <c r="C20" s="179" t="s">
        <v>7</v>
      </c>
      <c r="D20" s="179"/>
      <c r="E20" s="179"/>
      <c r="F20" s="22">
        <f>Carbon_Energy_Balances!C6</f>
        <v>26.687000000000001</v>
      </c>
      <c r="G20" s="179"/>
      <c r="H20" s="179" t="s">
        <v>12</v>
      </c>
      <c r="I20" s="179"/>
      <c r="J20" s="25">
        <f>Carbon_Energy_Balances!C10</f>
        <v>7.3170000000000002</v>
      </c>
      <c r="K20" s="179"/>
      <c r="L20" s="179" t="s">
        <v>15</v>
      </c>
      <c r="M20" s="179"/>
      <c r="N20" s="22">
        <f>Carbon_Energy_Balances!C14</f>
        <v>28</v>
      </c>
      <c r="O20" s="179"/>
      <c r="P20" s="179"/>
      <c r="Q20" s="179"/>
      <c r="R20" s="179"/>
      <c r="S20" s="179"/>
      <c r="T20" s="179"/>
      <c r="U20" s="179"/>
      <c r="V20" s="179"/>
    </row>
    <row r="21" spans="1:22">
      <c r="A21" s="179"/>
      <c r="B21" s="179"/>
      <c r="C21" s="179" t="s">
        <v>9</v>
      </c>
      <c r="D21" s="179"/>
      <c r="E21" s="179"/>
      <c r="F21" s="22">
        <f>Carbon_Energy_Balances!C7</f>
        <v>9.459999999999999E-2</v>
      </c>
      <c r="G21" s="179"/>
      <c r="H21" s="179" t="s">
        <v>76</v>
      </c>
      <c r="I21" s="179"/>
      <c r="J21" s="25">
        <f>Carbon_Energy_Balances!C9*(Carbon_Energy_Balances!C12/Carbon_Energy_Balances!C11)</f>
        <v>0.930111111111111</v>
      </c>
      <c r="K21" s="179"/>
      <c r="L21" s="179" t="s">
        <v>16</v>
      </c>
      <c r="M21" s="179"/>
      <c r="N21" s="22">
        <f>Carbon_Energy_Balances!C15</f>
        <v>8.0699999999999994E-2</v>
      </c>
      <c r="O21" s="179"/>
      <c r="P21" s="179"/>
      <c r="Q21" s="179"/>
      <c r="R21" s="179"/>
      <c r="S21" s="179"/>
      <c r="T21" s="179"/>
      <c r="U21" s="179"/>
      <c r="V21" s="179"/>
    </row>
    <row r="22" spans="1:22">
      <c r="A22" s="179"/>
      <c r="B22" s="179"/>
      <c r="C22" s="179" t="s">
        <v>78</v>
      </c>
      <c r="D22" s="179"/>
      <c r="E22" s="179"/>
      <c r="F22" s="21">
        <f>F18*(F20)</f>
        <v>29697.327984257063</v>
      </c>
      <c r="G22" s="179"/>
      <c r="H22" s="179" t="s">
        <v>55</v>
      </c>
      <c r="I22" s="179"/>
      <c r="J22" s="21">
        <f>J18*J20</f>
        <v>34330.126939200003</v>
      </c>
      <c r="K22" s="179"/>
      <c r="L22" s="179" t="s">
        <v>56</v>
      </c>
      <c r="M22" s="179"/>
      <c r="N22" s="28">
        <f>N18*N20</f>
        <v>39519.761134560002</v>
      </c>
      <c r="O22" s="179"/>
      <c r="P22" s="179"/>
      <c r="Q22" s="179"/>
      <c r="R22" s="179"/>
      <c r="S22" s="179"/>
      <c r="T22" s="179"/>
      <c r="U22" s="179"/>
      <c r="V22" s="179"/>
    </row>
    <row r="23" spans="1:22">
      <c r="A23" s="179"/>
      <c r="B23" s="179"/>
      <c r="C23" s="179"/>
      <c r="D23" s="179"/>
      <c r="E23" s="179"/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</row>
    <row r="24" spans="1:22">
      <c r="A24" s="179"/>
      <c r="B24" s="179"/>
      <c r="C24" s="17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</row>
    <row r="25" spans="1:22">
      <c r="A25" s="179"/>
      <c r="B25" s="179"/>
      <c r="C25" s="179"/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79"/>
      <c r="T25" s="179"/>
      <c r="U25" s="179"/>
      <c r="V25" s="179"/>
    </row>
    <row r="26" spans="1:22" s="3" customFormat="1">
      <c r="A26" s="4" t="s">
        <v>20</v>
      </c>
    </row>
    <row r="27" spans="1:22" s="3" customFormat="1"/>
    <row r="28" spans="1:22" s="3" customFormat="1">
      <c r="M28" s="111"/>
    </row>
    <row r="29" spans="1:22" s="3" customFormat="1"/>
    <row r="30" spans="1:22" s="3" customFormat="1">
      <c r="I30" s="3" t="s">
        <v>21</v>
      </c>
      <c r="L30" s="21">
        <f>Carbon_Energy_Balances!D152</f>
        <v>423340.76837368292</v>
      </c>
    </row>
    <row r="31" spans="1:22" s="3" customFormat="1">
      <c r="I31" s="3" t="s">
        <v>22</v>
      </c>
      <c r="L31" s="22">
        <f>Carbon_Energy_Balances!K144</f>
        <v>5.8299999999999998E-2</v>
      </c>
      <c r="T31" s="3" t="s">
        <v>19</v>
      </c>
    </row>
    <row r="32" spans="1:22" s="3" customFormat="1">
      <c r="I32" s="3" t="s">
        <v>101</v>
      </c>
      <c r="L32" s="24">
        <f>L30/T32</f>
        <v>8.0247402477018941</v>
      </c>
      <c r="T32" s="21">
        <f>'Brick Production'!B65/1000</f>
        <v>52754.451272727274</v>
      </c>
    </row>
    <row r="33" spans="2:16" s="3" customFormat="1">
      <c r="I33" s="3" t="s">
        <v>247</v>
      </c>
      <c r="L33" s="21">
        <f>Carbon_Energy_Balances!B152</f>
        <v>11569859.827877963</v>
      </c>
    </row>
    <row r="34" spans="2:16" s="3" customFormat="1">
      <c r="I34" s="3" t="s">
        <v>248</v>
      </c>
      <c r="L34" s="43">
        <f>Carbon_Energy_Balances!$C$152/1000</f>
        <v>3.6589965191594561E-5</v>
      </c>
    </row>
    <row r="35" spans="2:16" s="3" customFormat="1"/>
    <row r="36" spans="2:16" s="3" customFormat="1"/>
    <row r="37" spans="2:16" s="3" customFormat="1"/>
    <row r="38" spans="2:16" s="3" customFormat="1"/>
    <row r="39" spans="2:16" s="3" customFormat="1"/>
    <row r="40" spans="2:16" s="3" customFormat="1"/>
    <row r="43" spans="2:16"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</row>
    <row r="44" spans="2:16">
      <c r="C44" s="20"/>
      <c r="D44" s="20"/>
      <c r="E44" s="167"/>
      <c r="F44" s="167"/>
      <c r="G44" s="167"/>
      <c r="H44" s="167"/>
      <c r="I44" s="168"/>
      <c r="J44" s="168"/>
      <c r="K44" s="136"/>
      <c r="L44" s="136"/>
      <c r="M44" s="20"/>
      <c r="N44" s="20"/>
      <c r="O44" s="20"/>
      <c r="P44" s="20"/>
    </row>
    <row r="45" spans="2:16">
      <c r="C45" s="20"/>
      <c r="D45" s="167"/>
      <c r="E45" s="136"/>
      <c r="F45" s="136"/>
      <c r="G45" s="167"/>
      <c r="H45" s="167"/>
      <c r="I45" s="169"/>
      <c r="J45" s="167"/>
      <c r="K45" s="170"/>
      <c r="L45" s="170"/>
      <c r="M45" s="136"/>
      <c r="N45" s="136"/>
      <c r="O45" s="136"/>
      <c r="P45" s="171"/>
    </row>
    <row r="46" spans="2:16">
      <c r="C46" s="20"/>
      <c r="D46" s="20"/>
      <c r="E46" s="20"/>
      <c r="F46" s="172"/>
      <c r="G46" s="173"/>
      <c r="H46" s="173"/>
      <c r="I46" s="20"/>
      <c r="J46" s="20"/>
      <c r="K46" s="20"/>
      <c r="L46" s="20"/>
      <c r="M46" s="20"/>
      <c r="N46" s="11"/>
      <c r="O46" s="174"/>
      <c r="P46" s="175"/>
    </row>
    <row r="47" spans="2:16">
      <c r="B47" s="2"/>
      <c r="C47" s="12"/>
      <c r="D47" s="12"/>
      <c r="E47" s="20"/>
      <c r="F47" s="172"/>
      <c r="G47" s="173"/>
      <c r="H47" s="173"/>
      <c r="I47" s="134"/>
      <c r="J47" s="175"/>
      <c r="K47" s="20"/>
      <c r="L47" s="20"/>
      <c r="M47" s="20"/>
      <c r="N47" s="11"/>
      <c r="O47" s="174"/>
      <c r="P47" s="175"/>
    </row>
    <row r="48" spans="2:16">
      <c r="B48" s="2"/>
      <c r="C48" s="12"/>
      <c r="D48" s="12"/>
      <c r="E48" s="20"/>
      <c r="F48" s="172"/>
      <c r="G48" s="173"/>
      <c r="H48" s="173"/>
      <c r="I48" s="134"/>
      <c r="J48" s="175"/>
      <c r="K48" s="20"/>
      <c r="L48" s="20"/>
      <c r="M48" s="20"/>
      <c r="N48" s="11"/>
      <c r="O48" s="174"/>
      <c r="P48" s="175"/>
    </row>
    <row r="49" spans="2:16">
      <c r="B49" s="2"/>
      <c r="C49" s="12"/>
      <c r="D49" s="12"/>
      <c r="E49" s="20"/>
      <c r="F49" s="172"/>
      <c r="G49" s="173"/>
      <c r="H49" s="173"/>
      <c r="I49" s="134"/>
      <c r="J49" s="175"/>
      <c r="K49" s="20"/>
      <c r="L49" s="20"/>
      <c r="M49" s="20"/>
      <c r="N49" s="11"/>
      <c r="O49" s="174"/>
      <c r="P49" s="175"/>
    </row>
    <row r="50" spans="2:16">
      <c r="B50" s="2"/>
      <c r="C50" s="12"/>
      <c r="D50" s="12"/>
      <c r="E50" s="20"/>
      <c r="F50" s="172"/>
      <c r="G50" s="173"/>
      <c r="H50" s="173"/>
      <c r="I50" s="20"/>
      <c r="J50" s="20"/>
      <c r="K50" s="20"/>
      <c r="L50" s="20"/>
      <c r="M50" s="20"/>
      <c r="N50" s="11"/>
      <c r="O50" s="174"/>
      <c r="P50" s="175"/>
    </row>
    <row r="51" spans="2:16">
      <c r="C51" s="20"/>
      <c r="D51" s="20"/>
      <c r="E51" s="20"/>
      <c r="F51" s="172"/>
      <c r="G51" s="176"/>
      <c r="H51" s="176"/>
      <c r="I51" s="20"/>
      <c r="J51" s="20"/>
      <c r="K51" s="20"/>
      <c r="L51" s="177"/>
      <c r="M51" s="20"/>
      <c r="N51" s="178"/>
      <c r="O51" s="178"/>
      <c r="P51" s="178"/>
    </row>
    <row r="52" spans="2:16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2:16"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2:16"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2:16"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2:16"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</sheetData>
  <phoneticPr fontId="29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69"/>
  <sheetViews>
    <sheetView zoomScale="80" zoomScaleNormal="80" workbookViewId="0">
      <selection activeCell="K143" sqref="K143"/>
    </sheetView>
  </sheetViews>
  <sheetFormatPr defaultRowHeight="15"/>
  <cols>
    <col min="1" max="1" width="15.5703125" customWidth="1"/>
    <col min="2" max="2" width="17.28515625" customWidth="1"/>
    <col min="3" max="3" width="14.28515625" customWidth="1"/>
    <col min="4" max="4" width="14.85546875" customWidth="1"/>
    <col min="5" max="7" width="13.140625" customWidth="1"/>
    <col min="8" max="8" width="14" customWidth="1"/>
    <col min="9" max="9" width="13.140625" customWidth="1"/>
    <col min="10" max="10" width="24" customWidth="1"/>
    <col min="11" max="11" width="12.140625" bestFit="1" customWidth="1"/>
    <col min="12" max="12" width="15.85546875" style="5" customWidth="1"/>
    <col min="13" max="13" width="15.42578125" style="5" bestFit="1" customWidth="1"/>
    <col min="14" max="14" width="18" customWidth="1"/>
  </cols>
  <sheetData>
    <row r="1" spans="1:13" s="50" customFormat="1" ht="16.5" thickBot="1">
      <c r="A1" s="110" t="s">
        <v>142</v>
      </c>
      <c r="B1" s="92"/>
      <c r="L1" s="93"/>
      <c r="M1" s="93"/>
    </row>
    <row r="2" spans="1:13" ht="15.75" thickBot="1">
      <c r="A2" s="1"/>
      <c r="B2" s="1"/>
    </row>
    <row r="3" spans="1:13" s="50" customFormat="1" ht="15.75" thickBot="1">
      <c r="A3" s="49" t="s">
        <v>117</v>
      </c>
      <c r="B3" s="92"/>
      <c r="L3" s="93"/>
      <c r="M3" s="93"/>
    </row>
    <row r="4" spans="1:13">
      <c r="A4" s="1"/>
      <c r="B4" s="1"/>
    </row>
    <row r="5" spans="1:13">
      <c r="A5" s="223" t="s">
        <v>230</v>
      </c>
      <c r="B5" s="224"/>
      <c r="C5" s="151" t="s">
        <v>231</v>
      </c>
      <c r="D5" s="151" t="s">
        <v>232</v>
      </c>
      <c r="E5" s="225" t="s">
        <v>233</v>
      </c>
      <c r="F5" s="225"/>
      <c r="G5" s="225"/>
      <c r="H5" s="225"/>
    </row>
    <row r="6" spans="1:13" ht="18.75">
      <c r="A6" s="217" t="s">
        <v>23</v>
      </c>
      <c r="B6" s="217"/>
      <c r="C6" s="114">
        <v>26.687000000000001</v>
      </c>
      <c r="D6" s="9" t="s">
        <v>24</v>
      </c>
      <c r="E6" s="216" t="s">
        <v>234</v>
      </c>
      <c r="F6" s="216"/>
      <c r="G6" s="216"/>
      <c r="H6" s="216"/>
      <c r="I6" s="126"/>
    </row>
    <row r="7" spans="1:13" ht="18">
      <c r="A7" s="217" t="s">
        <v>25</v>
      </c>
      <c r="B7" s="217"/>
      <c r="C7" s="114">
        <v>9.459999999999999E-2</v>
      </c>
      <c r="D7" s="9" t="s">
        <v>149</v>
      </c>
      <c r="E7" s="216" t="s">
        <v>235</v>
      </c>
      <c r="F7" s="216"/>
      <c r="G7" s="216"/>
      <c r="H7" s="216"/>
    </row>
    <row r="8" spans="1:13">
      <c r="A8" s="217" t="s">
        <v>26</v>
      </c>
      <c r="B8" s="217"/>
      <c r="C8" s="131">
        <v>0.16</v>
      </c>
      <c r="D8" s="9"/>
      <c r="E8" s="216" t="s">
        <v>236</v>
      </c>
      <c r="F8" s="216"/>
      <c r="G8" s="216"/>
      <c r="H8" s="216"/>
    </row>
    <row r="9" spans="1:13">
      <c r="A9" s="217" t="s">
        <v>27</v>
      </c>
      <c r="B9" s="217"/>
      <c r="C9" s="131">
        <f>AVERAGE(26.2%,25.9%,24%)</f>
        <v>0.25366666666666665</v>
      </c>
      <c r="D9" s="9"/>
      <c r="E9" s="216" t="s">
        <v>237</v>
      </c>
      <c r="F9" s="216"/>
      <c r="G9" s="216" t="s">
        <v>171</v>
      </c>
      <c r="H9" s="216"/>
    </row>
    <row r="10" spans="1:13">
      <c r="A10" s="217" t="s">
        <v>28</v>
      </c>
      <c r="B10" s="217"/>
      <c r="C10" s="115">
        <f>AVERAGE(6.298,9.441,6.212)</f>
        <v>7.3170000000000002</v>
      </c>
      <c r="D10" s="9" t="s">
        <v>24</v>
      </c>
      <c r="E10" s="216" t="s">
        <v>237</v>
      </c>
      <c r="F10" s="216"/>
      <c r="G10" s="216" t="s">
        <v>172</v>
      </c>
      <c r="H10" s="216"/>
    </row>
    <row r="11" spans="1:13">
      <c r="A11" s="217" t="s">
        <v>29</v>
      </c>
      <c r="B11" s="217"/>
      <c r="C11" s="114">
        <v>12</v>
      </c>
      <c r="D11" s="9"/>
      <c r="E11" s="216" t="s">
        <v>30</v>
      </c>
      <c r="F11" s="216"/>
      <c r="G11" s="216"/>
      <c r="H11" s="216"/>
    </row>
    <row r="12" spans="1:13" ht="18">
      <c r="A12" s="217" t="s">
        <v>148</v>
      </c>
      <c r="B12" s="217"/>
      <c r="C12" s="114">
        <v>44</v>
      </c>
      <c r="D12" s="9"/>
      <c r="E12" s="216" t="s">
        <v>30</v>
      </c>
      <c r="F12" s="216"/>
      <c r="G12" s="216"/>
      <c r="H12" s="216"/>
    </row>
    <row r="13" spans="1:13">
      <c r="A13" s="217" t="s">
        <v>227</v>
      </c>
      <c r="B13" s="217"/>
      <c r="C13" s="130">
        <f>H36/B36</f>
        <v>4.8131999999999994E-2</v>
      </c>
      <c r="D13" s="9"/>
      <c r="E13" s="216" t="s">
        <v>238</v>
      </c>
      <c r="F13" s="216"/>
      <c r="G13" s="216"/>
      <c r="H13" s="216"/>
    </row>
    <row r="14" spans="1:13">
      <c r="A14" s="217" t="s">
        <v>31</v>
      </c>
      <c r="B14" s="217"/>
      <c r="C14" s="114">
        <v>28</v>
      </c>
      <c r="D14" s="9" t="s">
        <v>24</v>
      </c>
      <c r="E14" s="216" t="s">
        <v>235</v>
      </c>
      <c r="F14" s="216"/>
      <c r="G14" s="216" t="s">
        <v>198</v>
      </c>
      <c r="H14" s="216"/>
    </row>
    <row r="15" spans="1:13" ht="18">
      <c r="A15" s="217" t="s">
        <v>32</v>
      </c>
      <c r="B15" s="217"/>
      <c r="C15" s="114">
        <v>8.0699999999999994E-2</v>
      </c>
      <c r="D15" s="9" t="s">
        <v>149</v>
      </c>
      <c r="E15" s="216" t="s">
        <v>235</v>
      </c>
      <c r="F15" s="216"/>
      <c r="G15" s="216" t="s">
        <v>198</v>
      </c>
      <c r="H15" s="216"/>
    </row>
    <row r="16" spans="1:13" ht="59.25" customHeight="1">
      <c r="A16" s="218" t="s">
        <v>226</v>
      </c>
      <c r="B16" s="219"/>
      <c r="C16" s="187">
        <f>5.73%*1</f>
        <v>5.7300000000000004E-2</v>
      </c>
      <c r="D16" s="9"/>
      <c r="E16" s="220" t="s">
        <v>242</v>
      </c>
      <c r="F16" s="221"/>
      <c r="G16" s="221"/>
      <c r="H16" s="222"/>
    </row>
    <row r="17" spans="1:14">
      <c r="A17" s="217" t="s">
        <v>228</v>
      </c>
      <c r="B17" s="217"/>
      <c r="C17" s="186">
        <f>(SUM(D24:D29))/(SUM(B24:B29))</f>
        <v>3.7948555410085731E-2</v>
      </c>
      <c r="D17" s="9"/>
      <c r="E17" s="216" t="s">
        <v>238</v>
      </c>
      <c r="F17" s="216"/>
      <c r="G17" s="216"/>
      <c r="H17" s="216"/>
    </row>
    <row r="18" spans="1:14" ht="15.75" thickBot="1">
      <c r="A18" s="1"/>
      <c r="B18" s="1"/>
      <c r="G18" s="18"/>
    </row>
    <row r="19" spans="1:14" s="50" customFormat="1" ht="15.75" thickBot="1">
      <c r="A19" s="49" t="s">
        <v>33</v>
      </c>
      <c r="B19" s="92"/>
      <c r="L19" s="93"/>
      <c r="M19" s="93"/>
    </row>
    <row r="20" spans="1:14">
      <c r="A20" s="1"/>
      <c r="B20" s="1"/>
    </row>
    <row r="21" spans="1:14" s="45" customFormat="1">
      <c r="A21" s="89" t="s">
        <v>139</v>
      </c>
      <c r="L21" s="88"/>
      <c r="M21" s="88"/>
    </row>
    <row r="22" spans="1:14" s="2" customFormat="1">
      <c r="L22" s="14"/>
      <c r="M22" s="14"/>
    </row>
    <row r="23" spans="1:14" s="86" customFormat="1" ht="46.5">
      <c r="A23" s="83" t="s">
        <v>34</v>
      </c>
      <c r="B23" s="84" t="s">
        <v>35</v>
      </c>
      <c r="C23" s="84" t="s">
        <v>133</v>
      </c>
      <c r="D23" s="84" t="s">
        <v>36</v>
      </c>
      <c r="E23" s="84" t="s">
        <v>134</v>
      </c>
      <c r="F23" s="84" t="s">
        <v>37</v>
      </c>
      <c r="G23" s="84" t="s">
        <v>135</v>
      </c>
      <c r="H23" s="84" t="s">
        <v>138</v>
      </c>
      <c r="I23" s="84" t="s">
        <v>136</v>
      </c>
      <c r="J23" s="84" t="s">
        <v>137</v>
      </c>
      <c r="K23" s="19"/>
      <c r="L23" s="85"/>
      <c r="M23" s="85"/>
    </row>
    <row r="24" spans="1:14">
      <c r="A24" s="9" t="s">
        <v>39</v>
      </c>
      <c r="B24" s="90">
        <v>2533.5300000000002</v>
      </c>
      <c r="C24" s="90">
        <f>B24*$C$6*$C$7</f>
        <v>6396.1250094060006</v>
      </c>
      <c r="D24" s="90">
        <v>24.04</v>
      </c>
      <c r="E24" s="90">
        <f>D24*$C$6*$C$7</f>
        <v>60.691148407999989</v>
      </c>
      <c r="F24" s="90">
        <f>B24*$C$8</f>
        <v>405.36480000000006</v>
      </c>
      <c r="G24" s="90">
        <f>F24*$C$9*($C$12/$C$11)</f>
        <v>377.03430453333334</v>
      </c>
      <c r="H24" s="90">
        <f>(B24-F24)*$C$16</f>
        <v>121.94386596000002</v>
      </c>
      <c r="I24" s="90">
        <f>H24*$C$14*$C$15</f>
        <v>275.54435952321603</v>
      </c>
      <c r="J24" s="90">
        <f>C24-E24-G24-I24</f>
        <v>5682.8551969414511</v>
      </c>
      <c r="K24" s="11"/>
      <c r="L24" s="6"/>
      <c r="M24" s="6"/>
      <c r="N24" s="5"/>
    </row>
    <row r="25" spans="1:14">
      <c r="A25" s="9" t="s">
        <v>40</v>
      </c>
      <c r="B25" s="90">
        <v>2280.0700000000002</v>
      </c>
      <c r="C25" s="90">
        <f>B25*$C$6*$C$7</f>
        <v>5756.2423773139999</v>
      </c>
      <c r="D25" s="90">
        <v>106.72</v>
      </c>
      <c r="E25" s="90">
        <f t="shared" ref="E25:E35" si="0">D25*$C$6*$C$7</f>
        <v>269.424266144</v>
      </c>
      <c r="F25" s="90">
        <f t="shared" ref="F25:F35" si="1">B25*$C$8</f>
        <v>364.81120000000004</v>
      </c>
      <c r="G25" s="90">
        <f t="shared" ref="G25:G35" si="2">F25*$C$9*($C$12/$C$11)</f>
        <v>339.31495057777778</v>
      </c>
      <c r="H25" s="90">
        <f t="shared" ref="H25:H35" si="3">(B25-F25)*$C$16</f>
        <v>109.74432924000001</v>
      </c>
      <c r="I25" s="90">
        <f>H25*$C$14*$C$15</f>
        <v>247.978286350704</v>
      </c>
      <c r="J25" s="90">
        <f t="shared" ref="J25:J35" si="4">C25-E25-G25-I25</f>
        <v>4899.5248742415179</v>
      </c>
      <c r="K25" s="11"/>
      <c r="L25" s="6"/>
      <c r="M25" s="6"/>
      <c r="N25" s="5"/>
    </row>
    <row r="26" spans="1:14">
      <c r="A26" s="9" t="s">
        <v>41</v>
      </c>
      <c r="B26" s="90">
        <v>2532</v>
      </c>
      <c r="C26" s="90">
        <f t="shared" ref="C26:C34" si="5">B26*$C$6*$C$7</f>
        <v>6392.2623863999988</v>
      </c>
      <c r="D26" s="90">
        <v>139.08000000000001</v>
      </c>
      <c r="E26" s="90">
        <f t="shared" si="0"/>
        <v>351.12000501600005</v>
      </c>
      <c r="F26" s="90">
        <f t="shared" si="1"/>
        <v>405.12</v>
      </c>
      <c r="G26" s="90">
        <f t="shared" si="2"/>
        <v>376.8066133333333</v>
      </c>
      <c r="H26" s="90">
        <f t="shared" si="3"/>
        <v>121.87022400000001</v>
      </c>
      <c r="I26" s="90">
        <f t="shared" ref="I26:I35" si="6">H26*$C$14*$C$15</f>
        <v>275.37795815039999</v>
      </c>
      <c r="J26" s="90">
        <f t="shared" si="4"/>
        <v>5388.9578099002665</v>
      </c>
      <c r="K26" s="11"/>
      <c r="L26" s="6"/>
      <c r="M26" s="6"/>
      <c r="N26" s="5"/>
    </row>
    <row r="27" spans="1:14">
      <c r="A27" s="9" t="s">
        <v>42</v>
      </c>
      <c r="B27" s="90">
        <v>2630.12</v>
      </c>
      <c r="C27" s="90">
        <f t="shared" si="5"/>
        <v>6639.9751768239994</v>
      </c>
      <c r="D27" s="90">
        <v>70.52</v>
      </c>
      <c r="E27" s="90">
        <f t="shared" si="0"/>
        <v>178.03410090399998</v>
      </c>
      <c r="F27" s="90">
        <f t="shared" si="1"/>
        <v>420.81919999999997</v>
      </c>
      <c r="G27" s="90">
        <f t="shared" si="2"/>
        <v>391.40861368888881</v>
      </c>
      <c r="H27" s="90">
        <f t="shared" si="3"/>
        <v>126.59293584000001</v>
      </c>
      <c r="I27" s="90">
        <f t="shared" si="6"/>
        <v>286.04939782406399</v>
      </c>
      <c r="J27" s="90">
        <f t="shared" si="4"/>
        <v>5784.4830644070462</v>
      </c>
      <c r="K27" s="11"/>
      <c r="L27" s="6"/>
      <c r="M27" s="6"/>
      <c r="N27" s="5"/>
    </row>
    <row r="28" spans="1:14">
      <c r="A28" s="9" t="s">
        <v>43</v>
      </c>
      <c r="B28" s="90">
        <v>2634</v>
      </c>
      <c r="C28" s="90">
        <f t="shared" si="5"/>
        <v>6649.7705867999994</v>
      </c>
      <c r="D28" s="90">
        <v>135.68</v>
      </c>
      <c r="E28" s="90">
        <f t="shared" si="0"/>
        <v>342.53639833599999</v>
      </c>
      <c r="F28" s="90">
        <f t="shared" si="1"/>
        <v>421.44</v>
      </c>
      <c r="G28" s="90">
        <f t="shared" si="2"/>
        <v>391.98602666666659</v>
      </c>
      <c r="H28" s="90">
        <f t="shared" si="3"/>
        <v>126.77968800000001</v>
      </c>
      <c r="I28" s="90">
        <f t="shared" si="6"/>
        <v>286.47138300480003</v>
      </c>
      <c r="J28" s="90">
        <f t="shared" si="4"/>
        <v>5628.7767787925322</v>
      </c>
      <c r="K28" s="11"/>
      <c r="L28" s="6"/>
      <c r="M28" s="6"/>
      <c r="N28" s="5"/>
    </row>
    <row r="29" spans="1:14">
      <c r="A29" s="9" t="s">
        <v>44</v>
      </c>
      <c r="B29" s="90">
        <v>2597.71</v>
      </c>
      <c r="C29" s="90">
        <f t="shared" si="5"/>
        <v>6558.1532084420005</v>
      </c>
      <c r="D29" s="90">
        <v>101.06</v>
      </c>
      <c r="E29" s="90">
        <f t="shared" si="0"/>
        <v>255.13508561199998</v>
      </c>
      <c r="F29" s="90">
        <f t="shared" si="1"/>
        <v>415.6336</v>
      </c>
      <c r="G29" s="90">
        <f t="shared" si="2"/>
        <v>386.58542951111104</v>
      </c>
      <c r="H29" s="90">
        <f>(B29-F29)*$C$16</f>
        <v>125.03297772000001</v>
      </c>
      <c r="I29" s="90">
        <f t="shared" si="6"/>
        <v>282.524516456112</v>
      </c>
      <c r="J29" s="90">
        <f t="shared" si="4"/>
        <v>5633.9081768627775</v>
      </c>
      <c r="L29" s="6"/>
      <c r="M29" s="6"/>
      <c r="N29" s="5"/>
    </row>
    <row r="30" spans="1:14">
      <c r="A30" s="9" t="s">
        <v>45</v>
      </c>
      <c r="B30" s="90">
        <v>2818.38</v>
      </c>
      <c r="C30" s="90">
        <f t="shared" si="5"/>
        <v>7115.2545278759999</v>
      </c>
      <c r="D30" s="90">
        <f>B30*$C$17</f>
        <v>106.95344959667743</v>
      </c>
      <c r="E30" s="90">
        <f t="shared" si="0"/>
        <v>270.01363070796577</v>
      </c>
      <c r="F30" s="90">
        <f t="shared" si="1"/>
        <v>450.94080000000002</v>
      </c>
      <c r="G30" s="90">
        <f t="shared" si="2"/>
        <v>419.42504853333327</v>
      </c>
      <c r="H30" s="90">
        <f t="shared" si="3"/>
        <v>135.65426616000002</v>
      </c>
      <c r="I30" s="90">
        <f t="shared" si="6"/>
        <v>306.524379815136</v>
      </c>
      <c r="J30" s="90">
        <f t="shared" si="4"/>
        <v>6119.2914688195651</v>
      </c>
      <c r="K30" s="11"/>
      <c r="L30" s="6"/>
      <c r="M30" s="6"/>
      <c r="N30" s="5"/>
    </row>
    <row r="31" spans="1:14">
      <c r="A31" s="9" t="s">
        <v>46</v>
      </c>
      <c r="B31" s="90">
        <v>2801.47</v>
      </c>
      <c r="C31" s="90">
        <f t="shared" si="5"/>
        <v>7072.5637075939985</v>
      </c>
      <c r="D31" s="90">
        <f t="shared" ref="D31:D35" si="7">B31*$C$17</f>
        <v>106.31173952469287</v>
      </c>
      <c r="E31" s="90">
        <f t="shared" si="0"/>
        <v>268.39357574899225</v>
      </c>
      <c r="F31" s="90">
        <f t="shared" si="1"/>
        <v>448.23519999999996</v>
      </c>
      <c r="G31" s="90">
        <f t="shared" si="2"/>
        <v>416.90853991111101</v>
      </c>
      <c r="H31" s="90">
        <f t="shared" si="3"/>
        <v>134.84035403999999</v>
      </c>
      <c r="I31" s="90">
        <f t="shared" si="6"/>
        <v>304.68526398878396</v>
      </c>
      <c r="J31" s="90">
        <f t="shared" si="4"/>
        <v>6082.5763279451112</v>
      </c>
      <c r="K31" s="11"/>
      <c r="L31" s="6"/>
      <c r="M31" s="6"/>
      <c r="N31" s="5"/>
    </row>
    <row r="32" spans="1:14">
      <c r="A32" s="9" t="s">
        <v>47</v>
      </c>
      <c r="B32" s="90">
        <v>2793.44</v>
      </c>
      <c r="C32" s="90">
        <f t="shared" si="5"/>
        <v>7052.2912482879992</v>
      </c>
      <c r="D32" s="90">
        <f t="shared" si="7"/>
        <v>106.00701262474989</v>
      </c>
      <c r="E32" s="90">
        <f t="shared" si="0"/>
        <v>267.62426520371986</v>
      </c>
      <c r="F32" s="90">
        <f t="shared" si="1"/>
        <v>446.9504</v>
      </c>
      <c r="G32" s="90">
        <f t="shared" si="2"/>
        <v>415.71353315555552</v>
      </c>
      <c r="H32" s="90">
        <f t="shared" si="3"/>
        <v>134.45385408000001</v>
      </c>
      <c r="I32" s="90">
        <f t="shared" si="6"/>
        <v>303.81192867916798</v>
      </c>
      <c r="J32" s="90">
        <f t="shared" si="4"/>
        <v>6065.1415212495558</v>
      </c>
      <c r="K32" s="11"/>
      <c r="L32" s="6"/>
      <c r="M32" s="6"/>
      <c r="N32" s="5"/>
    </row>
    <row r="33" spans="1:14">
      <c r="A33" s="9" t="s">
        <v>48</v>
      </c>
      <c r="B33" s="90">
        <v>2688.58</v>
      </c>
      <c r="C33" s="90">
        <f t="shared" si="5"/>
        <v>6787.562719915999</v>
      </c>
      <c r="D33" s="90">
        <f t="shared" si="7"/>
        <v>102.02772710444829</v>
      </c>
      <c r="E33" s="90">
        <f t="shared" si="0"/>
        <v>257.57819997616451</v>
      </c>
      <c r="F33" s="90">
        <f t="shared" si="1"/>
        <v>430.1728</v>
      </c>
      <c r="G33" s="90">
        <f t="shared" si="2"/>
        <v>400.10850097777774</v>
      </c>
      <c r="H33" s="90">
        <f t="shared" si="3"/>
        <v>129.40673256000002</v>
      </c>
      <c r="I33" s="90">
        <f t="shared" si="6"/>
        <v>292.40745289257603</v>
      </c>
      <c r="J33" s="90">
        <f t="shared" si="4"/>
        <v>5837.4685660694804</v>
      </c>
      <c r="K33" s="11"/>
      <c r="L33" s="6"/>
      <c r="M33" s="6"/>
      <c r="N33" s="5"/>
    </row>
    <row r="34" spans="1:14">
      <c r="A34" s="9" t="s">
        <v>49</v>
      </c>
      <c r="B34" s="90">
        <v>2600.31</v>
      </c>
      <c r="C34" s="90">
        <f t="shared" si="5"/>
        <v>6564.7171429619993</v>
      </c>
      <c r="D34" s="90">
        <f t="shared" si="7"/>
        <v>98.67800811840003</v>
      </c>
      <c r="E34" s="90">
        <f t="shared" si="0"/>
        <v>249.12153225123316</v>
      </c>
      <c r="F34" s="90">
        <f t="shared" si="1"/>
        <v>416.0496</v>
      </c>
      <c r="G34" s="90">
        <f t="shared" si="2"/>
        <v>386.97235573333325</v>
      </c>
      <c r="H34" s="90">
        <f t="shared" si="3"/>
        <v>125.15812092000002</v>
      </c>
      <c r="I34" s="90">
        <f t="shared" si="6"/>
        <v>282.80729003083201</v>
      </c>
      <c r="J34" s="90">
        <f t="shared" si="4"/>
        <v>5645.8159649466006</v>
      </c>
      <c r="K34" s="11"/>
      <c r="L34" s="6"/>
      <c r="M34" s="6"/>
      <c r="N34" s="5"/>
    </row>
    <row r="35" spans="1:14">
      <c r="A35" s="9" t="s">
        <v>50</v>
      </c>
      <c r="B35" s="90">
        <v>2687</v>
      </c>
      <c r="C35" s="90">
        <f>B35*$C$6*$C$7</f>
        <v>6783.5738673999986</v>
      </c>
      <c r="D35" s="90">
        <f t="shared" si="7"/>
        <v>101.96776838690036</v>
      </c>
      <c r="E35" s="90">
        <f t="shared" si="0"/>
        <v>257.42682878543843</v>
      </c>
      <c r="F35" s="90">
        <f t="shared" si="1"/>
        <v>429.92</v>
      </c>
      <c r="G35" s="90">
        <f t="shared" si="2"/>
        <v>399.87336888888882</v>
      </c>
      <c r="H35" s="90">
        <f t="shared" si="3"/>
        <v>129.33068399999999</v>
      </c>
      <c r="I35" s="90">
        <f t="shared" si="6"/>
        <v>292.23561356639993</v>
      </c>
      <c r="J35" s="90">
        <f t="shared" si="4"/>
        <v>5834.0380561592719</v>
      </c>
      <c r="K35" s="11"/>
      <c r="L35" s="6"/>
      <c r="M35" s="6"/>
      <c r="N35" s="5"/>
    </row>
    <row r="36" spans="1:14" s="2" customFormat="1" ht="15.75" thickBot="1">
      <c r="A36" s="69" t="s">
        <v>84</v>
      </c>
      <c r="B36" s="91">
        <f>SUM(B24:B35)</f>
        <v>31596.610000000004</v>
      </c>
      <c r="C36" s="91">
        <f>B36*$C$6*$C$7</f>
        <v>79768.491959221996</v>
      </c>
      <c r="D36" s="91">
        <f>SUM(D24:D35)</f>
        <v>1199.0457053558689</v>
      </c>
      <c r="E36" s="91">
        <f>D36*$C$6*$C$7</f>
        <v>3027.0990370935137</v>
      </c>
      <c r="F36" s="91">
        <f>B36*$C$8</f>
        <v>5055.4576000000006</v>
      </c>
      <c r="G36" s="91">
        <f>F36*$C$9*($C$12/$C$11)</f>
        <v>4702.1372855111113</v>
      </c>
      <c r="H36" s="91">
        <f>SUM(H24:H35)</f>
        <v>1520.8080325200001</v>
      </c>
      <c r="I36" s="91">
        <f>H36*$C$14*$C$15</f>
        <v>3436.4178302821915</v>
      </c>
      <c r="J36" s="91">
        <f>C36-E36-G36-I36</f>
        <v>68602.83780633517</v>
      </c>
      <c r="K36" s="13"/>
      <c r="L36" s="15"/>
      <c r="M36" s="14"/>
      <c r="N36" s="185"/>
    </row>
    <row r="37" spans="1:14" s="2" customFormat="1" ht="15.75" thickTop="1">
      <c r="A37" s="12" t="s">
        <v>252</v>
      </c>
      <c r="B37" s="188" t="s">
        <v>239</v>
      </c>
      <c r="C37" s="188" t="s">
        <v>240</v>
      </c>
      <c r="D37" s="188" t="s">
        <v>241</v>
      </c>
      <c r="E37" s="188" t="s">
        <v>240</v>
      </c>
      <c r="F37" s="188" t="s">
        <v>240</v>
      </c>
      <c r="G37" s="188" t="s">
        <v>240</v>
      </c>
      <c r="H37" s="188" t="s">
        <v>240</v>
      </c>
      <c r="I37" s="188" t="s">
        <v>240</v>
      </c>
      <c r="J37" s="188" t="s">
        <v>240</v>
      </c>
      <c r="K37" s="13"/>
      <c r="L37" s="15"/>
      <c r="M37" s="14"/>
      <c r="N37" s="185"/>
    </row>
    <row r="38" spans="1:14" s="2" customFormat="1">
      <c r="A38" s="12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4"/>
      <c r="M38" s="14"/>
    </row>
    <row r="39" spans="1:14" s="45" customFormat="1">
      <c r="A39" s="89" t="s">
        <v>140</v>
      </c>
      <c r="L39" s="88"/>
      <c r="M39" s="88"/>
    </row>
    <row r="40" spans="1:14" s="2" customFormat="1">
      <c r="L40" s="14"/>
      <c r="M40" s="14"/>
    </row>
    <row r="41" spans="1:14" ht="46.5">
      <c r="A41" s="83" t="s">
        <v>34</v>
      </c>
      <c r="B41" s="84" t="s">
        <v>35</v>
      </c>
      <c r="C41" s="84" t="s">
        <v>133</v>
      </c>
      <c r="D41" s="84" t="s">
        <v>36</v>
      </c>
      <c r="E41" s="84" t="s">
        <v>134</v>
      </c>
      <c r="F41" s="84" t="s">
        <v>37</v>
      </c>
      <c r="G41" s="84" t="s">
        <v>135</v>
      </c>
      <c r="H41" s="84" t="s">
        <v>138</v>
      </c>
      <c r="I41" s="84" t="s">
        <v>136</v>
      </c>
      <c r="J41" s="84" t="s">
        <v>137</v>
      </c>
      <c r="K41" s="8"/>
    </row>
    <row r="42" spans="1:14">
      <c r="A42" s="9" t="s">
        <v>39</v>
      </c>
      <c r="B42" s="90">
        <v>2351.9499999999998</v>
      </c>
      <c r="C42" s="90">
        <f>B42*$C$6*$C$7</f>
        <v>5937.709920889999</v>
      </c>
      <c r="D42" s="90">
        <f t="shared" ref="D42:D54" si="8">B42*$C$17</f>
        <v>89.253104896751125</v>
      </c>
      <c r="E42" s="90">
        <f>D42*$C$6*$C$7</f>
        <v>225.3275139419099</v>
      </c>
      <c r="F42" s="116">
        <f>B42*$C$8</f>
        <v>376.31199999999995</v>
      </c>
      <c r="G42" s="90">
        <f>F42*$C$9*($C$12/$C$11)</f>
        <v>350.01197244444438</v>
      </c>
      <c r="H42" s="90">
        <f>(B42-F42)*$C$16</f>
        <v>113.2040574</v>
      </c>
      <c r="I42" s="90">
        <f>H42*$C$14*$C$15</f>
        <v>255.79588810103996</v>
      </c>
      <c r="J42" s="90">
        <f>C42-E42-G42-I42</f>
        <v>5106.574546402604</v>
      </c>
      <c r="K42" s="11"/>
      <c r="N42" s="5"/>
    </row>
    <row r="43" spans="1:14">
      <c r="A43" s="9" t="s">
        <v>40</v>
      </c>
      <c r="B43" s="90">
        <v>2151.15</v>
      </c>
      <c r="C43" s="90">
        <f t="shared" ref="C43:C54" si="9">B43*$C$6*$C$7</f>
        <v>5430.7722087299999</v>
      </c>
      <c r="D43" s="90">
        <f t="shared" si="8"/>
        <v>81.63303497040593</v>
      </c>
      <c r="E43" s="90">
        <f t="shared" ref="E43:E53" si="10">D43*$C$6*$C$7</f>
        <v>206.08996008254408</v>
      </c>
      <c r="F43" s="116">
        <f t="shared" ref="F43:F54" si="11">B43*$C$8</f>
        <v>344.18400000000003</v>
      </c>
      <c r="G43" s="90">
        <f t="shared" ref="G43:G54" si="12">F43*$C$9*($C$12/$C$11)</f>
        <v>320.12936266666668</v>
      </c>
      <c r="H43" s="90">
        <f t="shared" ref="H43:H54" si="13">(B43-F43)*$C$16</f>
        <v>103.53915180000001</v>
      </c>
      <c r="I43" s="90">
        <f t="shared" ref="I43:I53" si="14">H43*$C$14*$C$15</f>
        <v>233.95706740728002</v>
      </c>
      <c r="J43" s="90">
        <f t="shared" ref="J43:J54" si="15">C43-E43-G43-I43</f>
        <v>4670.595818573509</v>
      </c>
      <c r="K43" s="11"/>
      <c r="N43" s="5"/>
    </row>
    <row r="44" spans="1:14">
      <c r="A44" s="9" t="s">
        <v>41</v>
      </c>
      <c r="B44" s="90">
        <v>2466.66</v>
      </c>
      <c r="C44" s="90">
        <f t="shared" si="9"/>
        <v>6227.3056627319993</v>
      </c>
      <c r="D44" s="90">
        <f t="shared" si="8"/>
        <v>93.606183687842062</v>
      </c>
      <c r="E44" s="90">
        <f t="shared" si="10"/>
        <v>236.31725399772591</v>
      </c>
      <c r="F44" s="116">
        <f t="shared" si="11"/>
        <v>394.66559999999998</v>
      </c>
      <c r="G44" s="90">
        <f t="shared" si="12"/>
        <v>367.08285973333329</v>
      </c>
      <c r="H44" s="90">
        <f t="shared" si="13"/>
        <v>118.72527912000001</v>
      </c>
      <c r="I44" s="90">
        <f t="shared" si="14"/>
        <v>268.27164069955199</v>
      </c>
      <c r="J44" s="90">
        <f t="shared" si="15"/>
        <v>5355.6339083013881</v>
      </c>
      <c r="K44" s="11"/>
      <c r="N44" s="5"/>
    </row>
    <row r="45" spans="1:14">
      <c r="A45" s="9" t="s">
        <v>42</v>
      </c>
      <c r="B45" s="90">
        <v>2439.3200000000002</v>
      </c>
      <c r="C45" s="90">
        <f t="shared" si="9"/>
        <v>6158.2833666639999</v>
      </c>
      <c r="D45" s="90">
        <f t="shared" si="8"/>
        <v>92.568670182930333</v>
      </c>
      <c r="E45" s="90">
        <f t="shared" si="10"/>
        <v>233.69795757085811</v>
      </c>
      <c r="F45" s="116">
        <f t="shared" si="11"/>
        <v>390.29120000000006</v>
      </c>
      <c r="G45" s="90">
        <f t="shared" si="12"/>
        <v>363.01418168888887</v>
      </c>
      <c r="H45" s="90">
        <f t="shared" si="13"/>
        <v>117.40935024000001</v>
      </c>
      <c r="I45" s="90">
        <f t="shared" si="14"/>
        <v>265.29816780230402</v>
      </c>
      <c r="J45" s="90">
        <f t="shared" si="15"/>
        <v>5296.2730596019483</v>
      </c>
      <c r="K45" s="11"/>
      <c r="N45" s="5"/>
    </row>
    <row r="46" spans="1:14">
      <c r="A46" s="9" t="s">
        <v>43</v>
      </c>
      <c r="B46" s="90">
        <v>2093.44</v>
      </c>
      <c r="C46" s="90">
        <f t="shared" si="9"/>
        <v>5285.0781082879994</v>
      </c>
      <c r="D46" s="90">
        <f t="shared" si="8"/>
        <v>79.443023837689879</v>
      </c>
      <c r="E46" s="90">
        <f t="shared" si="10"/>
        <v>200.56107943899823</v>
      </c>
      <c r="F46" s="116">
        <f t="shared" si="11"/>
        <v>334.9504</v>
      </c>
      <c r="G46" s="90">
        <f t="shared" si="12"/>
        <v>311.54108871111106</v>
      </c>
      <c r="H46" s="90">
        <f t="shared" si="13"/>
        <v>100.76145408000001</v>
      </c>
      <c r="I46" s="90">
        <f t="shared" si="14"/>
        <v>227.680581639168</v>
      </c>
      <c r="J46" s="90">
        <f t="shared" si="15"/>
        <v>4545.2953584987217</v>
      </c>
      <c r="K46" s="11"/>
      <c r="N46" s="5"/>
    </row>
    <row r="47" spans="1:14">
      <c r="A47" s="9" t="s">
        <v>44</v>
      </c>
      <c r="B47" s="90">
        <v>2333.44</v>
      </c>
      <c r="C47" s="90">
        <f t="shared" si="9"/>
        <v>5890.9797562880003</v>
      </c>
      <c r="D47" s="90">
        <f t="shared" si="8"/>
        <v>88.550677136110451</v>
      </c>
      <c r="E47" s="90">
        <f t="shared" si="10"/>
        <v>223.55417170118847</v>
      </c>
      <c r="F47" s="116">
        <f t="shared" si="11"/>
        <v>373.35040000000004</v>
      </c>
      <c r="G47" s="90">
        <f t="shared" si="12"/>
        <v>347.25735537777774</v>
      </c>
      <c r="H47" s="90">
        <f t="shared" si="13"/>
        <v>112.31313408000001</v>
      </c>
      <c r="I47" s="90">
        <f t="shared" si="14"/>
        <v>253.78275776716799</v>
      </c>
      <c r="J47" s="90">
        <f t="shared" si="15"/>
        <v>5066.3854714418667</v>
      </c>
      <c r="K47" s="11"/>
      <c r="N47" s="5"/>
    </row>
    <row r="48" spans="1:14">
      <c r="A48" s="9" t="s">
        <v>45</v>
      </c>
      <c r="B48" s="90">
        <v>2500.66</v>
      </c>
      <c r="C48" s="90">
        <f t="shared" si="9"/>
        <v>6313.1417295319989</v>
      </c>
      <c r="D48" s="90">
        <f t="shared" si="8"/>
        <v>94.89643457178498</v>
      </c>
      <c r="E48" s="90">
        <f t="shared" si="10"/>
        <v>239.57460873486954</v>
      </c>
      <c r="F48" s="116">
        <f t="shared" si="11"/>
        <v>400.10559999999998</v>
      </c>
      <c r="G48" s="90">
        <f t="shared" si="12"/>
        <v>372.1426641777777</v>
      </c>
      <c r="H48" s="90">
        <f t="shared" si="13"/>
        <v>120.36176712000001</v>
      </c>
      <c r="I48" s="90">
        <f t="shared" si="14"/>
        <v>271.96944898435203</v>
      </c>
      <c r="J48" s="90">
        <f t="shared" si="15"/>
        <v>5429.4550076349988</v>
      </c>
      <c r="K48" s="11"/>
      <c r="N48" s="5"/>
    </row>
    <row r="49" spans="1:14">
      <c r="A49" s="9" t="s">
        <v>46</v>
      </c>
      <c r="B49" s="90">
        <v>2201.46</v>
      </c>
      <c r="C49" s="90">
        <f t="shared" si="9"/>
        <v>5557.7843416919995</v>
      </c>
      <c r="D49" s="90">
        <f t="shared" si="8"/>
        <v>83.542226793087337</v>
      </c>
      <c r="E49" s="90">
        <f t="shared" si="10"/>
        <v>210.90988704800571</v>
      </c>
      <c r="F49" s="116">
        <f t="shared" si="11"/>
        <v>352.23360000000002</v>
      </c>
      <c r="G49" s="90">
        <f t="shared" si="12"/>
        <v>327.61638506666668</v>
      </c>
      <c r="H49" s="90">
        <f t="shared" si="13"/>
        <v>105.96067272000001</v>
      </c>
      <c r="I49" s="90">
        <f t="shared" si="14"/>
        <v>239.42873607811197</v>
      </c>
      <c r="J49" s="90">
        <f t="shared" si="15"/>
        <v>4779.829333499215</v>
      </c>
      <c r="K49" s="11"/>
      <c r="N49" s="5"/>
    </row>
    <row r="50" spans="1:14">
      <c r="A50" s="9" t="s">
        <v>47</v>
      </c>
      <c r="B50" s="90">
        <v>2201.46</v>
      </c>
      <c r="C50" s="90">
        <f t="shared" si="9"/>
        <v>5557.7843416919995</v>
      </c>
      <c r="D50" s="90">
        <f t="shared" si="8"/>
        <v>83.542226793087337</v>
      </c>
      <c r="E50" s="90">
        <f t="shared" si="10"/>
        <v>210.90988704800571</v>
      </c>
      <c r="F50" s="116">
        <f t="shared" si="11"/>
        <v>352.23360000000002</v>
      </c>
      <c r="G50" s="90">
        <f t="shared" si="12"/>
        <v>327.61638506666668</v>
      </c>
      <c r="H50" s="90">
        <f t="shared" si="13"/>
        <v>105.96067272000001</v>
      </c>
      <c r="I50" s="90">
        <f t="shared" si="14"/>
        <v>239.42873607811197</v>
      </c>
      <c r="J50" s="90">
        <f t="shared" si="15"/>
        <v>4779.829333499215</v>
      </c>
      <c r="K50" s="11"/>
      <c r="N50" s="5"/>
    </row>
    <row r="51" spans="1:14">
      <c r="A51" s="9" t="s">
        <v>48</v>
      </c>
      <c r="B51" s="90">
        <v>2360.4</v>
      </c>
      <c r="C51" s="90">
        <f t="shared" si="9"/>
        <v>5959.04270808</v>
      </c>
      <c r="D51" s="90">
        <f t="shared" si="8"/>
        <v>89.573770189966368</v>
      </c>
      <c r="E51" s="90">
        <f t="shared" si="10"/>
        <v>226.13706239864121</v>
      </c>
      <c r="F51" s="116">
        <f t="shared" si="11"/>
        <v>377.66400000000004</v>
      </c>
      <c r="G51" s="90">
        <f t="shared" si="12"/>
        <v>351.26948266666665</v>
      </c>
      <c r="H51" s="90">
        <f t="shared" si="13"/>
        <v>113.61077280000001</v>
      </c>
      <c r="I51" s="90">
        <f t="shared" si="14"/>
        <v>256.71490221888001</v>
      </c>
      <c r="J51" s="90">
        <f t="shared" si="15"/>
        <v>5124.9212607958125</v>
      </c>
      <c r="K51" s="11"/>
      <c r="N51" s="5"/>
    </row>
    <row r="52" spans="1:14">
      <c r="A52" s="9" t="s">
        <v>49</v>
      </c>
      <c r="B52" s="90">
        <v>2514.62</v>
      </c>
      <c r="C52" s="90">
        <f t="shared" si="9"/>
        <v>6348.3850087239989</v>
      </c>
      <c r="D52" s="90">
        <f t="shared" si="8"/>
        <v>95.426196405309781</v>
      </c>
      <c r="E52" s="90">
        <f t="shared" si="10"/>
        <v>240.91204026812028</v>
      </c>
      <c r="F52" s="116">
        <f t="shared" si="11"/>
        <v>402.33920000000001</v>
      </c>
      <c r="G52" s="90">
        <f t="shared" si="12"/>
        <v>374.22016035555555</v>
      </c>
      <c r="H52" s="90">
        <f t="shared" si="13"/>
        <v>121.03368984000001</v>
      </c>
      <c r="I52" s="90">
        <f t="shared" si="14"/>
        <v>273.48772556246399</v>
      </c>
      <c r="J52" s="90">
        <f t="shared" si="15"/>
        <v>5459.7650825378587</v>
      </c>
      <c r="K52" s="11"/>
      <c r="N52" s="5"/>
    </row>
    <row r="53" spans="1:14">
      <c r="A53" s="9" t="s">
        <v>50</v>
      </c>
      <c r="B53" s="90">
        <v>2493.2600000000002</v>
      </c>
      <c r="C53" s="90">
        <f t="shared" si="9"/>
        <v>6294.4597620519999</v>
      </c>
      <c r="D53" s="90">
        <f t="shared" si="8"/>
        <v>94.615615261750364</v>
      </c>
      <c r="E53" s="90">
        <f t="shared" si="10"/>
        <v>238.86565505678539</v>
      </c>
      <c r="F53" s="116">
        <f t="shared" si="11"/>
        <v>398.92160000000007</v>
      </c>
      <c r="G53" s="90">
        <f t="shared" si="12"/>
        <v>371.04141262222225</v>
      </c>
      <c r="H53" s="90">
        <f t="shared" si="13"/>
        <v>120.00559032000001</v>
      </c>
      <c r="I53" s="90">
        <f t="shared" si="14"/>
        <v>271.16463188707201</v>
      </c>
      <c r="J53" s="90">
        <f t="shared" si="15"/>
        <v>5413.3880624859203</v>
      </c>
      <c r="K53" s="11"/>
      <c r="N53" s="5"/>
    </row>
    <row r="54" spans="1:14" s="2" customFormat="1" ht="15.75" thickBot="1">
      <c r="A54" s="69" t="s">
        <v>84</v>
      </c>
      <c r="B54" s="91">
        <f>SUM(B42:B53)</f>
        <v>28107.82</v>
      </c>
      <c r="C54" s="91">
        <f t="shared" si="9"/>
        <v>70960.726915363994</v>
      </c>
      <c r="D54" s="91">
        <f t="shared" si="8"/>
        <v>1066.6511647267159</v>
      </c>
      <c r="E54" s="91">
        <f>D54*$C$6*$C$7</f>
        <v>2692.8570772876524</v>
      </c>
      <c r="F54" s="91">
        <f t="shared" si="11"/>
        <v>4497.2511999999997</v>
      </c>
      <c r="G54" s="91">
        <f t="shared" si="12"/>
        <v>4182.9433105777771</v>
      </c>
      <c r="H54" s="91">
        <f t="shared" si="13"/>
        <v>1352.8855922400001</v>
      </c>
      <c r="I54" s="91">
        <f>H54*$C$14*$C$15</f>
        <v>3056.980284225504</v>
      </c>
      <c r="J54" s="91">
        <f t="shared" si="15"/>
        <v>61027.946243273058</v>
      </c>
      <c r="K54" s="13"/>
      <c r="L54" s="14"/>
      <c r="M54" s="14"/>
      <c r="N54" s="185"/>
    </row>
    <row r="55" spans="1:14" ht="15.75" thickTop="1">
      <c r="A55" s="12" t="s">
        <v>252</v>
      </c>
      <c r="B55" s="195">
        <v>27</v>
      </c>
      <c r="C55" s="188" t="s">
        <v>240</v>
      </c>
      <c r="D55" s="188" t="s">
        <v>240</v>
      </c>
      <c r="E55" s="188" t="s">
        <v>240</v>
      </c>
      <c r="F55" s="188" t="s">
        <v>240</v>
      </c>
      <c r="G55" s="188" t="s">
        <v>240</v>
      </c>
      <c r="H55" s="188" t="s">
        <v>240</v>
      </c>
      <c r="I55" s="188" t="s">
        <v>240</v>
      </c>
      <c r="J55" s="188" t="s">
        <v>240</v>
      </c>
    </row>
    <row r="56" spans="1:14" s="45" customFormat="1">
      <c r="A56" s="89" t="s">
        <v>141</v>
      </c>
      <c r="L56" s="88"/>
      <c r="M56" s="88"/>
    </row>
    <row r="57" spans="1:14">
      <c r="A57" s="2"/>
    </row>
    <row r="58" spans="1:14" ht="46.5">
      <c r="A58" s="83" t="s">
        <v>34</v>
      </c>
      <c r="B58" s="84" t="s">
        <v>35</v>
      </c>
      <c r="C58" s="84" t="s">
        <v>133</v>
      </c>
      <c r="D58" s="84" t="s">
        <v>36</v>
      </c>
      <c r="E58" s="84" t="s">
        <v>134</v>
      </c>
      <c r="F58" s="84" t="s">
        <v>37</v>
      </c>
      <c r="G58" s="84" t="s">
        <v>135</v>
      </c>
      <c r="H58" s="84" t="s">
        <v>138</v>
      </c>
      <c r="I58" s="84" t="s">
        <v>136</v>
      </c>
      <c r="J58" s="84" t="s">
        <v>137</v>
      </c>
      <c r="K58" s="8"/>
    </row>
    <row r="59" spans="1:14">
      <c r="A59" s="9" t="s">
        <v>39</v>
      </c>
      <c r="B59" s="90">
        <v>2650.47</v>
      </c>
      <c r="C59" s="90">
        <f>B59*$C$6*$C$7</f>
        <v>6691.3505873939994</v>
      </c>
      <c r="D59" s="90">
        <f t="shared" ref="D59:D71" si="16">B59*$C$17</f>
        <v>100.58150765776992</v>
      </c>
      <c r="E59" s="90">
        <f>D59*$C$6*$C$7</f>
        <v>253.92708853403087</v>
      </c>
      <c r="F59" s="116">
        <f>B59*$C$8</f>
        <v>424.0752</v>
      </c>
      <c r="G59" s="90">
        <f>F59*$C$9*($C$12/$C$11)</f>
        <v>394.43705546666661</v>
      </c>
      <c r="H59" s="90">
        <f>(B59-F59)*$C$16</f>
        <v>127.57242204000001</v>
      </c>
      <c r="I59" s="90">
        <f>H59*$C$14*$C$15</f>
        <v>288.26264484158401</v>
      </c>
      <c r="J59" s="90">
        <f>C59-E59-G59-I59</f>
        <v>5754.7237985517177</v>
      </c>
      <c r="K59" s="11"/>
      <c r="N59" s="5"/>
    </row>
    <row r="60" spans="1:14">
      <c r="A60" s="9" t="s">
        <v>40</v>
      </c>
      <c r="B60" s="90">
        <v>2440.29</v>
      </c>
      <c r="C60" s="90">
        <f t="shared" ref="C60:C71" si="17">B60*$C$6*$C$7</f>
        <v>6160.7322191579997</v>
      </c>
      <c r="D60" s="90">
        <f t="shared" si="16"/>
        <v>92.605480281678112</v>
      </c>
      <c r="E60" s="90">
        <f t="shared" ref="E60:E71" si="18">D60*$C$6*$C$7</f>
        <v>233.79088798541778</v>
      </c>
      <c r="F60" s="116">
        <f t="shared" ref="F60:F71" si="19">B60*$C$8</f>
        <v>390.44639999999998</v>
      </c>
      <c r="G60" s="90">
        <f t="shared" ref="G60:G71" si="20">F60*$C$9*($C$12/$C$11)</f>
        <v>363.15853493333327</v>
      </c>
      <c r="H60" s="90">
        <f t="shared" ref="H60:H71" si="21">(B60-F60)*$C$16</f>
        <v>117.45603828000002</v>
      </c>
      <c r="I60" s="90">
        <f t="shared" ref="I60:I70" si="22">H60*$C$14*$C$15</f>
        <v>265.40366409748799</v>
      </c>
      <c r="J60" s="90">
        <f t="shared" ref="J60:J70" si="23">C60-E60-G60-I60</f>
        <v>5298.3791321417602</v>
      </c>
      <c r="K60" s="11"/>
      <c r="N60" s="5"/>
    </row>
    <row r="61" spans="1:14">
      <c r="A61" s="9" t="s">
        <v>41</v>
      </c>
      <c r="B61" s="90">
        <v>2571.5</v>
      </c>
      <c r="C61" s="90">
        <f t="shared" si="17"/>
        <v>6491.9836992999999</v>
      </c>
      <c r="D61" s="90">
        <f t="shared" si="16"/>
        <v>97.584710237035452</v>
      </c>
      <c r="E61" s="90">
        <f t="shared" si="18"/>
        <v>246.36140313425935</v>
      </c>
      <c r="F61" s="116">
        <f t="shared" si="19"/>
        <v>411.44</v>
      </c>
      <c r="G61" s="90">
        <f t="shared" si="20"/>
        <v>382.68491555555551</v>
      </c>
      <c r="H61" s="90">
        <f t="shared" si="21"/>
        <v>123.771438</v>
      </c>
      <c r="I61" s="90">
        <f t="shared" si="22"/>
        <v>279.6739413048</v>
      </c>
      <c r="J61" s="90">
        <f t="shared" si="23"/>
        <v>5583.263439305385</v>
      </c>
      <c r="K61" s="11"/>
      <c r="N61" s="5"/>
    </row>
    <row r="62" spans="1:14">
      <c r="A62" s="9" t="s">
        <v>42</v>
      </c>
      <c r="B62" s="90">
        <v>2215.41</v>
      </c>
      <c r="C62" s="90">
        <f t="shared" si="17"/>
        <v>5593.0023749819993</v>
      </c>
      <c r="D62" s="90">
        <f t="shared" si="16"/>
        <v>84.071609141058019</v>
      </c>
      <c r="E62" s="90">
        <f t="shared" si="18"/>
        <v>212.24636053574548</v>
      </c>
      <c r="F62" s="116">
        <f t="shared" si="19"/>
        <v>354.46559999999999</v>
      </c>
      <c r="G62" s="90">
        <f t="shared" si="20"/>
        <v>329.69239306666663</v>
      </c>
      <c r="H62" s="90">
        <f t="shared" si="21"/>
        <v>106.63211412</v>
      </c>
      <c r="I62" s="90">
        <f t="shared" si="22"/>
        <v>240.94592506555199</v>
      </c>
      <c r="J62" s="90">
        <f t="shared" si="23"/>
        <v>4810.117696314036</v>
      </c>
      <c r="K62" s="11"/>
      <c r="N62" s="5"/>
    </row>
    <row r="63" spans="1:14">
      <c r="A63" s="9" t="s">
        <v>43</v>
      </c>
      <c r="B63" s="90">
        <v>2470.31</v>
      </c>
      <c r="C63" s="90">
        <f t="shared" si="17"/>
        <v>6236.5204169620001</v>
      </c>
      <c r="D63" s="90">
        <f t="shared" si="16"/>
        <v>93.744695915088883</v>
      </c>
      <c r="E63" s="90">
        <f t="shared" si="18"/>
        <v>236.66694060921341</v>
      </c>
      <c r="F63" s="116">
        <f t="shared" si="19"/>
        <v>395.24959999999999</v>
      </c>
      <c r="G63" s="90">
        <f t="shared" si="20"/>
        <v>367.6260446222222</v>
      </c>
      <c r="H63" s="90">
        <f t="shared" si="21"/>
        <v>118.90096092</v>
      </c>
      <c r="I63" s="90">
        <f t="shared" si="22"/>
        <v>268.66861129483198</v>
      </c>
      <c r="J63" s="90">
        <f t="shared" si="23"/>
        <v>5363.5588204357327</v>
      </c>
      <c r="K63" s="11"/>
      <c r="N63" s="5"/>
    </row>
    <row r="64" spans="1:14">
      <c r="A64" s="9" t="s">
        <v>44</v>
      </c>
      <c r="B64" s="90">
        <v>2389.41</v>
      </c>
      <c r="C64" s="90">
        <f t="shared" si="17"/>
        <v>6032.2810697819996</v>
      </c>
      <c r="D64" s="90">
        <f t="shared" si="16"/>
        <v>90.674657782412936</v>
      </c>
      <c r="E64" s="90">
        <f t="shared" si="18"/>
        <v>228.91635242583342</v>
      </c>
      <c r="F64" s="116">
        <f t="shared" si="19"/>
        <v>382.30559999999997</v>
      </c>
      <c r="G64" s="90">
        <f t="shared" si="20"/>
        <v>355.58668639999996</v>
      </c>
      <c r="H64" s="90">
        <f t="shared" si="21"/>
        <v>115.00708212000001</v>
      </c>
      <c r="I64" s="90">
        <f t="shared" si="22"/>
        <v>259.87000275835203</v>
      </c>
      <c r="J64" s="90">
        <f t="shared" si="23"/>
        <v>5187.908028197814</v>
      </c>
      <c r="K64" s="11"/>
      <c r="N64" s="5"/>
    </row>
    <row r="65" spans="1:14">
      <c r="A65" s="9" t="s">
        <v>45</v>
      </c>
      <c r="B65" s="90">
        <v>2481.04</v>
      </c>
      <c r="C65" s="90">
        <f t="shared" si="17"/>
        <v>6263.6092698079992</v>
      </c>
      <c r="D65" s="90">
        <f t="shared" si="16"/>
        <v>94.1518839146391</v>
      </c>
      <c r="E65" s="90">
        <f t="shared" si="18"/>
        <v>237.69492344243551</v>
      </c>
      <c r="F65" s="116">
        <f t="shared" si="19"/>
        <v>396.96640000000002</v>
      </c>
      <c r="G65" s="90">
        <f t="shared" si="20"/>
        <v>369.22285937777775</v>
      </c>
      <c r="H65" s="90">
        <f t="shared" si="21"/>
        <v>119.41741728</v>
      </c>
      <c r="I65" s="90">
        <f t="shared" si="22"/>
        <v>269.83559608588797</v>
      </c>
      <c r="J65" s="90">
        <f t="shared" si="23"/>
        <v>5386.8558909018975</v>
      </c>
      <c r="K65" s="11"/>
      <c r="N65" s="5"/>
    </row>
    <row r="66" spans="1:14">
      <c r="A66" s="9" t="s">
        <v>46</v>
      </c>
      <c r="B66" s="90">
        <v>2520.88</v>
      </c>
      <c r="C66" s="90">
        <f t="shared" si="17"/>
        <v>6364.1889433759998</v>
      </c>
      <c r="D66" s="90">
        <f t="shared" si="16"/>
        <v>95.663754362176917</v>
      </c>
      <c r="E66" s="90">
        <f t="shared" si="18"/>
        <v>241.51177675795907</v>
      </c>
      <c r="F66" s="116">
        <f t="shared" si="19"/>
        <v>403.3408</v>
      </c>
      <c r="G66" s="90">
        <f t="shared" si="20"/>
        <v>375.15175964444438</v>
      </c>
      <c r="H66" s="90">
        <f t="shared" si="21"/>
        <v>121.33499616000002</v>
      </c>
      <c r="I66" s="90">
        <f t="shared" si="22"/>
        <v>274.16855732313599</v>
      </c>
      <c r="J66" s="90">
        <f t="shared" si="23"/>
        <v>5473.3568496504604</v>
      </c>
      <c r="K66" s="11"/>
      <c r="N66" s="5"/>
    </row>
    <row r="67" spans="1:14">
      <c r="A67" s="9" t="s">
        <v>47</v>
      </c>
      <c r="B67" s="90">
        <v>1278.5899999999999</v>
      </c>
      <c r="C67" s="90">
        <f t="shared" si="17"/>
        <v>3227.9157838179999</v>
      </c>
      <c r="D67" s="90">
        <f t="shared" si="16"/>
        <v>48.520643461781511</v>
      </c>
      <c r="E67" s="90">
        <f t="shared" si="18"/>
        <v>122.49474098130767</v>
      </c>
      <c r="F67" s="116">
        <f t="shared" si="19"/>
        <v>204.5744</v>
      </c>
      <c r="G67" s="90">
        <f t="shared" si="20"/>
        <v>190.27692248888889</v>
      </c>
      <c r="H67" s="90">
        <f t="shared" si="21"/>
        <v>61.541093879999998</v>
      </c>
      <c r="I67" s="90">
        <f t="shared" si="22"/>
        <v>139.05825573124798</v>
      </c>
      <c r="J67" s="90">
        <f t="shared" si="23"/>
        <v>2776.0858646165552</v>
      </c>
      <c r="K67" s="11"/>
      <c r="N67" s="5"/>
    </row>
    <row r="68" spans="1:14">
      <c r="A68" s="9" t="s">
        <v>48</v>
      </c>
      <c r="B68" s="90">
        <v>2480.54</v>
      </c>
      <c r="C68" s="90">
        <f t="shared" si="17"/>
        <v>6262.3469747079989</v>
      </c>
      <c r="D68" s="90">
        <f t="shared" si="16"/>
        <v>94.132909636934059</v>
      </c>
      <c r="E68" s="90">
        <f t="shared" si="18"/>
        <v>237.64702116688926</v>
      </c>
      <c r="F68" s="116">
        <f t="shared" si="19"/>
        <v>396.88639999999998</v>
      </c>
      <c r="G68" s="90">
        <f t="shared" si="20"/>
        <v>369.14845048888884</v>
      </c>
      <c r="H68" s="90">
        <f t="shared" si="21"/>
        <v>119.39335128000002</v>
      </c>
      <c r="I68" s="90">
        <f t="shared" si="22"/>
        <v>269.78121655228802</v>
      </c>
      <c r="J68" s="90">
        <f t="shared" si="23"/>
        <v>5385.7702864999328</v>
      </c>
      <c r="K68" s="11"/>
      <c r="N68" s="5"/>
    </row>
    <row r="69" spans="1:14">
      <c r="A69" s="9" t="s">
        <v>49</v>
      </c>
      <c r="B69" s="90">
        <v>2370.09</v>
      </c>
      <c r="C69" s="90">
        <f t="shared" si="17"/>
        <v>5983.5059871180001</v>
      </c>
      <c r="D69" s="90">
        <f t="shared" si="16"/>
        <v>89.941491691890093</v>
      </c>
      <c r="E69" s="90">
        <f t="shared" si="18"/>
        <v>227.06540849872712</v>
      </c>
      <c r="F69" s="116">
        <f t="shared" si="19"/>
        <v>379.21440000000001</v>
      </c>
      <c r="G69" s="90">
        <f t="shared" si="20"/>
        <v>352.71152693333329</v>
      </c>
      <c r="H69" s="90">
        <f t="shared" si="21"/>
        <v>114.07717188000001</v>
      </c>
      <c r="I69" s="90">
        <f t="shared" si="22"/>
        <v>257.76877758004798</v>
      </c>
      <c r="J69" s="90">
        <f t="shared" si="23"/>
        <v>5145.9602741058916</v>
      </c>
      <c r="K69" s="11"/>
      <c r="N69" s="5"/>
    </row>
    <row r="70" spans="1:14">
      <c r="A70" s="9" t="s">
        <v>50</v>
      </c>
      <c r="B70" s="90">
        <v>2398.87</v>
      </c>
      <c r="C70" s="90">
        <f t="shared" si="17"/>
        <v>6056.1636930739987</v>
      </c>
      <c r="D70" s="90">
        <f t="shared" si="16"/>
        <v>91.033651116592353</v>
      </c>
      <c r="E70" s="90">
        <f t="shared" si="18"/>
        <v>229.82266347916809</v>
      </c>
      <c r="F70" s="116">
        <f t="shared" si="19"/>
        <v>383.81919999999997</v>
      </c>
      <c r="G70" s="90">
        <f t="shared" si="20"/>
        <v>356.99450257777767</v>
      </c>
      <c r="H70" s="90">
        <f t="shared" si="21"/>
        <v>115.46241084</v>
      </c>
      <c r="I70" s="90">
        <f t="shared" si="22"/>
        <v>260.89886353406399</v>
      </c>
      <c r="J70" s="90">
        <f t="shared" si="23"/>
        <v>5208.4476634829889</v>
      </c>
      <c r="K70" s="11"/>
      <c r="N70" s="5"/>
    </row>
    <row r="71" spans="1:14" s="2" customFormat="1" ht="15.75" thickBot="1">
      <c r="A71" s="69" t="s">
        <v>84</v>
      </c>
      <c r="B71" s="91">
        <f>SUM(B59:B70)</f>
        <v>28267.4</v>
      </c>
      <c r="C71" s="91">
        <f t="shared" si="17"/>
        <v>71363.601019479989</v>
      </c>
      <c r="D71" s="91">
        <f t="shared" si="16"/>
        <v>1072.7069951990575</v>
      </c>
      <c r="E71" s="91">
        <f t="shared" si="18"/>
        <v>2708.1455675509874</v>
      </c>
      <c r="F71" s="91">
        <f t="shared" si="19"/>
        <v>4522.7840000000006</v>
      </c>
      <c r="G71" s="91">
        <f t="shared" si="20"/>
        <v>4206.6916515555549</v>
      </c>
      <c r="H71" s="91">
        <f t="shared" si="21"/>
        <v>1360.5664968000001</v>
      </c>
      <c r="I71" s="91">
        <f>H71*$C$14*$C$15</f>
        <v>3074.3360561692798</v>
      </c>
      <c r="J71" s="91">
        <f>C71-E71-G71-I71</f>
        <v>61374.427744204157</v>
      </c>
      <c r="K71" s="184">
        <f ca="1">((J71+J54+J36)/3)/(Process_Diagram!O10/3.6)</f>
        <v>0.55509735607728872</v>
      </c>
      <c r="L71" s="14"/>
      <c r="M71" s="14"/>
      <c r="N71" s="185"/>
    </row>
    <row r="72" spans="1:14" ht="16.5" thickTop="1" thickBot="1">
      <c r="A72" s="12" t="s">
        <v>252</v>
      </c>
      <c r="B72" s="195">
        <v>27</v>
      </c>
      <c r="C72" s="188" t="s">
        <v>240</v>
      </c>
      <c r="D72" s="188" t="s">
        <v>240</v>
      </c>
      <c r="E72" s="188" t="s">
        <v>240</v>
      </c>
      <c r="F72" s="188" t="s">
        <v>240</v>
      </c>
      <c r="G72" s="188" t="s">
        <v>240</v>
      </c>
      <c r="H72" s="188" t="s">
        <v>240</v>
      </c>
      <c r="I72" s="188" t="s">
        <v>240</v>
      </c>
      <c r="J72" s="188" t="s">
        <v>240</v>
      </c>
    </row>
    <row r="73" spans="1:14" s="50" customFormat="1" ht="15.75" thickBot="1">
      <c r="A73" s="49" t="s">
        <v>52</v>
      </c>
      <c r="L73" s="93"/>
      <c r="M73" s="93"/>
      <c r="N73" s="94"/>
    </row>
    <row r="74" spans="1:14">
      <c r="K74" s="119"/>
      <c r="N74" s="16"/>
    </row>
    <row r="75" spans="1:14" s="45" customFormat="1">
      <c r="A75" s="89" t="s">
        <v>139</v>
      </c>
      <c r="L75" s="88"/>
      <c r="M75" s="88"/>
    </row>
    <row r="76" spans="1:14" s="2" customFormat="1">
      <c r="L76" s="14"/>
      <c r="M76" s="14"/>
    </row>
    <row r="77" spans="1:14" s="95" customFormat="1" ht="45">
      <c r="A77" s="87" t="s">
        <v>34</v>
      </c>
      <c r="B77" s="84" t="s">
        <v>35</v>
      </c>
      <c r="C77" s="84" t="s">
        <v>53</v>
      </c>
      <c r="D77" s="84" t="s">
        <v>36</v>
      </c>
      <c r="E77" s="84" t="s">
        <v>54</v>
      </c>
      <c r="F77" s="84" t="s">
        <v>37</v>
      </c>
      <c r="G77" s="96" t="s">
        <v>55</v>
      </c>
      <c r="H77" s="84" t="s">
        <v>143</v>
      </c>
      <c r="I77" s="84" t="s">
        <v>56</v>
      </c>
      <c r="J77" s="84" t="s">
        <v>57</v>
      </c>
      <c r="K77" s="84" t="s">
        <v>58</v>
      </c>
      <c r="L77" s="96" t="s">
        <v>59</v>
      </c>
      <c r="M77" s="96" t="s">
        <v>60</v>
      </c>
      <c r="N77" s="95" t="s">
        <v>61</v>
      </c>
    </row>
    <row r="78" spans="1:14">
      <c r="A78" s="9" t="s">
        <v>39</v>
      </c>
      <c r="B78" s="90">
        <f>B24</f>
        <v>2533.5300000000002</v>
      </c>
      <c r="C78" s="90">
        <f>B78*$C$6</f>
        <v>67612.31511000001</v>
      </c>
      <c r="D78" s="116">
        <f>D24</f>
        <v>24.04</v>
      </c>
      <c r="E78" s="116">
        <f>D78*$C$6</f>
        <v>641.55547999999999</v>
      </c>
      <c r="F78" s="116">
        <f>F24</f>
        <v>405.36480000000006</v>
      </c>
      <c r="G78" s="90">
        <f>F78*$C$10</f>
        <v>2966.0542416000003</v>
      </c>
      <c r="H78" s="116">
        <f>H24</f>
        <v>121.94386596000002</v>
      </c>
      <c r="I78" s="97">
        <f>H78*$C$14</f>
        <v>3414.4282468800006</v>
      </c>
      <c r="J78" s="90">
        <v>0</v>
      </c>
      <c r="K78" s="116">
        <f ca="1">Process_Diagram!$O$2*C78</f>
        <v>22991.289144920127</v>
      </c>
      <c r="L78" s="90">
        <f t="shared" ref="L78:L90" ca="1" si="24">C78-E78-G78-I78+J78-K78</f>
        <v>37598.987996599884</v>
      </c>
      <c r="M78" s="90">
        <f t="shared" ref="M78:M90" ca="1" si="25">L78/3.6</f>
        <v>10444.163332388856</v>
      </c>
    </row>
    <row r="79" spans="1:14">
      <c r="A79" s="9" t="s">
        <v>40</v>
      </c>
      <c r="B79" s="90">
        <f t="shared" ref="B79:B90" si="26">B25</f>
        <v>2280.0700000000002</v>
      </c>
      <c r="C79" s="90">
        <f t="shared" ref="C79:C90" si="27">B79*$C$6</f>
        <v>60848.228090000004</v>
      </c>
      <c r="D79" s="116">
        <f t="shared" ref="D79:D90" si="28">D25</f>
        <v>106.72</v>
      </c>
      <c r="E79" s="116">
        <f t="shared" ref="E79:E90" si="29">D79*$C$6</f>
        <v>2848.0366400000003</v>
      </c>
      <c r="F79" s="116">
        <f t="shared" ref="F79:F90" si="30">F25</f>
        <v>364.81120000000004</v>
      </c>
      <c r="G79" s="90">
        <f t="shared" ref="G79:G90" si="31">F79*$C$10</f>
        <v>2669.3235504000004</v>
      </c>
      <c r="H79" s="116">
        <f t="shared" ref="H79:H90" si="32">H25</f>
        <v>109.74432924000001</v>
      </c>
      <c r="I79" s="97">
        <f t="shared" ref="I79:I90" si="33">H79*$C$14</f>
        <v>3072.8412187200001</v>
      </c>
      <c r="J79" s="90">
        <v>0</v>
      </c>
      <c r="K79" s="116">
        <f ca="1">Process_Diagram!$O$2*C79</f>
        <v>20691.189226359282</v>
      </c>
      <c r="L79" s="90">
        <f t="shared" ca="1" si="24"/>
        <v>31566.837454520726</v>
      </c>
      <c r="M79" s="90">
        <f t="shared" ca="1" si="25"/>
        <v>8768.5659595890902</v>
      </c>
    </row>
    <row r="80" spans="1:14">
      <c r="A80" s="9" t="s">
        <v>41</v>
      </c>
      <c r="B80" s="90">
        <f t="shared" si="26"/>
        <v>2532</v>
      </c>
      <c r="C80" s="90">
        <f>B80*$C$6</f>
        <v>67571.483999999997</v>
      </c>
      <c r="D80" s="116">
        <f t="shared" si="28"/>
        <v>139.08000000000001</v>
      </c>
      <c r="E80" s="116">
        <f t="shared" si="29"/>
        <v>3711.6279600000007</v>
      </c>
      <c r="F80" s="116">
        <f t="shared" si="30"/>
        <v>405.12</v>
      </c>
      <c r="G80" s="90">
        <f t="shared" si="31"/>
        <v>2964.2630400000003</v>
      </c>
      <c r="H80" s="116">
        <f t="shared" si="32"/>
        <v>121.87022400000001</v>
      </c>
      <c r="I80" s="97">
        <f t="shared" si="33"/>
        <v>3412.3662720000002</v>
      </c>
      <c r="J80" s="90">
        <v>0</v>
      </c>
      <c r="K80" s="116">
        <f ca="1">Process_Diagram!$O$2*C80</f>
        <v>22977.404694216271</v>
      </c>
      <c r="L80" s="90">
        <f t="shared" ca="1" si="24"/>
        <v>34505.822033783727</v>
      </c>
      <c r="M80" s="90">
        <f t="shared" ca="1" si="25"/>
        <v>9584.9505649399234</v>
      </c>
    </row>
    <row r="81" spans="1:13">
      <c r="A81" s="9" t="s">
        <v>42</v>
      </c>
      <c r="B81" s="90">
        <f t="shared" si="26"/>
        <v>2630.12</v>
      </c>
      <c r="C81" s="90">
        <f>B81*$C$6</f>
        <v>70190.012440000006</v>
      </c>
      <c r="D81" s="116">
        <f t="shared" si="28"/>
        <v>70.52</v>
      </c>
      <c r="E81" s="116">
        <f t="shared" si="29"/>
        <v>1881.9672399999999</v>
      </c>
      <c r="F81" s="116">
        <f t="shared" si="30"/>
        <v>420.81919999999997</v>
      </c>
      <c r="G81" s="90">
        <f t="shared" si="31"/>
        <v>3079.1340863999999</v>
      </c>
      <c r="H81" s="116">
        <f t="shared" si="32"/>
        <v>126.59293584000001</v>
      </c>
      <c r="I81" s="97">
        <f t="shared" si="33"/>
        <v>3544.6022035200003</v>
      </c>
      <c r="J81" s="90">
        <v>0</v>
      </c>
      <c r="K81" s="116">
        <f ca="1">Process_Diagram!$O$2*C81</f>
        <v>23867.824500139064</v>
      </c>
      <c r="L81" s="90">
        <f t="shared" ca="1" si="24"/>
        <v>37816.484409940938</v>
      </c>
      <c r="M81" s="90">
        <f t="shared" ca="1" si="25"/>
        <v>10504.579002761371</v>
      </c>
    </row>
    <row r="82" spans="1:13">
      <c r="A82" s="9" t="s">
        <v>43</v>
      </c>
      <c r="B82" s="90">
        <f t="shared" si="26"/>
        <v>2634</v>
      </c>
      <c r="C82" s="90">
        <f t="shared" si="27"/>
        <v>70293.558000000005</v>
      </c>
      <c r="D82" s="116">
        <f t="shared" si="28"/>
        <v>135.68</v>
      </c>
      <c r="E82" s="116">
        <f t="shared" si="29"/>
        <v>3620.8921600000003</v>
      </c>
      <c r="F82" s="116">
        <f t="shared" si="30"/>
        <v>421.44</v>
      </c>
      <c r="G82" s="90">
        <f t="shared" si="31"/>
        <v>3083.6764800000001</v>
      </c>
      <c r="H82" s="116">
        <f t="shared" si="32"/>
        <v>126.77968800000001</v>
      </c>
      <c r="I82" s="97">
        <f t="shared" si="33"/>
        <v>3549.8312640000004</v>
      </c>
      <c r="J82" s="90">
        <v>0</v>
      </c>
      <c r="K82" s="116">
        <f ca="1">Process_Diagram!$O$2*C82</f>
        <v>23903.03474113968</v>
      </c>
      <c r="L82" s="90">
        <f t="shared" ca="1" si="24"/>
        <v>36136.12335486032</v>
      </c>
      <c r="M82" s="90">
        <f t="shared" ca="1" si="25"/>
        <v>10037.812043016755</v>
      </c>
    </row>
    <row r="83" spans="1:13">
      <c r="A83" s="9" t="s">
        <v>44</v>
      </c>
      <c r="B83" s="90">
        <f t="shared" si="26"/>
        <v>2597.71</v>
      </c>
      <c r="C83" s="90">
        <f t="shared" si="27"/>
        <v>69325.086770000009</v>
      </c>
      <c r="D83" s="116">
        <f t="shared" si="28"/>
        <v>101.06</v>
      </c>
      <c r="E83" s="116">
        <f t="shared" si="29"/>
        <v>2696.9882200000002</v>
      </c>
      <c r="F83" s="116">
        <f t="shared" si="30"/>
        <v>415.6336</v>
      </c>
      <c r="G83" s="90">
        <f t="shared" si="31"/>
        <v>3041.1910511999999</v>
      </c>
      <c r="H83" s="116">
        <f t="shared" si="32"/>
        <v>125.03297772000001</v>
      </c>
      <c r="I83" s="97">
        <f t="shared" si="33"/>
        <v>3500.9233761600003</v>
      </c>
      <c r="J83" s="90">
        <v>0</v>
      </c>
      <c r="K83" s="116">
        <f ca="1">Process_Diagram!$O$2*C83</f>
        <v>23573.710090131346</v>
      </c>
      <c r="L83" s="90">
        <f t="shared" ca="1" si="24"/>
        <v>36512.274032508663</v>
      </c>
      <c r="M83" s="90">
        <f t="shared" ca="1" si="25"/>
        <v>10142.298342363518</v>
      </c>
    </row>
    <row r="84" spans="1:13">
      <c r="A84" s="9" t="s">
        <v>45</v>
      </c>
      <c r="B84" s="90">
        <f t="shared" si="26"/>
        <v>2818.38</v>
      </c>
      <c r="C84" s="90">
        <f t="shared" si="27"/>
        <v>75214.107060000009</v>
      </c>
      <c r="D84" s="116">
        <f t="shared" si="28"/>
        <v>106.95344959667743</v>
      </c>
      <c r="E84" s="116">
        <f t="shared" si="29"/>
        <v>2854.2667093865307</v>
      </c>
      <c r="F84" s="116">
        <f t="shared" si="30"/>
        <v>450.94080000000002</v>
      </c>
      <c r="G84" s="90">
        <f t="shared" si="31"/>
        <v>3299.5338336000004</v>
      </c>
      <c r="H84" s="116">
        <f t="shared" si="32"/>
        <v>135.65426616000002</v>
      </c>
      <c r="I84" s="97">
        <f t="shared" si="33"/>
        <v>3798.3194524800006</v>
      </c>
      <c r="J84" s="90">
        <v>0</v>
      </c>
      <c r="K84" s="116">
        <f ca="1">Process_Diagram!$O$2*C84</f>
        <v>25576.247173019459</v>
      </c>
      <c r="L84" s="90">
        <f t="shared" ca="1" si="24"/>
        <v>39685.739891514022</v>
      </c>
      <c r="M84" s="90">
        <f t="shared" ca="1" si="25"/>
        <v>11023.816636531672</v>
      </c>
    </row>
    <row r="85" spans="1:13">
      <c r="A85" s="9" t="s">
        <v>46</v>
      </c>
      <c r="B85" s="90">
        <f t="shared" si="26"/>
        <v>2801.47</v>
      </c>
      <c r="C85" s="90">
        <f t="shared" si="27"/>
        <v>74762.829889999994</v>
      </c>
      <c r="D85" s="116">
        <f t="shared" si="28"/>
        <v>106.31173952469287</v>
      </c>
      <c r="E85" s="116">
        <f t="shared" si="29"/>
        <v>2837.1413926954788</v>
      </c>
      <c r="F85" s="116">
        <f t="shared" si="30"/>
        <v>448.23519999999996</v>
      </c>
      <c r="G85" s="90">
        <f t="shared" si="31"/>
        <v>3279.7369583999998</v>
      </c>
      <c r="H85" s="116">
        <f t="shared" si="32"/>
        <v>134.84035403999999</v>
      </c>
      <c r="I85" s="97">
        <f t="shared" si="33"/>
        <v>3775.5299131199999</v>
      </c>
      <c r="J85" s="90">
        <v>0</v>
      </c>
      <c r="K85" s="116">
        <f ca="1">Process_Diagram!$O$2*C85</f>
        <v>25422.792230926563</v>
      </c>
      <c r="L85" s="90">
        <f t="shared" ca="1" si="24"/>
        <v>39447.629394857948</v>
      </c>
      <c r="M85" s="90">
        <f t="shared" ca="1" si="25"/>
        <v>10957.674831904986</v>
      </c>
    </row>
    <row r="86" spans="1:13">
      <c r="A86" s="9" t="s">
        <v>47</v>
      </c>
      <c r="B86" s="90">
        <f t="shared" si="26"/>
        <v>2793.44</v>
      </c>
      <c r="C86" s="90">
        <f t="shared" si="27"/>
        <v>74548.533280000003</v>
      </c>
      <c r="D86" s="116">
        <f t="shared" si="28"/>
        <v>106.00701262474989</v>
      </c>
      <c r="E86" s="116">
        <f t="shared" si="29"/>
        <v>2829.0091459167006</v>
      </c>
      <c r="F86" s="116">
        <f t="shared" si="30"/>
        <v>446.9504</v>
      </c>
      <c r="G86" s="90">
        <f t="shared" si="31"/>
        <v>3270.3360768000002</v>
      </c>
      <c r="H86" s="116">
        <f t="shared" si="32"/>
        <v>134.45385408000001</v>
      </c>
      <c r="I86" s="97">
        <f t="shared" si="33"/>
        <v>3764.7079142400003</v>
      </c>
      <c r="J86" s="90">
        <v>0</v>
      </c>
      <c r="K86" s="116">
        <f ca="1">Process_Diagram!$O$2*C86</f>
        <v>25349.921551742304</v>
      </c>
      <c r="L86" s="90">
        <f t="shared" ca="1" si="24"/>
        <v>39334.558591301</v>
      </c>
      <c r="M86" s="90">
        <f t="shared" ca="1" si="25"/>
        <v>10926.266275361389</v>
      </c>
    </row>
    <row r="87" spans="1:13">
      <c r="A87" s="9" t="s">
        <v>48</v>
      </c>
      <c r="B87" s="90">
        <f t="shared" si="26"/>
        <v>2688.58</v>
      </c>
      <c r="C87" s="90">
        <f t="shared" si="27"/>
        <v>71750.134460000001</v>
      </c>
      <c r="D87" s="116">
        <f t="shared" si="28"/>
        <v>102.02772710444829</v>
      </c>
      <c r="E87" s="116">
        <f t="shared" si="29"/>
        <v>2722.8139532364116</v>
      </c>
      <c r="F87" s="116">
        <f t="shared" si="30"/>
        <v>430.1728</v>
      </c>
      <c r="G87" s="90">
        <f t="shared" si="31"/>
        <v>3147.5743775999999</v>
      </c>
      <c r="H87" s="116">
        <f t="shared" si="32"/>
        <v>129.40673256000002</v>
      </c>
      <c r="I87" s="97">
        <f t="shared" si="33"/>
        <v>3623.3885116800006</v>
      </c>
      <c r="J87" s="90">
        <v>0</v>
      </c>
      <c r="K87" s="116">
        <f ca="1">Process_Diagram!$O$2*C87</f>
        <v>24398.337564287514</v>
      </c>
      <c r="L87" s="90">
        <f t="shared" ca="1" si="24"/>
        <v>37858.020053196073</v>
      </c>
      <c r="M87" s="90">
        <f t="shared" ca="1" si="25"/>
        <v>10516.116681443353</v>
      </c>
    </row>
    <row r="88" spans="1:13">
      <c r="A88" s="9" t="s">
        <v>49</v>
      </c>
      <c r="B88" s="90">
        <f t="shared" si="26"/>
        <v>2600.31</v>
      </c>
      <c r="C88" s="90">
        <f t="shared" si="27"/>
        <v>69394.472970000003</v>
      </c>
      <c r="D88" s="116">
        <f t="shared" si="28"/>
        <v>98.67800811840003</v>
      </c>
      <c r="E88" s="116">
        <f t="shared" si="29"/>
        <v>2633.4200026557419</v>
      </c>
      <c r="F88" s="116">
        <f t="shared" si="30"/>
        <v>416.0496</v>
      </c>
      <c r="G88" s="90">
        <f t="shared" si="31"/>
        <v>3044.2349232000001</v>
      </c>
      <c r="H88" s="116">
        <f t="shared" si="32"/>
        <v>125.15812092000002</v>
      </c>
      <c r="I88" s="97">
        <f t="shared" si="33"/>
        <v>3504.4273857600006</v>
      </c>
      <c r="J88" s="90">
        <v>0</v>
      </c>
      <c r="K88" s="116">
        <f ca="1">Process_Diagram!$O$2*C88</f>
        <v>23597.304581523509</v>
      </c>
      <c r="L88" s="90">
        <f t="shared" ca="1" si="24"/>
        <v>36615.08607686076</v>
      </c>
      <c r="M88" s="90">
        <f t="shared" ca="1" si="25"/>
        <v>10170.857243572433</v>
      </c>
    </row>
    <row r="89" spans="1:13">
      <c r="A89" s="9" t="s">
        <v>50</v>
      </c>
      <c r="B89" s="90">
        <f t="shared" si="26"/>
        <v>2687</v>
      </c>
      <c r="C89" s="90">
        <f t="shared" si="27"/>
        <v>71707.968999999997</v>
      </c>
      <c r="D89" s="116">
        <f t="shared" si="28"/>
        <v>101.96776838690036</v>
      </c>
      <c r="E89" s="116">
        <f t="shared" si="29"/>
        <v>2721.2138349412098</v>
      </c>
      <c r="F89" s="116">
        <f t="shared" si="30"/>
        <v>429.92</v>
      </c>
      <c r="G89" s="90">
        <f t="shared" si="31"/>
        <v>3145.7246400000004</v>
      </c>
      <c r="H89" s="116">
        <f t="shared" si="32"/>
        <v>129.33068399999999</v>
      </c>
      <c r="I89" s="97">
        <f t="shared" si="33"/>
        <v>3621.2591519999996</v>
      </c>
      <c r="J89" s="90">
        <v>0</v>
      </c>
      <c r="K89" s="116">
        <f ca="1">Process_Diagram!$O$2*C89</f>
        <v>24383.999373364582</v>
      </c>
      <c r="L89" s="90">
        <f t="shared" ca="1" si="24"/>
        <v>37835.771999694203</v>
      </c>
      <c r="M89" s="90">
        <f t="shared" ca="1" si="25"/>
        <v>10509.936666581723</v>
      </c>
    </row>
    <row r="90" spans="1:13" s="47" customFormat="1" ht="15.75" thickBot="1">
      <c r="A90" s="69" t="s">
        <v>84</v>
      </c>
      <c r="B90" s="91">
        <f t="shared" si="26"/>
        <v>31596.610000000004</v>
      </c>
      <c r="C90" s="91">
        <f t="shared" si="27"/>
        <v>843218.7310700001</v>
      </c>
      <c r="D90" s="91">
        <f t="shared" si="28"/>
        <v>1199.0457053558689</v>
      </c>
      <c r="E90" s="68">
        <f t="shared" si="29"/>
        <v>31998.932738832074</v>
      </c>
      <c r="F90" s="91">
        <f t="shared" si="30"/>
        <v>5055.4576000000006</v>
      </c>
      <c r="G90" s="91">
        <f t="shared" si="31"/>
        <v>36990.783259200005</v>
      </c>
      <c r="H90" s="91">
        <f t="shared" si="32"/>
        <v>1520.8080325200001</v>
      </c>
      <c r="I90" s="118">
        <f t="shared" si="33"/>
        <v>42582.62491056</v>
      </c>
      <c r="J90" s="68">
        <f>SUM(J78:J89)</f>
        <v>0</v>
      </c>
      <c r="K90" s="68">
        <f ca="1">Process_Diagram!$O$2*C90</f>
        <v>286733.05487176974</v>
      </c>
      <c r="L90" s="91">
        <f t="shared" ca="1" si="24"/>
        <v>444913.33528963826</v>
      </c>
      <c r="M90" s="91">
        <f t="shared" ca="1" si="25"/>
        <v>123587.03758045507</v>
      </c>
    </row>
    <row r="91" spans="1:13" ht="15.75" thickTop="1"/>
    <row r="92" spans="1:13" s="45" customFormat="1">
      <c r="A92" s="89" t="s">
        <v>140</v>
      </c>
      <c r="L92" s="88"/>
      <c r="M92" s="88"/>
    </row>
    <row r="93" spans="1:13" s="2" customFormat="1">
      <c r="L93" s="14"/>
      <c r="M93" s="14"/>
    </row>
    <row r="94" spans="1:13" ht="45">
      <c r="A94" s="83" t="s">
        <v>34</v>
      </c>
      <c r="B94" s="84" t="s">
        <v>35</v>
      </c>
      <c r="C94" s="84" t="s">
        <v>53</v>
      </c>
      <c r="D94" s="84" t="s">
        <v>36</v>
      </c>
      <c r="E94" s="84" t="s">
        <v>54</v>
      </c>
      <c r="F94" s="84" t="s">
        <v>37</v>
      </c>
      <c r="G94" s="96" t="s">
        <v>55</v>
      </c>
      <c r="H94" s="84" t="s">
        <v>38</v>
      </c>
      <c r="I94" s="84" t="s">
        <v>56</v>
      </c>
      <c r="J94" s="84" t="s">
        <v>57</v>
      </c>
      <c r="K94" s="84" t="s">
        <v>58</v>
      </c>
      <c r="L94" s="96" t="s">
        <v>59</v>
      </c>
      <c r="M94" s="96" t="s">
        <v>60</v>
      </c>
    </row>
    <row r="95" spans="1:13">
      <c r="A95" s="9" t="s">
        <v>39</v>
      </c>
      <c r="B95" s="90">
        <f>B42</f>
        <v>2351.9499999999998</v>
      </c>
      <c r="C95" s="90">
        <f>B95*$C$6</f>
        <v>62766.489649999996</v>
      </c>
      <c r="D95" s="116">
        <f>D42</f>
        <v>89.253104896751125</v>
      </c>
      <c r="E95" s="116">
        <f>D95*$C$6</f>
        <v>2381.8976103795976</v>
      </c>
      <c r="F95" s="116">
        <f>F42</f>
        <v>376.31199999999995</v>
      </c>
      <c r="G95" s="90">
        <f>F95*$C$10</f>
        <v>2753.4749039999997</v>
      </c>
      <c r="H95" s="116">
        <f>H42</f>
        <v>113.2040574</v>
      </c>
      <c r="I95" s="116">
        <f>H95*$C$14</f>
        <v>3169.7136071999998</v>
      </c>
      <c r="J95" s="90">
        <v>0</v>
      </c>
      <c r="K95" s="116">
        <f ca="1">Process_Diagram!$O$2*C95</f>
        <v>21343.48616530883</v>
      </c>
      <c r="L95" s="90">
        <f t="shared" ref="L95:L107" ca="1" si="34">C95-E95-G95-I95+J95-K95</f>
        <v>33117.91736311157</v>
      </c>
      <c r="M95" s="90">
        <f t="shared" ref="M95:M107" ca="1" si="35">L95/3.6</f>
        <v>9199.4214897532129</v>
      </c>
    </row>
    <row r="96" spans="1:13">
      <c r="A96" s="9" t="s">
        <v>40</v>
      </c>
      <c r="B96" s="90">
        <f t="shared" ref="B96:B107" si="36">B43</f>
        <v>2151.15</v>
      </c>
      <c r="C96" s="90">
        <f t="shared" ref="C96:C107" si="37">B96*$C$6</f>
        <v>57407.740050000008</v>
      </c>
      <c r="D96" s="116">
        <f t="shared" ref="D96:D107" si="38">D43</f>
        <v>81.63303497040593</v>
      </c>
      <c r="E96" s="116">
        <f t="shared" ref="E96:E107" si="39">D96*$C$6</f>
        <v>2178.5408042552231</v>
      </c>
      <c r="F96" s="116">
        <f t="shared" ref="F96:F107" si="40">F43</f>
        <v>344.18400000000003</v>
      </c>
      <c r="G96" s="90">
        <f t="shared" ref="G96:G107" si="41">F96*$C$10</f>
        <v>2518.3943280000003</v>
      </c>
      <c r="H96" s="116">
        <f t="shared" ref="H96:H107" si="42">H43</f>
        <v>103.53915180000001</v>
      </c>
      <c r="I96" s="116">
        <f t="shared" ref="I96:I107" si="43">H96*$C$14</f>
        <v>2899.0962504000004</v>
      </c>
      <c r="J96" s="90">
        <v>0</v>
      </c>
      <c r="K96" s="116">
        <f ca="1">Process_Diagram!$O$2*C96</f>
        <v>19521.265445483154</v>
      </c>
      <c r="L96" s="90">
        <f t="shared" ca="1" si="34"/>
        <v>30290.443221861631</v>
      </c>
      <c r="M96" s="90">
        <f t="shared" ca="1" si="35"/>
        <v>8414.0120060726749</v>
      </c>
    </row>
    <row r="97" spans="1:13">
      <c r="A97" s="9" t="s">
        <v>41</v>
      </c>
      <c r="B97" s="90">
        <f t="shared" si="36"/>
        <v>2466.66</v>
      </c>
      <c r="C97" s="90">
        <f t="shared" si="37"/>
        <v>65827.755420000001</v>
      </c>
      <c r="D97" s="116">
        <f t="shared" si="38"/>
        <v>93.606183687842062</v>
      </c>
      <c r="E97" s="116">
        <f t="shared" si="39"/>
        <v>2498.0682240774413</v>
      </c>
      <c r="F97" s="116">
        <f t="shared" si="40"/>
        <v>394.66559999999998</v>
      </c>
      <c r="G97" s="90">
        <f t="shared" si="41"/>
        <v>2887.7681951999998</v>
      </c>
      <c r="H97" s="116">
        <f t="shared" si="42"/>
        <v>118.72527912000001</v>
      </c>
      <c r="I97" s="116">
        <f t="shared" si="43"/>
        <v>3324.3078153600004</v>
      </c>
      <c r="J97" s="90">
        <v>0</v>
      </c>
      <c r="K97" s="116">
        <f ca="1">Process_Diagram!$O$2*C97</f>
        <v>22384.4569759224</v>
      </c>
      <c r="L97" s="90">
        <f t="shared" ca="1" si="34"/>
        <v>34733.154209440167</v>
      </c>
      <c r="M97" s="90">
        <f t="shared" ca="1" si="35"/>
        <v>9648.0983915111574</v>
      </c>
    </row>
    <row r="98" spans="1:13">
      <c r="A98" s="9" t="s">
        <v>42</v>
      </c>
      <c r="B98" s="90">
        <f t="shared" si="36"/>
        <v>2439.3200000000002</v>
      </c>
      <c r="C98" s="90">
        <f t="shared" si="37"/>
        <v>65098.132840000006</v>
      </c>
      <c r="D98" s="116">
        <f t="shared" si="38"/>
        <v>92.568670182930333</v>
      </c>
      <c r="E98" s="116">
        <f t="shared" si="39"/>
        <v>2470.380101171862</v>
      </c>
      <c r="F98" s="116">
        <f t="shared" si="40"/>
        <v>390.29120000000006</v>
      </c>
      <c r="G98" s="90">
        <f t="shared" si="41"/>
        <v>2855.7607104000003</v>
      </c>
      <c r="H98" s="116">
        <f t="shared" si="42"/>
        <v>117.40935024000001</v>
      </c>
      <c r="I98" s="116">
        <f t="shared" si="43"/>
        <v>3287.4618067200004</v>
      </c>
      <c r="J98" s="90">
        <v>0</v>
      </c>
      <c r="K98" s="116">
        <f ca="1">Process_Diagram!$O$2*C98</f>
        <v>22136.3518241294</v>
      </c>
      <c r="L98" s="90">
        <f t="shared" ca="1" si="34"/>
        <v>34348.178397578748</v>
      </c>
      <c r="M98" s="90">
        <f t="shared" ca="1" si="35"/>
        <v>9541.1606659940971</v>
      </c>
    </row>
    <row r="99" spans="1:13">
      <c r="A99" s="9" t="s">
        <v>43</v>
      </c>
      <c r="B99" s="90">
        <f t="shared" si="36"/>
        <v>2093.44</v>
      </c>
      <c r="C99" s="90">
        <f t="shared" si="37"/>
        <v>55867.633280000002</v>
      </c>
      <c r="D99" s="116">
        <f t="shared" si="38"/>
        <v>79.443023837689879</v>
      </c>
      <c r="E99" s="116">
        <f t="shared" si="39"/>
        <v>2120.0959771564299</v>
      </c>
      <c r="F99" s="116">
        <f t="shared" si="40"/>
        <v>334.9504</v>
      </c>
      <c r="G99" s="90">
        <f t="shared" si="41"/>
        <v>2450.8320767999999</v>
      </c>
      <c r="H99" s="116">
        <f t="shared" si="42"/>
        <v>100.76145408000001</v>
      </c>
      <c r="I99" s="116">
        <f t="shared" si="43"/>
        <v>2821.3207142400001</v>
      </c>
      <c r="J99" s="90">
        <v>0</v>
      </c>
      <c r="K99" s="116">
        <f ca="1">Process_Diagram!$O$2*C99</f>
        <v>18997.558484620899</v>
      </c>
      <c r="L99" s="90">
        <f t="shared" ca="1" si="34"/>
        <v>29477.826027182677</v>
      </c>
      <c r="M99" s="90">
        <f t="shared" ca="1" si="35"/>
        <v>8188.2850075507431</v>
      </c>
    </row>
    <row r="100" spans="1:13">
      <c r="A100" s="9" t="s">
        <v>44</v>
      </c>
      <c r="B100" s="90">
        <f t="shared" si="36"/>
        <v>2333.44</v>
      </c>
      <c r="C100" s="90">
        <f t="shared" si="37"/>
        <v>62272.513280000006</v>
      </c>
      <c r="D100" s="116">
        <f t="shared" si="38"/>
        <v>88.550677136110451</v>
      </c>
      <c r="E100" s="116">
        <f t="shared" si="39"/>
        <v>2363.1519207313795</v>
      </c>
      <c r="F100" s="116">
        <f t="shared" si="40"/>
        <v>373.35040000000004</v>
      </c>
      <c r="G100" s="90">
        <f t="shared" si="41"/>
        <v>2731.8048768000003</v>
      </c>
      <c r="H100" s="116">
        <f t="shared" si="42"/>
        <v>112.31313408000001</v>
      </c>
      <c r="I100" s="116">
        <f t="shared" si="43"/>
        <v>3144.7677542400002</v>
      </c>
      <c r="J100" s="90">
        <v>0</v>
      </c>
      <c r="K100" s="116">
        <f ca="1">Process_Diagram!$O$2*C100</f>
        <v>21175.511536205384</v>
      </c>
      <c r="L100" s="90">
        <f t="shared" ca="1" si="34"/>
        <v>32857.277192023248</v>
      </c>
      <c r="M100" s="90">
        <f t="shared" ca="1" si="35"/>
        <v>9127.021442228679</v>
      </c>
    </row>
    <row r="101" spans="1:13">
      <c r="A101" s="9" t="s">
        <v>45</v>
      </c>
      <c r="B101" s="90">
        <f t="shared" si="36"/>
        <v>2500.66</v>
      </c>
      <c r="C101" s="90">
        <f t="shared" si="37"/>
        <v>66735.113419999994</v>
      </c>
      <c r="D101" s="116">
        <f t="shared" si="38"/>
        <v>94.89643457178498</v>
      </c>
      <c r="E101" s="116">
        <f t="shared" si="39"/>
        <v>2532.5011494172259</v>
      </c>
      <c r="F101" s="116">
        <f t="shared" si="40"/>
        <v>400.10559999999998</v>
      </c>
      <c r="G101" s="90">
        <f t="shared" si="41"/>
        <v>2927.5726752</v>
      </c>
      <c r="H101" s="116">
        <f t="shared" si="42"/>
        <v>120.36176712000001</v>
      </c>
      <c r="I101" s="116">
        <f t="shared" si="43"/>
        <v>3370.1294793600005</v>
      </c>
      <c r="J101" s="90">
        <v>0</v>
      </c>
      <c r="K101" s="116">
        <f ca="1">Process_Diagram!$O$2*C101</f>
        <v>22693.000324896864</v>
      </c>
      <c r="L101" s="90">
        <f t="shared" ca="1" si="34"/>
        <v>35211.909791125901</v>
      </c>
      <c r="M101" s="90">
        <f t="shared" ca="1" si="35"/>
        <v>9781.0860530905284</v>
      </c>
    </row>
    <row r="102" spans="1:13">
      <c r="A102" s="9" t="s">
        <v>46</v>
      </c>
      <c r="B102" s="90">
        <f t="shared" si="36"/>
        <v>2201.46</v>
      </c>
      <c r="C102" s="90">
        <f t="shared" si="37"/>
        <v>58750.363020000004</v>
      </c>
      <c r="D102" s="116">
        <f t="shared" si="38"/>
        <v>83.542226793087337</v>
      </c>
      <c r="E102" s="116">
        <f t="shared" si="39"/>
        <v>2229.491406427122</v>
      </c>
      <c r="F102" s="116">
        <f t="shared" si="40"/>
        <v>352.23360000000002</v>
      </c>
      <c r="G102" s="90">
        <f t="shared" si="41"/>
        <v>2577.2932512000002</v>
      </c>
      <c r="H102" s="116">
        <f t="shared" si="42"/>
        <v>105.96067272000001</v>
      </c>
      <c r="I102" s="116">
        <f t="shared" si="43"/>
        <v>2966.89883616</v>
      </c>
      <c r="J102" s="90">
        <v>0</v>
      </c>
      <c r="K102" s="116">
        <f ca="1">Process_Diagram!$O$2*C102</f>
        <v>19977.818853921548</v>
      </c>
      <c r="L102" s="90">
        <f t="shared" ca="1" si="34"/>
        <v>30998.860672291339</v>
      </c>
      <c r="M102" s="90">
        <f t="shared" ca="1" si="35"/>
        <v>8610.7946311920387</v>
      </c>
    </row>
    <row r="103" spans="1:13">
      <c r="A103" s="9" t="s">
        <v>47</v>
      </c>
      <c r="B103" s="90">
        <f t="shared" si="36"/>
        <v>2201.46</v>
      </c>
      <c r="C103" s="90">
        <f t="shared" si="37"/>
        <v>58750.363020000004</v>
      </c>
      <c r="D103" s="116">
        <f t="shared" si="38"/>
        <v>83.542226793087337</v>
      </c>
      <c r="E103" s="116">
        <f t="shared" si="39"/>
        <v>2229.491406427122</v>
      </c>
      <c r="F103" s="116">
        <f t="shared" si="40"/>
        <v>352.23360000000002</v>
      </c>
      <c r="G103" s="90">
        <f t="shared" si="41"/>
        <v>2577.2932512000002</v>
      </c>
      <c r="H103" s="116">
        <f t="shared" si="42"/>
        <v>105.96067272000001</v>
      </c>
      <c r="I103" s="116">
        <f t="shared" si="43"/>
        <v>2966.89883616</v>
      </c>
      <c r="J103" s="90">
        <v>0</v>
      </c>
      <c r="K103" s="116">
        <f ca="1">Process_Diagram!$O$2*C103</f>
        <v>19977.818853921548</v>
      </c>
      <c r="L103" s="90">
        <f t="shared" ca="1" si="34"/>
        <v>30998.860672291339</v>
      </c>
      <c r="M103" s="90">
        <f t="shared" ca="1" si="35"/>
        <v>8610.7946311920387</v>
      </c>
    </row>
    <row r="104" spans="1:13">
      <c r="A104" s="9" t="s">
        <v>48</v>
      </c>
      <c r="B104" s="90">
        <f t="shared" si="36"/>
        <v>2360.4</v>
      </c>
      <c r="C104" s="90">
        <f t="shared" si="37"/>
        <v>62991.994800000008</v>
      </c>
      <c r="D104" s="116">
        <f t="shared" si="38"/>
        <v>89.573770189966368</v>
      </c>
      <c r="E104" s="116">
        <f t="shared" si="39"/>
        <v>2390.4552050596326</v>
      </c>
      <c r="F104" s="116">
        <f t="shared" si="40"/>
        <v>377.66400000000004</v>
      </c>
      <c r="G104" s="90">
        <f t="shared" si="41"/>
        <v>2763.3674880000003</v>
      </c>
      <c r="H104" s="116">
        <f t="shared" si="42"/>
        <v>113.61077280000001</v>
      </c>
      <c r="I104" s="116">
        <f t="shared" si="43"/>
        <v>3181.1016384000004</v>
      </c>
      <c r="J104" s="90">
        <v>0</v>
      </c>
      <c r="K104" s="116">
        <f ca="1">Process_Diagram!$O$2*C104</f>
        <v>21420.168262333373</v>
      </c>
      <c r="L104" s="90">
        <f t="shared" ca="1" si="34"/>
        <v>33236.902206207</v>
      </c>
      <c r="M104" s="90">
        <f t="shared" ca="1" si="35"/>
        <v>9232.4728350575006</v>
      </c>
    </row>
    <row r="105" spans="1:13">
      <c r="A105" s="9" t="s">
        <v>49</v>
      </c>
      <c r="B105" s="90">
        <f t="shared" si="36"/>
        <v>2514.62</v>
      </c>
      <c r="C105" s="90">
        <f t="shared" si="37"/>
        <v>67107.663939999999</v>
      </c>
      <c r="D105" s="116">
        <f t="shared" si="38"/>
        <v>95.426196405309781</v>
      </c>
      <c r="E105" s="116">
        <f t="shared" si="39"/>
        <v>2546.6389034685021</v>
      </c>
      <c r="F105" s="116">
        <f t="shared" si="40"/>
        <v>402.33920000000001</v>
      </c>
      <c r="G105" s="90">
        <f t="shared" si="41"/>
        <v>2943.9159264</v>
      </c>
      <c r="H105" s="116">
        <f t="shared" si="42"/>
        <v>121.03368984000001</v>
      </c>
      <c r="I105" s="116">
        <f t="shared" si="43"/>
        <v>3388.9433155200004</v>
      </c>
      <c r="J105" s="90">
        <v>0</v>
      </c>
      <c r="K105" s="116">
        <f ca="1">Process_Diagram!$O$2*C105</f>
        <v>22819.684594064031</v>
      </c>
      <c r="L105" s="90">
        <f t="shared" ca="1" si="34"/>
        <v>35408.481200547467</v>
      </c>
      <c r="M105" s="90">
        <f t="shared" ca="1" si="35"/>
        <v>9835.6892223742962</v>
      </c>
    </row>
    <row r="106" spans="1:13">
      <c r="A106" s="9" t="s">
        <v>50</v>
      </c>
      <c r="B106" s="90">
        <f t="shared" si="36"/>
        <v>2493.2600000000002</v>
      </c>
      <c r="C106" s="90">
        <f t="shared" si="37"/>
        <v>66537.629620000007</v>
      </c>
      <c r="D106" s="116">
        <f t="shared" si="38"/>
        <v>94.615615261750364</v>
      </c>
      <c r="E106" s="116">
        <f t="shared" si="39"/>
        <v>2525.006924490332</v>
      </c>
      <c r="F106" s="116">
        <f t="shared" si="40"/>
        <v>398.92160000000007</v>
      </c>
      <c r="G106" s="90">
        <f t="shared" si="41"/>
        <v>2918.9093472000004</v>
      </c>
      <c r="H106" s="116">
        <f t="shared" si="42"/>
        <v>120.00559032000001</v>
      </c>
      <c r="I106" s="116">
        <f t="shared" si="43"/>
        <v>3360.1565289600003</v>
      </c>
      <c r="J106" s="90">
        <v>0</v>
      </c>
      <c r="K106" s="116">
        <f ca="1">Process_Diagram!$O$2*C106</f>
        <v>22625.846772473014</v>
      </c>
      <c r="L106" s="90">
        <f t="shared" ca="1" si="34"/>
        <v>35107.710046876658</v>
      </c>
      <c r="M106" s="90">
        <f t="shared" ca="1" si="35"/>
        <v>9752.1416796879603</v>
      </c>
    </row>
    <row r="107" spans="1:13" s="47" customFormat="1" ht="15.75" thickBot="1">
      <c r="A107" s="69" t="s">
        <v>84</v>
      </c>
      <c r="B107" s="68">
        <f t="shared" si="36"/>
        <v>28107.82</v>
      </c>
      <c r="C107" s="68">
        <f t="shared" si="37"/>
        <v>750113.39234000002</v>
      </c>
      <c r="D107" s="68">
        <f t="shared" si="38"/>
        <v>1066.6511647267159</v>
      </c>
      <c r="E107" s="68">
        <f t="shared" si="39"/>
        <v>28465.719633061868</v>
      </c>
      <c r="F107" s="68">
        <f t="shared" si="40"/>
        <v>4497.2511999999997</v>
      </c>
      <c r="G107" s="68">
        <f t="shared" si="41"/>
        <v>32906.387030400001</v>
      </c>
      <c r="H107" s="68">
        <f t="shared" si="42"/>
        <v>1352.8855922400001</v>
      </c>
      <c r="I107" s="68">
        <f t="shared" si="43"/>
        <v>37880.796582720002</v>
      </c>
      <c r="J107" s="68">
        <f>SUM(J95:J106)</f>
        <v>0</v>
      </c>
      <c r="K107" s="68">
        <f ca="1">Process_Diagram!$O$2*C107</f>
        <v>255072.96809328045</v>
      </c>
      <c r="L107" s="91">
        <f t="shared" ca="1" si="34"/>
        <v>395787.52100053767</v>
      </c>
      <c r="M107" s="91">
        <f t="shared" ca="1" si="35"/>
        <v>109940.97805570491</v>
      </c>
    </row>
    <row r="108" spans="1:13" ht="15.75" thickTop="1"/>
    <row r="109" spans="1:13" s="45" customFormat="1">
      <c r="A109" s="89" t="s">
        <v>141</v>
      </c>
      <c r="L109" s="88"/>
      <c r="M109" s="88"/>
    </row>
    <row r="110" spans="1:13" s="2" customFormat="1">
      <c r="L110" s="14"/>
      <c r="M110" s="14"/>
    </row>
    <row r="111" spans="1:13" ht="45">
      <c r="A111" s="83" t="s">
        <v>34</v>
      </c>
      <c r="B111" s="84" t="s">
        <v>35</v>
      </c>
      <c r="C111" s="84" t="s">
        <v>53</v>
      </c>
      <c r="D111" s="84" t="s">
        <v>36</v>
      </c>
      <c r="E111" s="84" t="s">
        <v>54</v>
      </c>
      <c r="F111" s="84" t="s">
        <v>37</v>
      </c>
      <c r="G111" s="96" t="s">
        <v>55</v>
      </c>
      <c r="H111" s="84" t="s">
        <v>38</v>
      </c>
      <c r="I111" s="84" t="s">
        <v>56</v>
      </c>
      <c r="J111" s="84" t="s">
        <v>57</v>
      </c>
      <c r="K111" s="84" t="s">
        <v>58</v>
      </c>
      <c r="L111" s="96" t="s">
        <v>144</v>
      </c>
      <c r="M111" s="96" t="s">
        <v>60</v>
      </c>
    </row>
    <row r="112" spans="1:13">
      <c r="A112" s="9" t="s">
        <v>39</v>
      </c>
      <c r="B112" s="90">
        <f>B59</f>
        <v>2650.47</v>
      </c>
      <c r="C112" s="90">
        <f>B112*$C$6</f>
        <v>70733.09289</v>
      </c>
      <c r="D112" s="116">
        <f>D59</f>
        <v>100.58150765776992</v>
      </c>
      <c r="E112" s="116">
        <f>D112*$C$6</f>
        <v>2684.218694862906</v>
      </c>
      <c r="F112" s="116">
        <f>F59</f>
        <v>424.0752</v>
      </c>
      <c r="G112" s="90">
        <f>F112*$C$10</f>
        <v>3102.9582384</v>
      </c>
      <c r="H112" s="116">
        <f>H59</f>
        <v>127.57242204000001</v>
      </c>
      <c r="I112" s="116">
        <f>H112*$C$14</f>
        <v>3572.0278171200002</v>
      </c>
      <c r="J112" s="90">
        <v>0</v>
      </c>
      <c r="K112" s="116">
        <f ca="1">Process_Diagram!$O$2*C112</f>
        <v>24052.496769304664</v>
      </c>
      <c r="L112" s="90">
        <f t="shared" ref="L112:L124" ca="1" si="44">C112-E112-G112-I112+J112-K112</f>
        <v>37321.391370312427</v>
      </c>
      <c r="M112" s="90">
        <f t="shared" ref="M112:M124" ca="1" si="45">L112/3.6</f>
        <v>10367.053158420118</v>
      </c>
    </row>
    <row r="113" spans="1:13">
      <c r="A113" s="9" t="s">
        <v>40</v>
      </c>
      <c r="B113" s="90">
        <f t="shared" ref="B113:B124" si="46">B60</f>
        <v>2440.29</v>
      </c>
      <c r="C113" s="90">
        <f t="shared" ref="C113:C124" si="47">B113*$C$6</f>
        <v>65124.019230000005</v>
      </c>
      <c r="D113" s="116">
        <f t="shared" ref="D113:D124" si="48">D60</f>
        <v>92.605480281678112</v>
      </c>
      <c r="E113" s="116">
        <f t="shared" ref="E113:E124" si="49">D113*$C$6</f>
        <v>2471.3624522771438</v>
      </c>
      <c r="F113" s="116">
        <f t="shared" ref="F113:F124" si="50">F60</f>
        <v>390.44639999999998</v>
      </c>
      <c r="G113" s="90">
        <f t="shared" ref="G113:G124" si="51">F113*$C$10</f>
        <v>2856.8963088</v>
      </c>
      <c r="H113" s="116">
        <f t="shared" ref="H113:H124" si="52">H60</f>
        <v>117.45603828000002</v>
      </c>
      <c r="I113" s="116">
        <f t="shared" ref="I113:I124" si="53">H113*$C$14</f>
        <v>3288.7690718400004</v>
      </c>
      <c r="J113" s="90">
        <v>0</v>
      </c>
      <c r="K113" s="116">
        <f ca="1">Process_Diagram!$O$2*C113</f>
        <v>22145.154384379555</v>
      </c>
      <c r="L113" s="90">
        <f t="shared" ca="1" si="44"/>
        <v>34361.837012703312</v>
      </c>
      <c r="M113" s="90">
        <f t="shared" ca="1" si="45"/>
        <v>9544.9547257509203</v>
      </c>
    </row>
    <row r="114" spans="1:13">
      <c r="A114" s="9" t="s">
        <v>41</v>
      </c>
      <c r="B114" s="90">
        <f t="shared" si="46"/>
        <v>2571.5</v>
      </c>
      <c r="C114" s="90">
        <f t="shared" si="47"/>
        <v>68625.620500000005</v>
      </c>
      <c r="D114" s="116">
        <f t="shared" si="48"/>
        <v>97.584710237035452</v>
      </c>
      <c r="E114" s="116">
        <f t="shared" si="49"/>
        <v>2604.243162095765</v>
      </c>
      <c r="F114" s="116">
        <f t="shared" si="50"/>
        <v>411.44</v>
      </c>
      <c r="G114" s="90">
        <f t="shared" si="51"/>
        <v>3010.50648</v>
      </c>
      <c r="H114" s="116">
        <f t="shared" si="52"/>
        <v>123.771438</v>
      </c>
      <c r="I114" s="116">
        <f t="shared" si="53"/>
        <v>3465.6002640000002</v>
      </c>
      <c r="J114" s="90">
        <v>0</v>
      </c>
      <c r="K114" s="116">
        <f ca="1">Process_Diagram!$O$2*C114</f>
        <v>23335.859467289556</v>
      </c>
      <c r="L114" s="90">
        <f t="shared" ca="1" si="44"/>
        <v>36209.411126614687</v>
      </c>
      <c r="M114" s="90">
        <f t="shared" ca="1" si="45"/>
        <v>10058.169757392969</v>
      </c>
    </row>
    <row r="115" spans="1:13">
      <c r="A115" s="9" t="s">
        <v>42</v>
      </c>
      <c r="B115" s="90">
        <f t="shared" si="46"/>
        <v>2215.41</v>
      </c>
      <c r="C115" s="90">
        <f t="shared" si="47"/>
        <v>59122.646670000002</v>
      </c>
      <c r="D115" s="116">
        <f t="shared" si="48"/>
        <v>84.071609141058019</v>
      </c>
      <c r="E115" s="116">
        <f t="shared" si="49"/>
        <v>2243.6190331474154</v>
      </c>
      <c r="F115" s="116">
        <f t="shared" si="50"/>
        <v>354.46559999999999</v>
      </c>
      <c r="G115" s="90">
        <f t="shared" si="51"/>
        <v>2593.6247951999999</v>
      </c>
      <c r="H115" s="116">
        <f t="shared" si="52"/>
        <v>106.63211412</v>
      </c>
      <c r="I115" s="116">
        <f t="shared" si="53"/>
        <v>2985.69919536</v>
      </c>
      <c r="J115" s="90">
        <v>0</v>
      </c>
      <c r="K115" s="116">
        <f ca="1">Process_Diagram!$O$2*C115</f>
        <v>20104.412375044896</v>
      </c>
      <c r="L115" s="90">
        <f t="shared" ca="1" si="44"/>
        <v>31195.291271247694</v>
      </c>
      <c r="M115" s="90">
        <f t="shared" ca="1" si="45"/>
        <v>8665.3586864576919</v>
      </c>
    </row>
    <row r="116" spans="1:13">
      <c r="A116" s="9" t="s">
        <v>43</v>
      </c>
      <c r="B116" s="90">
        <f t="shared" si="46"/>
        <v>2470.31</v>
      </c>
      <c r="C116" s="90">
        <f t="shared" si="47"/>
        <v>65925.162970000005</v>
      </c>
      <c r="D116" s="116">
        <f t="shared" si="48"/>
        <v>93.744695915088883</v>
      </c>
      <c r="E116" s="116">
        <f t="shared" si="49"/>
        <v>2501.7646998859773</v>
      </c>
      <c r="F116" s="116">
        <f t="shared" si="50"/>
        <v>395.24959999999999</v>
      </c>
      <c r="G116" s="90">
        <f t="shared" si="51"/>
        <v>2892.0413232000001</v>
      </c>
      <c r="H116" s="116">
        <f t="shared" si="52"/>
        <v>118.90096092</v>
      </c>
      <c r="I116" s="116">
        <f t="shared" si="53"/>
        <v>3329.2269057600001</v>
      </c>
      <c r="J116" s="90">
        <v>0</v>
      </c>
      <c r="K116" s="116">
        <f ca="1">Process_Diagram!$O$2*C116</f>
        <v>22417.580011915248</v>
      </c>
      <c r="L116" s="90">
        <f t="shared" ca="1" si="44"/>
        <v>34784.550029238781</v>
      </c>
      <c r="M116" s="90">
        <f t="shared" ca="1" si="45"/>
        <v>9662.3750081218841</v>
      </c>
    </row>
    <row r="117" spans="1:13">
      <c r="A117" s="9" t="s">
        <v>44</v>
      </c>
      <c r="B117" s="90">
        <f t="shared" si="46"/>
        <v>2389.41</v>
      </c>
      <c r="C117" s="90">
        <f t="shared" si="47"/>
        <v>63766.184670000002</v>
      </c>
      <c r="D117" s="116">
        <f t="shared" si="48"/>
        <v>90.674657782412936</v>
      </c>
      <c r="E117" s="116">
        <f t="shared" si="49"/>
        <v>2419.8345922392541</v>
      </c>
      <c r="F117" s="116">
        <f t="shared" si="50"/>
        <v>382.30559999999997</v>
      </c>
      <c r="G117" s="90">
        <f t="shared" si="51"/>
        <v>2797.3300752</v>
      </c>
      <c r="H117" s="116">
        <f t="shared" si="52"/>
        <v>115.00708212000001</v>
      </c>
      <c r="I117" s="116">
        <f t="shared" si="53"/>
        <v>3220.1982993600004</v>
      </c>
      <c r="J117" s="90">
        <v>0</v>
      </c>
      <c r="K117" s="116">
        <f ca="1">Process_Diagram!$O$2*C117</f>
        <v>21683.428337443645</v>
      </c>
      <c r="L117" s="90">
        <f t="shared" ca="1" si="44"/>
        <v>33645.393365757103</v>
      </c>
      <c r="M117" s="90">
        <f t="shared" ca="1" si="45"/>
        <v>9345.9426015991958</v>
      </c>
    </row>
    <row r="118" spans="1:13">
      <c r="A118" s="9" t="s">
        <v>45</v>
      </c>
      <c r="B118" s="90">
        <f t="shared" si="46"/>
        <v>2481.04</v>
      </c>
      <c r="C118" s="90">
        <f t="shared" si="47"/>
        <v>66211.514479999998</v>
      </c>
      <c r="D118" s="116">
        <f t="shared" si="48"/>
        <v>94.1518839146391</v>
      </c>
      <c r="E118" s="116">
        <f t="shared" si="49"/>
        <v>2512.6313260299739</v>
      </c>
      <c r="F118" s="116">
        <f t="shared" si="50"/>
        <v>396.96640000000002</v>
      </c>
      <c r="G118" s="90">
        <f t="shared" si="51"/>
        <v>2904.6031488000003</v>
      </c>
      <c r="H118" s="116">
        <f t="shared" si="52"/>
        <v>119.41741728</v>
      </c>
      <c r="I118" s="116">
        <f t="shared" si="53"/>
        <v>3343.6876838399999</v>
      </c>
      <c r="J118" s="90">
        <v>0</v>
      </c>
      <c r="K118" s="116">
        <f ca="1">Process_Diagram!$O$2*C118</f>
        <v>22514.952662929834</v>
      </c>
      <c r="L118" s="90">
        <f t="shared" ca="1" si="44"/>
        <v>34935.639658400192</v>
      </c>
      <c r="M118" s="90">
        <f t="shared" ca="1" si="45"/>
        <v>9704.3443495556094</v>
      </c>
    </row>
    <row r="119" spans="1:13">
      <c r="A119" s="9" t="s">
        <v>46</v>
      </c>
      <c r="B119" s="90">
        <f t="shared" si="46"/>
        <v>2520.88</v>
      </c>
      <c r="C119" s="90">
        <f t="shared" si="47"/>
        <v>67274.724560000002</v>
      </c>
      <c r="D119" s="116">
        <f t="shared" si="48"/>
        <v>95.663754362176917</v>
      </c>
      <c r="E119" s="116">
        <f t="shared" si="49"/>
        <v>2552.9786126634153</v>
      </c>
      <c r="F119" s="116">
        <f t="shared" si="50"/>
        <v>403.3408</v>
      </c>
      <c r="G119" s="90">
        <f t="shared" si="51"/>
        <v>2951.2446336000003</v>
      </c>
      <c r="H119" s="116">
        <f t="shared" si="52"/>
        <v>121.33499616000002</v>
      </c>
      <c r="I119" s="116">
        <f t="shared" si="53"/>
        <v>3397.3798924800003</v>
      </c>
      <c r="J119" s="90">
        <v>0</v>
      </c>
      <c r="K119" s="116">
        <f ca="1">Process_Diagram!$O$2*C119</f>
        <v>22876.49286949286</v>
      </c>
      <c r="L119" s="90">
        <f t="shared" ca="1" si="44"/>
        <v>35496.62855176373</v>
      </c>
      <c r="M119" s="90">
        <f t="shared" ca="1" si="45"/>
        <v>9860.1745977121464</v>
      </c>
    </row>
    <row r="120" spans="1:13">
      <c r="A120" s="9" t="s">
        <v>47</v>
      </c>
      <c r="B120" s="90">
        <f t="shared" si="46"/>
        <v>1278.5899999999999</v>
      </c>
      <c r="C120" s="90">
        <f t="shared" si="47"/>
        <v>34121.731330000002</v>
      </c>
      <c r="D120" s="116">
        <f t="shared" si="48"/>
        <v>48.520643461781511</v>
      </c>
      <c r="E120" s="116">
        <f t="shared" si="49"/>
        <v>1294.8704120645632</v>
      </c>
      <c r="F120" s="116">
        <f t="shared" si="50"/>
        <v>204.5744</v>
      </c>
      <c r="G120" s="90">
        <f t="shared" si="51"/>
        <v>1496.8708848000001</v>
      </c>
      <c r="H120" s="116">
        <f t="shared" si="52"/>
        <v>61.541093879999998</v>
      </c>
      <c r="I120" s="116">
        <f t="shared" si="53"/>
        <v>1723.1506286399999</v>
      </c>
      <c r="J120" s="90">
        <v>0</v>
      </c>
      <c r="K120" s="116">
        <f ca="1">Process_Diagram!$O$2*C120</f>
        <v>11602.954134272506</v>
      </c>
      <c r="L120" s="90">
        <f t="shared" ca="1" si="44"/>
        <v>18003.885270222934</v>
      </c>
      <c r="M120" s="90">
        <f t="shared" ca="1" si="45"/>
        <v>5001.0792417285929</v>
      </c>
    </row>
    <row r="121" spans="1:13">
      <c r="A121" s="9" t="s">
        <v>48</v>
      </c>
      <c r="B121" s="90">
        <f t="shared" si="46"/>
        <v>2480.54</v>
      </c>
      <c r="C121" s="90">
        <f t="shared" si="47"/>
        <v>66198.170979999995</v>
      </c>
      <c r="D121" s="116">
        <f t="shared" si="48"/>
        <v>94.132909636934059</v>
      </c>
      <c r="E121" s="116">
        <f t="shared" si="49"/>
        <v>2512.1249594808592</v>
      </c>
      <c r="F121" s="116">
        <f t="shared" si="50"/>
        <v>396.88639999999998</v>
      </c>
      <c r="G121" s="90">
        <f t="shared" si="51"/>
        <v>2904.0177887999998</v>
      </c>
      <c r="H121" s="116">
        <f t="shared" si="52"/>
        <v>119.39335128000002</v>
      </c>
      <c r="I121" s="116">
        <f t="shared" si="53"/>
        <v>3343.0138358400004</v>
      </c>
      <c r="J121" s="90">
        <v>0</v>
      </c>
      <c r="K121" s="116">
        <f ca="1">Process_Diagram!$O$2*C121</f>
        <v>22510.415260739032</v>
      </c>
      <c r="L121" s="90">
        <f t="shared" ca="1" si="44"/>
        <v>34928.599135140103</v>
      </c>
      <c r="M121" s="90">
        <f t="shared" ca="1" si="45"/>
        <v>9702.3886486500287</v>
      </c>
    </row>
    <row r="122" spans="1:13">
      <c r="A122" s="9" t="s">
        <v>49</v>
      </c>
      <c r="B122" s="90">
        <f t="shared" si="46"/>
        <v>2370.09</v>
      </c>
      <c r="C122" s="90">
        <f t="shared" si="47"/>
        <v>63250.591830000005</v>
      </c>
      <c r="D122" s="116">
        <f t="shared" si="48"/>
        <v>89.941491691890093</v>
      </c>
      <c r="E122" s="116">
        <f t="shared" si="49"/>
        <v>2400.268588781471</v>
      </c>
      <c r="F122" s="116">
        <f t="shared" si="50"/>
        <v>379.21440000000001</v>
      </c>
      <c r="G122" s="90">
        <f t="shared" si="51"/>
        <v>2774.7117648000003</v>
      </c>
      <c r="H122" s="116">
        <f t="shared" si="52"/>
        <v>114.07717188000001</v>
      </c>
      <c r="I122" s="116">
        <f t="shared" si="53"/>
        <v>3194.1608126400001</v>
      </c>
      <c r="J122" s="90">
        <v>0</v>
      </c>
      <c r="K122" s="116">
        <f ca="1">Process_Diagram!$O$2*C122</f>
        <v>21508.103116791095</v>
      </c>
      <c r="L122" s="90">
        <f t="shared" ca="1" si="44"/>
        <v>33373.347546987439</v>
      </c>
      <c r="M122" s="90">
        <f t="shared" ca="1" si="45"/>
        <v>9270.3743186076226</v>
      </c>
    </row>
    <row r="123" spans="1:13">
      <c r="A123" s="9" t="s">
        <v>50</v>
      </c>
      <c r="B123" s="90">
        <f t="shared" si="46"/>
        <v>2398.87</v>
      </c>
      <c r="C123" s="90">
        <f t="shared" si="47"/>
        <v>64018.643689999997</v>
      </c>
      <c r="D123" s="116">
        <f t="shared" si="48"/>
        <v>91.033651116592353</v>
      </c>
      <c r="E123" s="116">
        <f t="shared" si="49"/>
        <v>2429.4150473485001</v>
      </c>
      <c r="F123" s="116">
        <f t="shared" si="50"/>
        <v>383.81919999999997</v>
      </c>
      <c r="G123" s="90">
        <f t="shared" si="51"/>
        <v>2808.4050863999996</v>
      </c>
      <c r="H123" s="116">
        <f t="shared" si="52"/>
        <v>115.46241084</v>
      </c>
      <c r="I123" s="116">
        <f t="shared" si="53"/>
        <v>3232.9475035200003</v>
      </c>
      <c r="J123" s="90">
        <v>0</v>
      </c>
      <c r="K123" s="116">
        <f ca="1">Process_Diagram!$O$2*C123</f>
        <v>21769.275986893597</v>
      </c>
      <c r="L123" s="90">
        <f t="shared" ca="1" si="44"/>
        <v>33778.600065837898</v>
      </c>
      <c r="M123" s="90">
        <f t="shared" ca="1" si="45"/>
        <v>9382.9444627327484</v>
      </c>
    </row>
    <row r="124" spans="1:13" s="47" customFormat="1" ht="15.75" thickBot="1">
      <c r="A124" s="69" t="s">
        <v>84</v>
      </c>
      <c r="B124" s="118">
        <f t="shared" si="46"/>
        <v>28267.4</v>
      </c>
      <c r="C124" s="118">
        <f t="shared" si="47"/>
        <v>754372.10380000004</v>
      </c>
      <c r="D124" s="118">
        <f t="shared" si="48"/>
        <v>1072.7069951990575</v>
      </c>
      <c r="E124" s="118">
        <f t="shared" si="49"/>
        <v>28627.33158087725</v>
      </c>
      <c r="F124" s="118">
        <f t="shared" si="50"/>
        <v>4522.7840000000006</v>
      </c>
      <c r="G124" s="118">
        <f t="shared" si="51"/>
        <v>33093.210528000003</v>
      </c>
      <c r="H124" s="118">
        <f t="shared" si="52"/>
        <v>1360.5664968000001</v>
      </c>
      <c r="I124" s="68">
        <f t="shared" si="53"/>
        <v>38095.861910400003</v>
      </c>
      <c r="J124" s="68">
        <f>SUM(J112:J123)</f>
        <v>0</v>
      </c>
      <c r="K124" s="68">
        <f ca="1">Process_Diagram!$O$2*C124</f>
        <v>256521.12537649649</v>
      </c>
      <c r="L124" s="118">
        <f t="shared" ca="1" si="44"/>
        <v>398034.57440422627</v>
      </c>
      <c r="M124" s="91">
        <f t="shared" ca="1" si="45"/>
        <v>110565.15955672952</v>
      </c>
    </row>
    <row r="125" spans="1:13" s="47" customFormat="1" ht="15.75" thickTop="1">
      <c r="A125" s="61"/>
      <c r="B125" s="98"/>
      <c r="C125" s="98"/>
      <c r="D125" s="99"/>
      <c r="E125" s="99"/>
      <c r="F125" s="99"/>
      <c r="G125" s="98"/>
      <c r="H125" s="99"/>
      <c r="I125" s="100"/>
      <c r="J125" s="99"/>
      <c r="K125" s="100"/>
      <c r="L125" s="98"/>
      <c r="M125" s="98"/>
    </row>
    <row r="126" spans="1:13" ht="15.75" thickBot="1">
      <c r="E126" s="17"/>
    </row>
    <row r="127" spans="1:13" s="50" customFormat="1" ht="15.75" thickBot="1">
      <c r="A127" s="49" t="s">
        <v>196</v>
      </c>
      <c r="D127" s="94"/>
      <c r="L127" s="93"/>
      <c r="M127" s="93"/>
    </row>
    <row r="128" spans="1:13">
      <c r="E128" s="20"/>
      <c r="F128" s="20"/>
      <c r="G128" s="20"/>
      <c r="H128" s="20"/>
    </row>
    <row r="129" spans="1:14" ht="18">
      <c r="A129" s="9">
        <v>2007</v>
      </c>
      <c r="B129" s="9"/>
      <c r="C129" s="90">
        <f>$J$36</f>
        <v>68602.83780633517</v>
      </c>
      <c r="D129" s="9" t="s">
        <v>223</v>
      </c>
      <c r="E129" s="11"/>
      <c r="F129" s="11"/>
      <c r="G129" s="11"/>
      <c r="H129" s="129"/>
    </row>
    <row r="130" spans="1:14" ht="18">
      <c r="A130" s="9">
        <v>2006</v>
      </c>
      <c r="B130" s="9"/>
      <c r="C130" s="90">
        <f>$J$54</f>
        <v>61027.946243273058</v>
      </c>
      <c r="D130" s="9" t="s">
        <v>224</v>
      </c>
      <c r="E130" s="11"/>
      <c r="F130" s="11"/>
      <c r="G130" s="11"/>
      <c r="H130" s="129"/>
    </row>
    <row r="131" spans="1:14" ht="18">
      <c r="A131" s="9">
        <v>2005</v>
      </c>
      <c r="B131" s="9"/>
      <c r="C131" s="90">
        <f>$J$71</f>
        <v>61374.427744204157</v>
      </c>
      <c r="D131" s="9" t="s">
        <v>225</v>
      </c>
      <c r="E131" s="11"/>
      <c r="F131" s="11"/>
      <c r="G131" s="11"/>
      <c r="H131" s="129"/>
    </row>
    <row r="132" spans="1:14" ht="18">
      <c r="A132" s="46" t="s">
        <v>64</v>
      </c>
      <c r="B132" s="46"/>
      <c r="C132" s="194">
        <f ca="1">(AVERAGE(C129:C131))/Process_Diagram!O10</f>
        <v>0.15419371002146906</v>
      </c>
      <c r="D132" s="46" t="s">
        <v>145</v>
      </c>
      <c r="E132" s="11"/>
      <c r="F132" s="11"/>
      <c r="G132" s="129"/>
      <c r="H132" s="20"/>
    </row>
    <row r="133" spans="1:14" ht="18">
      <c r="C133" s="185">
        <f ca="1">C132*1000</f>
        <v>154.19371002146906</v>
      </c>
      <c r="D133" s="101" t="s">
        <v>146</v>
      </c>
    </row>
    <row r="134" spans="1:14" ht="15.75" thickBot="1">
      <c r="C134" s="108"/>
      <c r="D134" s="101"/>
    </row>
    <row r="135" spans="1:14" s="50" customFormat="1" ht="15.75" thickBot="1">
      <c r="A135" s="49" t="s">
        <v>229</v>
      </c>
      <c r="L135" s="93"/>
      <c r="M135" s="93"/>
    </row>
    <row r="137" spans="1:14" s="46" customFormat="1">
      <c r="A137" s="89" t="s">
        <v>147</v>
      </c>
      <c r="L137" s="102"/>
      <c r="M137" s="102"/>
    </row>
    <row r="139" spans="1:14" ht="45">
      <c r="A139" s="84" t="s">
        <v>66</v>
      </c>
      <c r="B139" s="84" t="s">
        <v>245</v>
      </c>
      <c r="C139" s="84" t="s">
        <v>246</v>
      </c>
      <c r="D139" s="84" t="s">
        <v>17</v>
      </c>
      <c r="E139" s="84"/>
      <c r="F139" s="84"/>
      <c r="G139" s="84"/>
      <c r="H139" s="84"/>
      <c r="I139" s="103"/>
      <c r="L139"/>
      <c r="N139" s="5"/>
    </row>
    <row r="140" spans="1:14" s="105" customFormat="1">
      <c r="A140" s="104" t="s">
        <v>39</v>
      </c>
      <c r="B140" s="90">
        <f>'Brick Production'!B53*'Brick Production'!E69</f>
        <v>765528.92787796294</v>
      </c>
      <c r="C140" s="120">
        <f>AVERAGE(C141:C151)</f>
        <v>3.6589965191594562E-2</v>
      </c>
      <c r="D140" s="90">
        <f>C140*B140</f>
        <v>28010.676824213369</v>
      </c>
      <c r="E140" s="90"/>
      <c r="F140" s="90"/>
      <c r="G140" s="97"/>
      <c r="H140" s="97"/>
      <c r="I140" s="97"/>
      <c r="M140" s="106"/>
      <c r="N140" s="106"/>
    </row>
    <row r="141" spans="1:14" s="2" customFormat="1">
      <c r="A141" s="104" t="s">
        <v>40</v>
      </c>
      <c r="B141" s="117">
        <v>915301</v>
      </c>
      <c r="C141" s="121">
        <f>0.040646*K150</f>
        <v>3.6707005686032135E-2</v>
      </c>
      <c r="D141" s="90">
        <f>C141*B141</f>
        <v>33597.959011430896</v>
      </c>
      <c r="E141" s="90"/>
      <c r="F141" s="90"/>
      <c r="G141" s="97"/>
      <c r="H141" s="97"/>
      <c r="I141" s="97"/>
      <c r="M141" s="14"/>
      <c r="N141" s="14"/>
    </row>
    <row r="142" spans="1:14" s="2" customFormat="1">
      <c r="A142" s="104" t="s">
        <v>41</v>
      </c>
      <c r="B142" s="117">
        <v>990572</v>
      </c>
      <c r="C142" s="121">
        <f>0.040654*K150</f>
        <v>3.6714230407910997E-2</v>
      </c>
      <c r="D142" s="90">
        <f>C142*B142</f>
        <v>36368.088643625211</v>
      </c>
      <c r="E142" s="90"/>
      <c r="F142" s="90"/>
      <c r="G142" s="97"/>
      <c r="H142" s="97"/>
      <c r="I142" s="97"/>
      <c r="K142" s="2">
        <v>58300</v>
      </c>
      <c r="L142" s="107" t="s">
        <v>67</v>
      </c>
      <c r="M142" s="14" t="s">
        <v>244</v>
      </c>
      <c r="N142" s="14"/>
    </row>
    <row r="143" spans="1:14" s="2" customFormat="1">
      <c r="A143" s="104" t="s">
        <v>42</v>
      </c>
      <c r="B143" s="117">
        <v>992444</v>
      </c>
      <c r="C143" s="121">
        <f>0.040658*K150</f>
        <v>3.6717842768850428E-2</v>
      </c>
      <c r="D143" s="90">
        <f>C143*B143</f>
        <v>36440.402748888991</v>
      </c>
      <c r="E143" s="90"/>
      <c r="F143" s="90"/>
      <c r="G143" s="97"/>
      <c r="H143" s="97"/>
      <c r="I143" s="97"/>
      <c r="J143" s="108"/>
      <c r="K143" s="2">
        <f>K142/1000</f>
        <v>58.3</v>
      </c>
      <c r="L143" s="107" t="s">
        <v>68</v>
      </c>
      <c r="M143" s="14"/>
      <c r="N143" s="14"/>
    </row>
    <row r="144" spans="1:14" s="2" customFormat="1">
      <c r="A144" s="104" t="s">
        <v>43</v>
      </c>
      <c r="B144" s="117">
        <v>1014780</v>
      </c>
      <c r="C144" s="121">
        <f>0.040387*K150</f>
        <v>3.6473105315203952E-2</v>
      </c>
      <c r="D144" s="90">
        <f t="shared" ref="D144:D152" si="54">C144*B144</f>
        <v>37012.177811762667</v>
      </c>
      <c r="E144" s="90"/>
      <c r="F144" s="90"/>
      <c r="G144" s="97"/>
      <c r="H144" s="97"/>
      <c r="I144" s="97"/>
      <c r="K144" s="2">
        <f>K143/1000</f>
        <v>5.8299999999999998E-2</v>
      </c>
      <c r="L144" s="107" t="s">
        <v>69</v>
      </c>
      <c r="M144" s="14"/>
      <c r="N144" s="14"/>
    </row>
    <row r="145" spans="1:14" s="2" customFormat="1">
      <c r="A145" s="104" t="s">
        <v>44</v>
      </c>
      <c r="B145" s="117">
        <v>1001895</v>
      </c>
      <c r="C145" s="121">
        <f>0.040538*K150</f>
        <v>3.6609471940667486E-2</v>
      </c>
      <c r="D145" s="90">
        <f t="shared" si="54"/>
        <v>36678.846889995053</v>
      </c>
      <c r="E145" s="90"/>
      <c r="F145" s="90"/>
      <c r="G145" s="97"/>
      <c r="H145" s="97"/>
      <c r="I145" s="97"/>
      <c r="J145" s="2" t="s">
        <v>70</v>
      </c>
      <c r="K145" s="2">
        <f>K144*3.6</f>
        <v>0.20987999999999998</v>
      </c>
      <c r="L145" s="107" t="s">
        <v>62</v>
      </c>
      <c r="M145" s="14"/>
      <c r="N145" s="14"/>
    </row>
    <row r="146" spans="1:14" s="2" customFormat="1">
      <c r="A146" s="104" t="s">
        <v>45</v>
      </c>
      <c r="B146" s="117">
        <v>1017745</v>
      </c>
      <c r="C146" s="121">
        <f>0.040317*K150</f>
        <v>3.6409888998763899E-2</v>
      </c>
      <c r="D146" s="90">
        <f t="shared" si="54"/>
        <v>37055.982479046965</v>
      </c>
      <c r="E146" s="90"/>
      <c r="F146" s="90"/>
      <c r="G146" s="97"/>
      <c r="H146" s="97"/>
      <c r="I146" s="97"/>
      <c r="M146" s="14"/>
      <c r="N146" s="14"/>
    </row>
    <row r="147" spans="1:14" s="2" customFormat="1">
      <c r="A147" s="104" t="s">
        <v>46</v>
      </c>
      <c r="B147" s="117">
        <v>1033534</v>
      </c>
      <c r="C147" s="121">
        <f>0.040518*K150</f>
        <v>3.659141013597033E-2</v>
      </c>
      <c r="D147" s="90">
        <f t="shared" si="54"/>
        <v>37818.466483469958</v>
      </c>
      <c r="E147" s="90"/>
      <c r="F147" s="90"/>
      <c r="G147" s="97"/>
      <c r="H147" s="97"/>
      <c r="I147" s="97"/>
      <c r="M147" s="14"/>
      <c r="N147" s="14"/>
    </row>
    <row r="148" spans="1:14" s="2" customFormat="1">
      <c r="A148" s="104" t="s">
        <v>47</v>
      </c>
      <c r="B148" s="117">
        <v>957474</v>
      </c>
      <c r="C148" s="121">
        <f>0.040462*K150</f>
        <v>3.6540837082818287E-2</v>
      </c>
      <c r="D148" s="90">
        <f t="shared" si="54"/>
        <v>34986.901445034353</v>
      </c>
      <c r="E148" s="90"/>
      <c r="F148" s="90"/>
      <c r="G148" s="97"/>
      <c r="H148" s="97"/>
      <c r="I148" s="97"/>
      <c r="M148" s="14"/>
      <c r="N148" s="14"/>
    </row>
    <row r="149" spans="1:14" s="2" customFormat="1">
      <c r="A149" s="104" t="s">
        <v>48</v>
      </c>
      <c r="B149" s="117">
        <v>958541</v>
      </c>
      <c r="C149" s="121">
        <f>0.040402*K150</f>
        <v>3.6486651668726819E-2</v>
      </c>
      <c r="D149" s="90">
        <f t="shared" si="54"/>
        <v>34973.951577193075</v>
      </c>
      <c r="E149" s="90"/>
      <c r="F149" s="90"/>
      <c r="G149" s="97"/>
      <c r="H149" s="97"/>
      <c r="I149" s="97"/>
      <c r="M149" s="14"/>
      <c r="N149" s="14"/>
    </row>
    <row r="150" spans="1:14" s="2" customFormat="1">
      <c r="A150" s="104" t="s">
        <v>49</v>
      </c>
      <c r="B150" s="117">
        <v>939833</v>
      </c>
      <c r="C150" s="120">
        <f>0.040582*K150</f>
        <v>3.6649207911001236E-2</v>
      </c>
      <c r="D150" s="90">
        <f t="shared" si="54"/>
        <v>34444.135018620022</v>
      </c>
      <c r="E150" s="90"/>
      <c r="F150" s="90"/>
      <c r="G150" s="97"/>
      <c r="H150" s="97"/>
      <c r="I150" s="97"/>
      <c r="J150" s="2" t="s">
        <v>165</v>
      </c>
      <c r="K150" s="189">
        <f>36.53/40.45</f>
        <v>0.90309023485784912</v>
      </c>
      <c r="L150" s="2" t="s">
        <v>253</v>
      </c>
      <c r="M150" s="14"/>
      <c r="N150" s="14"/>
    </row>
    <row r="151" spans="1:14" s="2" customFormat="1">
      <c r="A151" s="104" t="s">
        <v>50</v>
      </c>
      <c r="B151" s="117">
        <f>AVERAGE(B141:B150)</f>
        <v>982211.9</v>
      </c>
      <c r="C151" s="120">
        <f>AVERAGE(C141:C150)</f>
        <v>3.6589965191594562E-2</v>
      </c>
      <c r="D151" s="90">
        <f t="shared" si="54"/>
        <v>35939.099231769957</v>
      </c>
      <c r="E151" s="117"/>
      <c r="F151" s="117"/>
      <c r="G151" s="117"/>
      <c r="H151" s="117"/>
      <c r="I151" s="117"/>
      <c r="M151" s="14"/>
      <c r="N151" s="14"/>
    </row>
    <row r="152" spans="1:14" s="2" customFormat="1" ht="15.75" thickBot="1">
      <c r="A152" s="109" t="s">
        <v>84</v>
      </c>
      <c r="B152" s="91">
        <f>SUM(B140:B151)</f>
        <v>11569859.827877963</v>
      </c>
      <c r="C152" s="122">
        <f>AVERAGE(C140:C151)</f>
        <v>3.6589965191594562E-2</v>
      </c>
      <c r="D152" s="91">
        <f t="shared" si="54"/>
        <v>423340.76837368292</v>
      </c>
      <c r="E152" s="91"/>
      <c r="F152" s="91"/>
      <c r="G152" s="91"/>
      <c r="H152" s="91"/>
      <c r="I152" s="91"/>
      <c r="M152" s="14"/>
      <c r="N152" s="14"/>
    </row>
    <row r="153" spans="1:14" ht="15.75" thickTop="1">
      <c r="A153" s="12" t="s">
        <v>252</v>
      </c>
      <c r="B153" s="196" t="s">
        <v>251</v>
      </c>
      <c r="C153" s="196" t="s">
        <v>251</v>
      </c>
      <c r="D153" s="5">
        <f>D152/3.6</f>
        <v>117594.65788157859</v>
      </c>
    </row>
    <row r="154" spans="1:14">
      <c r="A154" s="2"/>
      <c r="B154" s="2"/>
      <c r="C154" s="2"/>
      <c r="D154" s="2"/>
    </row>
    <row r="155" spans="1:14">
      <c r="A155" s="2"/>
      <c r="B155" s="2"/>
      <c r="C155" s="2"/>
      <c r="D155" s="190"/>
    </row>
    <row r="156" spans="1:14">
      <c r="D156" s="190"/>
    </row>
    <row r="157" spans="1:14">
      <c r="D157" s="190"/>
    </row>
    <row r="158" spans="1:14">
      <c r="D158" s="190"/>
    </row>
    <row r="159" spans="1:14">
      <c r="D159" s="190"/>
    </row>
    <row r="160" spans="1:14">
      <c r="A160" s="127"/>
      <c r="B160" s="128"/>
      <c r="C160" s="2"/>
      <c r="D160" s="190"/>
    </row>
    <row r="161" spans="1:4">
      <c r="A161" s="127"/>
      <c r="B161" s="128"/>
      <c r="C161" s="2"/>
      <c r="D161" s="190"/>
    </row>
    <row r="162" spans="1:4">
      <c r="A162" s="127"/>
      <c r="B162" s="128"/>
      <c r="C162" s="2"/>
      <c r="D162" s="190"/>
    </row>
    <row r="163" spans="1:4">
      <c r="A163" s="127"/>
      <c r="B163" s="128"/>
      <c r="C163" s="2"/>
      <c r="D163" s="190"/>
    </row>
    <row r="164" spans="1:4">
      <c r="A164" s="127"/>
      <c r="B164" s="128"/>
      <c r="C164" s="2"/>
      <c r="D164" s="190"/>
    </row>
    <row r="165" spans="1:4">
      <c r="A165" s="127"/>
      <c r="B165" s="128"/>
      <c r="C165" s="2"/>
      <c r="D165" s="190"/>
    </row>
    <row r="166" spans="1:4">
      <c r="A166" s="127"/>
      <c r="B166" s="128"/>
      <c r="C166" s="2"/>
      <c r="D166" s="190"/>
    </row>
    <row r="167" spans="1:4">
      <c r="A167" s="127"/>
      <c r="B167" s="128"/>
      <c r="C167" s="2"/>
      <c r="D167" s="2"/>
    </row>
    <row r="168" spans="1:4">
      <c r="A168" s="127"/>
      <c r="B168" s="128"/>
      <c r="C168" s="2"/>
      <c r="D168" s="2"/>
    </row>
    <row r="169" spans="1:4">
      <c r="A169" s="20"/>
      <c r="B169" s="129"/>
    </row>
  </sheetData>
  <mergeCells count="26">
    <mergeCell ref="A5:B5"/>
    <mergeCell ref="E6:H6"/>
    <mergeCell ref="E5:H5"/>
    <mergeCell ref="E7:H7"/>
    <mergeCell ref="A6:B6"/>
    <mergeCell ref="A7:B7"/>
    <mergeCell ref="A12:B12"/>
    <mergeCell ref="A11:B11"/>
    <mergeCell ref="A10:B10"/>
    <mergeCell ref="A9:B9"/>
    <mergeCell ref="A8:B8"/>
    <mergeCell ref="E17:H17"/>
    <mergeCell ref="A15:B15"/>
    <mergeCell ref="A14:B14"/>
    <mergeCell ref="A13:B13"/>
    <mergeCell ref="A16:B16"/>
    <mergeCell ref="E16:H16"/>
    <mergeCell ref="A17:B17"/>
    <mergeCell ref="E12:H12"/>
    <mergeCell ref="E13:H13"/>
    <mergeCell ref="E14:H14"/>
    <mergeCell ref="E15:H15"/>
    <mergeCell ref="E8:H8"/>
    <mergeCell ref="E9:H9"/>
    <mergeCell ref="E10:H10"/>
    <mergeCell ref="E11:H11"/>
  </mergeCells>
  <phoneticPr fontId="29" type="noConversion"/>
  <pageMargins left="0.7" right="0.7" top="0.75" bottom="0.75" header="0.3" footer="0.3"/>
  <pageSetup paperSize="9" orientation="portrait" horizontalDpi="1200" verticalDpi="1200" r:id="rId1"/>
  <ignoredErrors>
    <ignoredError sqref="A39 A21 A56 A75 A92 A109 A137" numberStoredAsText="1"/>
    <ignoredError sqref="C79:C90 G78:G90 C95:C106 E107 C112:G123 F95:G106 E95:E106 E78:E90 D91:E94 D78:D89 D95:D106 D59:D70 D42:D43 G124 D45:D53 G107 C124 E124 D31:D35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51"/>
  <sheetViews>
    <sheetView workbookViewId="0">
      <selection activeCell="A32" sqref="A32:B32"/>
    </sheetView>
  </sheetViews>
  <sheetFormatPr defaultRowHeight="15"/>
  <cols>
    <col min="1" max="1" width="13" customWidth="1"/>
    <col min="2" max="2" width="15.7109375" bestFit="1" customWidth="1"/>
    <col min="3" max="3" width="18.85546875" customWidth="1"/>
    <col min="4" max="4" width="18.5703125" customWidth="1"/>
    <col min="5" max="5" width="10.5703125" bestFit="1" customWidth="1"/>
    <col min="6" max="6" width="10.28515625" customWidth="1"/>
    <col min="8" max="8" width="10.5703125" bestFit="1" customWidth="1"/>
    <col min="10" max="10" width="13.7109375" bestFit="1" customWidth="1"/>
    <col min="11" max="11" width="14.7109375" bestFit="1" customWidth="1"/>
  </cols>
  <sheetData>
    <row r="1" spans="1:11" s="50" customFormat="1" ht="15.75" thickBot="1">
      <c r="A1" s="49" t="s">
        <v>132</v>
      </c>
    </row>
    <row r="3" spans="1:11">
      <c r="B3" s="226" t="s">
        <v>249</v>
      </c>
      <c r="C3" s="227"/>
    </row>
    <row r="4" spans="1:11">
      <c r="A4" s="67">
        <v>2005</v>
      </c>
      <c r="B4" s="67" t="s">
        <v>72</v>
      </c>
      <c r="C4" s="9" t="s">
        <v>73</v>
      </c>
      <c r="D4" s="9" t="s">
        <v>75</v>
      </c>
    </row>
    <row r="5" spans="1:11">
      <c r="A5" s="9" t="s">
        <v>39</v>
      </c>
      <c r="B5" s="117">
        <v>4718720</v>
      </c>
      <c r="C5" s="90">
        <f ca="1">Carbon_Energy_Balances!L112</f>
        <v>37321.391370312427</v>
      </c>
      <c r="D5" s="115">
        <f ca="1">C5/(B5/1000)</f>
        <v>7.9092193158976221</v>
      </c>
      <c r="F5" s="210" t="s">
        <v>262</v>
      </c>
      <c r="G5" s="9" t="s">
        <v>260</v>
      </c>
      <c r="H5" s="9" t="s">
        <v>264</v>
      </c>
      <c r="I5" s="9" t="s">
        <v>261</v>
      </c>
    </row>
    <row r="6" spans="1:11">
      <c r="A6" s="9" t="s">
        <v>40</v>
      </c>
      <c r="B6" s="117">
        <v>4413700</v>
      </c>
      <c r="C6" s="90">
        <f ca="1">Carbon_Energy_Balances!L113</f>
        <v>34361.837012703312</v>
      </c>
      <c r="D6" s="115">
        <f ca="1">C6/(B6/1000)</f>
        <v>7.7852679186857543</v>
      </c>
      <c r="F6" s="9"/>
      <c r="G6" s="141">
        <f ca="1">MIN(D5:D50)</f>
        <v>6.7357411409063479</v>
      </c>
      <c r="H6" s="138">
        <f ca="1">AVERAGE(D17,D34,D50)</f>
        <v>8.0287805945898096</v>
      </c>
      <c r="I6" s="141">
        <f ca="1">MAX(D5:D50)</f>
        <v>10.31020447513632</v>
      </c>
      <c r="J6" s="199"/>
      <c r="K6" s="5"/>
    </row>
    <row r="7" spans="1:11">
      <c r="A7" s="203" t="s">
        <v>41</v>
      </c>
      <c r="B7" s="206">
        <f ca="1">C7/8.02*1000</f>
        <v>4514889.1679070685</v>
      </c>
      <c r="C7" s="90">
        <f ca="1">Carbon_Energy_Balances!L114</f>
        <v>36209.411126614687</v>
      </c>
      <c r="D7" s="115">
        <f ca="1">C7/(B7/1000)</f>
        <v>8.02</v>
      </c>
      <c r="J7" s="200"/>
      <c r="K7" s="5"/>
    </row>
    <row r="8" spans="1:11">
      <c r="A8" s="9" t="s">
        <v>42</v>
      </c>
      <c r="B8" s="117">
        <v>4535910</v>
      </c>
      <c r="C8" s="90">
        <f ca="1">Carbon_Energy_Balances!L115</f>
        <v>31195.291271247694</v>
      </c>
      <c r="D8" s="115">
        <f t="shared" ref="D8:D16" ca="1" si="0">C8/(B8/1000)</f>
        <v>6.8774052552294238</v>
      </c>
      <c r="F8" s="211" t="s">
        <v>263</v>
      </c>
      <c r="G8" s="9" t="s">
        <v>260</v>
      </c>
      <c r="H8" s="9" t="s">
        <v>264</v>
      </c>
      <c r="I8" s="9" t="s">
        <v>261</v>
      </c>
      <c r="K8" s="5"/>
    </row>
    <row r="9" spans="1:11">
      <c r="A9" s="9" t="s">
        <v>43</v>
      </c>
      <c r="B9" s="117">
        <v>4452080</v>
      </c>
      <c r="C9" s="90">
        <f ca="1">Carbon_Energy_Balances!L116</f>
        <v>34784.550029238781</v>
      </c>
      <c r="D9" s="115">
        <f t="shared" ca="1" si="0"/>
        <v>7.8131008493195946</v>
      </c>
      <c r="F9" s="9"/>
      <c r="G9" s="141">
        <f>MIN(D53:D65)</f>
        <v>7.5013022473466524</v>
      </c>
      <c r="H9" s="141">
        <f>D65</f>
        <v>8.0244733468377429</v>
      </c>
      <c r="I9" s="141">
        <f>MAX(D53:D65)</f>
        <v>8.6678763531564194</v>
      </c>
      <c r="J9" s="200"/>
    </row>
    <row r="10" spans="1:11">
      <c r="A10" s="9" t="s">
        <v>44</v>
      </c>
      <c r="B10" s="117">
        <v>3263310</v>
      </c>
      <c r="C10" s="90">
        <f ca="1">Carbon_Energy_Balances!L117</f>
        <v>33645.393365757103</v>
      </c>
      <c r="D10" s="115">
        <f t="shared" ca="1" si="0"/>
        <v>10.31020447513632</v>
      </c>
      <c r="H10" s="23"/>
      <c r="K10" s="201"/>
    </row>
    <row r="11" spans="1:11">
      <c r="A11" s="9" t="s">
        <v>45</v>
      </c>
      <c r="B11" s="117">
        <v>4522780</v>
      </c>
      <c r="C11" s="90">
        <f ca="1">Carbon_Energy_Balances!L118</f>
        <v>34935.639658400192</v>
      </c>
      <c r="D11" s="115">
        <f t="shared" ca="1" si="0"/>
        <v>7.7243729870566762</v>
      </c>
      <c r="H11" s="23"/>
      <c r="J11" s="202"/>
      <c r="K11" s="6"/>
    </row>
    <row r="12" spans="1:11">
      <c r="A12" s="9" t="s">
        <v>46</v>
      </c>
      <c r="B12" s="117">
        <v>4499550</v>
      </c>
      <c r="C12" s="90">
        <f ca="1">Carbon_Energy_Balances!L119</f>
        <v>35496.62855176373</v>
      </c>
      <c r="D12" s="115">
        <f t="shared" ca="1" si="0"/>
        <v>7.8889285710268204</v>
      </c>
      <c r="G12" s="197"/>
    </row>
    <row r="13" spans="1:11">
      <c r="A13" s="9" t="s">
        <v>47</v>
      </c>
      <c r="B13" s="117">
        <v>2078580</v>
      </c>
      <c r="C13" s="90">
        <f ca="1">Carbon_Energy_Balances!L120</f>
        <v>18003.885270222934</v>
      </c>
      <c r="D13" s="115">
        <f t="shared" ca="1" si="0"/>
        <v>8.6616272985513838</v>
      </c>
      <c r="G13" s="23"/>
    </row>
    <row r="14" spans="1:11">
      <c r="A14" s="9" t="s">
        <v>48</v>
      </c>
      <c r="B14" s="117">
        <v>3422890</v>
      </c>
      <c r="C14" s="90">
        <f ca="1">Carbon_Energy_Balances!L121</f>
        <v>34928.599135140103</v>
      </c>
      <c r="D14" s="115">
        <f t="shared" ca="1" si="0"/>
        <v>10.204417651499202</v>
      </c>
    </row>
    <row r="15" spans="1:11">
      <c r="A15" s="203" t="s">
        <v>49</v>
      </c>
      <c r="B15" s="206">
        <f ca="1">C15/8.02*1000</f>
        <v>4161265.2801729972</v>
      </c>
      <c r="C15" s="90">
        <f ca="1">Carbon_Energy_Balances!L122</f>
        <v>33373.347546987439</v>
      </c>
      <c r="D15" s="115">
        <f t="shared" ca="1" si="0"/>
        <v>8.02</v>
      </c>
    </row>
    <row r="16" spans="1:11">
      <c r="A16" s="9" t="s">
        <v>50</v>
      </c>
      <c r="B16" s="117">
        <v>3686500</v>
      </c>
      <c r="C16" s="90">
        <f ca="1">Carbon_Energy_Balances!L123</f>
        <v>33778.600065837898</v>
      </c>
      <c r="D16" s="115">
        <f t="shared" ca="1" si="0"/>
        <v>9.162783145487019</v>
      </c>
    </row>
    <row r="17" spans="1:6" ht="15.75" thickBot="1">
      <c r="A17" s="70" t="s">
        <v>84</v>
      </c>
      <c r="B17" s="71">
        <f ca="1">SUM(B5:B16)</f>
        <v>48270174.448080063</v>
      </c>
      <c r="C17" s="71">
        <f ca="1">Carbon_Energy_Balances!L124</f>
        <v>398034.57440422627</v>
      </c>
      <c r="D17" s="198">
        <f ca="1">C17/B17*1000</f>
        <v>8.2459733977625618</v>
      </c>
    </row>
    <row r="18" spans="1:6" ht="15.75" thickTop="1">
      <c r="C18" s="16"/>
      <c r="D18" s="209"/>
      <c r="E18" s="2"/>
    </row>
    <row r="19" spans="1:6">
      <c r="C19" s="16"/>
      <c r="D19" s="205"/>
      <c r="E19" s="108"/>
    </row>
    <row r="20" spans="1:6">
      <c r="B20" s="226" t="s">
        <v>249</v>
      </c>
      <c r="C20" s="227"/>
      <c r="D20" s="2"/>
      <c r="E20" s="2"/>
    </row>
    <row r="21" spans="1:6">
      <c r="A21" s="67">
        <v>2006</v>
      </c>
      <c r="B21" s="67" t="s">
        <v>72</v>
      </c>
      <c r="C21" s="9" t="s">
        <v>73</v>
      </c>
      <c r="D21" s="9" t="s">
        <v>75</v>
      </c>
    </row>
    <row r="22" spans="1:6">
      <c r="A22" s="9" t="s">
        <v>39</v>
      </c>
      <c r="B22" s="117">
        <v>4502580</v>
      </c>
      <c r="C22" s="90">
        <f ca="1">Carbon_Energy_Balances!L95</f>
        <v>33117.91736311157</v>
      </c>
      <c r="D22" s="115">
        <f ca="1">(C22/(B22/1000))</f>
        <v>7.3553201415880611</v>
      </c>
    </row>
    <row r="23" spans="1:6">
      <c r="A23" s="9" t="s">
        <v>40</v>
      </c>
      <c r="B23" s="117">
        <v>4134940</v>
      </c>
      <c r="C23" s="90">
        <f ca="1">Carbon_Energy_Balances!L96</f>
        <v>30290.443221861631</v>
      </c>
      <c r="D23" s="115">
        <f t="shared" ref="D23:D33" ca="1" si="1">(C23/(B23/1000))</f>
        <v>7.3254855504219245</v>
      </c>
      <c r="F23" s="17"/>
    </row>
    <row r="24" spans="1:6">
      <c r="A24" s="203" t="s">
        <v>41</v>
      </c>
      <c r="B24" s="206">
        <f ca="1">C24/8.02*1000</f>
        <v>4330817.2330972776</v>
      </c>
      <c r="C24" s="90">
        <f ca="1">Carbon_Energy_Balances!L97</f>
        <v>34733.154209440167</v>
      </c>
      <c r="D24" s="115">
        <f t="shared" ca="1" si="1"/>
        <v>8.02</v>
      </c>
    </row>
    <row r="25" spans="1:6">
      <c r="A25" s="9" t="s">
        <v>42</v>
      </c>
      <c r="B25" s="117">
        <v>4325830</v>
      </c>
      <c r="C25" s="90">
        <f ca="1">Carbon_Energy_Balances!L98</f>
        <v>34348.178397578748</v>
      </c>
      <c r="D25" s="115">
        <f t="shared" ca="1" si="1"/>
        <v>7.9402515581006989</v>
      </c>
    </row>
    <row r="26" spans="1:6">
      <c r="A26" s="9" t="s">
        <v>43</v>
      </c>
      <c r="B26" s="117">
        <v>4376330</v>
      </c>
      <c r="C26" s="90">
        <f ca="1">Carbon_Energy_Balances!L99</f>
        <v>29477.826027182677</v>
      </c>
      <c r="D26" s="115">
        <f t="shared" ca="1" si="1"/>
        <v>6.7357411409063479</v>
      </c>
    </row>
    <row r="27" spans="1:6">
      <c r="A27" s="9" t="s">
        <v>44</v>
      </c>
      <c r="B27" s="117">
        <v>4406630</v>
      </c>
      <c r="C27" s="90">
        <f ca="1">Carbon_Energy_Balances!L100</f>
        <v>32857.277192023248</v>
      </c>
      <c r="D27" s="115">
        <f t="shared" ca="1" si="1"/>
        <v>7.4563276680872335</v>
      </c>
    </row>
    <row r="28" spans="1:6">
      <c r="A28" s="9" t="s">
        <v>45</v>
      </c>
      <c r="B28" s="117">
        <v>4607620</v>
      </c>
      <c r="C28" s="90">
        <f ca="1">Carbon_Energy_Balances!L101</f>
        <v>35211.909791125901</v>
      </c>
      <c r="D28" s="115">
        <f t="shared" ca="1" si="1"/>
        <v>7.6421036871803452</v>
      </c>
    </row>
    <row r="29" spans="1:6">
      <c r="A29" s="9" t="s">
        <v>46</v>
      </c>
      <c r="B29" s="117">
        <v>3704680</v>
      </c>
      <c r="C29" s="90">
        <f ca="1">Carbon_Energy_Balances!L102</f>
        <v>30998.860672291339</v>
      </c>
      <c r="D29" s="115">
        <f t="shared" ca="1" si="1"/>
        <v>8.367486712021373</v>
      </c>
    </row>
    <row r="30" spans="1:6">
      <c r="A30" s="9" t="s">
        <v>47</v>
      </c>
      <c r="B30" s="117">
        <v>4412690</v>
      </c>
      <c r="C30" s="90">
        <f ca="1">Carbon_Energy_Balances!L103</f>
        <v>30998.860672291339</v>
      </c>
      <c r="D30" s="115">
        <f t="shared" ca="1" si="1"/>
        <v>7.0249350560069574</v>
      </c>
    </row>
    <row r="31" spans="1:6">
      <c r="A31" s="9" t="s">
        <v>48</v>
      </c>
      <c r="B31" s="117">
        <v>4652060</v>
      </c>
      <c r="C31" s="90">
        <f ca="1">Carbon_Energy_Balances!L104</f>
        <v>33236.902206207</v>
      </c>
      <c r="D31" s="115">
        <f t="shared" ca="1" si="1"/>
        <v>7.1445557895227054</v>
      </c>
    </row>
    <row r="32" spans="1:6">
      <c r="A32" s="9" t="s">
        <v>49</v>
      </c>
      <c r="B32" s="117">
        <v>4417740</v>
      </c>
      <c r="C32" s="90">
        <f ca="1">Carbon_Energy_Balances!L105</f>
        <v>35408.481200547467</v>
      </c>
      <c r="D32" s="115">
        <f t="shared" ca="1" si="1"/>
        <v>8.0150667989848809</v>
      </c>
    </row>
    <row r="33" spans="1:6">
      <c r="A33" s="9" t="s">
        <v>50</v>
      </c>
      <c r="B33" s="117">
        <v>4633880</v>
      </c>
      <c r="C33" s="90">
        <f ca="1">Carbon_Energy_Balances!L106</f>
        <v>35107.710046876658</v>
      </c>
      <c r="D33" s="115">
        <f t="shared" ca="1" si="1"/>
        <v>7.5763097117052354</v>
      </c>
    </row>
    <row r="34" spans="1:6" ht="15.75" thickBot="1">
      <c r="A34" s="70" t="s">
        <v>84</v>
      </c>
      <c r="B34" s="71">
        <f ca="1">SUM(B22:B33)</f>
        <v>52505797.233097278</v>
      </c>
      <c r="C34" s="71">
        <f ca="1">Carbon_Energy_Balances!L107</f>
        <v>395787.52100053767</v>
      </c>
      <c r="D34" s="198">
        <f ca="1">C34/B34*1000</f>
        <v>7.5379775540490437</v>
      </c>
    </row>
    <row r="35" spans="1:6" ht="16.5" thickTop="1" thickBot="1">
      <c r="D35" s="204"/>
      <c r="E35" s="17"/>
    </row>
    <row r="36" spans="1:6" ht="15.75" thickTop="1">
      <c r="B36" s="226" t="s">
        <v>249</v>
      </c>
      <c r="C36" s="227"/>
    </row>
    <row r="37" spans="1:6">
      <c r="A37" s="67">
        <v>2007</v>
      </c>
      <c r="B37" s="67" t="s">
        <v>72</v>
      </c>
      <c r="C37" s="9" t="s">
        <v>73</v>
      </c>
      <c r="D37" s="9" t="s">
        <v>75</v>
      </c>
    </row>
    <row r="38" spans="1:6">
      <c r="A38" s="9" t="s">
        <v>39</v>
      </c>
      <c r="B38" s="90">
        <v>4444000</v>
      </c>
      <c r="C38" s="90">
        <f ca="1">Carbon_Energy_Balances!L78</f>
        <v>37598.987996599884</v>
      </c>
      <c r="D38" s="115">
        <f ca="1">C38/(B38/1000)</f>
        <v>8.4606183610710808</v>
      </c>
      <c r="F38" s="5"/>
    </row>
    <row r="39" spans="1:6">
      <c r="A39" s="9" t="s">
        <v>40</v>
      </c>
      <c r="B39" s="90">
        <v>4308660</v>
      </c>
      <c r="C39" s="90">
        <f ca="1">Carbon_Energy_Balances!L79</f>
        <v>31566.837454520726</v>
      </c>
      <c r="D39" s="115">
        <f t="shared" ref="D39:D49" ca="1" si="2">C39/(B39/1000)</f>
        <v>7.3263700209626021</v>
      </c>
      <c r="F39" s="5"/>
    </row>
    <row r="40" spans="1:6">
      <c r="A40" s="9" t="s">
        <v>41</v>
      </c>
      <c r="B40" s="90">
        <v>4698520</v>
      </c>
      <c r="C40" s="90">
        <f ca="1">Carbon_Energy_Balances!L80</f>
        <v>34505.822033783727</v>
      </c>
      <c r="D40" s="115">
        <f t="shared" ca="1" si="2"/>
        <v>7.3439768339357334</v>
      </c>
      <c r="F40" s="5"/>
    </row>
    <row r="41" spans="1:6">
      <c r="A41" s="9" t="s">
        <v>42</v>
      </c>
      <c r="B41" s="90">
        <v>4410670</v>
      </c>
      <c r="C41" s="90">
        <f ca="1">Carbon_Energy_Balances!L81</f>
        <v>37816.484409940938</v>
      </c>
      <c r="D41" s="115">
        <f t="shared" ca="1" si="2"/>
        <v>8.573863927689203</v>
      </c>
      <c r="F41" s="5"/>
    </row>
    <row r="42" spans="1:6">
      <c r="A42" s="9" t="s">
        <v>43</v>
      </c>
      <c r="B42" s="90">
        <v>4325830</v>
      </c>
      <c r="C42" s="90">
        <f ca="1">Carbon_Energy_Balances!L82</f>
        <v>36136.12335486032</v>
      </c>
      <c r="D42" s="115">
        <f t="shared" ca="1" si="2"/>
        <v>8.3535699171859097</v>
      </c>
      <c r="F42" s="5"/>
    </row>
    <row r="43" spans="1:6">
      <c r="A43" s="9" t="s">
        <v>44</v>
      </c>
      <c r="B43" s="90">
        <v>4390470</v>
      </c>
      <c r="C43" s="90">
        <f ca="1">Carbon_Energy_Balances!L83</f>
        <v>36512.274032508663</v>
      </c>
      <c r="D43" s="115">
        <f t="shared" ca="1" si="2"/>
        <v>8.3162563535358771</v>
      </c>
      <c r="F43" s="5"/>
    </row>
    <row r="44" spans="1:6">
      <c r="A44" s="9" t="s">
        <v>45</v>
      </c>
      <c r="B44" s="90">
        <v>4603580</v>
      </c>
      <c r="C44" s="90">
        <f ca="1">Carbon_Energy_Balances!L84</f>
        <v>39685.739891514022</v>
      </c>
      <c r="D44" s="115">
        <f t="shared" ca="1" si="2"/>
        <v>8.6206256633997942</v>
      </c>
      <c r="F44" s="5"/>
    </row>
    <row r="45" spans="1:6">
      <c r="A45" s="9" t="s">
        <v>46</v>
      </c>
      <c r="B45" s="90">
        <v>4467230</v>
      </c>
      <c r="C45" s="90">
        <f ca="1">Carbon_Energy_Balances!L85</f>
        <v>39447.629394857948</v>
      </c>
      <c r="D45" s="115">
        <f t="shared" ca="1" si="2"/>
        <v>8.8304451292765211</v>
      </c>
      <c r="F45" s="5"/>
    </row>
    <row r="46" spans="1:6">
      <c r="A46" s="9" t="s">
        <v>47</v>
      </c>
      <c r="B46" s="90">
        <v>4662160</v>
      </c>
      <c r="C46" s="90">
        <f ca="1">Carbon_Energy_Balances!L86</f>
        <v>39334.558591301</v>
      </c>
      <c r="D46" s="115">
        <f t="shared" ca="1" si="2"/>
        <v>8.4369816976039012</v>
      </c>
      <c r="F46" s="5"/>
    </row>
    <row r="47" spans="1:6">
      <c r="A47" s="9" t="s">
        <v>48</v>
      </c>
      <c r="B47" s="90">
        <v>4528840</v>
      </c>
      <c r="C47" s="90">
        <f ca="1">Carbon_Energy_Balances!L87</f>
        <v>37858.020053196073</v>
      </c>
      <c r="D47" s="115">
        <f t="shared" ca="1" si="2"/>
        <v>8.3593193959592451</v>
      </c>
      <c r="F47" s="5"/>
    </row>
    <row r="48" spans="1:6">
      <c r="A48" s="9" t="s">
        <v>49</v>
      </c>
      <c r="B48" s="90">
        <v>4487430</v>
      </c>
      <c r="C48" s="90">
        <f ca="1">Carbon_Energy_Balances!L88</f>
        <v>36615.08607686076</v>
      </c>
      <c r="D48" s="115">
        <f t="shared" ca="1" si="2"/>
        <v>8.1594779365607391</v>
      </c>
      <c r="F48" s="5"/>
    </row>
    <row r="49" spans="1:6">
      <c r="A49" s="9" t="s">
        <v>50</v>
      </c>
      <c r="B49" s="90">
        <v>4261190</v>
      </c>
      <c r="C49" s="90">
        <f ca="1">Carbon_Energy_Balances!L89</f>
        <v>37835.771999694203</v>
      </c>
      <c r="D49" s="115">
        <f t="shared" ca="1" si="2"/>
        <v>8.8791562919499505</v>
      </c>
      <c r="F49" s="5"/>
    </row>
    <row r="50" spans="1:6" ht="15.75" thickBot="1">
      <c r="A50" s="70" t="s">
        <v>84</v>
      </c>
      <c r="B50" s="71">
        <f>SUM(B38:B49)</f>
        <v>53588580</v>
      </c>
      <c r="C50" s="71">
        <f ca="1">Carbon_Energy_Balances!L90</f>
        <v>444913.33528963826</v>
      </c>
      <c r="D50" s="198">
        <f ca="1">C50/B50*1000</f>
        <v>8.3023908319578226</v>
      </c>
      <c r="E50" s="17"/>
    </row>
    <row r="51" spans="1:6" ht="15.75" thickTop="1">
      <c r="F51" s="2"/>
    </row>
    <row r="52" spans="1:6">
      <c r="A52" s="67">
        <v>2008</v>
      </c>
      <c r="B52" s="67" t="s">
        <v>72</v>
      </c>
      <c r="C52" s="66" t="s">
        <v>73</v>
      </c>
      <c r="D52" s="66" t="s">
        <v>75</v>
      </c>
    </row>
    <row r="53" spans="1:6">
      <c r="A53" s="9" t="s">
        <v>39</v>
      </c>
      <c r="B53" s="90">
        <v>3490540</v>
      </c>
      <c r="C53" s="90">
        <f>Carbon_Energy_Balances!D140</f>
        <v>28010.676824213369</v>
      </c>
      <c r="D53" s="115">
        <f>C53/(B53/1000)</f>
        <v>8.0247402477018941</v>
      </c>
      <c r="F53" s="14"/>
    </row>
    <row r="54" spans="1:6">
      <c r="A54" s="9" t="s">
        <v>40</v>
      </c>
      <c r="B54" s="90">
        <v>4103240</v>
      </c>
      <c r="C54" s="90">
        <f>Carbon_Energy_Balances!D141</f>
        <v>33597.959011430896</v>
      </c>
      <c r="D54" s="115">
        <f t="shared" ref="D54:D64" si="3">C54/(B54/1000)</f>
        <v>8.1881535107453853</v>
      </c>
      <c r="F54" s="14"/>
    </row>
    <row r="55" spans="1:6">
      <c r="A55" s="9" t="s">
        <v>41</v>
      </c>
      <c r="B55" s="90">
        <v>4615320</v>
      </c>
      <c r="C55" s="90">
        <f>Carbon_Energy_Balances!D142</f>
        <v>36368.088643625211</v>
      </c>
      <c r="D55" s="115">
        <f t="shared" si="3"/>
        <v>7.8798628575321352</v>
      </c>
      <c r="F55" s="14"/>
    </row>
    <row r="56" spans="1:6">
      <c r="A56" s="9" t="s">
        <v>42</v>
      </c>
      <c r="B56" s="90">
        <v>4391707</v>
      </c>
      <c r="C56" s="90">
        <f>Carbon_Energy_Balances!D143</f>
        <v>36440.402748888991</v>
      </c>
      <c r="D56" s="115">
        <f t="shared" si="3"/>
        <v>8.2975487091668434</v>
      </c>
      <c r="F56" s="14"/>
    </row>
    <row r="57" spans="1:6">
      <c r="A57" s="9" t="s">
        <v>43</v>
      </c>
      <c r="B57" s="90">
        <v>4544016</v>
      </c>
      <c r="C57" s="90">
        <f>Carbon_Energy_Balances!D144</f>
        <v>37012.177811762667</v>
      </c>
      <c r="D57" s="115">
        <f t="shared" si="3"/>
        <v>8.1452569295008352</v>
      </c>
      <c r="F57" s="14"/>
    </row>
    <row r="58" spans="1:6">
      <c r="A58" s="9" t="s">
        <v>44</v>
      </c>
      <c r="B58" s="90">
        <v>4231584</v>
      </c>
      <c r="C58" s="90">
        <f>Carbon_Energy_Balances!D145</f>
        <v>36678.846889995053</v>
      </c>
      <c r="D58" s="115">
        <f t="shared" si="3"/>
        <v>8.6678763531564194</v>
      </c>
      <c r="F58" s="14"/>
    </row>
    <row r="59" spans="1:6">
      <c r="A59" s="9" t="s">
        <v>45</v>
      </c>
      <c r="B59" s="90">
        <v>4642656</v>
      </c>
      <c r="C59" s="90">
        <f>Carbon_Energy_Balances!D146</f>
        <v>37055.982479046965</v>
      </c>
      <c r="D59" s="115">
        <f t="shared" si="3"/>
        <v>7.98163432290632</v>
      </c>
      <c r="F59" s="14"/>
    </row>
    <row r="60" spans="1:6">
      <c r="A60" s="9" t="s">
        <v>46</v>
      </c>
      <c r="B60" s="90">
        <v>4539120</v>
      </c>
      <c r="C60" s="90">
        <f>Carbon_Energy_Balances!D147</f>
        <v>37818.466483469958</v>
      </c>
      <c r="D60" s="115">
        <f t="shared" si="3"/>
        <v>8.3316736467575119</v>
      </c>
      <c r="F60" s="14"/>
    </row>
    <row r="61" spans="1:6">
      <c r="A61" s="9" t="s">
        <v>47</v>
      </c>
      <c r="B61" s="90">
        <v>4576352</v>
      </c>
      <c r="C61" s="90">
        <f>Carbon_Energy_Balances!D148</f>
        <v>34986.901445034353</v>
      </c>
      <c r="D61" s="115">
        <f t="shared" si="3"/>
        <v>7.6451508636211454</v>
      </c>
      <c r="F61" s="14"/>
    </row>
    <row r="62" spans="1:6">
      <c r="A62" s="9" t="s">
        <v>48</v>
      </c>
      <c r="B62" s="90">
        <v>4662384</v>
      </c>
      <c r="C62" s="90">
        <f>Carbon_Energy_Balances!D149</f>
        <v>34973.951577193075</v>
      </c>
      <c r="D62" s="115">
        <f t="shared" si="3"/>
        <v>7.5013022473466524</v>
      </c>
      <c r="F62" s="14"/>
    </row>
    <row r="63" spans="1:6">
      <c r="A63" s="9" t="s">
        <v>49</v>
      </c>
      <c r="B63" s="90">
        <v>4561328</v>
      </c>
      <c r="C63" s="90">
        <f>Carbon_Energy_Balances!D150</f>
        <v>34444.135018620022</v>
      </c>
      <c r="D63" s="115">
        <f t="shared" si="3"/>
        <v>7.5513392193282352</v>
      </c>
      <c r="F63" s="14"/>
    </row>
    <row r="64" spans="1:6">
      <c r="A64" s="9" t="s">
        <v>50</v>
      </c>
      <c r="B64" s="90">
        <f>AVERAGE(B53:B63)</f>
        <v>4396204.2727272725</v>
      </c>
      <c r="C64" s="90">
        <f>Carbon_Energy_Balances!D151</f>
        <v>35939.099231769957</v>
      </c>
      <c r="D64" s="115">
        <f t="shared" si="3"/>
        <v>8.1750294122421252</v>
      </c>
      <c r="F64" s="14"/>
    </row>
    <row r="65" spans="1:6" ht="15.75" thickBot="1">
      <c r="A65" s="70" t="s">
        <v>84</v>
      </c>
      <c r="B65" s="71">
        <f>SUM(B53:B64)</f>
        <v>52754451.272727273</v>
      </c>
      <c r="C65" s="71">
        <f>SUM(C53:C64)</f>
        <v>423326.68816505047</v>
      </c>
      <c r="D65" s="72">
        <f>C65/(B65/1000)</f>
        <v>8.0244733468377429</v>
      </c>
      <c r="F65" s="2"/>
    </row>
    <row r="66" spans="1:6" ht="15.75" thickTop="1">
      <c r="B66" s="1" t="s">
        <v>250</v>
      </c>
      <c r="F66" s="2"/>
    </row>
    <row r="67" spans="1:6">
      <c r="A67" s="1" t="s">
        <v>220</v>
      </c>
    </row>
    <row r="68" spans="1:6" ht="28.5" customHeight="1">
      <c r="A68" s="165" t="s">
        <v>218</v>
      </c>
      <c r="B68" s="166" t="s">
        <v>216</v>
      </c>
      <c r="C68" s="9"/>
      <c r="D68" s="166"/>
      <c r="E68" s="166" t="s">
        <v>197</v>
      </c>
    </row>
    <row r="69" spans="1:6">
      <c r="A69" s="164">
        <f>SUM(B54:B64)</f>
        <v>49263911.272727273</v>
      </c>
      <c r="B69" s="10">
        <f>SUM(Carbon_Energy_Balances!B141:B151)</f>
        <v>10804330.9</v>
      </c>
      <c r="C69" s="9"/>
      <c r="D69" s="9"/>
      <c r="E69" s="141">
        <f>B69/A69</f>
        <v>0.21931532882532873</v>
      </c>
    </row>
    <row r="70" spans="1:6" ht="45">
      <c r="A70" s="165" t="s">
        <v>217</v>
      </c>
      <c r="B70" s="9"/>
      <c r="C70" s="166" t="s">
        <v>219</v>
      </c>
      <c r="D70" s="9"/>
      <c r="E70" s="9"/>
    </row>
    <row r="71" spans="1:6">
      <c r="A71" s="164">
        <f>AVERAGE(B54:B64)</f>
        <v>4478537.3884297526</v>
      </c>
      <c r="B71" s="9"/>
      <c r="C71" s="191">
        <f>AVERAGE(Carbon_Energy_Balances!C141:C151)</f>
        <v>3.6589965191594562E-2</v>
      </c>
      <c r="D71" s="9"/>
      <c r="E71" s="9">
        <f>C71/A71</f>
        <v>8.1700702747562847E-9</v>
      </c>
    </row>
    <row r="73" spans="1:6">
      <c r="C73" s="213" t="s">
        <v>265</v>
      </c>
      <c r="D73" s="213" t="s">
        <v>266</v>
      </c>
    </row>
    <row r="74" spans="1:6">
      <c r="A74" s="212">
        <v>38353</v>
      </c>
      <c r="B74" s="17">
        <f ca="1">D5</f>
        <v>7.9092193158976221</v>
      </c>
      <c r="C74" s="17">
        <f ca="1">AVERAGE($B$74:$B$121)-2*STDEV($B$74:$B$121)</f>
        <v>6.6551372796870867</v>
      </c>
      <c r="D74" s="17">
        <f ca="1">AVERAGE($B$74:$B$121)+2*STDEV($B$74:$B$121)</f>
        <v>9.471160267460899</v>
      </c>
    </row>
    <row r="75" spans="1:6">
      <c r="A75" s="212">
        <v>38384</v>
      </c>
      <c r="B75" s="17">
        <f t="shared" ref="B75:B85" ca="1" si="4">D6</f>
        <v>7.7852679186857543</v>
      </c>
      <c r="C75" s="17">
        <f t="shared" ref="C75:C121" ca="1" si="5">AVERAGE($B$74:$B$121)-2*STDEV($B$74:$B$121)</f>
        <v>6.6551372796870867</v>
      </c>
      <c r="D75" s="17">
        <f t="shared" ref="D75:D121" ca="1" si="6">AVERAGE($B$74:$B$121)+2*STDEV($B$74:$B$121)</f>
        <v>9.471160267460899</v>
      </c>
    </row>
    <row r="76" spans="1:6">
      <c r="A76" s="212">
        <v>38412</v>
      </c>
      <c r="B76" s="17">
        <f t="shared" ca="1" si="4"/>
        <v>8.02</v>
      </c>
      <c r="C76" s="17">
        <f t="shared" ca="1" si="5"/>
        <v>6.6551372796870867</v>
      </c>
      <c r="D76" s="17">
        <f t="shared" ca="1" si="6"/>
        <v>9.471160267460899</v>
      </c>
    </row>
    <row r="77" spans="1:6">
      <c r="A77" s="212">
        <v>38443</v>
      </c>
      <c r="B77" s="17">
        <f t="shared" ca="1" si="4"/>
        <v>6.8774052552294238</v>
      </c>
      <c r="C77" s="17">
        <f t="shared" ca="1" si="5"/>
        <v>6.6551372796870867</v>
      </c>
      <c r="D77" s="17">
        <f t="shared" ca="1" si="6"/>
        <v>9.471160267460899</v>
      </c>
    </row>
    <row r="78" spans="1:6">
      <c r="A78" s="212">
        <v>38473</v>
      </c>
      <c r="B78" s="17">
        <f t="shared" ca="1" si="4"/>
        <v>7.8131008493195946</v>
      </c>
      <c r="C78" s="17">
        <f t="shared" ca="1" si="5"/>
        <v>6.6551372796870867</v>
      </c>
      <c r="D78" s="17">
        <f t="shared" ca="1" si="6"/>
        <v>9.471160267460899</v>
      </c>
    </row>
    <row r="79" spans="1:6">
      <c r="A79" s="212">
        <v>38504</v>
      </c>
      <c r="B79" s="17">
        <f t="shared" ca="1" si="4"/>
        <v>10.31020447513632</v>
      </c>
      <c r="C79" s="17">
        <f t="shared" ca="1" si="5"/>
        <v>6.6551372796870867</v>
      </c>
      <c r="D79" s="17">
        <f t="shared" ca="1" si="6"/>
        <v>9.471160267460899</v>
      </c>
    </row>
    <row r="80" spans="1:6">
      <c r="A80" s="212">
        <v>38534</v>
      </c>
      <c r="B80" s="17">
        <f t="shared" ca="1" si="4"/>
        <v>7.7243729870566762</v>
      </c>
      <c r="C80" s="17">
        <f t="shared" ca="1" si="5"/>
        <v>6.6551372796870867</v>
      </c>
      <c r="D80" s="17">
        <f t="shared" ca="1" si="6"/>
        <v>9.471160267460899</v>
      </c>
    </row>
    <row r="81" spans="1:4">
      <c r="A81" s="212">
        <v>38565</v>
      </c>
      <c r="B81" s="17">
        <f t="shared" ca="1" si="4"/>
        <v>7.8889285710268204</v>
      </c>
      <c r="C81" s="17">
        <f t="shared" ca="1" si="5"/>
        <v>6.6551372796870867</v>
      </c>
      <c r="D81" s="17">
        <f t="shared" ca="1" si="6"/>
        <v>9.471160267460899</v>
      </c>
    </row>
    <row r="82" spans="1:4">
      <c r="A82" s="212">
        <v>38596</v>
      </c>
      <c r="B82" s="17">
        <f t="shared" ca="1" si="4"/>
        <v>8.6616272985513838</v>
      </c>
      <c r="C82" s="17">
        <f t="shared" ca="1" si="5"/>
        <v>6.6551372796870867</v>
      </c>
      <c r="D82" s="17">
        <f t="shared" ca="1" si="6"/>
        <v>9.471160267460899</v>
      </c>
    </row>
    <row r="83" spans="1:4">
      <c r="A83" s="212">
        <v>38626</v>
      </c>
      <c r="B83" s="17">
        <f t="shared" ca="1" si="4"/>
        <v>10.204417651499202</v>
      </c>
      <c r="C83" s="17">
        <f t="shared" ca="1" si="5"/>
        <v>6.6551372796870867</v>
      </c>
      <c r="D83" s="17">
        <f t="shared" ca="1" si="6"/>
        <v>9.471160267460899</v>
      </c>
    </row>
    <row r="84" spans="1:4">
      <c r="A84" s="212">
        <v>38657</v>
      </c>
      <c r="B84" s="17">
        <f t="shared" ca="1" si="4"/>
        <v>8.02</v>
      </c>
      <c r="C84" s="17">
        <f t="shared" ca="1" si="5"/>
        <v>6.6551372796870867</v>
      </c>
      <c r="D84" s="17">
        <f t="shared" ca="1" si="6"/>
        <v>9.471160267460899</v>
      </c>
    </row>
    <row r="85" spans="1:4">
      <c r="A85" s="212">
        <v>38687</v>
      </c>
      <c r="B85" s="17">
        <f t="shared" ca="1" si="4"/>
        <v>9.162783145487019</v>
      </c>
      <c r="C85" s="17">
        <f t="shared" ca="1" si="5"/>
        <v>6.6551372796870867</v>
      </c>
      <c r="D85" s="17">
        <f t="shared" ca="1" si="6"/>
        <v>9.471160267460899</v>
      </c>
    </row>
    <row r="86" spans="1:4">
      <c r="A86" s="212">
        <v>38718</v>
      </c>
      <c r="B86" s="17">
        <f ca="1">D22</f>
        <v>7.3553201415880611</v>
      </c>
      <c r="C86" s="17">
        <f t="shared" ca="1" si="5"/>
        <v>6.6551372796870867</v>
      </c>
      <c r="D86" s="17">
        <f t="shared" ca="1" si="6"/>
        <v>9.471160267460899</v>
      </c>
    </row>
    <row r="87" spans="1:4">
      <c r="A87" s="212">
        <v>38749</v>
      </c>
      <c r="B87" s="17">
        <f t="shared" ref="B87:B97" ca="1" si="7">D23</f>
        <v>7.3254855504219245</v>
      </c>
      <c r="C87" s="17">
        <f t="shared" ca="1" si="5"/>
        <v>6.6551372796870867</v>
      </c>
      <c r="D87" s="17">
        <f t="shared" ca="1" si="6"/>
        <v>9.471160267460899</v>
      </c>
    </row>
    <row r="88" spans="1:4">
      <c r="A88" s="212">
        <v>38777</v>
      </c>
      <c r="B88" s="17">
        <f t="shared" ca="1" si="7"/>
        <v>8.02</v>
      </c>
      <c r="C88" s="17">
        <f t="shared" ca="1" si="5"/>
        <v>6.6551372796870867</v>
      </c>
      <c r="D88" s="17">
        <f t="shared" ca="1" si="6"/>
        <v>9.471160267460899</v>
      </c>
    </row>
    <row r="89" spans="1:4">
      <c r="A89" s="212">
        <v>38808</v>
      </c>
      <c r="B89" s="17">
        <f t="shared" ca="1" si="7"/>
        <v>7.9402515581006989</v>
      </c>
      <c r="C89" s="17">
        <f t="shared" ca="1" si="5"/>
        <v>6.6551372796870867</v>
      </c>
      <c r="D89" s="17">
        <f t="shared" ca="1" si="6"/>
        <v>9.471160267460899</v>
      </c>
    </row>
    <row r="90" spans="1:4">
      <c r="A90" s="212">
        <v>38838</v>
      </c>
      <c r="B90" s="17">
        <f t="shared" ca="1" si="7"/>
        <v>6.7357411409063479</v>
      </c>
      <c r="C90" s="17">
        <f t="shared" ca="1" si="5"/>
        <v>6.6551372796870867</v>
      </c>
      <c r="D90" s="17">
        <f t="shared" ca="1" si="6"/>
        <v>9.471160267460899</v>
      </c>
    </row>
    <row r="91" spans="1:4">
      <c r="A91" s="212">
        <v>38869</v>
      </c>
      <c r="B91" s="17">
        <f t="shared" ca="1" si="7"/>
        <v>7.4563276680872335</v>
      </c>
      <c r="C91" s="17">
        <f t="shared" ca="1" si="5"/>
        <v>6.6551372796870867</v>
      </c>
      <c r="D91" s="17">
        <f t="shared" ca="1" si="6"/>
        <v>9.471160267460899</v>
      </c>
    </row>
    <row r="92" spans="1:4">
      <c r="A92" s="212">
        <v>38899</v>
      </c>
      <c r="B92" s="17">
        <f t="shared" ca="1" si="7"/>
        <v>7.6421036871803452</v>
      </c>
      <c r="C92" s="17">
        <f t="shared" ca="1" si="5"/>
        <v>6.6551372796870867</v>
      </c>
      <c r="D92" s="17">
        <f t="shared" ca="1" si="6"/>
        <v>9.471160267460899</v>
      </c>
    </row>
    <row r="93" spans="1:4">
      <c r="A93" s="212">
        <v>38930</v>
      </c>
      <c r="B93" s="17">
        <f t="shared" ca="1" si="7"/>
        <v>8.367486712021373</v>
      </c>
      <c r="C93" s="17">
        <f t="shared" ca="1" si="5"/>
        <v>6.6551372796870867</v>
      </c>
      <c r="D93" s="17">
        <f t="shared" ca="1" si="6"/>
        <v>9.471160267460899</v>
      </c>
    </row>
    <row r="94" spans="1:4">
      <c r="A94" s="212">
        <v>38961</v>
      </c>
      <c r="B94" s="17">
        <f t="shared" ca="1" si="7"/>
        <v>7.0249350560069574</v>
      </c>
      <c r="C94" s="17">
        <f t="shared" ca="1" si="5"/>
        <v>6.6551372796870867</v>
      </c>
      <c r="D94" s="17">
        <f t="shared" ca="1" si="6"/>
        <v>9.471160267460899</v>
      </c>
    </row>
    <row r="95" spans="1:4">
      <c r="A95" s="212">
        <v>38991</v>
      </c>
      <c r="B95" s="17">
        <f t="shared" ca="1" si="7"/>
        <v>7.1445557895227054</v>
      </c>
      <c r="C95" s="17">
        <f t="shared" ca="1" si="5"/>
        <v>6.6551372796870867</v>
      </c>
      <c r="D95" s="17">
        <f t="shared" ca="1" si="6"/>
        <v>9.471160267460899</v>
      </c>
    </row>
    <row r="96" spans="1:4">
      <c r="A96" s="212">
        <v>39022</v>
      </c>
      <c r="B96" s="17">
        <f t="shared" ca="1" si="7"/>
        <v>8.0150667989848809</v>
      </c>
      <c r="C96" s="17">
        <f t="shared" ca="1" si="5"/>
        <v>6.6551372796870867</v>
      </c>
      <c r="D96" s="17">
        <f t="shared" ca="1" si="6"/>
        <v>9.471160267460899</v>
      </c>
    </row>
    <row r="97" spans="1:4">
      <c r="A97" s="212">
        <v>39052</v>
      </c>
      <c r="B97" s="17">
        <f t="shared" ca="1" si="7"/>
        <v>7.5763097117052354</v>
      </c>
      <c r="C97" s="17">
        <f t="shared" ca="1" si="5"/>
        <v>6.6551372796870867</v>
      </c>
      <c r="D97" s="17">
        <f t="shared" ca="1" si="6"/>
        <v>9.471160267460899</v>
      </c>
    </row>
    <row r="98" spans="1:4">
      <c r="A98" s="212">
        <v>39083</v>
      </c>
      <c r="B98" s="17">
        <f ca="1">D38</f>
        <v>8.4606183610710808</v>
      </c>
      <c r="C98" s="17">
        <f t="shared" ca="1" si="5"/>
        <v>6.6551372796870867</v>
      </c>
      <c r="D98" s="17">
        <f t="shared" ca="1" si="6"/>
        <v>9.471160267460899</v>
      </c>
    </row>
    <row r="99" spans="1:4">
      <c r="A99" s="212">
        <v>39114</v>
      </c>
      <c r="B99" s="17">
        <f t="shared" ref="B99:B109" ca="1" si="8">D39</f>
        <v>7.3263700209626021</v>
      </c>
      <c r="C99" s="17">
        <f t="shared" ca="1" si="5"/>
        <v>6.6551372796870867</v>
      </c>
      <c r="D99" s="17">
        <f t="shared" ca="1" si="6"/>
        <v>9.471160267460899</v>
      </c>
    </row>
    <row r="100" spans="1:4">
      <c r="A100" s="212">
        <v>39142</v>
      </c>
      <c r="B100" s="17">
        <f t="shared" ca="1" si="8"/>
        <v>7.3439768339357334</v>
      </c>
      <c r="C100" s="17">
        <f t="shared" ca="1" si="5"/>
        <v>6.6551372796870867</v>
      </c>
      <c r="D100" s="17">
        <f t="shared" ca="1" si="6"/>
        <v>9.471160267460899</v>
      </c>
    </row>
    <row r="101" spans="1:4">
      <c r="A101" s="212">
        <v>39173</v>
      </c>
      <c r="B101" s="17">
        <f t="shared" ca="1" si="8"/>
        <v>8.573863927689203</v>
      </c>
      <c r="C101" s="17">
        <f t="shared" ca="1" si="5"/>
        <v>6.6551372796870867</v>
      </c>
      <c r="D101" s="17">
        <f t="shared" ca="1" si="6"/>
        <v>9.471160267460899</v>
      </c>
    </row>
    <row r="102" spans="1:4">
      <c r="A102" s="212">
        <v>39203</v>
      </c>
      <c r="B102" s="17">
        <f t="shared" ca="1" si="8"/>
        <v>8.3535699171859097</v>
      </c>
      <c r="C102" s="17">
        <f t="shared" ca="1" si="5"/>
        <v>6.6551372796870867</v>
      </c>
      <c r="D102" s="17">
        <f t="shared" ca="1" si="6"/>
        <v>9.471160267460899</v>
      </c>
    </row>
    <row r="103" spans="1:4">
      <c r="A103" s="212">
        <v>39234</v>
      </c>
      <c r="B103" s="17">
        <f t="shared" ca="1" si="8"/>
        <v>8.3162563535358771</v>
      </c>
      <c r="C103" s="17">
        <f t="shared" ca="1" si="5"/>
        <v>6.6551372796870867</v>
      </c>
      <c r="D103" s="17">
        <f t="shared" ca="1" si="6"/>
        <v>9.471160267460899</v>
      </c>
    </row>
    <row r="104" spans="1:4">
      <c r="A104" s="212">
        <v>39264</v>
      </c>
      <c r="B104" s="17">
        <f t="shared" ca="1" si="8"/>
        <v>8.6206256633997942</v>
      </c>
      <c r="C104" s="17">
        <f t="shared" ca="1" si="5"/>
        <v>6.6551372796870867</v>
      </c>
      <c r="D104" s="17">
        <f t="shared" ca="1" si="6"/>
        <v>9.471160267460899</v>
      </c>
    </row>
    <row r="105" spans="1:4">
      <c r="A105" s="212">
        <v>39295</v>
      </c>
      <c r="B105" s="17">
        <f t="shared" ca="1" si="8"/>
        <v>8.8304451292765211</v>
      </c>
      <c r="C105" s="17">
        <f t="shared" ca="1" si="5"/>
        <v>6.6551372796870867</v>
      </c>
      <c r="D105" s="17">
        <f t="shared" ca="1" si="6"/>
        <v>9.471160267460899</v>
      </c>
    </row>
    <row r="106" spans="1:4">
      <c r="A106" s="212">
        <v>39326</v>
      </c>
      <c r="B106" s="17">
        <f t="shared" ca="1" si="8"/>
        <v>8.4369816976039012</v>
      </c>
      <c r="C106" s="17">
        <f t="shared" ca="1" si="5"/>
        <v>6.6551372796870867</v>
      </c>
      <c r="D106" s="17">
        <f t="shared" ca="1" si="6"/>
        <v>9.471160267460899</v>
      </c>
    </row>
    <row r="107" spans="1:4">
      <c r="A107" s="212">
        <v>39356</v>
      </c>
      <c r="B107" s="17">
        <f t="shared" ca="1" si="8"/>
        <v>8.3593193959592451</v>
      </c>
      <c r="C107" s="17">
        <f t="shared" ca="1" si="5"/>
        <v>6.6551372796870867</v>
      </c>
      <c r="D107" s="17">
        <f t="shared" ca="1" si="6"/>
        <v>9.471160267460899</v>
      </c>
    </row>
    <row r="108" spans="1:4">
      <c r="A108" s="212">
        <v>39387</v>
      </c>
      <c r="B108" s="17">
        <f t="shared" ca="1" si="8"/>
        <v>8.1594779365607391</v>
      </c>
      <c r="C108" s="17">
        <f t="shared" ca="1" si="5"/>
        <v>6.6551372796870867</v>
      </c>
      <c r="D108" s="17">
        <f t="shared" ca="1" si="6"/>
        <v>9.471160267460899</v>
      </c>
    </row>
    <row r="109" spans="1:4">
      <c r="A109" s="212">
        <v>39417</v>
      </c>
      <c r="B109" s="17">
        <f t="shared" ca="1" si="8"/>
        <v>8.8791562919499505</v>
      </c>
      <c r="C109" s="17">
        <f t="shared" ca="1" si="5"/>
        <v>6.6551372796870867</v>
      </c>
      <c r="D109" s="17">
        <f t="shared" ca="1" si="6"/>
        <v>9.471160267460899</v>
      </c>
    </row>
    <row r="110" spans="1:4">
      <c r="A110" s="212">
        <v>39448</v>
      </c>
      <c r="B110" s="17">
        <f>D53</f>
        <v>8.0247402477018941</v>
      </c>
      <c r="C110" s="17">
        <f t="shared" ca="1" si="5"/>
        <v>6.6551372796870867</v>
      </c>
      <c r="D110" s="17">
        <f t="shared" ca="1" si="6"/>
        <v>9.471160267460899</v>
      </c>
    </row>
    <row r="111" spans="1:4">
      <c r="A111" s="212">
        <v>39479</v>
      </c>
      <c r="B111" s="17">
        <f t="shared" ref="B111:B121" si="9">D54</f>
        <v>8.1881535107453853</v>
      </c>
      <c r="C111" s="17">
        <f t="shared" ca="1" si="5"/>
        <v>6.6551372796870867</v>
      </c>
      <c r="D111" s="17">
        <f t="shared" ca="1" si="6"/>
        <v>9.471160267460899</v>
      </c>
    </row>
    <row r="112" spans="1:4">
      <c r="A112" s="212">
        <v>39508</v>
      </c>
      <c r="B112" s="17">
        <f t="shared" si="9"/>
        <v>7.8798628575321352</v>
      </c>
      <c r="C112" s="17">
        <f t="shared" ca="1" si="5"/>
        <v>6.6551372796870867</v>
      </c>
      <c r="D112" s="17">
        <f t="shared" ca="1" si="6"/>
        <v>9.471160267460899</v>
      </c>
    </row>
    <row r="113" spans="1:4">
      <c r="A113" s="212">
        <v>39539</v>
      </c>
      <c r="B113" s="17">
        <f t="shared" si="9"/>
        <v>8.2975487091668434</v>
      </c>
      <c r="C113" s="17">
        <f t="shared" ca="1" si="5"/>
        <v>6.6551372796870867</v>
      </c>
      <c r="D113" s="17">
        <f t="shared" ca="1" si="6"/>
        <v>9.471160267460899</v>
      </c>
    </row>
    <row r="114" spans="1:4">
      <c r="A114" s="212">
        <v>39569</v>
      </c>
      <c r="B114" s="17">
        <f t="shared" si="9"/>
        <v>8.1452569295008352</v>
      </c>
      <c r="C114" s="17">
        <f t="shared" ca="1" si="5"/>
        <v>6.6551372796870867</v>
      </c>
      <c r="D114" s="17">
        <f t="shared" ca="1" si="6"/>
        <v>9.471160267460899</v>
      </c>
    </row>
    <row r="115" spans="1:4">
      <c r="A115" s="212">
        <v>39600</v>
      </c>
      <c r="B115" s="17">
        <f t="shared" si="9"/>
        <v>8.6678763531564194</v>
      </c>
      <c r="C115" s="17">
        <f t="shared" ca="1" si="5"/>
        <v>6.6551372796870867</v>
      </c>
      <c r="D115" s="17">
        <f t="shared" ca="1" si="6"/>
        <v>9.471160267460899</v>
      </c>
    </row>
    <row r="116" spans="1:4">
      <c r="A116" s="212">
        <v>39630</v>
      </c>
      <c r="B116" s="17">
        <f t="shared" si="9"/>
        <v>7.98163432290632</v>
      </c>
      <c r="C116" s="17">
        <f t="shared" ca="1" si="5"/>
        <v>6.6551372796870867</v>
      </c>
      <c r="D116" s="17">
        <f t="shared" ca="1" si="6"/>
        <v>9.471160267460899</v>
      </c>
    </row>
    <row r="117" spans="1:4">
      <c r="A117" s="212">
        <v>39661</v>
      </c>
      <c r="B117" s="17">
        <f t="shared" si="9"/>
        <v>8.3316736467575119</v>
      </c>
      <c r="C117" s="17">
        <f t="shared" ca="1" si="5"/>
        <v>6.6551372796870867</v>
      </c>
      <c r="D117" s="17">
        <f t="shared" ca="1" si="6"/>
        <v>9.471160267460899</v>
      </c>
    </row>
    <row r="118" spans="1:4">
      <c r="A118" s="212">
        <v>39692</v>
      </c>
      <c r="B118" s="17">
        <f t="shared" si="9"/>
        <v>7.6451508636211454</v>
      </c>
      <c r="C118" s="17">
        <f t="shared" ca="1" si="5"/>
        <v>6.6551372796870867</v>
      </c>
      <c r="D118" s="17">
        <f t="shared" ca="1" si="6"/>
        <v>9.471160267460899</v>
      </c>
    </row>
    <row r="119" spans="1:4">
      <c r="A119" s="212">
        <v>39722</v>
      </c>
      <c r="B119" s="17">
        <f t="shared" si="9"/>
        <v>7.5013022473466524</v>
      </c>
      <c r="C119" s="17">
        <f t="shared" ca="1" si="5"/>
        <v>6.6551372796870867</v>
      </c>
      <c r="D119" s="17">
        <f t="shared" ca="1" si="6"/>
        <v>9.471160267460899</v>
      </c>
    </row>
    <row r="120" spans="1:4">
      <c r="A120" s="212">
        <v>39753</v>
      </c>
      <c r="B120" s="17">
        <f t="shared" si="9"/>
        <v>7.5513392193282352</v>
      </c>
      <c r="C120" s="17">
        <f t="shared" ca="1" si="5"/>
        <v>6.6551372796870867</v>
      </c>
      <c r="D120" s="17">
        <f t="shared" ca="1" si="6"/>
        <v>9.471160267460899</v>
      </c>
    </row>
    <row r="121" spans="1:4">
      <c r="A121" s="212">
        <v>39783</v>
      </c>
      <c r="B121" s="17">
        <f t="shared" si="9"/>
        <v>8.1750294122421252</v>
      </c>
      <c r="C121" s="17">
        <f t="shared" ca="1" si="5"/>
        <v>6.6551372796870867</v>
      </c>
      <c r="D121" s="17">
        <f t="shared" ca="1" si="6"/>
        <v>9.471160267460899</v>
      </c>
    </row>
    <row r="122" spans="1:4">
      <c r="A122" s="212"/>
    </row>
    <row r="123" spans="1:4">
      <c r="A123" s="212"/>
    </row>
    <row r="124" spans="1:4">
      <c r="A124" s="212"/>
    </row>
    <row r="125" spans="1:4">
      <c r="A125" s="212"/>
    </row>
    <row r="126" spans="1:4">
      <c r="A126" s="212"/>
    </row>
    <row r="127" spans="1:4">
      <c r="A127" s="212"/>
    </row>
    <row r="128" spans="1:4">
      <c r="A128" s="212"/>
    </row>
    <row r="129" spans="1:1">
      <c r="A129" s="212"/>
    </row>
    <row r="130" spans="1:1">
      <c r="A130" s="212"/>
    </row>
    <row r="131" spans="1:1">
      <c r="A131" s="212"/>
    </row>
    <row r="132" spans="1:1">
      <c r="A132" s="212"/>
    </row>
    <row r="133" spans="1:1">
      <c r="A133" s="212"/>
    </row>
    <row r="134" spans="1:1">
      <c r="A134" s="212"/>
    </row>
    <row r="135" spans="1:1">
      <c r="A135" s="212"/>
    </row>
    <row r="136" spans="1:1">
      <c r="A136" s="212"/>
    </row>
    <row r="137" spans="1:1">
      <c r="A137" s="212"/>
    </row>
    <row r="138" spans="1:1">
      <c r="A138" s="212"/>
    </row>
    <row r="139" spans="1:1">
      <c r="A139" s="212"/>
    </row>
    <row r="140" spans="1:1">
      <c r="A140" s="212"/>
    </row>
    <row r="141" spans="1:1">
      <c r="A141" s="212"/>
    </row>
    <row r="142" spans="1:1">
      <c r="A142" s="212"/>
    </row>
    <row r="143" spans="1:1">
      <c r="A143" s="212"/>
    </row>
    <row r="144" spans="1:1">
      <c r="A144" s="212"/>
    </row>
    <row r="145" spans="1:1">
      <c r="A145" s="212"/>
    </row>
    <row r="146" spans="1:1">
      <c r="A146" s="212"/>
    </row>
    <row r="147" spans="1:1">
      <c r="A147" s="212"/>
    </row>
    <row r="148" spans="1:1">
      <c r="A148" s="212"/>
    </row>
    <row r="149" spans="1:1">
      <c r="A149" s="212"/>
    </row>
    <row r="150" spans="1:1">
      <c r="A150" s="212"/>
    </row>
    <row r="151" spans="1:1">
      <c r="A151" s="212"/>
    </row>
  </sheetData>
  <mergeCells count="3">
    <mergeCell ref="B3:C3"/>
    <mergeCell ref="B20:C20"/>
    <mergeCell ref="B36:C36"/>
  </mergeCells>
  <phoneticPr fontId="29" type="noConversion"/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7"/>
  <sheetViews>
    <sheetView tabSelected="1" topLeftCell="A61" zoomScaleNormal="100" workbookViewId="0">
      <selection activeCell="H78" sqref="H78"/>
    </sheetView>
  </sheetViews>
  <sheetFormatPr defaultRowHeight="15"/>
  <cols>
    <col min="1" max="1" width="9.140625" style="29"/>
    <col min="2" max="2" width="10.140625" style="29" bestFit="1" customWidth="1"/>
    <col min="3" max="3" width="12" style="29" bestFit="1" customWidth="1"/>
    <col min="4" max="4" width="11.140625" style="29" bestFit="1" customWidth="1"/>
    <col min="5" max="5" width="11.7109375" style="29" bestFit="1" customWidth="1"/>
    <col min="6" max="16384" width="9.140625" style="29"/>
  </cols>
  <sheetData>
    <row r="1" spans="1:4" s="77" customFormat="1" thickBot="1">
      <c r="A1" s="76" t="s">
        <v>63</v>
      </c>
    </row>
    <row r="2" spans="1:4" s="75" customFormat="1" ht="14.25"/>
    <row r="3" spans="1:4" s="73" customFormat="1">
      <c r="A3" s="74" t="s">
        <v>85</v>
      </c>
    </row>
    <row r="7" spans="1:4" ht="16.5">
      <c r="A7" s="29" t="s">
        <v>86</v>
      </c>
      <c r="B7" s="29" t="s">
        <v>170</v>
      </c>
    </row>
    <row r="8" spans="1:4" ht="16.5">
      <c r="A8" s="29" t="s">
        <v>87</v>
      </c>
      <c r="B8" s="29" t="s">
        <v>150</v>
      </c>
    </row>
    <row r="9" spans="1:4" ht="16.5">
      <c r="A9" s="29" t="s">
        <v>267</v>
      </c>
      <c r="B9" s="29" t="s">
        <v>164</v>
      </c>
    </row>
    <row r="11" spans="1:4" ht="17.25">
      <c r="A11" s="79" t="s">
        <v>51</v>
      </c>
      <c r="B11" s="79" t="s">
        <v>88</v>
      </c>
      <c r="C11" s="79" t="s">
        <v>89</v>
      </c>
      <c r="D11" s="79" t="s">
        <v>268</v>
      </c>
    </row>
    <row r="12" spans="1:4">
      <c r="A12" s="32">
        <v>1</v>
      </c>
      <c r="B12" s="33">
        <f ca="1">C12*D12</f>
        <v>61811.858640587765</v>
      </c>
      <c r="C12" s="34">
        <f ca="1">B32</f>
        <v>0.52563492044710225</v>
      </c>
      <c r="D12" s="33">
        <f>(Process_Diagram!$L$30)/3.6</f>
        <v>117594.65788157859</v>
      </c>
    </row>
    <row r="13" spans="1:4">
      <c r="A13" s="32">
        <v>2</v>
      </c>
      <c r="B13" s="33">
        <f t="shared" ref="B13:B18" ca="1" si="0">C13*D13</f>
        <v>61811.858640587765</v>
      </c>
      <c r="C13" s="34">
        <f t="shared" ref="C13:C18" ca="1" si="1">B33</f>
        <v>0.52563492044710225</v>
      </c>
      <c r="D13" s="33">
        <f>(Process_Diagram!$L$30)/3.6</f>
        <v>117594.65788157859</v>
      </c>
    </row>
    <row r="14" spans="1:4">
      <c r="A14" s="32">
        <v>3</v>
      </c>
      <c r="B14" s="33">
        <f ca="1">C14*D14</f>
        <v>61811.858640587765</v>
      </c>
      <c r="C14" s="34">
        <f ca="1">B34</f>
        <v>0.52563492044710225</v>
      </c>
      <c r="D14" s="33">
        <f>(Process_Diagram!$L$30)/3.6</f>
        <v>117594.65788157859</v>
      </c>
    </row>
    <row r="15" spans="1:4">
      <c r="A15" s="32">
        <v>4</v>
      </c>
      <c r="B15" s="33">
        <f t="shared" ca="1" si="0"/>
        <v>61811.858640587765</v>
      </c>
      <c r="C15" s="34">
        <f t="shared" ca="1" si="1"/>
        <v>0.52563492044710225</v>
      </c>
      <c r="D15" s="33">
        <f>(Process_Diagram!$L$30)/3.6</f>
        <v>117594.65788157859</v>
      </c>
    </row>
    <row r="16" spans="1:4">
      <c r="A16" s="32">
        <v>5</v>
      </c>
      <c r="B16" s="33">
        <f t="shared" ca="1" si="0"/>
        <v>61811.858640587765</v>
      </c>
      <c r="C16" s="34">
        <f t="shared" ca="1" si="1"/>
        <v>0.52563492044710225</v>
      </c>
      <c r="D16" s="33">
        <f>(Process_Diagram!$L$30)/3.6</f>
        <v>117594.65788157859</v>
      </c>
    </row>
    <row r="17" spans="1:6">
      <c r="A17" s="32">
        <v>6</v>
      </c>
      <c r="B17" s="33">
        <f t="shared" ca="1" si="0"/>
        <v>61811.858640587765</v>
      </c>
      <c r="C17" s="34">
        <f t="shared" ca="1" si="1"/>
        <v>0.52563492044710225</v>
      </c>
      <c r="D17" s="33">
        <f>(Process_Diagram!$L$30)/3.6</f>
        <v>117594.65788157859</v>
      </c>
    </row>
    <row r="18" spans="1:6">
      <c r="A18" s="32">
        <v>7</v>
      </c>
      <c r="B18" s="33">
        <f t="shared" ca="1" si="0"/>
        <v>61811.858640587765</v>
      </c>
      <c r="C18" s="34">
        <f t="shared" ca="1" si="1"/>
        <v>0.52563492044710225</v>
      </c>
      <c r="D18" s="33">
        <f>(Process_Diagram!$L$30)/3.6</f>
        <v>117594.65788157859</v>
      </c>
    </row>
    <row r="20" spans="1:6" s="73" customFormat="1">
      <c r="A20" s="74" t="s">
        <v>90</v>
      </c>
    </row>
    <row r="24" spans="1:6" ht="16.5">
      <c r="A24" s="29" t="s">
        <v>87</v>
      </c>
      <c r="B24" s="29" t="s">
        <v>150</v>
      </c>
    </row>
    <row r="25" spans="1:6" ht="18.75">
      <c r="A25" s="29" t="s">
        <v>91</v>
      </c>
      <c r="B25" s="29" t="s">
        <v>163</v>
      </c>
    </row>
    <row r="26" spans="1:6" ht="16.5">
      <c r="A26" s="29" t="s">
        <v>152</v>
      </c>
      <c r="B26" s="29" t="s">
        <v>159</v>
      </c>
    </row>
    <row r="27" spans="1:6" ht="18.75">
      <c r="A27" s="29" t="s">
        <v>151</v>
      </c>
      <c r="B27" s="29" t="s">
        <v>160</v>
      </c>
    </row>
    <row r="28" spans="1:6" ht="16.5">
      <c r="A28" s="29" t="s">
        <v>94</v>
      </c>
      <c r="B28" s="29" t="s">
        <v>95</v>
      </c>
    </row>
    <row r="29" spans="1:6">
      <c r="B29" s="29" t="s">
        <v>96</v>
      </c>
    </row>
    <row r="30" spans="1:6">
      <c r="B30" s="123"/>
      <c r="C30" s="123"/>
      <c r="D30" s="123"/>
      <c r="E30" s="123"/>
    </row>
    <row r="31" spans="1:6" s="31" customFormat="1" ht="17.25">
      <c r="A31" s="79" t="s">
        <v>51</v>
      </c>
      <c r="B31" s="79" t="s">
        <v>89</v>
      </c>
      <c r="C31" s="79" t="s">
        <v>97</v>
      </c>
      <c r="D31" s="79" t="s">
        <v>153</v>
      </c>
      <c r="E31" s="79" t="s">
        <v>154</v>
      </c>
      <c r="F31" s="79" t="s">
        <v>99</v>
      </c>
    </row>
    <row r="32" spans="1:6">
      <c r="A32" s="32">
        <v>1</v>
      </c>
      <c r="B32" s="34">
        <f t="shared" ref="B32:B38" ca="1" si="2">(C32*D32*E32)/F32</f>
        <v>0.52563492044710225</v>
      </c>
      <c r="C32" s="36">
        <f ca="1">Process_Diagram!$O$12</f>
        <v>61338464.650468677</v>
      </c>
      <c r="D32" s="36">
        <f ca="1">Carbon_Energy_Balances!$C$133</f>
        <v>154.19371002146906</v>
      </c>
      <c r="E32" s="37">
        <f>'NCV of Producer Gas'!$B$47/1000</f>
        <v>6.3744020899999992E-6</v>
      </c>
      <c r="F32" s="36">
        <f ca="1">Process_Diagram!$O$10/3.6</f>
        <v>114697.72506429657</v>
      </c>
    </row>
    <row r="33" spans="1:6">
      <c r="A33" s="32">
        <v>2</v>
      </c>
      <c r="B33" s="34">
        <f t="shared" ca="1" si="2"/>
        <v>0.52563492044710225</v>
      </c>
      <c r="C33" s="36">
        <f ca="1">Process_Diagram!$O$12</f>
        <v>61338464.650468677</v>
      </c>
      <c r="D33" s="33">
        <f ca="1">Carbon_Energy_Balances!$C$133</f>
        <v>154.19371002146906</v>
      </c>
      <c r="E33" s="35">
        <f>'NCV of Producer Gas'!$B$47/1000</f>
        <v>6.3744020899999992E-6</v>
      </c>
      <c r="F33" s="33">
        <f ca="1">Process_Diagram!$O$10/3.6</f>
        <v>114697.72506429657</v>
      </c>
    </row>
    <row r="34" spans="1:6">
      <c r="A34" s="32">
        <v>3</v>
      </c>
      <c r="B34" s="34">
        <f t="shared" ca="1" si="2"/>
        <v>0.52563492044710225</v>
      </c>
      <c r="C34" s="36">
        <f ca="1">Process_Diagram!$O$12</f>
        <v>61338464.650468677</v>
      </c>
      <c r="D34" s="33">
        <f ca="1">Carbon_Energy_Balances!$C$133</f>
        <v>154.19371002146906</v>
      </c>
      <c r="E34" s="35">
        <f>'NCV of Producer Gas'!$B$47/1000</f>
        <v>6.3744020899999992E-6</v>
      </c>
      <c r="F34" s="33">
        <f ca="1">Process_Diagram!$O$10/3.6</f>
        <v>114697.72506429657</v>
      </c>
    </row>
    <row r="35" spans="1:6">
      <c r="A35" s="32">
        <v>4</v>
      </c>
      <c r="B35" s="34">
        <f t="shared" ca="1" si="2"/>
        <v>0.52563492044710225</v>
      </c>
      <c r="C35" s="36">
        <f ca="1">Process_Diagram!$O$12</f>
        <v>61338464.650468677</v>
      </c>
      <c r="D35" s="33">
        <f ca="1">Carbon_Energy_Balances!$C$133</f>
        <v>154.19371002146906</v>
      </c>
      <c r="E35" s="35">
        <f>'NCV of Producer Gas'!$B$47/1000</f>
        <v>6.3744020899999992E-6</v>
      </c>
      <c r="F35" s="33">
        <f ca="1">Process_Diagram!$O$10/3.6</f>
        <v>114697.72506429657</v>
      </c>
    </row>
    <row r="36" spans="1:6">
      <c r="A36" s="32">
        <v>5</v>
      </c>
      <c r="B36" s="34">
        <f ca="1">(C36*D36*E36)/F36</f>
        <v>0.52563492044710225</v>
      </c>
      <c r="C36" s="36">
        <f ca="1">Process_Diagram!$O$12</f>
        <v>61338464.650468677</v>
      </c>
      <c r="D36" s="33">
        <f ca="1">Carbon_Energy_Balances!$C$133</f>
        <v>154.19371002146906</v>
      </c>
      <c r="E36" s="35">
        <f>'NCV of Producer Gas'!$B$47/1000</f>
        <v>6.3744020899999992E-6</v>
      </c>
      <c r="F36" s="33">
        <f ca="1">Process_Diagram!$O$10/3.6</f>
        <v>114697.72506429657</v>
      </c>
    </row>
    <row r="37" spans="1:6">
      <c r="A37" s="32">
        <v>6</v>
      </c>
      <c r="B37" s="34">
        <f t="shared" ca="1" si="2"/>
        <v>0.52563492044710225</v>
      </c>
      <c r="C37" s="36">
        <f ca="1">Process_Diagram!$O$12</f>
        <v>61338464.650468677</v>
      </c>
      <c r="D37" s="33">
        <f ca="1">Carbon_Energy_Balances!$C$133</f>
        <v>154.19371002146906</v>
      </c>
      <c r="E37" s="35">
        <f>'NCV of Producer Gas'!$B$47/1000</f>
        <v>6.3744020899999992E-6</v>
      </c>
      <c r="F37" s="33">
        <f ca="1">Process_Diagram!$O$10/3.6</f>
        <v>114697.72506429657</v>
      </c>
    </row>
    <row r="38" spans="1:6">
      <c r="A38" s="32">
        <v>7</v>
      </c>
      <c r="B38" s="34">
        <f t="shared" ca="1" si="2"/>
        <v>0.52563492044710225</v>
      </c>
      <c r="C38" s="36">
        <f ca="1">Process_Diagram!$O$12</f>
        <v>61338464.650468677</v>
      </c>
      <c r="D38" s="33">
        <f ca="1">Carbon_Energy_Balances!$C$133</f>
        <v>154.19371002146906</v>
      </c>
      <c r="E38" s="35">
        <f>'NCV of Producer Gas'!$B$47/1000</f>
        <v>6.3744020899999992E-6</v>
      </c>
      <c r="F38" s="33">
        <f ca="1">Process_Diagram!$O$10/3.6</f>
        <v>114697.72506429657</v>
      </c>
    </row>
    <row r="39" spans="1:6" ht="15.75" thickBot="1"/>
    <row r="40" spans="1:6" s="77" customFormat="1" thickBot="1">
      <c r="A40" s="76" t="s">
        <v>65</v>
      </c>
    </row>
    <row r="41" spans="1:6" s="78" customFormat="1" ht="14.25"/>
    <row r="42" spans="1:6" s="73" customFormat="1">
      <c r="A42" s="74" t="s">
        <v>100</v>
      </c>
    </row>
    <row r="47" spans="1:6" ht="16.5">
      <c r="A47" s="29" t="s">
        <v>103</v>
      </c>
      <c r="B47" s="29" t="s">
        <v>157</v>
      </c>
    </row>
    <row r="48" spans="1:6" ht="16.5">
      <c r="A48" s="29" t="s">
        <v>102</v>
      </c>
      <c r="B48" s="29" t="s">
        <v>155</v>
      </c>
    </row>
    <row r="49" spans="1:6" ht="18">
      <c r="B49" s="29" t="s">
        <v>158</v>
      </c>
    </row>
    <row r="50" spans="1:6" ht="16.5">
      <c r="A50" s="29" t="s">
        <v>92</v>
      </c>
      <c r="B50" s="29" t="s">
        <v>156</v>
      </c>
    </row>
    <row r="51" spans="1:6" ht="18">
      <c r="A51" s="29" t="s">
        <v>93</v>
      </c>
      <c r="B51" s="29" t="s">
        <v>243</v>
      </c>
    </row>
    <row r="52" spans="1:6">
      <c r="C52" s="123"/>
    </row>
    <row r="53" spans="1:6" ht="17.25">
      <c r="A53" s="80" t="s">
        <v>51</v>
      </c>
      <c r="B53" s="79" t="s">
        <v>104</v>
      </c>
      <c r="C53" s="79" t="s">
        <v>105</v>
      </c>
      <c r="D53" s="79" t="s">
        <v>98</v>
      </c>
      <c r="E53" s="79" t="s">
        <v>93</v>
      </c>
      <c r="F53" s="40"/>
    </row>
    <row r="54" spans="1:6">
      <c r="A54" s="38">
        <v>1</v>
      </c>
      <c r="B54" s="33">
        <f>C54*D54*E54</f>
        <v>24680.766796185711</v>
      </c>
      <c r="C54" s="36">
        <f>Process_Diagram!$L$33</f>
        <v>11569859.827877963</v>
      </c>
      <c r="D54" s="36">
        <f>Carbon_Energy_Balances!$K$143</f>
        <v>58.3</v>
      </c>
      <c r="E54" s="192">
        <f>Process_Diagram!$L$34</f>
        <v>3.6589965191594561E-5</v>
      </c>
      <c r="F54" s="41"/>
    </row>
    <row r="55" spans="1:6">
      <c r="A55" s="38">
        <v>2</v>
      </c>
      <c r="B55" s="33">
        <f t="shared" ref="B55:B60" si="3">C55*D55*E55</f>
        <v>24680.766796185711</v>
      </c>
      <c r="C55" s="36">
        <f>Process_Diagram!$L$33</f>
        <v>11569859.827877963</v>
      </c>
      <c r="D55" s="36">
        <f>Carbon_Energy_Balances!$K$143</f>
        <v>58.3</v>
      </c>
      <c r="E55" s="192">
        <f>Process_Diagram!$L$34</f>
        <v>3.6589965191594561E-5</v>
      </c>
      <c r="F55" s="42"/>
    </row>
    <row r="56" spans="1:6">
      <c r="A56" s="38">
        <v>3</v>
      </c>
      <c r="B56" s="33">
        <f t="shared" si="3"/>
        <v>24680.766796185711</v>
      </c>
      <c r="C56" s="36">
        <f>Process_Diagram!$L$33</f>
        <v>11569859.827877963</v>
      </c>
      <c r="D56" s="36">
        <f>Carbon_Energy_Balances!$K$143</f>
        <v>58.3</v>
      </c>
      <c r="E56" s="192">
        <f>Process_Diagram!$L$34</f>
        <v>3.6589965191594561E-5</v>
      </c>
      <c r="F56" s="42"/>
    </row>
    <row r="57" spans="1:6">
      <c r="A57" s="38">
        <v>4</v>
      </c>
      <c r="B57" s="33">
        <f t="shared" si="3"/>
        <v>24680.766796185711</v>
      </c>
      <c r="C57" s="36">
        <f>Process_Diagram!$L$33</f>
        <v>11569859.827877963</v>
      </c>
      <c r="D57" s="36">
        <f>Carbon_Energy_Balances!$K$143</f>
        <v>58.3</v>
      </c>
      <c r="E57" s="192">
        <f>Process_Diagram!$L$34</f>
        <v>3.6589965191594561E-5</v>
      </c>
      <c r="F57" s="42"/>
    </row>
    <row r="58" spans="1:6">
      <c r="A58" s="38">
        <v>5</v>
      </c>
      <c r="B58" s="33">
        <f t="shared" si="3"/>
        <v>24680.766796185711</v>
      </c>
      <c r="C58" s="36">
        <f>Process_Diagram!$L$33</f>
        <v>11569859.827877963</v>
      </c>
      <c r="D58" s="36">
        <f>Carbon_Energy_Balances!$K$143</f>
        <v>58.3</v>
      </c>
      <c r="E58" s="192">
        <f>Process_Diagram!$L$34</f>
        <v>3.6589965191594561E-5</v>
      </c>
      <c r="F58" s="42"/>
    </row>
    <row r="59" spans="1:6">
      <c r="A59" s="38">
        <v>6</v>
      </c>
      <c r="B59" s="33">
        <f t="shared" si="3"/>
        <v>24680.766796185711</v>
      </c>
      <c r="C59" s="36">
        <f>Process_Diagram!$L$33</f>
        <v>11569859.827877963</v>
      </c>
      <c r="D59" s="36">
        <f>Carbon_Energy_Balances!$K$143</f>
        <v>58.3</v>
      </c>
      <c r="E59" s="192">
        <f>Process_Diagram!$L$34</f>
        <v>3.6589965191594561E-5</v>
      </c>
      <c r="F59" s="42"/>
    </row>
    <row r="60" spans="1:6">
      <c r="A60" s="38">
        <v>7</v>
      </c>
      <c r="B60" s="33">
        <f t="shared" si="3"/>
        <v>24680.766796185711</v>
      </c>
      <c r="C60" s="36">
        <f>Process_Diagram!$L$33</f>
        <v>11569859.827877963</v>
      </c>
      <c r="D60" s="36">
        <f>Carbon_Energy_Balances!$K$143</f>
        <v>58.3</v>
      </c>
      <c r="E60" s="192">
        <f>Process_Diagram!$L$34</f>
        <v>3.6589965191594561E-5</v>
      </c>
      <c r="F60" s="42"/>
    </row>
    <row r="61" spans="1:6" ht="15.75" thickBot="1">
      <c r="B61" s="39"/>
      <c r="C61" s="39"/>
      <c r="D61" s="39"/>
      <c r="E61" s="39"/>
      <c r="F61" s="39"/>
    </row>
    <row r="62" spans="1:6" s="77" customFormat="1" thickBot="1">
      <c r="A62" s="76" t="s">
        <v>71</v>
      </c>
    </row>
    <row r="63" spans="1:6" s="75" customFormat="1" ht="14.25"/>
    <row r="64" spans="1:6" s="73" customFormat="1">
      <c r="A64" s="74" t="s">
        <v>106</v>
      </c>
    </row>
    <row r="68" spans="1:5" ht="16.5">
      <c r="A68" s="29" t="s">
        <v>107</v>
      </c>
      <c r="B68" s="29" t="s">
        <v>161</v>
      </c>
    </row>
    <row r="69" spans="1:5" ht="16.5">
      <c r="A69" s="29" t="s">
        <v>86</v>
      </c>
      <c r="B69" s="29" t="s">
        <v>162</v>
      </c>
    </row>
    <row r="70" spans="1:5" ht="16.5">
      <c r="A70" s="29" t="s">
        <v>103</v>
      </c>
      <c r="B70" s="29" t="s">
        <v>157</v>
      </c>
    </row>
    <row r="72" spans="1:5" ht="17.25">
      <c r="A72" s="80" t="s">
        <v>51</v>
      </c>
      <c r="B72" s="79" t="s">
        <v>108</v>
      </c>
      <c r="C72" s="79" t="s">
        <v>88</v>
      </c>
      <c r="D72" s="79" t="s">
        <v>104</v>
      </c>
    </row>
    <row r="73" spans="1:5">
      <c r="A73" s="38">
        <v>1</v>
      </c>
      <c r="B73" s="33">
        <f ca="1">C73-D73</f>
        <v>37131.09184440205</v>
      </c>
      <c r="C73" s="36">
        <f ca="1">B12</f>
        <v>61811.858640587765</v>
      </c>
      <c r="D73" s="36">
        <f>B54</f>
        <v>24680.766796185711</v>
      </c>
    </row>
    <row r="74" spans="1:5">
      <c r="A74" s="38">
        <v>2</v>
      </c>
      <c r="B74" s="33">
        <f t="shared" ref="B74:B79" ca="1" si="4">C74-D74</f>
        <v>37131.09184440205</v>
      </c>
      <c r="C74" s="36">
        <f t="shared" ref="C74:C79" ca="1" si="5">B13</f>
        <v>61811.858640587765</v>
      </c>
      <c r="D74" s="36">
        <f t="shared" ref="D74:D79" si="6">B55</f>
        <v>24680.766796185711</v>
      </c>
    </row>
    <row r="75" spans="1:5">
      <c r="A75" s="38">
        <v>3</v>
      </c>
      <c r="B75" s="33">
        <f t="shared" ca="1" si="4"/>
        <v>37131.09184440205</v>
      </c>
      <c r="C75" s="36">
        <f t="shared" ca="1" si="5"/>
        <v>61811.858640587765</v>
      </c>
      <c r="D75" s="36">
        <f t="shared" si="6"/>
        <v>24680.766796185711</v>
      </c>
    </row>
    <row r="76" spans="1:5">
      <c r="A76" s="38">
        <v>4</v>
      </c>
      <c r="B76" s="33">
        <f t="shared" ca="1" si="4"/>
        <v>37131.09184440205</v>
      </c>
      <c r="C76" s="36">
        <f t="shared" ca="1" si="5"/>
        <v>61811.858640587765</v>
      </c>
      <c r="D76" s="36">
        <f t="shared" si="6"/>
        <v>24680.766796185711</v>
      </c>
    </row>
    <row r="77" spans="1:5">
      <c r="A77" s="38">
        <v>5</v>
      </c>
      <c r="B77" s="33">
        <f ca="1">C77-D77</f>
        <v>37131.09184440205</v>
      </c>
      <c r="C77" s="36">
        <f t="shared" ca="1" si="5"/>
        <v>61811.858640587765</v>
      </c>
      <c r="D77" s="36">
        <f t="shared" si="6"/>
        <v>24680.766796185711</v>
      </c>
    </row>
    <row r="78" spans="1:5">
      <c r="A78" s="38">
        <v>6</v>
      </c>
      <c r="B78" s="33">
        <f ca="1">C78-D78</f>
        <v>37131.09184440205</v>
      </c>
      <c r="C78" s="36">
        <f t="shared" ca="1" si="5"/>
        <v>61811.858640587765</v>
      </c>
      <c r="D78" s="36">
        <f t="shared" si="6"/>
        <v>24680.766796185711</v>
      </c>
    </row>
    <row r="79" spans="1:5">
      <c r="A79" s="38">
        <v>7</v>
      </c>
      <c r="B79" s="33">
        <f t="shared" ca="1" si="4"/>
        <v>37131.09184440205</v>
      </c>
      <c r="C79" s="36">
        <f t="shared" ca="1" si="5"/>
        <v>61811.858640587765</v>
      </c>
      <c r="D79" s="36">
        <f t="shared" si="6"/>
        <v>24680.766796185711</v>
      </c>
    </row>
    <row r="80" spans="1:5" ht="15.75" thickBot="1">
      <c r="A80" s="81" t="s">
        <v>84</v>
      </c>
      <c r="B80" s="82">
        <f ca="1">SUM(B73:B79)</f>
        <v>259917.64291081435</v>
      </c>
      <c r="C80" s="82">
        <f ca="1">SUM(C73:C79)</f>
        <v>432683.01048411435</v>
      </c>
      <c r="D80" s="82">
        <f>SUM(D73:D79)</f>
        <v>172765.3675733</v>
      </c>
      <c r="E80" s="29" t="s">
        <v>259</v>
      </c>
    </row>
    <row r="81" spans="1:4" ht="15.75" thickTop="1">
      <c r="B81" s="44"/>
      <c r="C81" s="44"/>
      <c r="D81" s="44"/>
    </row>
    <row r="82" spans="1:4" s="74" customFormat="1" ht="14.25">
      <c r="B82" s="207"/>
    </row>
    <row r="85" spans="1:4">
      <c r="A85" s="6"/>
      <c r="B85" s="5"/>
      <c r="C85" s="6"/>
    </row>
    <row r="86" spans="1:4">
      <c r="A86" s="6"/>
      <c r="B86" s="6"/>
      <c r="C86" s="6"/>
    </row>
    <row r="87" spans="1:4">
      <c r="A87" s="5"/>
      <c r="B87" s="5"/>
      <c r="C87" s="5"/>
    </row>
  </sheetData>
  <phoneticPr fontId="29" type="noConversion"/>
  <pageMargins left="0.70866141732283472" right="0.70866141732283472" top="0.74803149606299213" bottom="0.74803149606299213" header="0.31496062992125984" footer="0.31496062992125984"/>
  <pageSetup paperSize="9" fitToHeight="6" orientation="portrait" r:id="rId1"/>
  <legacyDrawing r:id="rId2"/>
  <oleObjects>
    <oleObject progId="Equation.3" shapeId="3073" r:id="rId3"/>
    <oleObject progId="Equation.3" shapeId="3074" r:id="rId4"/>
    <oleObject progId="Equation.3" shapeId="3076" r:id="rId5"/>
    <oleObject progId="Equation.3" shapeId="3079" r:id="rId6"/>
  </oleObjects>
</worksheet>
</file>

<file path=xl/worksheets/sheet5.xml><?xml version="1.0" encoding="utf-8"?>
<worksheet xmlns="http://schemas.openxmlformats.org/spreadsheetml/2006/main" xmlns:r="http://schemas.openxmlformats.org/officeDocument/2006/relationships">
  <dimension ref="A2:P54"/>
  <sheetViews>
    <sheetView topLeftCell="A25" workbookViewId="0">
      <selection activeCell="D13" sqref="D13"/>
    </sheetView>
  </sheetViews>
  <sheetFormatPr defaultRowHeight="15"/>
  <cols>
    <col min="1" max="1" width="21.28515625" customWidth="1"/>
    <col min="2" max="2" width="15.140625" bestFit="1" customWidth="1"/>
    <col min="3" max="3" width="29" bestFit="1" customWidth="1"/>
    <col min="4" max="4" width="225.28515625" bestFit="1" customWidth="1"/>
    <col min="5" max="5" width="14.140625" bestFit="1" customWidth="1"/>
    <col min="9" max="9" width="14.85546875" customWidth="1"/>
    <col min="11" max="11" width="12.28515625" bestFit="1" customWidth="1"/>
    <col min="14" max="14" width="12.140625" customWidth="1"/>
  </cols>
  <sheetData>
    <row r="2" spans="1:13" s="45" customFormat="1">
      <c r="A2" s="228" t="s">
        <v>115</v>
      </c>
      <c r="B2" s="228"/>
      <c r="G2" s="48"/>
      <c r="L2" s="48"/>
      <c r="M2" s="48"/>
    </row>
    <row r="3" spans="1:13" s="2" customFormat="1">
      <c r="A3" s="52"/>
      <c r="B3" s="52"/>
      <c r="G3" s="53"/>
      <c r="L3" s="53"/>
      <c r="M3" s="53"/>
    </row>
    <row r="4" spans="1:13">
      <c r="A4" s="7"/>
      <c r="B4" s="51" t="s">
        <v>116</v>
      </c>
      <c r="C4" s="7" t="s">
        <v>255</v>
      </c>
      <c r="D4" s="7" t="s">
        <v>256</v>
      </c>
      <c r="G4" s="30"/>
    </row>
    <row r="5" spans="1:13" ht="18">
      <c r="A5" s="9" t="s">
        <v>109</v>
      </c>
      <c r="B5" s="9">
        <v>4</v>
      </c>
      <c r="C5" s="56" t="s">
        <v>254</v>
      </c>
      <c r="D5" s="9" t="s">
        <v>257</v>
      </c>
      <c r="G5" s="30"/>
    </row>
    <row r="6" spans="1:13">
      <c r="A6" s="114" t="s">
        <v>79</v>
      </c>
      <c r="B6" s="114">
        <v>29</v>
      </c>
      <c r="C6" s="56" t="s">
        <v>254</v>
      </c>
      <c r="D6" s="9" t="s">
        <v>257</v>
      </c>
      <c r="G6" s="30"/>
    </row>
    <row r="7" spans="1:13" ht="18">
      <c r="A7" s="114" t="s">
        <v>110</v>
      </c>
      <c r="B7" s="114">
        <v>3</v>
      </c>
      <c r="C7" s="56" t="s">
        <v>254</v>
      </c>
      <c r="D7" s="9" t="s">
        <v>257</v>
      </c>
    </row>
    <row r="8" spans="1:13" ht="18">
      <c r="A8" s="114" t="s">
        <v>111</v>
      </c>
      <c r="B8" s="114">
        <v>15</v>
      </c>
      <c r="C8" s="56" t="s">
        <v>254</v>
      </c>
      <c r="D8" s="9" t="s">
        <v>257</v>
      </c>
    </row>
    <row r="9" spans="1:13" ht="18">
      <c r="A9" s="9" t="s">
        <v>112</v>
      </c>
      <c r="B9" s="9">
        <f>100-B5-B6-B7-B8</f>
        <v>49</v>
      </c>
      <c r="C9" s="56" t="s">
        <v>254</v>
      </c>
      <c r="D9" s="9" t="s">
        <v>257</v>
      </c>
    </row>
    <row r="11" spans="1:13" s="45" customFormat="1">
      <c r="A11" s="54" t="s">
        <v>167</v>
      </c>
      <c r="B11" s="48"/>
      <c r="C11" s="48"/>
    </row>
    <row r="12" spans="1:13" s="2" customFormat="1">
      <c r="A12" s="55"/>
      <c r="B12" s="53"/>
      <c r="C12" s="53"/>
    </row>
    <row r="13" spans="1:13">
      <c r="A13" s="56" t="s">
        <v>79</v>
      </c>
      <c r="B13" s="57">
        <v>10.112</v>
      </c>
      <c r="C13" s="56" t="s">
        <v>81</v>
      </c>
      <c r="D13" s="132" t="s">
        <v>174</v>
      </c>
      <c r="I13" s="155"/>
      <c r="J13" s="2"/>
      <c r="K13" s="2"/>
    </row>
    <row r="14" spans="1:13" ht="18">
      <c r="A14" s="56" t="s">
        <v>121</v>
      </c>
      <c r="B14" s="57">
        <v>50.009</v>
      </c>
      <c r="C14" s="56" t="s">
        <v>122</v>
      </c>
      <c r="D14" s="132" t="s">
        <v>174</v>
      </c>
      <c r="I14" s="155"/>
      <c r="J14" s="2"/>
      <c r="K14" s="2"/>
    </row>
    <row r="15" spans="1:13" ht="18">
      <c r="A15" s="56" t="s">
        <v>119</v>
      </c>
      <c r="B15" s="57">
        <v>120.971</v>
      </c>
      <c r="C15" s="56" t="s">
        <v>120</v>
      </c>
      <c r="D15" s="132" t="s">
        <v>174</v>
      </c>
      <c r="I15" s="155"/>
      <c r="J15" s="2"/>
      <c r="K15" s="2"/>
    </row>
    <row r="16" spans="1:13">
      <c r="A16" s="133"/>
      <c r="B16" s="134"/>
      <c r="C16" s="133"/>
      <c r="D16" s="132"/>
    </row>
    <row r="17" spans="1:16" s="45" customFormat="1">
      <c r="A17" s="54" t="s">
        <v>175</v>
      </c>
      <c r="B17" s="48"/>
      <c r="C17" s="48"/>
      <c r="D17" s="48"/>
    </row>
    <row r="18" spans="1:16" s="2" customFormat="1">
      <c r="A18" s="55"/>
      <c r="B18" s="53"/>
      <c r="C18" s="53"/>
      <c r="D18" s="53"/>
    </row>
    <row r="19" spans="1:16" s="2" customFormat="1">
      <c r="A19" s="55" t="s">
        <v>222</v>
      </c>
      <c r="B19" s="53"/>
      <c r="C19" s="53"/>
      <c r="D19" s="53"/>
    </row>
    <row r="20" spans="1:16" s="2" customFormat="1" ht="18">
      <c r="A20" s="9" t="s">
        <v>109</v>
      </c>
      <c r="B20" s="57">
        <v>0.53400000000000003</v>
      </c>
      <c r="C20" s="59" t="s">
        <v>124</v>
      </c>
      <c r="D20" s="155" t="s">
        <v>207</v>
      </c>
    </row>
    <row r="21" spans="1:16" ht="17.25">
      <c r="A21" s="135" t="s">
        <v>79</v>
      </c>
      <c r="B21" s="57">
        <f>1/1.25</f>
        <v>0.8</v>
      </c>
      <c r="C21" s="59" t="s">
        <v>124</v>
      </c>
      <c r="D21" s="132" t="s">
        <v>173</v>
      </c>
    </row>
    <row r="22" spans="1:16" ht="18">
      <c r="A22" s="135" t="s">
        <v>121</v>
      </c>
      <c r="B22" s="57">
        <f>1/0.717</f>
        <v>1.394700139470014</v>
      </c>
      <c r="C22" s="59" t="s">
        <v>124</v>
      </c>
      <c r="D22" s="132" t="s">
        <v>173</v>
      </c>
    </row>
    <row r="23" spans="1:16" ht="18">
      <c r="A23" s="135" t="s">
        <v>119</v>
      </c>
      <c r="B23" s="57">
        <f>1/0.09</f>
        <v>11.111111111111111</v>
      </c>
      <c r="C23" s="59" t="s">
        <v>124</v>
      </c>
      <c r="D23" s="132" t="s">
        <v>173</v>
      </c>
    </row>
    <row r="24" spans="1:16" ht="18">
      <c r="A24" s="9" t="s">
        <v>112</v>
      </c>
      <c r="B24" s="57">
        <f>0.796*298.15/273.15</f>
        <v>0.86885374336445176</v>
      </c>
      <c r="C24" s="59" t="s">
        <v>124</v>
      </c>
      <c r="D24" s="132" t="s">
        <v>208</v>
      </c>
      <c r="J24" t="s">
        <v>221</v>
      </c>
    </row>
    <row r="25" spans="1:16" ht="15.75" thickBot="1"/>
    <row r="26" spans="1:16" s="50" customFormat="1" ht="15.75" thickBot="1">
      <c r="A26" s="49" t="s">
        <v>118</v>
      </c>
    </row>
    <row r="27" spans="1:16" s="2" customFormat="1">
      <c r="A27" s="47"/>
    </row>
    <row r="28" spans="1:16" s="45" customFormat="1">
      <c r="A28" s="46" t="s">
        <v>80</v>
      </c>
      <c r="P28" s="48"/>
    </row>
    <row r="29" spans="1:16">
      <c r="H29" s="2"/>
      <c r="I29" s="2"/>
      <c r="J29" s="2"/>
      <c r="K29" s="2"/>
    </row>
    <row r="30" spans="1:16" ht="17.25">
      <c r="A30" t="s">
        <v>123</v>
      </c>
      <c r="F30" s="29"/>
      <c r="G30" s="29"/>
      <c r="H30" s="123"/>
      <c r="I30" s="2"/>
      <c r="J30" s="2"/>
      <c r="K30" s="2"/>
    </row>
    <row r="31" spans="1:16">
      <c r="B31" s="15"/>
      <c r="F31" s="29"/>
      <c r="G31" s="29"/>
      <c r="H31" s="123"/>
      <c r="I31" s="2"/>
      <c r="J31" s="2"/>
      <c r="K31" s="2"/>
    </row>
    <row r="32" spans="1:16" ht="17.25">
      <c r="A32" s="1" t="s">
        <v>125</v>
      </c>
      <c r="B32" s="63" t="s">
        <v>129</v>
      </c>
      <c r="L32" s="29"/>
      <c r="M32" s="29"/>
      <c r="N32" s="29"/>
    </row>
    <row r="33" spans="1:12" ht="17.25">
      <c r="A33" s="9" t="s">
        <v>79</v>
      </c>
      <c r="B33" s="9">
        <f>B6/100</f>
        <v>0.28999999999999998</v>
      </c>
      <c r="C33" s="9" t="s">
        <v>113</v>
      </c>
      <c r="G33" s="30"/>
      <c r="H33" s="30"/>
      <c r="I33" s="30"/>
      <c r="J33" s="30"/>
      <c r="K33" s="30"/>
      <c r="L33" s="30"/>
    </row>
    <row r="34" spans="1:12" ht="18.75">
      <c r="A34" s="9" t="s">
        <v>110</v>
      </c>
      <c r="B34" s="9">
        <f>B7/100</f>
        <v>0.03</v>
      </c>
      <c r="C34" s="9" t="s">
        <v>113</v>
      </c>
    </row>
    <row r="35" spans="1:12" ht="18.75">
      <c r="A35" s="9" t="s">
        <v>111</v>
      </c>
      <c r="B35" s="9">
        <f>B8/100</f>
        <v>0.15</v>
      </c>
      <c r="C35" s="9" t="s">
        <v>113</v>
      </c>
    </row>
    <row r="36" spans="1:12">
      <c r="A36" s="20"/>
      <c r="B36" s="20"/>
      <c r="C36" s="20"/>
    </row>
    <row r="37" spans="1:12" ht="17.25">
      <c r="A37" s="61" t="s">
        <v>126</v>
      </c>
      <c r="B37" s="64" t="s">
        <v>130</v>
      </c>
    </row>
    <row r="38" spans="1:12">
      <c r="A38" s="9" t="s">
        <v>79</v>
      </c>
      <c r="B38" s="58">
        <f>(B33/B21)/1000</f>
        <v>3.6249999999999992E-4</v>
      </c>
      <c r="C38" s="9" t="s">
        <v>83</v>
      </c>
    </row>
    <row r="39" spans="1:12" ht="18">
      <c r="A39" s="9" t="s">
        <v>110</v>
      </c>
      <c r="B39" s="58">
        <f>(B34/B22)/1000</f>
        <v>2.1509999999999999E-5</v>
      </c>
      <c r="C39" s="9" t="s">
        <v>83</v>
      </c>
    </row>
    <row r="40" spans="1:12" ht="18">
      <c r="A40" s="9" t="s">
        <v>111</v>
      </c>
      <c r="B40" s="58">
        <f>(B35/B23)/1000</f>
        <v>1.3499999999999999E-5</v>
      </c>
      <c r="C40" s="9" t="s">
        <v>83</v>
      </c>
    </row>
    <row r="41" spans="1:12">
      <c r="A41" s="12"/>
      <c r="B41" s="60"/>
      <c r="C41" s="12"/>
    </row>
    <row r="42" spans="1:12">
      <c r="A42" s="20"/>
      <c r="B42" s="60"/>
      <c r="C42" s="20"/>
    </row>
    <row r="43" spans="1:12">
      <c r="A43" s="61" t="s">
        <v>127</v>
      </c>
      <c r="B43" s="64" t="s">
        <v>131</v>
      </c>
    </row>
    <row r="44" spans="1:12">
      <c r="A44" s="9" t="s">
        <v>79</v>
      </c>
      <c r="B44" s="65">
        <f>B38*B13</f>
        <v>3.6655999999999993E-3</v>
      </c>
      <c r="C44" s="9" t="s">
        <v>82</v>
      </c>
    </row>
    <row r="45" spans="1:12" ht="18">
      <c r="A45" s="9" t="s">
        <v>110</v>
      </c>
      <c r="B45" s="65">
        <f>B39*B14</f>
        <v>1.07569359E-3</v>
      </c>
      <c r="C45" s="9" t="s">
        <v>82</v>
      </c>
    </row>
    <row r="46" spans="1:12" ht="18">
      <c r="A46" s="9" t="s">
        <v>111</v>
      </c>
      <c r="B46" s="65">
        <f>B40*B15</f>
        <v>1.6331085E-3</v>
      </c>
      <c r="C46" s="9" t="s">
        <v>82</v>
      </c>
    </row>
    <row r="47" spans="1:12" ht="18" thickBot="1">
      <c r="A47" s="69" t="s">
        <v>166</v>
      </c>
      <c r="B47" s="112">
        <f>SUM(B44:B46)</f>
        <v>6.3744020899999991E-3</v>
      </c>
      <c r="C47" s="113" t="s">
        <v>114</v>
      </c>
      <c r="E47" s="5"/>
      <c r="G47" s="124"/>
      <c r="H47" s="15"/>
    </row>
    <row r="48" spans="1:12" ht="15.75" thickTop="1">
      <c r="B48" s="2"/>
    </row>
    <row r="49" spans="1:4" s="62" customFormat="1">
      <c r="A49" s="46"/>
    </row>
    <row r="50" spans="1:4">
      <c r="A50" s="148"/>
      <c r="B50" s="20"/>
      <c r="C50" s="20"/>
      <c r="D50" s="20"/>
    </row>
    <row r="51" spans="1:4">
      <c r="A51" s="8"/>
      <c r="B51" s="149"/>
      <c r="C51" s="20"/>
      <c r="D51" s="20"/>
    </row>
    <row r="52" spans="1:4">
      <c r="A52" s="20"/>
      <c r="B52" s="11"/>
      <c r="C52" s="20"/>
      <c r="D52" s="20"/>
    </row>
    <row r="53" spans="1:4">
      <c r="A53" s="20"/>
      <c r="B53" s="12"/>
      <c r="C53" s="20"/>
      <c r="D53" s="20"/>
    </row>
    <row r="54" spans="1:4">
      <c r="A54" s="20"/>
      <c r="B54" s="20"/>
      <c r="C54" s="20"/>
      <c r="D54" s="20"/>
    </row>
  </sheetData>
  <mergeCells count="1">
    <mergeCell ref="A2:B2"/>
  </mergeCells>
  <phoneticPr fontId="29" type="noConversion"/>
  <hyperlinks>
    <hyperlink ref="D13" r:id="rId1"/>
    <hyperlink ref="D15" r:id="rId2"/>
    <hyperlink ref="D14" r:id="rId3"/>
    <hyperlink ref="D21" r:id="rId4"/>
    <hyperlink ref="D22:D23" r:id="rId5" display="http://www.imteag.com/2-2005-06.pdf"/>
    <hyperlink ref="D24" r:id="rId6"/>
    <hyperlink ref="D20" r:id="rId7"/>
  </hyperlinks>
  <pageMargins left="0.7" right="0.7" top="0.75" bottom="0.75" header="0.3" footer="0.3"/>
  <pageSetup paperSize="9" orientation="portrait" r:id="rId8"/>
</worksheet>
</file>

<file path=xl/worksheets/sheet6.xml><?xml version="1.0" encoding="utf-8"?>
<worksheet xmlns="http://schemas.openxmlformats.org/spreadsheetml/2006/main" xmlns:r="http://schemas.openxmlformats.org/officeDocument/2006/relationships">
  <dimension ref="A3:IV55"/>
  <sheetViews>
    <sheetView topLeftCell="A58" zoomScale="90" zoomScaleNormal="90" workbookViewId="0">
      <selection activeCell="F34" sqref="F34"/>
    </sheetView>
  </sheetViews>
  <sheetFormatPr defaultRowHeight="15"/>
  <cols>
    <col min="1" max="1" width="22.85546875" bestFit="1" customWidth="1"/>
    <col min="2" max="2" width="22.140625" customWidth="1"/>
    <col min="3" max="3" width="13.42578125" bestFit="1" customWidth="1"/>
    <col min="4" max="4" width="14.5703125" customWidth="1"/>
    <col min="5" max="5" width="14.42578125" customWidth="1"/>
    <col min="6" max="6" width="20.5703125" customWidth="1"/>
    <col min="7" max="7" width="12.42578125" bestFit="1" customWidth="1"/>
    <col min="8" max="8" width="23.28515625" customWidth="1"/>
  </cols>
  <sheetData>
    <row r="3" spans="1:19" ht="17.25">
      <c r="A3" s="150" t="s">
        <v>128</v>
      </c>
      <c r="B3" s="150" t="s">
        <v>180</v>
      </c>
      <c r="C3" s="151" t="s">
        <v>199</v>
      </c>
      <c r="D3" s="150" t="s">
        <v>183</v>
      </c>
      <c r="E3" s="150"/>
      <c r="F3" s="150"/>
      <c r="G3" s="150" t="s">
        <v>186</v>
      </c>
      <c r="H3" s="150" t="s">
        <v>189</v>
      </c>
      <c r="I3" s="151" t="s">
        <v>200</v>
      </c>
      <c r="J3" s="150" t="s">
        <v>190</v>
      </c>
      <c r="K3" s="150"/>
    </row>
    <row r="4" spans="1:19" ht="17.25">
      <c r="A4" s="9" t="s">
        <v>182</v>
      </c>
      <c r="B4" s="9" t="s">
        <v>181</v>
      </c>
      <c r="C4" s="137" t="s">
        <v>113</v>
      </c>
      <c r="D4" s="137" t="s">
        <v>184</v>
      </c>
      <c r="E4" s="137" t="s">
        <v>176</v>
      </c>
      <c r="F4" s="137" t="s">
        <v>187</v>
      </c>
      <c r="G4" s="137" t="s">
        <v>178</v>
      </c>
      <c r="H4" s="137" t="s">
        <v>178</v>
      </c>
      <c r="I4" s="142" t="s">
        <v>188</v>
      </c>
      <c r="J4" s="137" t="s">
        <v>177</v>
      </c>
      <c r="K4" s="9"/>
    </row>
    <row r="5" spans="1:19">
      <c r="A5" s="9" t="s">
        <v>271</v>
      </c>
      <c r="B5" s="9">
        <f>'NCV of Producer Gas'!B5</f>
        <v>4</v>
      </c>
      <c r="C5" s="9">
        <f>B5/100</f>
        <v>0.04</v>
      </c>
      <c r="D5" s="152">
        <f>'NCV of Producer Gas'!B20</f>
        <v>0.53400000000000003</v>
      </c>
      <c r="E5" s="138">
        <f>C5/D5</f>
        <v>7.4906367041198504E-2</v>
      </c>
      <c r="F5" s="138">
        <f>E5/$E$10</f>
        <v>7.2277085845693603E-2</v>
      </c>
      <c r="G5" s="153">
        <f>I16</f>
        <v>0.9531625434508858</v>
      </c>
      <c r="H5" s="139">
        <f>G5*F5</f>
        <v>6.8891810977899329E-2</v>
      </c>
      <c r="I5" s="154">
        <f>(291.333-15)</f>
        <v>276.33300000000003</v>
      </c>
      <c r="J5" s="143">
        <f>H5*I5</f>
        <v>19.037080802955856</v>
      </c>
      <c r="K5" s="9"/>
    </row>
    <row r="6" spans="1:19">
      <c r="A6" s="9" t="s">
        <v>79</v>
      </c>
      <c r="B6" s="9">
        <f>'NCV of Producer Gas'!B6</f>
        <v>29</v>
      </c>
      <c r="C6" s="9">
        <f>B6/100</f>
        <v>0.28999999999999998</v>
      </c>
      <c r="D6" s="152">
        <f>'NCV of Producer Gas'!B21</f>
        <v>0.8</v>
      </c>
      <c r="E6" s="138">
        <f>C6/D6</f>
        <v>0.36249999999999993</v>
      </c>
      <c r="F6" s="138">
        <f>E6/$E$10</f>
        <v>0.34977592231450338</v>
      </c>
      <c r="G6" s="153">
        <f>I15</f>
        <v>1.062694072117101</v>
      </c>
      <c r="H6" s="139">
        <f>G6*F6</f>
        <v>0.37170479921291438</v>
      </c>
      <c r="I6" s="154">
        <f>I5</f>
        <v>276.33300000000003</v>
      </c>
      <c r="J6" s="143">
        <f>H6*I6</f>
        <v>102.71430228090227</v>
      </c>
      <c r="K6" s="9"/>
    </row>
    <row r="7" spans="1:19">
      <c r="A7" s="9" t="s">
        <v>272</v>
      </c>
      <c r="B7" s="9">
        <f>'NCV of Producer Gas'!B7</f>
        <v>3</v>
      </c>
      <c r="C7" s="9">
        <f>B7/100</f>
        <v>0.03</v>
      </c>
      <c r="D7" s="152">
        <f>'NCV of Producer Gas'!B22</f>
        <v>1.394700139470014</v>
      </c>
      <c r="E7" s="138">
        <f>C7/D7</f>
        <v>2.1509999999999998E-2</v>
      </c>
      <c r="F7" s="138">
        <f>E7/$E$10</f>
        <v>2.0754979555820605E-2</v>
      </c>
      <c r="G7" s="153">
        <f>I19</f>
        <v>2.6715374191215888</v>
      </c>
      <c r="H7" s="139">
        <f>G7*F7</f>
        <v>5.5447704516478319E-2</v>
      </c>
      <c r="I7" s="154">
        <f>I6</f>
        <v>276.33300000000003</v>
      </c>
      <c r="J7" s="143">
        <f>H7*I7</f>
        <v>15.322030532152004</v>
      </c>
      <c r="K7" s="9"/>
    </row>
    <row r="8" spans="1:19">
      <c r="A8" s="9" t="s">
        <v>273</v>
      </c>
      <c r="B8" s="9">
        <f>'NCV of Producer Gas'!B8</f>
        <v>15</v>
      </c>
      <c r="C8" s="9">
        <f>B8/100</f>
        <v>0.15</v>
      </c>
      <c r="D8" s="152">
        <f>'NCV of Producer Gas'!B23</f>
        <v>11.111111111111111</v>
      </c>
      <c r="E8" s="138">
        <f>C8/D8</f>
        <v>1.35E-2</v>
      </c>
      <c r="F8" s="138">
        <f>E8/$E$10</f>
        <v>1.3026137796540129E-2</v>
      </c>
      <c r="G8" s="153">
        <f>I17</f>
        <v>14.462917029467206</v>
      </c>
      <c r="H8" s="139">
        <f>G8*F8</f>
        <v>0.18839595016576666</v>
      </c>
      <c r="I8" s="154">
        <f>I7</f>
        <v>276.33300000000003</v>
      </c>
      <c r="J8" s="143">
        <f>H8*I8</f>
        <v>52.060018097156799</v>
      </c>
      <c r="K8" s="9"/>
    </row>
    <row r="9" spans="1:19">
      <c r="A9" s="9" t="s">
        <v>274</v>
      </c>
      <c r="B9" s="9">
        <f>'NCV of Producer Gas'!B9</f>
        <v>49</v>
      </c>
      <c r="C9" s="9">
        <f>B9/100</f>
        <v>0.49</v>
      </c>
      <c r="D9" s="152">
        <f>'NCV of Producer Gas'!B24</f>
        <v>0.86885374336445176</v>
      </c>
      <c r="E9" s="138">
        <f>C9/D9</f>
        <v>0.56396143049643654</v>
      </c>
      <c r="F9" s="138">
        <f>E9/$E$10</f>
        <v>0.54416587448744236</v>
      </c>
      <c r="G9" s="153">
        <f>I18</f>
        <v>1.0348922587047626</v>
      </c>
      <c r="H9" s="139">
        <f>G9*F9</f>
        <v>0.56315305095836155</v>
      </c>
      <c r="I9" s="154">
        <f>I8</f>
        <v>276.33300000000003</v>
      </c>
      <c r="J9" s="143">
        <f>H9*I9</f>
        <v>155.61777203047694</v>
      </c>
      <c r="K9" s="9"/>
    </row>
    <row r="10" spans="1:19" s="1" customFormat="1">
      <c r="A10" s="7" t="s">
        <v>84</v>
      </c>
      <c r="B10" s="7">
        <f>SUM(B5:B9)</f>
        <v>100</v>
      </c>
      <c r="C10" s="7">
        <f>SUM(C5:C9)</f>
        <v>1</v>
      </c>
      <c r="D10" s="7"/>
      <c r="E10" s="144">
        <f>SUM(E5:E9)</f>
        <v>1.0363777975376349</v>
      </c>
      <c r="F10" s="144">
        <f>SUM(F5:F9)</f>
        <v>1</v>
      </c>
      <c r="G10" s="144"/>
      <c r="H10" s="145">
        <f>SUM(H5:H9)</f>
        <v>1.2475933158314203</v>
      </c>
      <c r="I10" s="140">
        <f>I9</f>
        <v>276.33300000000003</v>
      </c>
      <c r="J10" s="146">
        <f>SUM(J5:J9)</f>
        <v>344.75120374364388</v>
      </c>
      <c r="K10" s="7"/>
    </row>
    <row r="11" spans="1:19">
      <c r="I11" s="1" t="s">
        <v>258</v>
      </c>
    </row>
    <row r="14" spans="1:19">
      <c r="A14" s="150" t="s">
        <v>182</v>
      </c>
      <c r="B14" s="150" t="s">
        <v>281</v>
      </c>
      <c r="C14" s="150" t="s">
        <v>282</v>
      </c>
      <c r="D14" s="150" t="s">
        <v>283</v>
      </c>
      <c r="E14" s="150" t="s">
        <v>284</v>
      </c>
      <c r="F14" s="150" t="s">
        <v>285</v>
      </c>
      <c r="G14" s="229" t="s">
        <v>275</v>
      </c>
      <c r="H14" s="230"/>
      <c r="I14" s="229" t="s">
        <v>276</v>
      </c>
      <c r="J14" s="230"/>
      <c r="O14" s="214"/>
    </row>
    <row r="15" spans="1:19">
      <c r="A15" s="9" t="s">
        <v>201</v>
      </c>
      <c r="B15" s="9">
        <f>15+273</f>
        <v>288</v>
      </c>
      <c r="C15" s="9">
        <f t="shared" ref="C15:C19" si="0">291+273</f>
        <v>564</v>
      </c>
      <c r="D15" s="138">
        <f>6.6+0.0012*B15</f>
        <v>6.9455999999999998</v>
      </c>
      <c r="E15" s="138">
        <f>6.6+0.0012*C15</f>
        <v>7.2767999999999997</v>
      </c>
      <c r="F15" s="138">
        <f>(D15+E15)/2</f>
        <v>7.1112000000000002</v>
      </c>
      <c r="G15" s="9">
        <v>28.01</v>
      </c>
      <c r="H15" s="9" t="s">
        <v>278</v>
      </c>
      <c r="I15" s="139">
        <f>F15*$I$23/G15*1000</f>
        <v>1.062694072117101</v>
      </c>
      <c r="J15" s="9" t="s">
        <v>178</v>
      </c>
      <c r="O15" s="214"/>
    </row>
    <row r="16" spans="1:19" ht="18">
      <c r="A16" s="9" t="s">
        <v>202</v>
      </c>
      <c r="B16" s="9">
        <f t="shared" ref="B16:B19" si="1">15+273</f>
        <v>288</v>
      </c>
      <c r="C16" s="9">
        <f t="shared" si="0"/>
        <v>564</v>
      </c>
      <c r="D16" s="138">
        <f>10.34+0.00274*B16-195500/(B16^2)</f>
        <v>8.7721080401234577</v>
      </c>
      <c r="E16" s="138">
        <f>10.34+0.00274*C16-195500/(C16^2)</f>
        <v>11.270765663699009</v>
      </c>
      <c r="F16" s="138">
        <f>(D16+E16)/2</f>
        <v>10.021436851911233</v>
      </c>
      <c r="G16" s="9">
        <v>44.009</v>
      </c>
      <c r="H16" s="9" t="s">
        <v>278</v>
      </c>
      <c r="I16" s="139">
        <f>F16*$I$23/G16*1000</f>
        <v>0.9531625434508858</v>
      </c>
      <c r="J16" s="9" t="s">
        <v>178</v>
      </c>
      <c r="O16" s="214"/>
      <c r="P16" s="214"/>
      <c r="Q16" s="214"/>
      <c r="R16" s="214"/>
      <c r="S16" s="214"/>
    </row>
    <row r="17" spans="1:256" ht="18">
      <c r="A17" s="9" t="s">
        <v>203</v>
      </c>
      <c r="B17" s="9">
        <f t="shared" si="1"/>
        <v>288</v>
      </c>
      <c r="C17" s="9">
        <f t="shared" si="0"/>
        <v>564</v>
      </c>
      <c r="D17" s="138">
        <f>6.62+0.00081*B17</f>
        <v>6.8532799999999998</v>
      </c>
      <c r="E17" s="138">
        <f>6.62+0.00081*C17</f>
        <v>7.0768399999999998</v>
      </c>
      <c r="F17" s="138">
        <f t="shared" ref="F17:F19" si="2">(D17+E17)/2</f>
        <v>6.9650599999999994</v>
      </c>
      <c r="G17" s="9">
        <v>2.0158</v>
      </c>
      <c r="H17" s="9" t="s">
        <v>278</v>
      </c>
      <c r="I17" s="139">
        <f t="shared" ref="I17:I19" si="3">F17*$I$23/G17*1000</f>
        <v>14.462917029467206</v>
      </c>
      <c r="J17" s="9" t="s">
        <v>178</v>
      </c>
      <c r="O17" s="214"/>
      <c r="P17" s="214"/>
      <c r="Q17" s="214"/>
      <c r="R17" s="214"/>
      <c r="S17" s="214"/>
    </row>
    <row r="18" spans="1:256" ht="18">
      <c r="A18" s="9" t="s">
        <v>204</v>
      </c>
      <c r="B18" s="9">
        <f t="shared" si="1"/>
        <v>288</v>
      </c>
      <c r="C18" s="9">
        <f t="shared" si="0"/>
        <v>564</v>
      </c>
      <c r="D18" s="138">
        <f>6.5+0.001*B18</f>
        <v>6.7880000000000003</v>
      </c>
      <c r="E18" s="138">
        <f>6.5+0.001*C18</f>
        <v>7.0640000000000001</v>
      </c>
      <c r="F18" s="138">
        <f t="shared" si="2"/>
        <v>6.9260000000000002</v>
      </c>
      <c r="G18" s="9">
        <v>28.013400000000001</v>
      </c>
      <c r="H18" s="9" t="s">
        <v>278</v>
      </c>
      <c r="I18" s="139">
        <f t="shared" si="3"/>
        <v>1.0348922587047626</v>
      </c>
      <c r="J18" s="9" t="s">
        <v>178</v>
      </c>
      <c r="O18" s="214"/>
      <c r="P18" s="214"/>
      <c r="Q18" s="214"/>
      <c r="R18" s="214"/>
      <c r="S18" s="214"/>
    </row>
    <row r="19" spans="1:256" ht="18">
      <c r="A19" s="9" t="s">
        <v>205</v>
      </c>
      <c r="B19" s="9">
        <f t="shared" si="1"/>
        <v>288</v>
      </c>
      <c r="C19" s="9">
        <f t="shared" si="0"/>
        <v>564</v>
      </c>
      <c r="D19" s="138">
        <f>5.34+0.0115*B19</f>
        <v>8.6519999999999992</v>
      </c>
      <c r="E19" s="138">
        <f>5.34+0.0115*C19</f>
        <v>11.826000000000001</v>
      </c>
      <c r="F19" s="138">
        <f t="shared" si="2"/>
        <v>10.239000000000001</v>
      </c>
      <c r="G19" s="9">
        <v>16.0426</v>
      </c>
      <c r="H19" s="9" t="s">
        <v>278</v>
      </c>
      <c r="I19" s="139">
        <f t="shared" si="3"/>
        <v>2.6715374191215888</v>
      </c>
      <c r="J19" s="9" t="s">
        <v>178</v>
      </c>
      <c r="O19" s="214"/>
      <c r="P19" s="214"/>
      <c r="Q19" s="214"/>
      <c r="R19" s="214"/>
      <c r="S19" s="214"/>
    </row>
    <row r="20" spans="1:256" s="214" customFormat="1">
      <c r="A20" s="20"/>
      <c r="B20" s="20"/>
      <c r="C20" s="20"/>
      <c r="D20" s="172"/>
      <c r="E20" s="172"/>
      <c r="F20" s="172"/>
      <c r="G20" s="20"/>
      <c r="H20" s="20"/>
      <c r="I20" s="173"/>
      <c r="J20" s="20"/>
    </row>
    <row r="21" spans="1:256">
      <c r="A21" s="214" t="s">
        <v>287</v>
      </c>
      <c r="C21" s="12"/>
      <c r="D21" s="12"/>
      <c r="E21" s="12"/>
      <c r="F21" s="12"/>
      <c r="G21" s="12"/>
      <c r="H21" s="12"/>
    </row>
    <row r="22" spans="1:256">
      <c r="A22" s="201" t="s">
        <v>286</v>
      </c>
      <c r="H22" s="231" t="s">
        <v>277</v>
      </c>
      <c r="I22" s="231"/>
      <c r="J22" s="231"/>
      <c r="K22" s="214"/>
    </row>
    <row r="23" spans="1:256">
      <c r="E23" s="23"/>
      <c r="H23" s="9" t="s">
        <v>279</v>
      </c>
      <c r="I23" s="9">
        <v>4.1857999999999999E-3</v>
      </c>
      <c r="J23" s="9" t="s">
        <v>179</v>
      </c>
      <c r="K23" s="214" t="s">
        <v>280</v>
      </c>
    </row>
    <row r="24" spans="1:256" ht="17.25">
      <c r="A24" s="9" t="s">
        <v>270</v>
      </c>
      <c r="B24" s="139">
        <f>E10/C10</f>
        <v>1.0363777975376349</v>
      </c>
      <c r="C24" s="9" t="s">
        <v>185</v>
      </c>
    </row>
    <row r="25" spans="1:256" ht="18">
      <c r="A25" s="9" t="s">
        <v>206</v>
      </c>
      <c r="B25" s="65">
        <f>'NCV of Producer Gas'!B47</f>
        <v>6.3744020899999991E-3</v>
      </c>
      <c r="C25" s="9" t="s">
        <v>269</v>
      </c>
    </row>
    <row r="27" spans="1:256">
      <c r="A27" s="31" t="s">
        <v>209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  <c r="CX27" s="31"/>
      <c r="CY27" s="31"/>
      <c r="CZ27" s="31"/>
      <c r="DA27" s="31"/>
      <c r="DB27" s="31"/>
      <c r="DC27" s="31"/>
      <c r="DD27" s="31"/>
      <c r="DE27" s="31"/>
      <c r="DF27" s="31"/>
      <c r="DG27" s="31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  <c r="IU27" s="31"/>
      <c r="IV27" s="31"/>
    </row>
    <row r="30" spans="1:256">
      <c r="C30" s="156" t="s">
        <v>74</v>
      </c>
    </row>
    <row r="34" spans="1:6" ht="60">
      <c r="A34" s="157" t="s">
        <v>210</v>
      </c>
      <c r="B34" s="157" t="s">
        <v>211</v>
      </c>
      <c r="C34" s="157" t="s">
        <v>212</v>
      </c>
      <c r="D34" s="157" t="s">
        <v>213</v>
      </c>
    </row>
    <row r="35" spans="1:6">
      <c r="A35" s="137" t="s">
        <v>82</v>
      </c>
      <c r="B35" s="137" t="s">
        <v>191</v>
      </c>
      <c r="C35" s="137" t="s">
        <v>82</v>
      </c>
      <c r="D35" s="137" t="s">
        <v>191</v>
      </c>
      <c r="E35" s="20"/>
    </row>
    <row r="36" spans="1:6">
      <c r="A36" s="158">
        <f ca="1">Process_Diagram!O10</f>
        <v>412911.81023146765</v>
      </c>
      <c r="B36" s="215">
        <f ca="1">Process_Diagram!T9</f>
        <v>51454.85056039245</v>
      </c>
      <c r="C36" s="147">
        <f>Process_Diagram!L30</f>
        <v>423340.76837368292</v>
      </c>
      <c r="D36" s="147">
        <f>Process_Diagram!T32</f>
        <v>52754.451272727274</v>
      </c>
      <c r="E36" s="159">
        <f ca="1">Process_Diagram!O11</f>
        <v>8.0247402477018941</v>
      </c>
      <c r="F36" s="160" t="s">
        <v>74</v>
      </c>
    </row>
    <row r="41" spans="1:6" ht="18">
      <c r="A41" s="9" t="s">
        <v>206</v>
      </c>
      <c r="B41" s="143">
        <f>B25/B24*1000000</f>
        <v>6150.654814436547</v>
      </c>
      <c r="C41" s="9" t="s">
        <v>177</v>
      </c>
    </row>
    <row r="42" spans="1:6">
      <c r="A42" s="9" t="s">
        <v>192</v>
      </c>
      <c r="B42" s="139">
        <f>H10</f>
        <v>1.2475933158314203</v>
      </c>
      <c r="C42" s="9" t="str">
        <f>H4</f>
        <v>kJ/kg.K</v>
      </c>
    </row>
    <row r="46" spans="1:6" ht="18">
      <c r="A46" s="9" t="s">
        <v>214</v>
      </c>
      <c r="B46" s="138">
        <f>B42*I10</f>
        <v>344.75120374364388</v>
      </c>
      <c r="C46" s="9" t="s">
        <v>177</v>
      </c>
    </row>
    <row r="48" spans="1:6" ht="18">
      <c r="A48" s="9" t="s">
        <v>215</v>
      </c>
      <c r="B48" s="10">
        <f ca="1">A36*1000000</f>
        <v>412911810231.46765</v>
      </c>
      <c r="C48" s="9" t="s">
        <v>179</v>
      </c>
    </row>
    <row r="53" spans="1:3">
      <c r="A53" s="9" t="s">
        <v>193</v>
      </c>
      <c r="B53" s="10">
        <f ca="1">B48/(B41+B46)</f>
        <v>63569822.898792803</v>
      </c>
      <c r="C53" s="9" t="s">
        <v>176</v>
      </c>
    </row>
    <row r="54" spans="1:3" ht="15.75" thickBot="1"/>
    <row r="55" spans="1:3" ht="18" thickBot="1">
      <c r="A55" s="161" t="s">
        <v>194</v>
      </c>
      <c r="B55" s="162">
        <f ca="1">B53/B24</f>
        <v>61338464.650468677</v>
      </c>
      <c r="C55" s="163" t="s">
        <v>113</v>
      </c>
    </row>
  </sheetData>
  <mergeCells count="3">
    <mergeCell ref="I14:J14"/>
    <mergeCell ref="H22:J22"/>
    <mergeCell ref="G14:H14"/>
  </mergeCells>
  <phoneticPr fontId="29" type="noConversion"/>
  <pageMargins left="0.7" right="0.7" top="0.75" bottom="0.75" header="0.3" footer="0.3"/>
  <pageSetup paperSize="9" orientation="portrait" horizontalDpi="1200" verticalDpi="1200" r:id="rId1"/>
  <ignoredErrors>
    <ignoredError sqref="I10" formula="1"/>
  </ignoredErrors>
  <drawing r:id="rId2"/>
  <legacyDrawing r:id="rId3"/>
  <oleObjects>
    <oleObject progId="Equation.3" shapeId="6146" r:id="rId4"/>
    <oleObject progId="Equation.3" shapeId="6150" r:id="rId5"/>
    <oleObject progId="Equation.3" shapeId="6151" r:id="rId6"/>
    <oleObject progId="Equation.3" shapeId="6152" r:id="rId7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Process_Diagram</vt:lpstr>
      <vt:lpstr>Carbon_Energy_Balances</vt:lpstr>
      <vt:lpstr>Brick Production</vt:lpstr>
      <vt:lpstr>ER_Calculations</vt:lpstr>
      <vt:lpstr>NCV of Producer Gas</vt:lpstr>
      <vt:lpstr>Vol of Producer Gas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Joslin Andrews</dc:creator>
  <cp:lastModifiedBy>Karolina Euler-van Hulst</cp:lastModifiedBy>
  <cp:lastPrinted>2010-02-01T15:45:44Z</cp:lastPrinted>
  <dcterms:created xsi:type="dcterms:W3CDTF">2009-02-17T15:09:27Z</dcterms:created>
  <dcterms:modified xsi:type="dcterms:W3CDTF">2012-04-23T15:01:31Z</dcterms:modified>
</cp:coreProperties>
</file>