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1670" windowHeight="4695" tabRatio="898" activeTab="2"/>
  </bookViews>
  <sheets>
    <sheet name="OM" sheetId="1" r:id="rId1"/>
    <sheet name="BM" sheetId="2" r:id="rId2"/>
    <sheet name="CM" sheetId="3" r:id="rId3"/>
    <sheet name="Additional Info" sheetId="4" r:id="rId4"/>
    <sheet name="Stats SA 2009" sheetId="5" r:id="rId5"/>
    <sheet name="ESKOM Annual Report 2009" sheetId="6" r:id="rId6"/>
    <sheet name="ESKOM Website 2008" sheetId="7" r:id="rId7"/>
    <sheet name="NERSA Stage 3 2007" sheetId="8" r:id="rId8"/>
    <sheet name="NERSA Stage 4 2008" sheetId="9" r:id="rId9"/>
    <sheet name="Sheet1" sheetId="10" r:id="rId10"/>
  </sheets>
  <externalReferences>
    <externalReference r:id="rId11"/>
  </externalReferences>
  <calcPr calcId="125725"/>
</workbook>
</file>

<file path=xl/calcChain.xml><?xml version="1.0" encoding="utf-8"?>
<calcChain xmlns="http://schemas.openxmlformats.org/spreadsheetml/2006/main">
  <c r="B20" i="1"/>
  <c r="O9"/>
  <c r="P9"/>
  <c r="N9"/>
  <c r="O19"/>
  <c r="L19"/>
  <c r="K6"/>
  <c r="L6"/>
  <c r="M6"/>
  <c r="J6"/>
  <c r="Y19" i="6"/>
  <c r="Y18"/>
  <c r="U18"/>
  <c r="V18"/>
  <c r="W18"/>
  <c r="X18"/>
  <c r="T18"/>
  <c r="T17"/>
  <c r="U17"/>
  <c r="V17"/>
  <c r="W17"/>
  <c r="X17"/>
  <c r="D4" i="1"/>
  <c r="D18" s="1"/>
  <c r="S19" i="5"/>
  <c r="T19"/>
  <c r="C4" i="1" s="1"/>
  <c r="C18" s="1"/>
  <c r="E4"/>
  <c r="E18" s="1"/>
  <c r="R19" i="5"/>
  <c r="J13" i="1"/>
  <c r="I28" i="4"/>
  <c r="F11" i="1"/>
  <c r="G11"/>
  <c r="H11"/>
  <c r="I11"/>
  <c r="F10"/>
  <c r="G10"/>
  <c r="I10"/>
  <c r="H10"/>
  <c r="I9"/>
  <c r="I8"/>
  <c r="I7"/>
  <c r="I6"/>
  <c r="H9"/>
  <c r="H8"/>
  <c r="H7"/>
  <c r="H6"/>
  <c r="G9"/>
  <c r="G8"/>
  <c r="G7"/>
  <c r="G6"/>
  <c r="F9"/>
  <c r="F8"/>
  <c r="F7"/>
  <c r="F6"/>
  <c r="E3" i="4"/>
  <c r="F3"/>
  <c r="G3"/>
  <c r="E4"/>
  <c r="F4"/>
  <c r="G4"/>
  <c r="E5"/>
  <c r="F5"/>
  <c r="G5"/>
  <c r="E6"/>
  <c r="F6"/>
  <c r="G6"/>
  <c r="E7"/>
  <c r="F7"/>
  <c r="G7"/>
  <c r="E8"/>
  <c r="F8"/>
  <c r="G8"/>
  <c r="E9"/>
  <c r="F9"/>
  <c r="G9"/>
  <c r="E10"/>
  <c r="F10"/>
  <c r="G10"/>
  <c r="E11"/>
  <c r="F11"/>
  <c r="G11"/>
  <c r="E12"/>
  <c r="F12"/>
  <c r="G12"/>
  <c r="E13"/>
  <c r="F13"/>
  <c r="G13"/>
  <c r="E44"/>
  <c r="F44"/>
  <c r="G44"/>
  <c r="C8" i="2"/>
  <c r="E4"/>
  <c r="F4" s="1"/>
  <c r="E5"/>
  <c r="F5" s="1"/>
  <c r="E6"/>
  <c r="F6" s="1"/>
  <c r="E7"/>
  <c r="F7" s="1"/>
  <c r="E3"/>
  <c r="F3" s="1"/>
  <c r="F8" s="1"/>
  <c r="B10" s="1"/>
  <c r="B2" i="3" s="1"/>
  <c r="J9" i="1"/>
  <c r="G5" l="1"/>
  <c r="C12"/>
  <c r="G12"/>
  <c r="F14"/>
  <c r="F15"/>
  <c r="F13"/>
  <c r="H5"/>
  <c r="D12"/>
  <c r="D13" s="1"/>
  <c r="E12"/>
  <c r="I5"/>
  <c r="P13" l="1"/>
  <c r="D26" s="1"/>
  <c r="E13"/>
  <c r="N13"/>
  <c r="B26" s="1"/>
  <c r="C13"/>
  <c r="G13" s="1"/>
  <c r="H12"/>
  <c r="O13"/>
  <c r="C26" s="1"/>
  <c r="E26"/>
  <c r="B3" i="3" s="1"/>
  <c r="I12" i="1"/>
  <c r="B6" i="3"/>
  <c r="F16" i="4"/>
  <c r="F15" l="1"/>
  <c r="F18"/>
  <c r="F17"/>
  <c r="F25" l="1"/>
  <c r="G25" s="1"/>
  <c r="F26" l="1"/>
  <c r="G26" s="1"/>
  <c r="F27"/>
  <c r="G27" s="1"/>
  <c r="F28"/>
  <c r="G28" s="1"/>
  <c r="F24"/>
  <c r="G24" s="1"/>
</calcChain>
</file>

<file path=xl/comments1.xml><?xml version="1.0" encoding="utf-8"?>
<comments xmlns="http://schemas.openxmlformats.org/spreadsheetml/2006/main">
  <authors>
    <author>AB Van Der Merwe</author>
  </authors>
  <commentList>
    <comment ref="A4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Statistics South Africa December 2009
</t>
        </r>
        <r>
          <rPr>
            <i/>
            <sz val="8"/>
            <color indexed="81"/>
            <rFont val="Tahoma"/>
            <family val="2"/>
          </rPr>
          <t>Electricity generated and available for distribution in SA, including exported (exported obtained from Eskom Annual Report 2009).
Eskom Financial Year used - end 31 March</t>
        </r>
      </text>
    </comment>
    <comment ref="A5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Eskom Annual Report 2009
</t>
        </r>
        <r>
          <rPr>
            <i/>
            <sz val="8"/>
            <color indexed="81"/>
            <rFont val="Tahoma"/>
            <family val="2"/>
          </rPr>
          <t>Total available for distribution.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Eskom Annual Report 2009
</t>
        </r>
        <r>
          <rPr>
            <i/>
            <sz val="8"/>
            <color indexed="81"/>
            <rFont val="Tahoma"/>
            <family val="2"/>
          </rPr>
          <t>These values are only used to obtain the distribution of power generation between different types of stations.</t>
        </r>
      </text>
    </comment>
    <comment ref="J9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Btu/kWh ontained from NERSA Stage 4 Draft (Feb 2008) and converted with NCV for kerosene from IPCC docs.</t>
        </r>
      </text>
    </comment>
    <comment ref="A11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EF=0
see Methodology pg 4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NERSA Stage 3 Final (June 2007)
</t>
        </r>
        <r>
          <rPr>
            <i/>
            <sz val="8"/>
            <color indexed="81"/>
            <rFont val="Tahoma"/>
            <family val="2"/>
          </rPr>
          <t>These values are only used to obtain the distribution of power generation between different types of stations.</t>
        </r>
      </text>
    </comment>
    <comment ref="P13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To be conservative use higher fuel efficiency, the same as ESKOM coal power.</t>
        </r>
      </text>
    </comment>
    <comment ref="A20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Average of 2007-2009 from Eskom Annual Report.</t>
        </r>
      </text>
    </comment>
    <comment ref="A21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IPCC 2.1 pg 18</t>
        </r>
      </text>
    </comment>
  </commentList>
</comments>
</file>

<file path=xl/comments2.xml><?xml version="1.0" encoding="utf-8"?>
<comments xmlns="http://schemas.openxmlformats.org/spreadsheetml/2006/main">
  <authors>
    <author>AB Van Der Merwe</author>
  </authors>
  <commentList>
    <comment ref="A2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Eskom Website (2007/2008 financial year)
http://www.eskom.co.za/live/content.php?Item_ID=4226&amp;Revision=en%2F0</t>
        </r>
      </text>
    </comment>
  </commentList>
</comments>
</file>

<file path=xl/comments3.xml><?xml version="1.0" encoding="utf-8"?>
<comments xmlns="http://schemas.openxmlformats.org/spreadsheetml/2006/main">
  <authors>
    <author>AB Van Der Merwe</author>
  </authors>
  <commentList>
    <comment ref="B3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Eskom Website (2007/2008 financial year)
http://www.eskom.co.za/live/content.php?Item_ID=4226&amp;Revision=en%2F0</t>
        </r>
      </text>
    </comment>
    <comment ref="B15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Stage 3 Report (Final Report 7 June 2007)</t>
        </r>
      </text>
    </comment>
    <comment ref="B24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Stage 3 Report (Final Report 7 June 2007)</t>
        </r>
      </text>
    </comment>
    <comment ref="B29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Stage 3 Report (Final Report 7 June 2007)</t>
        </r>
      </text>
    </comment>
  </commentList>
</comments>
</file>

<file path=xl/comments4.xml><?xml version="1.0" encoding="utf-8"?>
<comments xmlns="http://schemas.openxmlformats.org/spreadsheetml/2006/main">
  <authors>
    <author>AB Van Der Merwe</author>
  </authors>
  <commentList>
    <comment ref="R6" authorId="0">
      <text>
        <r>
          <rPr>
            <b/>
            <sz val="8"/>
            <color indexed="81"/>
            <rFont val="Tahoma"/>
            <family val="2"/>
          </rPr>
          <t>AB Van Der Merwe:</t>
        </r>
        <r>
          <rPr>
            <sz val="8"/>
            <color indexed="81"/>
            <rFont val="Tahoma"/>
            <family val="2"/>
          </rPr>
          <t xml:space="preserve">
End 31  March 2009</t>
        </r>
      </text>
    </comment>
  </commentList>
</comments>
</file>

<file path=xl/sharedStrings.xml><?xml version="1.0" encoding="utf-8"?>
<sst xmlns="http://schemas.openxmlformats.org/spreadsheetml/2006/main" count="162" uniqueCount="104">
  <si>
    <t>Total Net Generation (GWh)</t>
  </si>
  <si>
    <t xml:space="preserve">     Coal Fired </t>
  </si>
  <si>
    <t xml:space="preserve">     Hydroelectric</t>
  </si>
  <si>
    <t xml:space="preserve">     Pumped-storage</t>
  </si>
  <si>
    <t xml:space="preserve">     Gas turbine (kerosene)</t>
  </si>
  <si>
    <t xml:space="preserve">     Nuclear power</t>
  </si>
  <si>
    <t xml:space="preserve">    Non-ESKOM</t>
  </si>
  <si>
    <t>Distribution (%)</t>
  </si>
  <si>
    <t>Fuel Consumed (Ton)</t>
  </si>
  <si>
    <t>coal</t>
  </si>
  <si>
    <t>kerosene</t>
  </si>
  <si>
    <r>
      <t>NCV</t>
    </r>
    <r>
      <rPr>
        <vertAlign val="subscript"/>
        <sz val="11"/>
        <rFont val="Calibri"/>
        <family val="2"/>
        <scheme val="minor"/>
      </rPr>
      <t>coal</t>
    </r>
  </si>
  <si>
    <r>
      <t>NCV</t>
    </r>
    <r>
      <rPr>
        <vertAlign val="subscript"/>
        <sz val="11"/>
        <rFont val="Calibri"/>
        <family val="2"/>
        <scheme val="minor"/>
      </rPr>
      <t>kerosene</t>
    </r>
  </si>
  <si>
    <t>GJ/T</t>
  </si>
  <si>
    <r>
      <t>EF</t>
    </r>
    <r>
      <rPr>
        <vertAlign val="subscript"/>
        <sz val="11"/>
        <color theme="1"/>
        <rFont val="Calibri"/>
        <family val="2"/>
        <scheme val="minor"/>
      </rPr>
      <t>CO2,coal</t>
    </r>
  </si>
  <si>
    <r>
      <t>EF</t>
    </r>
    <r>
      <rPr>
        <vertAlign val="subscript"/>
        <sz val="11"/>
        <color theme="1"/>
        <rFont val="Calibri"/>
        <family val="2"/>
        <scheme val="minor"/>
      </rPr>
      <t>CO2,kerosene</t>
    </r>
  </si>
  <si>
    <r>
      <t>tCO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/GJ</t>
    </r>
  </si>
  <si>
    <t>Kendal</t>
  </si>
  <si>
    <t>Kriel</t>
  </si>
  <si>
    <t>Lethabo</t>
  </si>
  <si>
    <t>Majuba</t>
  </si>
  <si>
    <t>Matimba</t>
  </si>
  <si>
    <t>Matla</t>
  </si>
  <si>
    <t>Tutuka</t>
  </si>
  <si>
    <t>Power Station</t>
  </si>
  <si>
    <t>On-Line Year</t>
  </si>
  <si>
    <t>Generation (MWh)</t>
  </si>
  <si>
    <t>Fuel Efficiency (Ton/GWh)</t>
  </si>
  <si>
    <t>Fuel Consumed (Tons)</t>
  </si>
  <si>
    <r>
      <t>EG</t>
    </r>
    <r>
      <rPr>
        <vertAlign val="subscript"/>
        <sz val="11"/>
        <color theme="0"/>
        <rFont val="Calibri"/>
        <family val="2"/>
        <scheme val="minor"/>
      </rPr>
      <t>m,y</t>
    </r>
    <r>
      <rPr>
        <sz val="11"/>
        <color theme="0"/>
        <rFont val="Calibri"/>
        <family val="2"/>
        <scheme val="minor"/>
      </rPr>
      <t xml:space="preserve"> x EF</t>
    </r>
    <r>
      <rPr>
        <vertAlign val="subscript"/>
        <sz val="11"/>
        <color theme="0"/>
        <rFont val="Calibri"/>
        <family val="2"/>
        <scheme val="minor"/>
      </rPr>
      <t>EL,m,y</t>
    </r>
  </si>
  <si>
    <r>
      <t>EF</t>
    </r>
    <r>
      <rPr>
        <vertAlign val="subscript"/>
        <sz val="11"/>
        <color theme="0"/>
        <rFont val="Calibri"/>
        <family val="2"/>
        <scheme val="minor"/>
      </rPr>
      <t>EL,m,y</t>
    </r>
  </si>
  <si>
    <t>Combined Margin</t>
  </si>
  <si>
    <r>
      <t>w</t>
    </r>
    <r>
      <rPr>
        <vertAlign val="subscript"/>
        <sz val="11"/>
        <color theme="1"/>
        <rFont val="Calibri"/>
        <family val="2"/>
        <scheme val="minor"/>
      </rPr>
      <t>OM</t>
    </r>
  </si>
  <si>
    <r>
      <t>w</t>
    </r>
    <r>
      <rPr>
        <vertAlign val="subscript"/>
        <sz val="11"/>
        <color theme="1"/>
        <rFont val="Calibri"/>
        <family val="2"/>
        <scheme val="minor"/>
      </rPr>
      <t>BM</t>
    </r>
  </si>
  <si>
    <r>
      <t>EF</t>
    </r>
    <r>
      <rPr>
        <vertAlign val="subscript"/>
        <sz val="11"/>
        <color theme="1"/>
        <rFont val="Calibri"/>
        <family val="2"/>
        <scheme val="minor"/>
      </rPr>
      <t>grid,BM</t>
    </r>
  </si>
  <si>
    <r>
      <t>EF</t>
    </r>
    <r>
      <rPr>
        <vertAlign val="subscript"/>
        <sz val="11"/>
        <color theme="1"/>
        <rFont val="Calibri"/>
        <family val="2"/>
        <scheme val="minor"/>
      </rPr>
      <t>grid,OM</t>
    </r>
    <r>
      <rPr>
        <sz val="11"/>
        <color theme="1"/>
        <rFont val="Calibri"/>
        <family val="2"/>
        <scheme val="minor"/>
      </rPr>
      <t xml:space="preserve"> </t>
    </r>
  </si>
  <si>
    <t>IPCC Constants</t>
  </si>
  <si>
    <t>Yes</t>
  </si>
  <si>
    <t>Grootvlei</t>
  </si>
  <si>
    <t>Coal</t>
  </si>
  <si>
    <t>No-low cost/must run</t>
  </si>
  <si>
    <t>Ncora</t>
  </si>
  <si>
    <t>Second Falls</t>
  </si>
  <si>
    <t>First Falls</t>
  </si>
  <si>
    <t>Colley Wobbles</t>
  </si>
  <si>
    <t>Hydro (run-of-river)</t>
  </si>
  <si>
    <t>Eskom</t>
  </si>
  <si>
    <t>Other power plants listed on the Eskom website:</t>
  </si>
  <si>
    <t>No-not generation capacity</t>
  </si>
  <si>
    <t>DMP2</t>
  </si>
  <si>
    <t>DMP1</t>
  </si>
  <si>
    <t>DMP</t>
  </si>
  <si>
    <t>Skorpion</t>
  </si>
  <si>
    <t>Mozal2</t>
  </si>
  <si>
    <t>Mozal1</t>
  </si>
  <si>
    <t>BHP Hillside</t>
  </si>
  <si>
    <t>BHP Bayside</t>
  </si>
  <si>
    <t>IL</t>
  </si>
  <si>
    <t>No-energy storage</t>
  </si>
  <si>
    <t>Steenbras</t>
  </si>
  <si>
    <t>Pumped Storage</t>
  </si>
  <si>
    <t>MiniHydros</t>
  </si>
  <si>
    <t>Hydro</t>
  </si>
  <si>
    <t>SasolSSF</t>
  </si>
  <si>
    <t>Rooival</t>
  </si>
  <si>
    <t>Pretoria West</t>
  </si>
  <si>
    <t>Kelvin B</t>
  </si>
  <si>
    <t>Kelvin A</t>
  </si>
  <si>
    <t>Non-Eskom</t>
  </si>
  <si>
    <t>Palmiet</t>
  </si>
  <si>
    <t>Drakensberg</t>
  </si>
  <si>
    <t>Van Der Kloof</t>
  </si>
  <si>
    <t>Gariep</t>
  </si>
  <si>
    <t>Cahora Bassa</t>
  </si>
  <si>
    <t>Port Rex</t>
  </si>
  <si>
    <t>Mossel Bay</t>
  </si>
  <si>
    <t>Atlantis</t>
  </si>
  <si>
    <t>Acacia</t>
  </si>
  <si>
    <t>Gas</t>
  </si>
  <si>
    <t>Koeberg</t>
  </si>
  <si>
    <t>Nuclear</t>
  </si>
  <si>
    <t>Hendrina</t>
  </si>
  <si>
    <t>Duvha</t>
  </si>
  <si>
    <t>Camden</t>
  </si>
  <si>
    <t>Arnot</t>
  </si>
  <si>
    <t>Ton/MWh</t>
  </si>
  <si>
    <t>Fuel Consumption</t>
  </si>
  <si>
    <t>Included in the OM</t>
  </si>
  <si>
    <t>Station</t>
  </si>
  <si>
    <t>Type</t>
  </si>
  <si>
    <t>Owner</t>
  </si>
  <si>
    <t>Power Stations on Grid</t>
  </si>
  <si>
    <t>On Line Year</t>
  </si>
  <si>
    <r>
      <t>EF</t>
    </r>
    <r>
      <rPr>
        <vertAlign val="subscript"/>
        <sz val="11"/>
        <color theme="0"/>
        <rFont val="Calibri"/>
        <family val="2"/>
        <scheme val="minor"/>
      </rPr>
      <t xml:space="preserve">grid,OM,simple               </t>
    </r>
    <r>
      <rPr>
        <sz val="9"/>
        <color theme="0"/>
        <rFont val="Calibri"/>
        <family val="2"/>
        <scheme val="minor"/>
      </rPr>
      <t>(Eq. 7)</t>
    </r>
  </si>
  <si>
    <r>
      <t>tCO</t>
    </r>
    <r>
      <rPr>
        <vertAlign val="subscript"/>
        <sz val="9"/>
        <color theme="0"/>
        <rFont val="Calibri"/>
        <family val="2"/>
        <scheme val="minor"/>
      </rPr>
      <t>2</t>
    </r>
    <r>
      <rPr>
        <sz val="9"/>
        <color theme="0"/>
        <rFont val="Calibri"/>
        <family val="2"/>
        <scheme val="minor"/>
      </rPr>
      <t>/GJ</t>
    </r>
  </si>
  <si>
    <r>
      <t>EF</t>
    </r>
    <r>
      <rPr>
        <vertAlign val="subscript"/>
        <sz val="11"/>
        <color theme="0"/>
        <rFont val="Calibri"/>
        <family val="2"/>
        <scheme val="minor"/>
      </rPr>
      <t xml:space="preserve">grid,BM              </t>
    </r>
    <r>
      <rPr>
        <sz val="9"/>
        <color theme="0"/>
        <rFont val="Calibri"/>
        <family val="2"/>
        <scheme val="minor"/>
      </rPr>
      <t>(Eq. 13)</t>
    </r>
  </si>
  <si>
    <r>
      <t>EF</t>
    </r>
    <r>
      <rPr>
        <vertAlign val="subscript"/>
        <sz val="12"/>
        <color theme="0"/>
        <rFont val="Calibri"/>
        <family val="2"/>
        <scheme val="minor"/>
      </rPr>
      <t>grid,CM,y</t>
    </r>
  </si>
  <si>
    <t>http://www.eskom.co.za/live/content.php?Item_ID=4226&amp;Revision=en%2F0</t>
  </si>
  <si>
    <t xml:space="preserve">    ESKOM</t>
  </si>
  <si>
    <t xml:space="preserve">All Producers </t>
  </si>
  <si>
    <r>
      <t xml:space="preserve">From Methodology, Step 4, (a) Option B </t>
    </r>
    <r>
      <rPr>
        <b/>
        <i/>
        <sz val="9"/>
        <color theme="1"/>
        <rFont val="Calibri"/>
        <family val="2"/>
        <scheme val="minor"/>
      </rPr>
      <t>(pg 9-10)</t>
    </r>
  </si>
  <si>
    <t>Avg</t>
  </si>
  <si>
    <t xml:space="preserve">     Total purchased (imports)</t>
  </si>
  <si>
    <r>
      <t xml:space="preserve">From Methodology, Step 5, (a) Option 1 </t>
    </r>
    <r>
      <rPr>
        <b/>
        <i/>
        <sz val="9"/>
        <color theme="1"/>
        <rFont val="Calibri"/>
        <family val="2"/>
        <scheme val="minor"/>
      </rPr>
      <t>(pg 14-15)</t>
    </r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</si>
</sst>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0.000"/>
    <numFmt numFmtId="165" formatCode="_ * #,##0_ ;_ * \-#,##0_ ;_ * &quot;-&quot;??_ ;_ @_ 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8"/>
      <color indexed="81"/>
      <name val="Tahoma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vertAlign val="subscript"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vertAlign val="subscript"/>
      <sz val="12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/>
    <xf numFmtId="0" fontId="0" fillId="4" borderId="0" xfId="0" applyFill="1"/>
    <xf numFmtId="0" fontId="0" fillId="0" borderId="13" xfId="0" applyBorder="1"/>
    <xf numFmtId="0" fontId="0" fillId="0" borderId="14" xfId="0" applyBorder="1"/>
    <xf numFmtId="2" fontId="0" fillId="0" borderId="15" xfId="0" applyNumberFormat="1" applyBorder="1"/>
    <xf numFmtId="0" fontId="0" fillId="0" borderId="15" xfId="0" applyBorder="1"/>
    <xf numFmtId="0" fontId="7" fillId="5" borderId="2" xfId="0" applyFont="1" applyFill="1" applyBorder="1"/>
    <xf numFmtId="0" fontId="7" fillId="5" borderId="3" xfId="0" applyFont="1" applyFill="1" applyBorder="1"/>
    <xf numFmtId="2" fontId="7" fillId="5" borderId="4" xfId="0" applyNumberFormat="1" applyFont="1" applyFill="1" applyBorder="1"/>
    <xf numFmtId="0" fontId="8" fillId="5" borderId="5" xfId="0" applyFont="1" applyFill="1" applyBorder="1"/>
    <xf numFmtId="0" fontId="8" fillId="5" borderId="0" xfId="0" applyFont="1" applyFill="1" applyBorder="1"/>
    <xf numFmtId="2" fontId="8" fillId="5" borderId="6" xfId="0" applyNumberFormat="1" applyFont="1" applyFill="1" applyBorder="1"/>
    <xf numFmtId="0" fontId="7" fillId="5" borderId="0" xfId="0" applyFont="1" applyFill="1" applyBorder="1"/>
    <xf numFmtId="2" fontId="7" fillId="5" borderId="6" xfId="0" applyNumberFormat="1" applyFont="1" applyFill="1" applyBorder="1"/>
    <xf numFmtId="0" fontId="8" fillId="5" borderId="7" xfId="0" applyFont="1" applyFill="1" applyBorder="1"/>
    <xf numFmtId="0" fontId="8" fillId="5" borderId="8" xfId="0" applyFont="1" applyFill="1" applyBorder="1"/>
    <xf numFmtId="2" fontId="8" fillId="5" borderId="9" xfId="0" applyNumberFormat="1" applyFont="1" applyFill="1" applyBorder="1"/>
    <xf numFmtId="0" fontId="3" fillId="4" borderId="0" xfId="0" applyFont="1" applyFill="1"/>
    <xf numFmtId="0" fontId="7" fillId="0" borderId="0" xfId="0" applyFont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0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2" fontId="0" fillId="5" borderId="3" xfId="0" applyNumberFormat="1" applyFill="1" applyBorder="1"/>
    <xf numFmtId="0" fontId="0" fillId="0" borderId="3" xfId="0" applyBorder="1"/>
    <xf numFmtId="0" fontId="0" fillId="0" borderId="0" xfId="0" applyBorder="1"/>
    <xf numFmtId="2" fontId="7" fillId="5" borderId="0" xfId="0" applyNumberFormat="1" applyFont="1" applyFill="1" applyBorder="1"/>
    <xf numFmtId="2" fontId="8" fillId="5" borderId="0" xfId="0" applyNumberFormat="1" applyFont="1" applyFill="1" applyBorder="1"/>
    <xf numFmtId="164" fontId="7" fillId="5" borderId="0" xfId="0" applyNumberFormat="1" applyFont="1" applyFill="1" applyBorder="1"/>
    <xf numFmtId="2" fontId="0" fillId="0" borderId="14" xfId="0" applyNumberFormat="1" applyBorder="1"/>
    <xf numFmtId="2" fontId="7" fillId="5" borderId="3" xfId="0" applyNumberFormat="1" applyFont="1" applyFill="1" applyBorder="1"/>
    <xf numFmtId="2" fontId="8" fillId="5" borderId="8" xfId="0" applyNumberFormat="1" applyFont="1" applyFill="1" applyBorder="1"/>
    <xf numFmtId="164" fontId="7" fillId="5" borderId="2" xfId="0" applyNumberFormat="1" applyFont="1" applyFill="1" applyBorder="1"/>
    <xf numFmtId="164" fontId="7" fillId="5" borderId="3" xfId="0" applyNumberFormat="1" applyFont="1" applyFill="1" applyBorder="1"/>
    <xf numFmtId="0" fontId="9" fillId="5" borderId="0" xfId="0" applyFont="1" applyFill="1" applyBorder="1"/>
    <xf numFmtId="164" fontId="8" fillId="5" borderId="5" xfId="0" applyNumberFormat="1" applyFont="1" applyFill="1" applyBorder="1"/>
    <xf numFmtId="0" fontId="0" fillId="0" borderId="0" xfId="0" applyFill="1"/>
    <xf numFmtId="0" fontId="0" fillId="5" borderId="1" xfId="0" applyFill="1" applyBorder="1"/>
    <xf numFmtId="0" fontId="3" fillId="3" borderId="13" xfId="0" applyFont="1" applyFill="1" applyBorder="1" applyAlignment="1">
      <alignment horizontal="center"/>
    </xf>
    <xf numFmtId="0" fontId="0" fillId="3" borderId="13" xfId="0" applyFill="1" applyBorder="1"/>
    <xf numFmtId="0" fontId="3" fillId="3" borderId="15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4" xfId="0" applyBorder="1"/>
    <xf numFmtId="2" fontId="7" fillId="5" borderId="2" xfId="0" applyNumberFormat="1" applyFont="1" applyFill="1" applyBorder="1"/>
    <xf numFmtId="2" fontId="8" fillId="5" borderId="5" xfId="0" applyNumberFormat="1" applyFont="1" applyFill="1" applyBorder="1"/>
    <xf numFmtId="2" fontId="7" fillId="5" borderId="5" xfId="0" applyNumberFormat="1" applyFont="1" applyFill="1" applyBorder="1"/>
    <xf numFmtId="2" fontId="8" fillId="5" borderId="7" xfId="0" applyNumberFormat="1" applyFont="1" applyFill="1" applyBorder="1"/>
    <xf numFmtId="0" fontId="0" fillId="2" borderId="1" xfId="0" applyFont="1" applyFill="1" applyBorder="1"/>
    <xf numFmtId="0" fontId="0" fillId="0" borderId="1" xfId="0" applyFont="1" applyBorder="1"/>
    <xf numFmtId="0" fontId="0" fillId="0" borderId="0" xfId="0" applyFont="1" applyFill="1" applyBorder="1" applyAlignment="1">
      <alignment horizontal="center"/>
    </xf>
    <xf numFmtId="2" fontId="0" fillId="5" borderId="5" xfId="0" applyNumberFormat="1" applyFill="1" applyBorder="1"/>
    <xf numFmtId="2" fontId="0" fillId="5" borderId="0" xfId="0" applyNumberFormat="1" applyFill="1" applyBorder="1"/>
    <xf numFmtId="2" fontId="0" fillId="5" borderId="6" xfId="0" applyNumberFormat="1" applyFill="1" applyBorder="1"/>
    <xf numFmtId="2" fontId="0" fillId="5" borderId="7" xfId="0" applyNumberFormat="1" applyFill="1" applyBorder="1"/>
    <xf numFmtId="2" fontId="0" fillId="5" borderId="8" xfId="0" applyNumberFormat="1" applyFill="1" applyBorder="1"/>
    <xf numFmtId="2" fontId="0" fillId="0" borderId="13" xfId="0" applyNumberFormat="1" applyBorder="1"/>
    <xf numFmtId="0" fontId="6" fillId="0" borderId="2" xfId="0" applyFont="1" applyFill="1" applyBorder="1"/>
    <xf numFmtId="0" fontId="7" fillId="0" borderId="4" xfId="0" applyFont="1" applyBorder="1"/>
    <xf numFmtId="0" fontId="6" fillId="0" borderId="5" xfId="0" applyFont="1" applyFill="1" applyBorder="1"/>
    <xf numFmtId="0" fontId="7" fillId="0" borderId="6" xfId="0" applyFont="1" applyBorder="1"/>
    <xf numFmtId="0" fontId="0" fillId="0" borderId="5" xfId="0" applyFill="1" applyBorder="1"/>
    <xf numFmtId="0" fontId="0" fillId="0" borderId="7" xfId="0" applyFill="1" applyBorder="1"/>
    <xf numFmtId="0" fontId="7" fillId="0" borderId="9" xfId="0" applyFont="1" applyBorder="1"/>
    <xf numFmtId="0" fontId="3" fillId="4" borderId="1" xfId="0" applyFont="1" applyFill="1" applyBorder="1"/>
    <xf numFmtId="0" fontId="0" fillId="0" borderId="3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5" borderId="1" xfId="0" applyFont="1" applyFill="1" applyBorder="1"/>
    <xf numFmtId="43" fontId="0" fillId="0" borderId="1" xfId="0" applyNumberFormat="1" applyFont="1" applyBorder="1"/>
    <xf numFmtId="0" fontId="3" fillId="4" borderId="0" xfId="0" applyFont="1" applyFill="1" applyBorder="1"/>
    <xf numFmtId="165" fontId="0" fillId="0" borderId="13" xfId="1" applyNumberFormat="1" applyFont="1" applyBorder="1"/>
    <xf numFmtId="0" fontId="0" fillId="0" borderId="1" xfId="0" applyFont="1" applyFill="1" applyBorder="1"/>
    <xf numFmtId="0" fontId="0" fillId="0" borderId="13" xfId="0" applyFont="1" applyBorder="1"/>
    <xf numFmtId="165" fontId="0" fillId="0" borderId="0" xfId="1" applyNumberFormat="1" applyFont="1"/>
    <xf numFmtId="0" fontId="0" fillId="0" borderId="0" xfId="0" applyFont="1"/>
    <xf numFmtId="165" fontId="0" fillId="0" borderId="13" xfId="1" applyNumberFormat="1" applyFont="1" applyFill="1" applyBorder="1"/>
    <xf numFmtId="0" fontId="0" fillId="5" borderId="1" xfId="0" applyFont="1" applyFill="1" applyBorder="1" applyAlignment="1">
      <alignment horizontal="left" vertical="center"/>
    </xf>
    <xf numFmtId="0" fontId="0" fillId="2" borderId="13" xfId="0" applyFont="1" applyFill="1" applyBorder="1"/>
    <xf numFmtId="0" fontId="0" fillId="2" borderId="1" xfId="0" applyFont="1" applyFill="1" applyBorder="1" applyAlignment="1">
      <alignment horizontal="left" vertical="center"/>
    </xf>
    <xf numFmtId="0" fontId="0" fillId="2" borderId="0" xfId="0" applyFont="1" applyFill="1"/>
    <xf numFmtId="0" fontId="15" fillId="4" borderId="0" xfId="0" applyFont="1" applyFill="1"/>
    <xf numFmtId="0" fontId="16" fillId="0" borderId="0" xfId="0" applyFont="1"/>
    <xf numFmtId="0" fontId="18" fillId="4" borderId="0" xfId="0" applyFont="1" applyFill="1"/>
    <xf numFmtId="2" fontId="3" fillId="7" borderId="0" xfId="0" applyNumberFormat="1" applyFont="1" applyFill="1"/>
    <xf numFmtId="0" fontId="20" fillId="4" borderId="1" xfId="0" applyFont="1" applyFill="1" applyBorder="1"/>
    <xf numFmtId="0" fontId="0" fillId="6" borderId="10" xfId="0" applyFill="1" applyBorder="1"/>
    <xf numFmtId="0" fontId="7" fillId="10" borderId="10" xfId="0" applyFont="1" applyFill="1" applyBorder="1"/>
    <xf numFmtId="0" fontId="8" fillId="10" borderId="11" xfId="0" applyFont="1" applyFill="1" applyBorder="1"/>
    <xf numFmtId="0" fontId="7" fillId="10" borderId="11" xfId="0" applyFont="1" applyFill="1" applyBorder="1"/>
    <xf numFmtId="0" fontId="8" fillId="10" borderId="12" xfId="0" applyFont="1" applyFill="1" applyBorder="1"/>
    <xf numFmtId="0" fontId="0" fillId="9" borderId="1" xfId="0" applyFont="1" applyFill="1" applyBorder="1"/>
    <xf numFmtId="165" fontId="0" fillId="9" borderId="1" xfId="1" applyNumberFormat="1" applyFont="1" applyFill="1" applyBorder="1"/>
    <xf numFmtId="165" fontId="0" fillId="9" borderId="13" xfId="1" applyNumberFormat="1" applyFont="1" applyFill="1" applyBorder="1"/>
    <xf numFmtId="164" fontId="0" fillId="9" borderId="1" xfId="0" applyNumberFormat="1" applyFont="1" applyFill="1" applyBorder="1"/>
    <xf numFmtId="0" fontId="7" fillId="9" borderId="2" xfId="0" applyFont="1" applyFill="1" applyBorder="1"/>
    <xf numFmtId="0" fontId="8" fillId="9" borderId="5" xfId="0" applyFont="1" applyFill="1" applyBorder="1"/>
    <xf numFmtId="0" fontId="0" fillId="11" borderId="2" xfId="0" applyFont="1" applyFill="1" applyBorder="1"/>
    <xf numFmtId="0" fontId="0" fillId="11" borderId="5" xfId="0" applyFont="1" applyFill="1" applyBorder="1"/>
    <xf numFmtId="0" fontId="0" fillId="11" borderId="5" xfId="0" applyFill="1" applyBorder="1"/>
    <xf numFmtId="0" fontId="0" fillId="11" borderId="7" xfId="0" applyFont="1" applyFill="1" applyBorder="1"/>
    <xf numFmtId="0" fontId="0" fillId="11" borderId="1" xfId="0" applyFont="1" applyFill="1" applyBorder="1"/>
    <xf numFmtId="165" fontId="0" fillId="11" borderId="1" xfId="1" applyNumberFormat="1" applyFont="1" applyFill="1" applyBorder="1"/>
    <xf numFmtId="165" fontId="0" fillId="11" borderId="13" xfId="1" applyNumberFormat="1" applyFont="1" applyFill="1" applyBorder="1"/>
    <xf numFmtId="164" fontId="0" fillId="11" borderId="1" xfId="0" applyNumberFormat="1" applyFont="1" applyFill="1" applyBorder="1"/>
    <xf numFmtId="2" fontId="7" fillId="8" borderId="5" xfId="0" applyNumberFormat="1" applyFont="1" applyFill="1" applyBorder="1"/>
    <xf numFmtId="0" fontId="22" fillId="0" borderId="0" xfId="2" applyAlignment="1" applyProtection="1"/>
    <xf numFmtId="0" fontId="0" fillId="0" borderId="0" xfId="0" applyFill="1" applyBorder="1"/>
    <xf numFmtId="0" fontId="7" fillId="0" borderId="0" xfId="0" applyFont="1" applyBorder="1"/>
    <xf numFmtId="0" fontId="0" fillId="0" borderId="0" xfId="0" applyAlignment="1">
      <alignment horizontal="center"/>
    </xf>
    <xf numFmtId="1" fontId="0" fillId="5" borderId="0" xfId="0" applyNumberFormat="1" applyFill="1" applyBorder="1"/>
    <xf numFmtId="1" fontId="0" fillId="5" borderId="2" xfId="0" applyNumberFormat="1" applyFill="1" applyBorder="1"/>
    <xf numFmtId="0" fontId="0" fillId="5" borderId="13" xfId="0" applyFill="1" applyBorder="1"/>
    <xf numFmtId="1" fontId="0" fillId="0" borderId="13" xfId="0" applyNumberFormat="1" applyBorder="1"/>
    <xf numFmtId="0" fontId="0" fillId="5" borderId="14" xfId="0" applyFill="1" applyBorder="1"/>
    <xf numFmtId="0" fontId="0" fillId="5" borderId="15" xfId="0" applyFill="1" applyBorder="1"/>
    <xf numFmtId="1" fontId="0" fillId="5" borderId="4" xfId="0" applyNumberFormat="1" applyFill="1" applyBorder="1"/>
    <xf numFmtId="1" fontId="0" fillId="5" borderId="3" xfId="0" applyNumberFormat="1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/>
    <xf numFmtId="0" fontId="0" fillId="10" borderId="1" xfId="0" applyFill="1" applyBorder="1"/>
    <xf numFmtId="43" fontId="20" fillId="12" borderId="1" xfId="0" applyNumberFormat="1" applyFont="1" applyFill="1" applyBorder="1"/>
    <xf numFmtId="2" fontId="2" fillId="12" borderId="0" xfId="0" applyNumberFormat="1" applyFont="1" applyFill="1"/>
    <xf numFmtId="0" fontId="0" fillId="0" borderId="1" xfId="0" applyFill="1" applyBorder="1"/>
    <xf numFmtId="0" fontId="0" fillId="0" borderId="16" xfId="0" applyBorder="1"/>
    <xf numFmtId="0" fontId="23" fillId="13" borderId="0" xfId="0" applyFont="1" applyFill="1"/>
    <xf numFmtId="2" fontId="0" fillId="0" borderId="0" xfId="0" applyNumberFormat="1"/>
    <xf numFmtId="1" fontId="0" fillId="0" borderId="0" xfId="0" applyNumberFormat="1"/>
    <xf numFmtId="43" fontId="0" fillId="0" borderId="3" xfId="1" applyFont="1" applyBorder="1"/>
    <xf numFmtId="43" fontId="0" fillId="0" borderId="0" xfId="1" applyFont="1" applyBorder="1"/>
    <xf numFmtId="43" fontId="0" fillId="0" borderId="8" xfId="1" applyFont="1" applyBorder="1"/>
    <xf numFmtId="43" fontId="0" fillId="0" borderId="3" xfId="1" applyFont="1" applyFill="1" applyBorder="1"/>
    <xf numFmtId="43" fontId="0" fillId="0" borderId="0" xfId="1" applyFont="1" applyFill="1" applyBorder="1"/>
    <xf numFmtId="43" fontId="0" fillId="0" borderId="8" xfId="1" applyFont="1" applyFill="1" applyBorder="1"/>
    <xf numFmtId="43" fontId="0" fillId="0" borderId="0" xfId="1" applyFont="1"/>
    <xf numFmtId="43" fontId="0" fillId="0" borderId="4" xfId="1" applyFont="1" applyBorder="1"/>
    <xf numFmtId="43" fontId="0" fillId="0" borderId="6" xfId="1" applyFont="1" applyBorder="1"/>
    <xf numFmtId="43" fontId="0" fillId="0" borderId="9" xfId="1" applyFont="1" applyBorder="1"/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0" fillId="11" borderId="1" xfId="0" applyFont="1" applyFill="1" applyBorder="1" applyAlignment="1">
      <alignment horizontal="left" vertical="center"/>
    </xf>
    <xf numFmtId="0" fontId="0" fillId="9" borderId="1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0" fontId="0" fillId="9" borderId="10" xfId="0" applyFont="1" applyFill="1" applyBorder="1" applyAlignment="1">
      <alignment horizontal="left" vertical="center"/>
    </xf>
    <xf numFmtId="0" fontId="0" fillId="9" borderId="11" xfId="0" applyFont="1" applyFill="1" applyBorder="1" applyAlignment="1">
      <alignment horizontal="left" vertical="center"/>
    </xf>
    <xf numFmtId="0" fontId="0" fillId="9" borderId="12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horizontal="left" vertical="center"/>
    </xf>
    <xf numFmtId="0" fontId="0" fillId="5" borderId="11" xfId="0" applyFont="1" applyFill="1" applyBorder="1" applyAlignment="1">
      <alignment horizontal="left" vertical="center"/>
    </xf>
    <xf numFmtId="0" fontId="0" fillId="5" borderId="12" xfId="0" applyFont="1" applyFill="1" applyBorder="1" applyAlignment="1">
      <alignment horizontal="left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145676</xdr:colOff>
      <xdr:row>0</xdr:row>
      <xdr:rowOff>168089</xdr:rowOff>
    </xdr:from>
    <xdr:to>
      <xdr:col>16</xdr:col>
      <xdr:colOff>64434</xdr:colOff>
      <xdr:row>25</xdr:row>
      <xdr:rowOff>59952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676" y="168089"/>
          <a:ext cx="9600640" cy="4676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371475</xdr:colOff>
      <xdr:row>74</xdr:row>
      <xdr:rowOff>161925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4675" cy="142589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447675</xdr:colOff>
      <xdr:row>46</xdr:row>
      <xdr:rowOff>104775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82075" cy="88677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27214</xdr:colOff>
      <xdr:row>46</xdr:row>
      <xdr:rowOff>16334</xdr:rowOff>
    </xdr:from>
    <xdr:to>
      <xdr:col>14</xdr:col>
      <xdr:colOff>512989</xdr:colOff>
      <xdr:row>60</xdr:row>
      <xdr:rowOff>51712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15056"/>
        <a:stretch>
          <a:fillRect/>
        </a:stretch>
      </xdr:blipFill>
      <xdr:spPr bwMode="auto">
        <a:xfrm>
          <a:off x="27214" y="8779334"/>
          <a:ext cx="9058275" cy="2702378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66675</xdr:rowOff>
    </xdr:from>
    <xdr:to>
      <xdr:col>15</xdr:col>
      <xdr:colOff>238125</xdr:colOff>
      <xdr:row>59</xdr:row>
      <xdr:rowOff>76200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66675"/>
          <a:ext cx="9363075" cy="112490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0-03-10%20-%20Grid%20emission%20factor%20calculation%20(Eskom%20Data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erating Margin"/>
      <sheetName val="Build Margin"/>
      <sheetName val="Combined Margin"/>
      <sheetName val="Fuel Consumption - Eskom"/>
      <sheetName val="MWh - Eskom"/>
      <sheetName val="Fuel Consumption - non-Eskom"/>
    </sheetNames>
    <sheetDataSet>
      <sheetData sheetId="0"/>
      <sheetData sheetId="1"/>
      <sheetData sheetId="2" refreshError="1"/>
      <sheetData sheetId="3">
        <row r="3">
          <cell r="F3">
            <v>6210700</v>
          </cell>
        </row>
        <row r="4">
          <cell r="F4">
            <v>12425531</v>
          </cell>
        </row>
        <row r="5">
          <cell r="F5">
            <v>7794220</v>
          </cell>
        </row>
        <row r="6">
          <cell r="F6">
            <v>15986131</v>
          </cell>
        </row>
        <row r="7">
          <cell r="F7">
            <v>9059934</v>
          </cell>
        </row>
        <row r="8">
          <cell r="F8">
            <v>18314572</v>
          </cell>
        </row>
        <row r="9">
          <cell r="F9">
            <v>14862323</v>
          </cell>
        </row>
        <row r="10">
          <cell r="F10">
            <v>12853342</v>
          </cell>
        </row>
        <row r="11">
          <cell r="F11">
            <v>13795309</v>
          </cell>
        </row>
        <row r="12">
          <cell r="F12">
            <v>10627575</v>
          </cell>
        </row>
        <row r="27">
          <cell r="F27">
            <v>3218873</v>
          </cell>
        </row>
        <row r="28">
          <cell r="F28">
            <v>130747.7</v>
          </cell>
        </row>
        <row r="34">
          <cell r="H34">
            <v>3335.5197305660372</v>
          </cell>
        </row>
        <row r="35">
          <cell r="H35">
            <v>13498.346650566038</v>
          </cell>
        </row>
        <row r="36">
          <cell r="H36">
            <v>14181.346110188681</v>
          </cell>
        </row>
        <row r="37">
          <cell r="H37">
            <v>3638.7487969811314</v>
          </cell>
        </row>
      </sheetData>
      <sheetData sheetId="4">
        <row r="5">
          <cell r="B5">
            <v>11905060</v>
          </cell>
        </row>
        <row r="6">
          <cell r="B6">
            <v>23622732</v>
          </cell>
        </row>
        <row r="7">
          <cell r="B7">
            <v>13756351</v>
          </cell>
        </row>
        <row r="8">
          <cell r="B8">
            <v>26517420</v>
          </cell>
        </row>
        <row r="9">
          <cell r="B9">
            <v>17762398</v>
          </cell>
        </row>
        <row r="10">
          <cell r="B10">
            <v>25701723</v>
          </cell>
        </row>
        <row r="11">
          <cell r="B11">
            <v>29021742</v>
          </cell>
        </row>
        <row r="12">
          <cell r="B12">
            <v>23680971</v>
          </cell>
        </row>
        <row r="13">
          <cell r="B13">
            <v>24549833</v>
          </cell>
        </row>
        <row r="14">
          <cell r="B14">
            <v>20980242</v>
          </cell>
        </row>
        <row r="26">
          <cell r="B26">
            <v>5171057</v>
          </cell>
        </row>
        <row r="27">
          <cell r="B27">
            <v>237138</v>
          </cell>
        </row>
      </sheetData>
      <sheetData sheetId="5">
        <row r="3">
          <cell r="H3">
            <v>98894.746346934684</v>
          </cell>
        </row>
        <row r="4">
          <cell r="H4">
            <v>214084.11687236183</v>
          </cell>
        </row>
        <row r="5">
          <cell r="H5">
            <v>38557.260100502514</v>
          </cell>
        </row>
        <row r="6">
          <cell r="H6">
            <v>251095.26928080403</v>
          </cell>
        </row>
        <row r="7">
          <cell r="H7">
            <v>784726.10551718588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eskom.co.za/live/content.php?Item_ID=4226&amp;Revision=en%2F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</sheetPr>
  <dimension ref="A1:Q26"/>
  <sheetViews>
    <sheetView topLeftCell="A19" zoomScaleNormal="100" workbookViewId="0">
      <selection activeCell="I29" sqref="I29"/>
    </sheetView>
  </sheetViews>
  <sheetFormatPr defaultRowHeight="15"/>
  <cols>
    <col min="1" max="1" width="25.85546875" customWidth="1"/>
    <col min="2" max="3" width="9.140625" customWidth="1"/>
    <col min="10" max="10" width="10.85546875" bestFit="1" customWidth="1"/>
    <col min="14" max="16" width="10" bestFit="1" customWidth="1"/>
  </cols>
  <sheetData>
    <row r="1" spans="1:17">
      <c r="A1" s="88" t="s">
        <v>100</v>
      </c>
    </row>
    <row r="2" spans="1:17">
      <c r="A2" s="1"/>
      <c r="B2" s="144" t="s">
        <v>0</v>
      </c>
      <c r="C2" s="145"/>
      <c r="D2" s="145"/>
      <c r="E2" s="146"/>
      <c r="F2" s="144" t="s">
        <v>7</v>
      </c>
      <c r="G2" s="147"/>
      <c r="H2" s="147"/>
      <c r="I2" s="148"/>
      <c r="J2" s="149" t="s">
        <v>27</v>
      </c>
      <c r="K2" s="150"/>
      <c r="L2" s="150"/>
      <c r="M2" s="151"/>
      <c r="N2" s="152" t="s">
        <v>8</v>
      </c>
      <c r="O2" s="153"/>
      <c r="P2" s="153"/>
    </row>
    <row r="3" spans="1:17" s="40" customFormat="1">
      <c r="A3" s="43"/>
      <c r="B3" s="42">
        <v>2006</v>
      </c>
      <c r="C3" s="45">
        <v>2007</v>
      </c>
      <c r="D3" s="45">
        <v>2008</v>
      </c>
      <c r="E3" s="45">
        <v>2009</v>
      </c>
      <c r="F3" s="42">
        <v>2006</v>
      </c>
      <c r="G3" s="45">
        <v>2007</v>
      </c>
      <c r="H3" s="45">
        <v>2008</v>
      </c>
      <c r="I3" s="45">
        <v>2009</v>
      </c>
      <c r="J3" s="42">
        <v>2006</v>
      </c>
      <c r="K3" s="45">
        <v>2007</v>
      </c>
      <c r="L3" s="45">
        <v>2008</v>
      </c>
      <c r="M3" s="45">
        <v>2009</v>
      </c>
      <c r="N3" s="42">
        <v>2007</v>
      </c>
      <c r="O3" s="45">
        <v>2008</v>
      </c>
      <c r="P3" s="44">
        <v>2009</v>
      </c>
    </row>
    <row r="4" spans="1:17">
      <c r="A4" s="92" t="s">
        <v>99</v>
      </c>
      <c r="C4">
        <f>'Stats SA 2009'!T19+13589</f>
        <v>247953</v>
      </c>
      <c r="D4">
        <f>'Stats SA 2009'!S19+13908</f>
        <v>254583</v>
      </c>
      <c r="E4">
        <f>'Stats SA 2009'!R19+12648</f>
        <v>244559</v>
      </c>
      <c r="F4" s="46"/>
      <c r="G4" s="47"/>
      <c r="H4" s="48"/>
      <c r="I4" s="49"/>
      <c r="J4" s="2"/>
      <c r="K4" s="3"/>
      <c r="L4" s="3"/>
      <c r="M4" s="3"/>
      <c r="N4" s="2"/>
      <c r="O4" s="3"/>
      <c r="P4" s="5"/>
    </row>
    <row r="5" spans="1:17">
      <c r="A5" s="126" t="s">
        <v>98</v>
      </c>
      <c r="B5" s="3"/>
      <c r="C5" s="3">
        <v>239989</v>
      </c>
      <c r="D5" s="3">
        <v>246482</v>
      </c>
      <c r="E5" s="3">
        <v>237315</v>
      </c>
      <c r="F5" s="2"/>
      <c r="G5" s="33">
        <f>C5/$C$4%</f>
        <v>96.788100970748488</v>
      </c>
      <c r="H5" s="33">
        <f>D5/$D$4%</f>
        <v>96.817933640502318</v>
      </c>
      <c r="I5" s="4">
        <f t="shared" ref="I5:I12" si="0">E5/$E$4%</f>
        <v>97.037933586578291</v>
      </c>
      <c r="J5" s="2"/>
      <c r="K5" s="28"/>
      <c r="L5" s="28"/>
      <c r="M5" s="3"/>
      <c r="N5" s="2"/>
      <c r="O5" s="28"/>
      <c r="P5" s="50"/>
    </row>
    <row r="6" spans="1:17">
      <c r="A6" s="93" t="s">
        <v>1</v>
      </c>
      <c r="B6" s="7">
        <v>206606</v>
      </c>
      <c r="C6" s="7">
        <v>215211</v>
      </c>
      <c r="D6" s="7">
        <v>222908</v>
      </c>
      <c r="E6" s="7">
        <v>211941</v>
      </c>
      <c r="F6" s="51">
        <f t="shared" ref="F6:F11" si="1">B6/SUM($B$6:$B$11)%</f>
        <v>88.941216987020823</v>
      </c>
      <c r="G6" s="34">
        <f t="shared" ref="G6:G11" si="2">C6/SUM($C$6:$C$11)%</f>
        <v>88.227987176438745</v>
      </c>
      <c r="H6" s="34">
        <f t="shared" ref="H6:H11" si="3">D6/SUM($D$6:$D$11)%</f>
        <v>88.94333208309061</v>
      </c>
      <c r="I6" s="8">
        <f t="shared" ref="I6:I11" si="4">E6/SUM($E$6:$E$11)%</f>
        <v>87.894546947509866</v>
      </c>
      <c r="J6" s="51">
        <f>(112.1*1000000)/(206606)</f>
        <v>542.5786279198087</v>
      </c>
      <c r="K6" s="34">
        <f>N6/C6</f>
        <v>553.41037400504626</v>
      </c>
      <c r="L6" s="34">
        <f>O6/D6</f>
        <v>562.11531214671527</v>
      </c>
      <c r="M6" s="8">
        <f>P6/E6</f>
        <v>571.85726216258297</v>
      </c>
      <c r="N6" s="123">
        <v>119100000</v>
      </c>
      <c r="O6" s="123">
        <v>125300000</v>
      </c>
      <c r="P6" s="122">
        <v>121200000</v>
      </c>
      <c r="Q6" s="18" t="s">
        <v>9</v>
      </c>
    </row>
    <row r="7" spans="1:17">
      <c r="A7" s="94" t="s">
        <v>2</v>
      </c>
      <c r="B7" s="10">
        <v>1141</v>
      </c>
      <c r="C7" s="10">
        <v>2443</v>
      </c>
      <c r="D7" s="10">
        <v>751</v>
      </c>
      <c r="E7" s="10">
        <v>1082</v>
      </c>
      <c r="F7" s="52">
        <f t="shared" si="1"/>
        <v>0.49118577670634328</v>
      </c>
      <c r="G7" s="31">
        <f t="shared" si="2"/>
        <v>1.0015332518878675</v>
      </c>
      <c r="H7" s="31">
        <f t="shared" si="3"/>
        <v>0.29965924235290364</v>
      </c>
      <c r="I7" s="11">
        <f t="shared" si="4"/>
        <v>0.44871874624166946</v>
      </c>
      <c r="J7" s="58"/>
      <c r="K7" s="59"/>
      <c r="L7" s="59"/>
      <c r="M7" s="59"/>
      <c r="N7" s="21"/>
      <c r="O7" s="22"/>
      <c r="P7" s="23"/>
      <c r="Q7" s="18"/>
    </row>
    <row r="8" spans="1:17">
      <c r="A8" s="94" t="s">
        <v>3</v>
      </c>
      <c r="B8" s="10">
        <v>2867</v>
      </c>
      <c r="C8" s="10">
        <v>2947</v>
      </c>
      <c r="D8" s="10">
        <v>2979</v>
      </c>
      <c r="E8" s="10">
        <v>2772</v>
      </c>
      <c r="F8" s="52">
        <f t="shared" si="1"/>
        <v>1.234206504660023</v>
      </c>
      <c r="G8" s="31">
        <f t="shared" si="2"/>
        <v>1.2081532923919549</v>
      </c>
      <c r="H8" s="31">
        <f t="shared" si="3"/>
        <v>1.1886616284544607</v>
      </c>
      <c r="I8" s="11">
        <f t="shared" si="4"/>
        <v>1.1495825920350349</v>
      </c>
      <c r="J8" s="58"/>
      <c r="K8" s="59"/>
      <c r="L8" s="59"/>
      <c r="M8" s="59"/>
      <c r="N8" s="21"/>
      <c r="O8" s="22"/>
      <c r="P8" s="23"/>
      <c r="Q8" s="18"/>
    </row>
    <row r="9" spans="1:17">
      <c r="A9" s="95" t="s">
        <v>4</v>
      </c>
      <c r="B9" s="12">
        <v>78</v>
      </c>
      <c r="C9" s="12">
        <v>62</v>
      </c>
      <c r="D9" s="12">
        <v>1153</v>
      </c>
      <c r="E9" s="12">
        <v>143</v>
      </c>
      <c r="F9" s="53">
        <f t="shared" si="1"/>
        <v>3.3577993499644854E-2</v>
      </c>
      <c r="G9" s="30">
        <f t="shared" si="2"/>
        <v>2.5417544665185341E-2</v>
      </c>
      <c r="H9" s="30">
        <f t="shared" si="3"/>
        <v>0.46006272494393863</v>
      </c>
      <c r="I9" s="13">
        <f t="shared" si="4"/>
        <v>5.9303863874823233E-2</v>
      </c>
      <c r="J9" s="111">
        <f>12186*0.00000105506*1000/42.4*1000</f>
        <v>303.23021603773583</v>
      </c>
      <c r="K9" s="59"/>
      <c r="L9" s="59"/>
      <c r="M9" s="60"/>
      <c r="N9" s="116">
        <f>$J$9*G9/100*C5</f>
        <v>18496.834333503484</v>
      </c>
      <c r="O9" s="116">
        <f t="shared" ref="O9:P9" si="5">$J$9*H9/100*D5</f>
        <v>343854.51562199614</v>
      </c>
      <c r="P9" s="116">
        <f t="shared" si="5"/>
        <v>42675.700166367351</v>
      </c>
      <c r="Q9" s="18" t="s">
        <v>10</v>
      </c>
    </row>
    <row r="10" spans="1:17">
      <c r="A10" s="96" t="s">
        <v>5</v>
      </c>
      <c r="B10" s="15">
        <v>11293</v>
      </c>
      <c r="C10" s="15">
        <v>11780</v>
      </c>
      <c r="D10" s="15">
        <v>11317</v>
      </c>
      <c r="E10" s="15">
        <v>13004</v>
      </c>
      <c r="F10" s="54">
        <f t="shared" si="1"/>
        <v>4.861490776813965</v>
      </c>
      <c r="G10" s="35">
        <f t="shared" si="2"/>
        <v>4.8293334863852149</v>
      </c>
      <c r="H10" s="35">
        <f t="shared" si="3"/>
        <v>4.5156373444844347</v>
      </c>
      <c r="I10" s="16">
        <f t="shared" si="4"/>
        <v>5.392919201595813</v>
      </c>
      <c r="J10" s="61"/>
      <c r="K10" s="62"/>
      <c r="L10" s="62"/>
      <c r="M10" s="62"/>
      <c r="N10" s="24"/>
      <c r="O10" s="25"/>
      <c r="P10" s="26"/>
      <c r="Q10" s="18"/>
    </row>
    <row r="11" spans="1:17">
      <c r="A11" s="96" t="s">
        <v>102</v>
      </c>
      <c r="B11" s="15">
        <v>10310</v>
      </c>
      <c r="C11" s="15">
        <v>11483</v>
      </c>
      <c r="D11" s="15">
        <v>11510</v>
      </c>
      <c r="E11" s="15">
        <v>12189</v>
      </c>
      <c r="F11" s="54">
        <f t="shared" si="1"/>
        <v>4.4383219612992102</v>
      </c>
      <c r="G11" s="35">
        <f t="shared" si="2"/>
        <v>4.70757524823102</v>
      </c>
      <c r="H11" s="35">
        <f t="shared" si="3"/>
        <v>4.5926469766736631</v>
      </c>
      <c r="I11" s="16">
        <f t="shared" si="4"/>
        <v>5.0549286487427993</v>
      </c>
      <c r="J11" s="61"/>
      <c r="K11" s="62"/>
      <c r="L11" s="62"/>
      <c r="M11" s="62"/>
      <c r="N11" s="118"/>
      <c r="O11" s="120"/>
      <c r="P11" s="121"/>
      <c r="Q11" s="18"/>
    </row>
    <row r="12" spans="1:17">
      <c r="A12" s="129" t="s">
        <v>6</v>
      </c>
      <c r="B12" s="3"/>
      <c r="C12" s="3">
        <f>C4-C5</f>
        <v>7964</v>
      </c>
      <c r="D12" s="3">
        <f>D4-D5</f>
        <v>8101</v>
      </c>
      <c r="E12" s="3">
        <f>E4-E5</f>
        <v>7244</v>
      </c>
      <c r="F12" s="2"/>
      <c r="G12" s="33">
        <f>C12/$C$4%</f>
        <v>3.2118990292515113</v>
      </c>
      <c r="H12" s="33">
        <f>D12/$D$4%</f>
        <v>3.1820663594976883</v>
      </c>
      <c r="I12" s="4">
        <f t="shared" si="0"/>
        <v>2.9620664134217098</v>
      </c>
      <c r="J12" s="63"/>
      <c r="K12" s="33"/>
      <c r="L12" s="33"/>
      <c r="M12" s="33"/>
      <c r="N12" s="119"/>
      <c r="O12" s="28"/>
      <c r="P12" s="50"/>
      <c r="Q12" s="18"/>
    </row>
    <row r="13" spans="1:17">
      <c r="A13" s="101" t="s">
        <v>1</v>
      </c>
      <c r="B13" s="6">
        <v>1925</v>
      </c>
      <c r="C13" s="123">
        <f>C12*$F$13/100</f>
        <v>7962.9865289872196</v>
      </c>
      <c r="D13" s="123">
        <f>D12*$F$13/100</f>
        <v>8099.9690948424741</v>
      </c>
      <c r="E13" s="123">
        <f>E12*$F$13/100</f>
        <v>7243.0781536895302</v>
      </c>
      <c r="F13" s="36">
        <f>B13/SUM($B$13:$B$15)%</f>
        <v>99.987274346901302</v>
      </c>
      <c r="G13" s="37">
        <f>C13/$C$4%</f>
        <v>3.211490294123168</v>
      </c>
      <c r="H13" s="19"/>
      <c r="I13" s="20"/>
      <c r="J13" s="51">
        <f>'Additional Info'!I28*1000</f>
        <v>737.78634596984932</v>
      </c>
      <c r="K13" s="27"/>
      <c r="L13" s="27"/>
      <c r="M13" s="27">
        <v>0</v>
      </c>
      <c r="N13" s="117">
        <f t="shared" ref="N13:O13" si="6">C12*$F$13/100*K6</f>
        <v>4406799.3532039626</v>
      </c>
      <c r="O13" s="123">
        <f t="shared" si="6"/>
        <v>4553116.6561261239</v>
      </c>
      <c r="P13" s="122">
        <f>E12*$F$13/100*M6</f>
        <v>4142006.8425985109</v>
      </c>
      <c r="Q13" s="18" t="s">
        <v>9</v>
      </c>
    </row>
    <row r="14" spans="1:17">
      <c r="A14" s="102" t="s">
        <v>2</v>
      </c>
      <c r="B14" s="9">
        <v>6.5000000000000002E-2</v>
      </c>
      <c r="C14" s="38"/>
      <c r="D14" s="38"/>
      <c r="E14" s="38"/>
      <c r="F14" s="39">
        <f>B14/SUM($B$13:$B$15)%</f>
        <v>3.3761936792460184E-3</v>
      </c>
      <c r="G14" s="32"/>
      <c r="H14" s="22"/>
      <c r="I14" s="23"/>
      <c r="J14" s="58"/>
      <c r="K14" s="59"/>
      <c r="L14" s="59"/>
      <c r="M14" s="59"/>
      <c r="N14" s="21"/>
      <c r="O14" s="12"/>
      <c r="P14" s="23"/>
    </row>
    <row r="15" spans="1:17">
      <c r="A15" s="102" t="s">
        <v>3</v>
      </c>
      <c r="B15" s="9">
        <v>0.18</v>
      </c>
      <c r="C15" s="38"/>
      <c r="D15" s="38"/>
      <c r="E15" s="38"/>
      <c r="F15" s="39">
        <f>B15/SUM($B$13:$B$15)%</f>
        <v>9.3494594194505117E-3</v>
      </c>
      <c r="G15" s="32"/>
      <c r="H15" s="22"/>
      <c r="I15" s="23"/>
      <c r="J15" s="58"/>
      <c r="K15" s="59"/>
      <c r="L15" s="59"/>
      <c r="M15" s="59"/>
      <c r="N15" s="21"/>
      <c r="O15" s="22"/>
      <c r="P15" s="23"/>
    </row>
    <row r="16" spans="1:17">
      <c r="A16" s="12" t="s">
        <v>4</v>
      </c>
      <c r="B16" s="21"/>
      <c r="C16" s="22"/>
      <c r="D16" s="22"/>
      <c r="E16" s="22"/>
      <c r="F16" s="21"/>
      <c r="G16" s="22"/>
      <c r="H16" s="22"/>
      <c r="I16" s="23"/>
      <c r="J16" s="21"/>
      <c r="K16" s="22"/>
      <c r="L16" s="22"/>
      <c r="M16" s="22"/>
      <c r="N16" s="21"/>
      <c r="O16" s="22"/>
      <c r="P16" s="23"/>
    </row>
    <row r="17" spans="1:16">
      <c r="A17" s="14" t="s">
        <v>5</v>
      </c>
      <c r="B17" s="24"/>
      <c r="C17" s="25"/>
      <c r="D17" s="25"/>
      <c r="E17" s="25"/>
      <c r="F17" s="24"/>
      <c r="G17" s="25"/>
      <c r="H17" s="25"/>
      <c r="I17" s="26"/>
      <c r="J17" s="24"/>
      <c r="K17" s="25"/>
      <c r="L17" s="25"/>
      <c r="M17" s="25"/>
      <c r="N17" s="24"/>
      <c r="O17" s="25"/>
      <c r="P17" s="26"/>
    </row>
    <row r="18" spans="1:16">
      <c r="C18" s="133">
        <f>C4-C5*SUM(G7:G8,G10)/100</f>
        <v>231060.1262186073</v>
      </c>
      <c r="D18" s="133">
        <f t="shared" ref="D18:E18" si="7">D4-D5*SUM(H7:H8,H10)/100</f>
        <v>239784.32371178447</v>
      </c>
      <c r="E18" s="133">
        <f t="shared" si="7"/>
        <v>227967.78497580154</v>
      </c>
    </row>
    <row r="19" spans="1:16">
      <c r="A19" s="76" t="s">
        <v>36</v>
      </c>
      <c r="B19" s="17"/>
      <c r="C19" s="17"/>
      <c r="L19" s="132">
        <f>AVERAGE(K6:M6)</f>
        <v>562.46098277144813</v>
      </c>
      <c r="O19" s="133">
        <f>AVERAGE(N6:P6)</f>
        <v>121866666.66666667</v>
      </c>
    </row>
    <row r="20" spans="1:16" ht="18">
      <c r="A20" s="64" t="s">
        <v>11</v>
      </c>
      <c r="B20" s="28">
        <f>AVERAGE(19.1, 18.51, 19.06)</f>
        <v>18.89</v>
      </c>
      <c r="C20" s="65" t="s">
        <v>13</v>
      </c>
    </row>
    <row r="21" spans="1:16" ht="18">
      <c r="A21" s="66" t="s">
        <v>12</v>
      </c>
      <c r="B21" s="29">
        <v>42.4</v>
      </c>
      <c r="C21" s="67" t="s">
        <v>13</v>
      </c>
    </row>
    <row r="22" spans="1:16" ht="18">
      <c r="A22" s="68" t="s">
        <v>14</v>
      </c>
      <c r="B22" s="29">
        <v>9.6100000000000005E-2</v>
      </c>
      <c r="C22" s="67" t="s">
        <v>16</v>
      </c>
    </row>
    <row r="23" spans="1:16" ht="18">
      <c r="A23" s="69" t="s">
        <v>15</v>
      </c>
      <c r="B23" s="47">
        <v>7.0800000000000002E-2</v>
      </c>
      <c r="C23" s="70" t="s">
        <v>16</v>
      </c>
    </row>
    <row r="24" spans="1:16">
      <c r="A24" s="113"/>
      <c r="B24" s="29"/>
      <c r="C24" s="114"/>
    </row>
    <row r="25" spans="1:16">
      <c r="B25" s="124">
        <v>2007</v>
      </c>
      <c r="C25" s="115">
        <v>2008</v>
      </c>
      <c r="D25" s="115">
        <v>2009</v>
      </c>
      <c r="E25" s="115" t="s">
        <v>101</v>
      </c>
    </row>
    <row r="26" spans="1:16" ht="18">
      <c r="A26" s="17" t="s">
        <v>93</v>
      </c>
      <c r="B26" s="90">
        <f>((SUM(N6,N13)*$B$20*$B$22)+(N9*$B$21*$B$23))/((C18)*1000)</f>
        <v>0.97057421481627792</v>
      </c>
      <c r="C26" s="90">
        <f t="shared" ref="C26:D26" si="8">((SUM(O6,O13)*$B$20*$B$22)+(O9*$B$21*$B$23))/((D4-SUM(D7:D8,D10))*1000)</f>
        <v>0.98840404846780772</v>
      </c>
      <c r="D26" s="90">
        <f t="shared" si="8"/>
        <v>0.99984228869179759</v>
      </c>
      <c r="E26" s="128">
        <f>AVERAGE(B26:D26)</f>
        <v>0.98627351732529445</v>
      </c>
      <c r="F26" s="89" t="s">
        <v>94</v>
      </c>
    </row>
  </sheetData>
  <mergeCells count="4">
    <mergeCell ref="B2:E2"/>
    <mergeCell ref="F2:I2"/>
    <mergeCell ref="J2:M2"/>
    <mergeCell ref="N2:P2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12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F10"/>
  <sheetViews>
    <sheetView workbookViewId="0">
      <selection activeCell="F11" sqref="F11"/>
    </sheetView>
  </sheetViews>
  <sheetFormatPr defaultRowHeight="15"/>
  <cols>
    <col min="1" max="1" width="25.7109375" customWidth="1"/>
    <col min="2" max="2" width="12.28515625" bestFit="1" customWidth="1"/>
    <col min="3" max="3" width="17.85546875" bestFit="1" customWidth="1"/>
    <col min="4" max="4" width="21" bestFit="1" customWidth="1"/>
    <col min="6" max="6" width="14.7109375" bestFit="1" customWidth="1"/>
  </cols>
  <sheetData>
    <row r="1" spans="1:6">
      <c r="A1" s="88" t="s">
        <v>103</v>
      </c>
    </row>
    <row r="2" spans="1:6" ht="18">
      <c r="A2" s="71" t="s">
        <v>24</v>
      </c>
      <c r="B2" s="71" t="s">
        <v>25</v>
      </c>
      <c r="C2" s="71" t="s">
        <v>26</v>
      </c>
      <c r="D2" s="71" t="s">
        <v>28</v>
      </c>
      <c r="E2" s="71" t="s">
        <v>30</v>
      </c>
      <c r="F2" s="71" t="s">
        <v>29</v>
      </c>
    </row>
    <row r="3" spans="1:6">
      <c r="A3" s="103" t="s">
        <v>17</v>
      </c>
      <c r="B3" s="72">
        <v>1988</v>
      </c>
      <c r="C3" s="137">
        <v>26517420</v>
      </c>
      <c r="D3" s="137">
        <v>15986131</v>
      </c>
      <c r="E3" s="134">
        <f>D3*OM!$B$20*OM!$B$22/BM!C3</f>
        <v>1.0943782314455555</v>
      </c>
      <c r="F3" s="141">
        <f>E3*C3</f>
        <v>29020087.202099003</v>
      </c>
    </row>
    <row r="4" spans="1:6">
      <c r="A4" s="104" t="s">
        <v>19</v>
      </c>
      <c r="B4" s="57">
        <v>1985</v>
      </c>
      <c r="C4" s="138">
        <v>25701723</v>
      </c>
      <c r="D4" s="138">
        <v>18314572</v>
      </c>
      <c r="E4" s="135">
        <f>D4*OM!$B$20*OM!$B$22/BM!C4</f>
        <v>1.2935698386519845</v>
      </c>
      <c r="F4" s="142">
        <f t="shared" ref="F4:F7" si="0">E4*C4</f>
        <v>33246973.674187999</v>
      </c>
    </row>
    <row r="5" spans="1:6">
      <c r="A5" s="104" t="s">
        <v>20</v>
      </c>
      <c r="B5" s="57">
        <v>1996</v>
      </c>
      <c r="C5" s="138">
        <v>23680971</v>
      </c>
      <c r="D5" s="138">
        <v>12853342</v>
      </c>
      <c r="E5" s="135">
        <f>D5*OM!$B$20*OM!$B$22/BM!C5</f>
        <v>0.98530775953055305</v>
      </c>
      <c r="F5" s="142">
        <f t="shared" si="0"/>
        <v>23333044.479518</v>
      </c>
    </row>
    <row r="6" spans="1:6">
      <c r="A6" s="105" t="s">
        <v>21</v>
      </c>
      <c r="B6" s="57">
        <v>1987</v>
      </c>
      <c r="C6" s="138">
        <v>29021742</v>
      </c>
      <c r="D6" s="138">
        <v>14862323</v>
      </c>
      <c r="E6" s="135">
        <f>D6*OM!$B$20*OM!$B$22/BM!C6</f>
        <v>0.92964805314811927</v>
      </c>
      <c r="F6" s="142">
        <f t="shared" si="0"/>
        <v>26980005.949267004</v>
      </c>
    </row>
    <row r="7" spans="1:6">
      <c r="A7" s="106" t="s">
        <v>23</v>
      </c>
      <c r="B7" s="73">
        <v>1985</v>
      </c>
      <c r="C7" s="139">
        <v>20980242</v>
      </c>
      <c r="D7" s="139">
        <v>10627575</v>
      </c>
      <c r="E7" s="136">
        <f>D7*OM!$B$20*OM!$B$22/BM!C7</f>
        <v>0.9195577961958209</v>
      </c>
      <c r="F7" s="143">
        <f t="shared" si="0"/>
        <v>19292545.097175002</v>
      </c>
    </row>
    <row r="8" spans="1:6">
      <c r="C8" s="140">
        <f>SUM(C3:C7)</f>
        <v>125902098</v>
      </c>
      <c r="F8" s="140">
        <f>SUM(F3:F7)</f>
        <v>131872656.402247</v>
      </c>
    </row>
    <row r="10" spans="1:6" ht="18">
      <c r="A10" s="17" t="s">
        <v>95</v>
      </c>
      <c r="B10" s="128">
        <f>F8/C8</f>
        <v>1.0474222312184742</v>
      </c>
      <c r="C10" s="89" t="s">
        <v>94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</sheetPr>
  <dimension ref="A1:B6"/>
  <sheetViews>
    <sheetView tabSelected="1" workbookViewId="0">
      <selection activeCell="E7" sqref="E7"/>
    </sheetView>
  </sheetViews>
  <sheetFormatPr defaultRowHeight="15"/>
  <cols>
    <col min="1" max="1" width="9.42578125" bestFit="1" customWidth="1"/>
  </cols>
  <sheetData>
    <row r="1" spans="1:2">
      <c r="A1" s="154" t="s">
        <v>31</v>
      </c>
      <c r="B1" s="154"/>
    </row>
    <row r="2" spans="1:2" ht="18">
      <c r="A2" s="41" t="s">
        <v>34</v>
      </c>
      <c r="B2" s="75">
        <f>BM!B10</f>
        <v>1.0474222312184742</v>
      </c>
    </row>
    <row r="3" spans="1:2" ht="18">
      <c r="A3" s="41" t="s">
        <v>35</v>
      </c>
      <c r="B3" s="75">
        <f>OM!E26</f>
        <v>0.98627351732529445</v>
      </c>
    </row>
    <row r="4" spans="1:2" ht="18">
      <c r="A4" s="74" t="s">
        <v>32</v>
      </c>
      <c r="B4" s="56">
        <v>0.5</v>
      </c>
    </row>
    <row r="5" spans="1:2" ht="18">
      <c r="A5" s="74" t="s">
        <v>33</v>
      </c>
      <c r="B5" s="56">
        <v>0.5</v>
      </c>
    </row>
    <row r="6" spans="1:2" ht="18.75">
      <c r="A6" s="91" t="s">
        <v>96</v>
      </c>
      <c r="B6" s="127">
        <f>(B2*B4)+(B3*B5)</f>
        <v>1.0168478742718843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4"/>
  <sheetViews>
    <sheetView zoomScale="70" zoomScaleNormal="70" workbookViewId="0">
      <selection activeCell="I28" sqref="I28"/>
    </sheetView>
  </sheetViews>
  <sheetFormatPr defaultRowHeight="15"/>
  <cols>
    <col min="1" max="1" width="15.5703125" customWidth="1"/>
    <col min="2" max="2" width="18.85546875" bestFit="1" customWidth="1"/>
    <col min="3" max="3" width="15" bestFit="1" customWidth="1"/>
    <col min="4" max="4" width="25.5703125" bestFit="1" customWidth="1"/>
    <col min="5" max="5" width="17.85546875" bestFit="1" customWidth="1"/>
    <col min="6" max="6" width="17.42578125" bestFit="1" customWidth="1"/>
    <col min="7" max="7" width="9.85546875" bestFit="1" customWidth="1"/>
    <col min="8" max="8" width="12.5703125" bestFit="1" customWidth="1"/>
  </cols>
  <sheetData>
    <row r="1" spans="1:8" ht="15.75">
      <c r="A1" s="87" t="s">
        <v>91</v>
      </c>
      <c r="B1" s="17"/>
      <c r="C1" s="17"/>
      <c r="D1" s="17"/>
      <c r="E1" s="17"/>
      <c r="F1" s="17"/>
      <c r="G1" s="17"/>
      <c r="H1" s="1"/>
    </row>
    <row r="2" spans="1:8">
      <c r="A2" s="86" t="s">
        <v>90</v>
      </c>
      <c r="B2" s="85" t="s">
        <v>89</v>
      </c>
      <c r="C2" s="55" t="s">
        <v>88</v>
      </c>
      <c r="D2" s="55" t="s">
        <v>87</v>
      </c>
      <c r="E2" s="55" t="s">
        <v>26</v>
      </c>
      <c r="F2" s="84" t="s">
        <v>86</v>
      </c>
      <c r="G2" s="55" t="s">
        <v>85</v>
      </c>
      <c r="H2" s="55" t="s">
        <v>92</v>
      </c>
    </row>
    <row r="3" spans="1:8">
      <c r="A3" s="157" t="s">
        <v>46</v>
      </c>
      <c r="B3" s="155" t="s">
        <v>39</v>
      </c>
      <c r="C3" s="107" t="s">
        <v>84</v>
      </c>
      <c r="D3" s="107" t="s">
        <v>37</v>
      </c>
      <c r="E3" s="108">
        <f>'[1]MWh - Eskom'!B5</f>
        <v>11905060</v>
      </c>
      <c r="F3" s="109">
        <f>'[1]Fuel Consumption - Eskom'!F3</f>
        <v>6210700</v>
      </c>
      <c r="G3" s="110">
        <f t="shared" ref="G3:G13" si="0">F3/E3</f>
        <v>0.52168573698914578</v>
      </c>
      <c r="H3" s="107">
        <v>1975</v>
      </c>
    </row>
    <row r="4" spans="1:8">
      <c r="A4" s="157"/>
      <c r="B4" s="155"/>
      <c r="C4" s="107" t="s">
        <v>83</v>
      </c>
      <c r="D4" s="107" t="s">
        <v>37</v>
      </c>
      <c r="E4" s="108">
        <f>'[1]MWh - Eskom'!B26</f>
        <v>5171057</v>
      </c>
      <c r="F4" s="109">
        <f>'[1]Fuel Consumption - Eskom'!F27</f>
        <v>3218873</v>
      </c>
      <c r="G4" s="110">
        <f t="shared" si="0"/>
        <v>0.62247873113756047</v>
      </c>
      <c r="H4" s="107">
        <v>1967</v>
      </c>
    </row>
    <row r="5" spans="1:8">
      <c r="A5" s="157"/>
      <c r="B5" s="155"/>
      <c r="C5" s="107" t="s">
        <v>82</v>
      </c>
      <c r="D5" s="107" t="s">
        <v>37</v>
      </c>
      <c r="E5" s="108">
        <f>'[1]MWh - Eskom'!B6</f>
        <v>23622732</v>
      </c>
      <c r="F5" s="109">
        <f>'[1]Fuel Consumption - Eskom'!F4</f>
        <v>12425531</v>
      </c>
      <c r="G5" s="110">
        <f t="shared" si="0"/>
        <v>0.52599889801061117</v>
      </c>
      <c r="H5" s="107">
        <v>1980</v>
      </c>
    </row>
    <row r="6" spans="1:8">
      <c r="A6" s="157"/>
      <c r="B6" s="155"/>
      <c r="C6" s="107" t="s">
        <v>81</v>
      </c>
      <c r="D6" s="107" t="s">
        <v>37</v>
      </c>
      <c r="E6" s="108">
        <f>'[1]MWh - Eskom'!B7</f>
        <v>13756351</v>
      </c>
      <c r="F6" s="109">
        <f>'[1]Fuel Consumption - Eskom'!F5</f>
        <v>7794220</v>
      </c>
      <c r="G6" s="110">
        <f t="shared" si="0"/>
        <v>0.56659066056107465</v>
      </c>
      <c r="H6" s="107">
        <v>1970</v>
      </c>
    </row>
    <row r="7" spans="1:8">
      <c r="A7" s="157"/>
      <c r="B7" s="155"/>
      <c r="C7" s="107" t="s">
        <v>17</v>
      </c>
      <c r="D7" s="107" t="s">
        <v>37</v>
      </c>
      <c r="E7" s="108">
        <f>'[1]MWh - Eskom'!B8</f>
        <v>26517420</v>
      </c>
      <c r="F7" s="109">
        <f>'[1]Fuel Consumption - Eskom'!F6</f>
        <v>15986131</v>
      </c>
      <c r="G7" s="110">
        <f t="shared" si="0"/>
        <v>0.60285393526217856</v>
      </c>
      <c r="H7" s="107">
        <v>1988</v>
      </c>
    </row>
    <row r="8" spans="1:8">
      <c r="A8" s="157"/>
      <c r="B8" s="155"/>
      <c r="C8" s="107" t="s">
        <v>18</v>
      </c>
      <c r="D8" s="107" t="s">
        <v>37</v>
      </c>
      <c r="E8" s="108">
        <f>'[1]MWh - Eskom'!B9</f>
        <v>17762398</v>
      </c>
      <c r="F8" s="109">
        <f>'[1]Fuel Consumption - Eskom'!F7</f>
        <v>9059934</v>
      </c>
      <c r="G8" s="110">
        <f t="shared" si="0"/>
        <v>0.51006254898691039</v>
      </c>
      <c r="H8" s="107">
        <v>1976</v>
      </c>
    </row>
    <row r="9" spans="1:8">
      <c r="A9" s="157"/>
      <c r="B9" s="155"/>
      <c r="C9" s="107" t="s">
        <v>19</v>
      </c>
      <c r="D9" s="107" t="s">
        <v>37</v>
      </c>
      <c r="E9" s="108">
        <f>'[1]MWh - Eskom'!B10</f>
        <v>25701723</v>
      </c>
      <c r="F9" s="109">
        <f>'[1]Fuel Consumption - Eskom'!F8</f>
        <v>18314572</v>
      </c>
      <c r="G9" s="110">
        <f t="shared" si="0"/>
        <v>0.71258148724114723</v>
      </c>
      <c r="H9" s="107">
        <v>1985</v>
      </c>
    </row>
    <row r="10" spans="1:8">
      <c r="A10" s="157"/>
      <c r="B10" s="155"/>
      <c r="C10" s="107" t="s">
        <v>20</v>
      </c>
      <c r="D10" s="107" t="s">
        <v>37</v>
      </c>
      <c r="E10" s="108">
        <f>'[1]MWh - Eskom'!B12</f>
        <v>23680971</v>
      </c>
      <c r="F10" s="109">
        <f>'[1]Fuel Consumption - Eskom'!F10</f>
        <v>12853342</v>
      </c>
      <c r="G10" s="110">
        <f t="shared" si="0"/>
        <v>0.54277090242625614</v>
      </c>
      <c r="H10" s="107">
        <v>1996</v>
      </c>
    </row>
    <row r="11" spans="1:8">
      <c r="A11" s="157"/>
      <c r="B11" s="155"/>
      <c r="C11" s="107" t="s">
        <v>21</v>
      </c>
      <c r="D11" s="107" t="s">
        <v>37</v>
      </c>
      <c r="E11" s="108">
        <f>'[1]MWh - Eskom'!B11</f>
        <v>29021742</v>
      </c>
      <c r="F11" s="109">
        <f>'[1]Fuel Consumption - Eskom'!F9</f>
        <v>14862323</v>
      </c>
      <c r="G11" s="110">
        <f t="shared" si="0"/>
        <v>0.51210995535691828</v>
      </c>
      <c r="H11" s="107">
        <v>1987</v>
      </c>
    </row>
    <row r="12" spans="1:8">
      <c r="A12" s="157"/>
      <c r="B12" s="155"/>
      <c r="C12" s="107" t="s">
        <v>22</v>
      </c>
      <c r="D12" s="107" t="s">
        <v>37</v>
      </c>
      <c r="E12" s="108">
        <f>'[1]MWh - Eskom'!B13</f>
        <v>24549833</v>
      </c>
      <c r="F12" s="109">
        <f>'[1]Fuel Consumption - Eskom'!F11</f>
        <v>13795309</v>
      </c>
      <c r="G12" s="110">
        <f t="shared" si="0"/>
        <v>0.56193086934644321</v>
      </c>
      <c r="H12" s="107">
        <v>1979</v>
      </c>
    </row>
    <row r="13" spans="1:8">
      <c r="A13" s="157"/>
      <c r="B13" s="155"/>
      <c r="C13" s="107" t="s">
        <v>23</v>
      </c>
      <c r="D13" s="107" t="s">
        <v>37</v>
      </c>
      <c r="E13" s="108">
        <f>'[1]MWh - Eskom'!B14</f>
        <v>20980242</v>
      </c>
      <c r="F13" s="109">
        <f>'[1]Fuel Consumption - Eskom'!F12</f>
        <v>10627575</v>
      </c>
      <c r="G13" s="110">
        <f t="shared" si="0"/>
        <v>0.50655159268420258</v>
      </c>
      <c r="H13" s="107">
        <v>1985</v>
      </c>
    </row>
    <row r="14" spans="1:8">
      <c r="A14" s="157"/>
      <c r="B14" s="83" t="s">
        <v>80</v>
      </c>
      <c r="C14" s="78" t="s">
        <v>79</v>
      </c>
      <c r="D14" s="56" t="s">
        <v>40</v>
      </c>
      <c r="E14" s="56"/>
      <c r="F14" s="79"/>
      <c r="G14" s="78"/>
      <c r="H14" s="78">
        <v>1984</v>
      </c>
    </row>
    <row r="15" spans="1:8">
      <c r="A15" s="157"/>
      <c r="B15" s="156" t="s">
        <v>78</v>
      </c>
      <c r="C15" s="97" t="s">
        <v>77</v>
      </c>
      <c r="D15" s="97" t="s">
        <v>37</v>
      </c>
      <c r="E15" s="98">
        <v>11000</v>
      </c>
      <c r="F15" s="99">
        <f>'[1]Fuel Consumption - Eskom'!H34</f>
        <v>3335.5197305660372</v>
      </c>
      <c r="G15" s="97"/>
      <c r="H15" s="97">
        <v>1976</v>
      </c>
    </row>
    <row r="16" spans="1:8">
      <c r="A16" s="157"/>
      <c r="B16" s="156"/>
      <c r="C16" s="97" t="s">
        <v>76</v>
      </c>
      <c r="D16" s="97" t="s">
        <v>37</v>
      </c>
      <c r="E16" s="98">
        <v>52000</v>
      </c>
      <c r="F16" s="99">
        <f>'[1]Fuel Consumption - Eskom'!H35</f>
        <v>13498.346650566038</v>
      </c>
      <c r="G16" s="97"/>
      <c r="H16" s="97">
        <v>2007</v>
      </c>
    </row>
    <row r="17" spans="1:9">
      <c r="A17" s="157"/>
      <c r="B17" s="156"/>
      <c r="C17" s="97" t="s">
        <v>75</v>
      </c>
      <c r="D17" s="97" t="s">
        <v>37</v>
      </c>
      <c r="E17" s="98">
        <v>56000</v>
      </c>
      <c r="F17" s="99">
        <f>'[1]Fuel Consumption - Eskom'!H36</f>
        <v>14181.346110188681</v>
      </c>
      <c r="G17" s="97"/>
      <c r="H17" s="97">
        <v>2007</v>
      </c>
    </row>
    <row r="18" spans="1:9">
      <c r="A18" s="157"/>
      <c r="B18" s="156"/>
      <c r="C18" s="97" t="s">
        <v>74</v>
      </c>
      <c r="D18" s="97" t="s">
        <v>37</v>
      </c>
      <c r="E18" s="98">
        <v>12000</v>
      </c>
      <c r="F18" s="99">
        <f>'[1]Fuel Consumption - Eskom'!H37</f>
        <v>3638.7487969811314</v>
      </c>
      <c r="G18" s="97"/>
      <c r="H18" s="97">
        <v>1976</v>
      </c>
    </row>
    <row r="19" spans="1:9">
      <c r="A19" s="157"/>
      <c r="B19" s="157" t="s">
        <v>62</v>
      </c>
      <c r="C19" s="56" t="s">
        <v>73</v>
      </c>
      <c r="D19" s="56" t="s">
        <v>40</v>
      </c>
      <c r="E19" s="56"/>
      <c r="F19" s="79"/>
      <c r="G19" s="78"/>
      <c r="H19" s="56">
        <v>1984</v>
      </c>
    </row>
    <row r="20" spans="1:9">
      <c r="A20" s="157"/>
      <c r="B20" s="157"/>
      <c r="C20" s="56" t="s">
        <v>72</v>
      </c>
      <c r="D20" s="56" t="s">
        <v>40</v>
      </c>
      <c r="E20" s="56"/>
      <c r="F20" s="79"/>
      <c r="G20" s="78"/>
      <c r="H20" s="56">
        <v>1971</v>
      </c>
    </row>
    <row r="21" spans="1:9">
      <c r="A21" s="157"/>
      <c r="B21" s="157"/>
      <c r="C21" s="56" t="s">
        <v>71</v>
      </c>
      <c r="D21" s="56" t="s">
        <v>40</v>
      </c>
      <c r="E21" s="56"/>
      <c r="F21" s="79"/>
      <c r="G21" s="78"/>
      <c r="H21" s="56">
        <v>1977</v>
      </c>
    </row>
    <row r="22" spans="1:9">
      <c r="A22" s="157"/>
      <c r="B22" s="157" t="s">
        <v>60</v>
      </c>
      <c r="C22" s="78" t="s">
        <v>70</v>
      </c>
      <c r="D22" s="78" t="s">
        <v>58</v>
      </c>
      <c r="E22" s="78"/>
      <c r="F22" s="79"/>
      <c r="G22" s="78"/>
      <c r="H22" s="78">
        <v>1981</v>
      </c>
    </row>
    <row r="23" spans="1:9">
      <c r="A23" s="157"/>
      <c r="B23" s="157"/>
      <c r="C23" s="78" t="s">
        <v>69</v>
      </c>
      <c r="D23" s="78" t="s">
        <v>58</v>
      </c>
      <c r="E23" s="78"/>
      <c r="F23" s="79"/>
      <c r="G23" s="78"/>
      <c r="H23" s="78">
        <v>1988</v>
      </c>
    </row>
    <row r="24" spans="1:9">
      <c r="A24" s="161" t="s">
        <v>68</v>
      </c>
      <c r="B24" s="158" t="s">
        <v>39</v>
      </c>
      <c r="C24" s="97" t="s">
        <v>67</v>
      </c>
      <c r="D24" s="97" t="s">
        <v>37</v>
      </c>
      <c r="E24" s="97">
        <v>131000</v>
      </c>
      <c r="F24" s="99">
        <f>'[1]Fuel Consumption - non-Eskom'!H3</f>
        <v>98894.746346934684</v>
      </c>
      <c r="G24" s="100">
        <f>F24/E24</f>
        <v>0.75492172783919609</v>
      </c>
      <c r="H24" s="97">
        <v>1955</v>
      </c>
    </row>
    <row r="25" spans="1:9">
      <c r="A25" s="162"/>
      <c r="B25" s="159"/>
      <c r="C25" s="97" t="s">
        <v>66</v>
      </c>
      <c r="D25" s="97" t="s">
        <v>37</v>
      </c>
      <c r="E25" s="97">
        <v>295000</v>
      </c>
      <c r="F25" s="99">
        <f>'[1]Fuel Consumption - non-Eskom'!H4</f>
        <v>214084.11687236183</v>
      </c>
      <c r="G25" s="100">
        <f>F25/E25</f>
        <v>0.72570887075376889</v>
      </c>
      <c r="H25" s="97"/>
    </row>
    <row r="26" spans="1:9">
      <c r="A26" s="162"/>
      <c r="B26" s="159"/>
      <c r="C26" s="97" t="s">
        <v>65</v>
      </c>
      <c r="D26" s="97" t="s">
        <v>37</v>
      </c>
      <c r="E26" s="97">
        <v>50000</v>
      </c>
      <c r="F26" s="99">
        <f>'[1]Fuel Consumption - non-Eskom'!H5</f>
        <v>38557.260100502514</v>
      </c>
      <c r="G26" s="100">
        <f>F26/E26</f>
        <v>0.77114520201005032</v>
      </c>
      <c r="H26" s="97">
        <v>1952</v>
      </c>
    </row>
    <row r="27" spans="1:9">
      <c r="A27" s="162"/>
      <c r="B27" s="159"/>
      <c r="C27" s="97" t="s">
        <v>64</v>
      </c>
      <c r="D27" s="97" t="s">
        <v>37</v>
      </c>
      <c r="E27" s="97">
        <v>346000</v>
      </c>
      <c r="F27" s="99">
        <f>'[1]Fuel Consumption - non-Eskom'!H6</f>
        <v>251095.26928080403</v>
      </c>
      <c r="G27" s="100">
        <f>F27/E27</f>
        <v>0.72570887075376889</v>
      </c>
      <c r="H27" s="97">
        <v>1968</v>
      </c>
    </row>
    <row r="28" spans="1:9">
      <c r="A28" s="162"/>
      <c r="B28" s="160"/>
      <c r="C28" s="97" t="s">
        <v>63</v>
      </c>
      <c r="D28" s="97" t="s">
        <v>37</v>
      </c>
      <c r="E28" s="97">
        <v>1103000</v>
      </c>
      <c r="F28" s="99">
        <f>'[1]Fuel Consumption - non-Eskom'!H7</f>
        <v>784726.10551718588</v>
      </c>
      <c r="G28" s="100">
        <f>F28/E28</f>
        <v>0.71144705849246226</v>
      </c>
      <c r="H28" s="97"/>
      <c r="I28" s="125">
        <f>AVERAGE(G24:G28)</f>
        <v>0.73778634596984927</v>
      </c>
    </row>
    <row r="29" spans="1:9">
      <c r="A29" s="162"/>
      <c r="B29" s="83" t="s">
        <v>62</v>
      </c>
      <c r="C29" s="56" t="s">
        <v>61</v>
      </c>
      <c r="D29" s="56" t="s">
        <v>40</v>
      </c>
      <c r="E29" s="56">
        <v>199000</v>
      </c>
      <c r="F29" s="77"/>
      <c r="G29" s="78"/>
      <c r="H29" s="56"/>
    </row>
    <row r="30" spans="1:9">
      <c r="A30" s="162"/>
      <c r="B30" s="83" t="s">
        <v>60</v>
      </c>
      <c r="C30" s="78" t="s">
        <v>59</v>
      </c>
      <c r="D30" s="78" t="s">
        <v>58</v>
      </c>
      <c r="E30" s="78"/>
      <c r="F30" s="82"/>
      <c r="G30" s="78"/>
      <c r="H30" s="78"/>
    </row>
    <row r="31" spans="1:9">
      <c r="A31" s="162"/>
      <c r="B31" s="161" t="s">
        <v>57</v>
      </c>
      <c r="C31" s="56" t="s">
        <v>56</v>
      </c>
      <c r="D31" s="56" t="s">
        <v>48</v>
      </c>
      <c r="E31" s="56"/>
      <c r="F31" s="77"/>
      <c r="G31" s="78"/>
      <c r="H31" s="56">
        <v>1992</v>
      </c>
    </row>
    <row r="32" spans="1:9">
      <c r="A32" s="162"/>
      <c r="B32" s="162"/>
      <c r="C32" s="56" t="s">
        <v>55</v>
      </c>
      <c r="D32" s="56" t="s">
        <v>48</v>
      </c>
      <c r="E32" s="56"/>
      <c r="F32" s="77"/>
      <c r="G32" s="78"/>
      <c r="H32" s="56">
        <v>1992</v>
      </c>
    </row>
    <row r="33" spans="1:8">
      <c r="A33" s="162"/>
      <c r="B33" s="162"/>
      <c r="C33" s="56" t="s">
        <v>55</v>
      </c>
      <c r="D33" s="56" t="s">
        <v>48</v>
      </c>
      <c r="E33" s="56"/>
      <c r="F33" s="77"/>
      <c r="G33" s="78"/>
      <c r="H33" s="56">
        <v>2001</v>
      </c>
    </row>
    <row r="34" spans="1:8">
      <c r="A34" s="162"/>
      <c r="B34" s="162"/>
      <c r="C34" s="56" t="s">
        <v>54</v>
      </c>
      <c r="D34" s="56" t="s">
        <v>48</v>
      </c>
      <c r="E34" s="56"/>
      <c r="F34" s="77"/>
      <c r="G34" s="78"/>
      <c r="H34" s="56">
        <v>2000</v>
      </c>
    </row>
    <row r="35" spans="1:8">
      <c r="A35" s="162"/>
      <c r="B35" s="162"/>
      <c r="C35" s="56" t="s">
        <v>53</v>
      </c>
      <c r="D35" s="56" t="s">
        <v>48</v>
      </c>
      <c r="E35" s="56"/>
      <c r="F35" s="77"/>
      <c r="G35" s="78"/>
      <c r="H35" s="56">
        <v>2003</v>
      </c>
    </row>
    <row r="36" spans="1:8">
      <c r="A36" s="162"/>
      <c r="B36" s="163"/>
      <c r="C36" s="56" t="s">
        <v>52</v>
      </c>
      <c r="D36" s="56" t="s">
        <v>48</v>
      </c>
      <c r="E36" s="56"/>
      <c r="F36" s="77"/>
      <c r="G36" s="78"/>
      <c r="H36" s="56">
        <v>2000</v>
      </c>
    </row>
    <row r="37" spans="1:8">
      <c r="A37" s="162"/>
      <c r="B37" s="161" t="s">
        <v>51</v>
      </c>
      <c r="C37" s="56" t="s">
        <v>50</v>
      </c>
      <c r="D37" s="56" t="s">
        <v>48</v>
      </c>
      <c r="E37" s="56"/>
      <c r="F37" s="77"/>
      <c r="G37" s="78"/>
      <c r="H37" s="56"/>
    </row>
    <row r="38" spans="1:8">
      <c r="A38" s="163"/>
      <c r="B38" s="163"/>
      <c r="C38" s="56" t="s">
        <v>49</v>
      </c>
      <c r="D38" s="56" t="s">
        <v>48</v>
      </c>
      <c r="E38" s="56"/>
      <c r="F38" s="77"/>
      <c r="G38" s="78"/>
      <c r="H38" s="56"/>
    </row>
    <row r="39" spans="1:8">
      <c r="A39" s="81" t="s">
        <v>47</v>
      </c>
      <c r="B39" s="81"/>
      <c r="C39" s="81"/>
      <c r="D39" s="81"/>
      <c r="E39" s="80"/>
      <c r="F39" s="80"/>
      <c r="G39" s="78"/>
      <c r="H39" s="81"/>
    </row>
    <row r="40" spans="1:8">
      <c r="A40" s="161" t="s">
        <v>46</v>
      </c>
      <c r="B40" s="161" t="s">
        <v>45</v>
      </c>
      <c r="C40" s="56" t="s">
        <v>44</v>
      </c>
      <c r="D40" s="56" t="s">
        <v>40</v>
      </c>
      <c r="E40" s="78"/>
      <c r="F40" s="79"/>
      <c r="G40" s="78"/>
      <c r="H40" s="56"/>
    </row>
    <row r="41" spans="1:8">
      <c r="A41" s="162"/>
      <c r="B41" s="162"/>
      <c r="C41" s="56" t="s">
        <v>43</v>
      </c>
      <c r="D41" s="56" t="s">
        <v>40</v>
      </c>
      <c r="E41" s="78"/>
      <c r="F41" s="79"/>
      <c r="G41" s="78"/>
      <c r="H41" s="56"/>
    </row>
    <row r="42" spans="1:8">
      <c r="A42" s="162"/>
      <c r="B42" s="162"/>
      <c r="C42" s="56" t="s">
        <v>42</v>
      </c>
      <c r="D42" s="56" t="s">
        <v>40</v>
      </c>
      <c r="E42" s="78"/>
      <c r="F42" s="79"/>
      <c r="G42" s="78"/>
      <c r="H42" s="56"/>
    </row>
    <row r="43" spans="1:8">
      <c r="A43" s="162"/>
      <c r="B43" s="163"/>
      <c r="C43" s="56" t="s">
        <v>41</v>
      </c>
      <c r="D43" s="56" t="s">
        <v>40</v>
      </c>
      <c r="E43" s="78"/>
      <c r="F43" s="79"/>
      <c r="G43" s="78"/>
      <c r="H43" s="56"/>
    </row>
    <row r="44" spans="1:8">
      <c r="A44" s="163"/>
      <c r="B44" s="107" t="s">
        <v>39</v>
      </c>
      <c r="C44" s="107" t="s">
        <v>38</v>
      </c>
      <c r="D44" s="107" t="s">
        <v>37</v>
      </c>
      <c r="E44" s="108">
        <f>'[1]MWh - Eskom'!B27</f>
        <v>237138</v>
      </c>
      <c r="F44" s="109">
        <f>'[1]Fuel Consumption - Eskom'!F28</f>
        <v>130747.7</v>
      </c>
      <c r="G44" s="110">
        <f>F44/E44</f>
        <v>0.55135701574610563</v>
      </c>
      <c r="H44" s="107"/>
    </row>
  </sheetData>
  <mergeCells count="11">
    <mergeCell ref="B24:B28"/>
    <mergeCell ref="B31:B36"/>
    <mergeCell ref="B37:B38"/>
    <mergeCell ref="A24:A38"/>
    <mergeCell ref="B40:B43"/>
    <mergeCell ref="A40:A44"/>
    <mergeCell ref="B3:B13"/>
    <mergeCell ref="B15:B18"/>
    <mergeCell ref="B19:B21"/>
    <mergeCell ref="B22:B23"/>
    <mergeCell ref="A3:A23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R6:T20"/>
  <sheetViews>
    <sheetView zoomScale="85" zoomScaleNormal="85" workbookViewId="0">
      <selection activeCell="R3" sqref="R3"/>
    </sheetView>
  </sheetViews>
  <sheetFormatPr defaultRowHeight="15"/>
  <sheetData>
    <row r="6" spans="18:20">
      <c r="R6" s="131">
        <v>2009</v>
      </c>
      <c r="S6" s="131">
        <v>2008</v>
      </c>
      <c r="T6" s="131">
        <v>2007</v>
      </c>
    </row>
    <row r="7" spans="18:20">
      <c r="R7">
        <v>19271</v>
      </c>
      <c r="S7">
        <v>18982</v>
      </c>
      <c r="T7">
        <v>18122</v>
      </c>
    </row>
    <row r="8" spans="18:20">
      <c r="R8">
        <v>20365</v>
      </c>
      <c r="S8">
        <v>20901</v>
      </c>
      <c r="T8">
        <v>20312</v>
      </c>
    </row>
    <row r="9" spans="18:20">
      <c r="R9">
        <v>20515</v>
      </c>
      <c r="S9">
        <v>21020</v>
      </c>
      <c r="T9">
        <v>20166</v>
      </c>
    </row>
    <row r="10" spans="18:20">
      <c r="R10">
        <v>21610</v>
      </c>
      <c r="S10">
        <v>21780</v>
      </c>
      <c r="T10">
        <v>20632</v>
      </c>
    </row>
    <row r="11" spans="18:20">
      <c r="R11">
        <v>20736</v>
      </c>
      <c r="S11">
        <v>21353</v>
      </c>
      <c r="T11">
        <v>20307</v>
      </c>
    </row>
    <row r="12" spans="18:20">
      <c r="R12">
        <v>19725</v>
      </c>
      <c r="S12">
        <v>19732</v>
      </c>
      <c r="T12">
        <v>18987</v>
      </c>
    </row>
    <row r="13" spans="18:20">
      <c r="R13">
        <v>20138</v>
      </c>
      <c r="S13">
        <v>20435</v>
      </c>
      <c r="T13">
        <v>19663</v>
      </c>
    </row>
    <row r="14" spans="18:20">
      <c r="R14">
        <v>18640</v>
      </c>
      <c r="S14">
        <v>19785</v>
      </c>
      <c r="T14">
        <v>19244</v>
      </c>
    </row>
    <row r="15" spans="18:20">
      <c r="R15">
        <v>17541</v>
      </c>
      <c r="S15">
        <v>19160</v>
      </c>
      <c r="T15">
        <v>18909</v>
      </c>
    </row>
    <row r="16" spans="18:20">
      <c r="R16">
        <v>17919</v>
      </c>
      <c r="S16">
        <v>19256</v>
      </c>
      <c r="T16">
        <v>19561</v>
      </c>
    </row>
    <row r="17" spans="18:20">
      <c r="R17">
        <v>16757</v>
      </c>
      <c r="S17">
        <v>18668</v>
      </c>
      <c r="T17">
        <v>18301</v>
      </c>
    </row>
    <row r="18" spans="18:20">
      <c r="R18">
        <v>18694</v>
      </c>
      <c r="S18">
        <v>19603</v>
      </c>
      <c r="T18">
        <v>20160</v>
      </c>
    </row>
    <row r="19" spans="18:20" ht="15.75" thickBot="1">
      <c r="R19" s="130">
        <f>SUM(R7:R18)</f>
        <v>231911</v>
      </c>
      <c r="S19" s="130">
        <f t="shared" ref="S19:T19" si="0">SUM(S7:S18)</f>
        <v>240675</v>
      </c>
      <c r="T19" s="130">
        <f t="shared" si="0"/>
        <v>234364</v>
      </c>
    </row>
    <row r="20" spans="18:20" ht="15.75" thickTop="1"/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T11:Y19"/>
  <sheetViews>
    <sheetView zoomScale="70" zoomScaleNormal="70" workbookViewId="0">
      <selection activeCell="Y20" sqref="Y20"/>
    </sheetView>
  </sheetViews>
  <sheetFormatPr defaultRowHeight="15"/>
  <sheetData>
    <row r="11" spans="20:24">
      <c r="T11">
        <v>228942</v>
      </c>
      <c r="U11">
        <v>239108</v>
      </c>
      <c r="V11">
        <v>232443</v>
      </c>
      <c r="W11">
        <v>221985</v>
      </c>
      <c r="X11">
        <v>273404</v>
      </c>
    </row>
    <row r="13" spans="20:24">
      <c r="T13">
        <v>1082</v>
      </c>
      <c r="U13">
        <v>751</v>
      </c>
      <c r="V13">
        <v>2443</v>
      </c>
      <c r="W13">
        <v>1141</v>
      </c>
      <c r="X13">
        <v>903</v>
      </c>
    </row>
    <row r="16" spans="20:24">
      <c r="T16">
        <v>13004</v>
      </c>
      <c r="U16">
        <v>11317</v>
      </c>
      <c r="V16">
        <v>11780</v>
      </c>
      <c r="W16">
        <v>11293</v>
      </c>
      <c r="X16">
        <v>16912</v>
      </c>
    </row>
    <row r="17" spans="20:25">
      <c r="T17">
        <f t="shared" ref="T17:W17" si="0">SUM(T13:T16)</f>
        <v>14086</v>
      </c>
      <c r="U17">
        <f t="shared" si="0"/>
        <v>12068</v>
      </c>
      <c r="V17">
        <f t="shared" si="0"/>
        <v>14223</v>
      </c>
      <c r="W17">
        <f t="shared" si="0"/>
        <v>12434</v>
      </c>
      <c r="X17">
        <f>SUM(X13:X16)</f>
        <v>17815</v>
      </c>
    </row>
    <row r="18" spans="20:25">
      <c r="T18">
        <f>T17/T11%</f>
        <v>6.1526500161612985</v>
      </c>
      <c r="U18">
        <f t="shared" ref="U18:X18" si="1">U17/U11%</f>
        <v>5.0470916907840806</v>
      </c>
      <c r="V18">
        <f t="shared" si="1"/>
        <v>6.1189194770330797</v>
      </c>
      <c r="W18">
        <f t="shared" si="1"/>
        <v>5.6012793657229096</v>
      </c>
      <c r="X18">
        <f t="shared" si="1"/>
        <v>6.5159983028777928</v>
      </c>
      <c r="Y18">
        <f>AVERAGE(T18:X18)</f>
        <v>5.8871877705158315</v>
      </c>
    </row>
    <row r="19" spans="20:25">
      <c r="Y19">
        <f>Y18*100/95.55</f>
        <v>6.1613686766256741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"/>
  <sheetViews>
    <sheetView workbookViewId="0"/>
  </sheetViews>
  <sheetFormatPr defaultRowHeight="15"/>
  <sheetData>
    <row r="1" spans="1:1">
      <c r="A1" s="112" t="s">
        <v>97</v>
      </c>
    </row>
  </sheetData>
  <hyperlinks>
    <hyperlink ref="A1" r:id="rId1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"/>
  <sheetViews>
    <sheetView zoomScale="55" zoomScaleNormal="55" workbookViewId="0">
      <selection activeCell="S21" sqref="S21"/>
    </sheetView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"/>
  <sheetViews>
    <sheetView zoomScale="55" zoomScaleNormal="55" workbookViewId="0">
      <selection activeCell="S25" sqref="S25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OM</vt:lpstr>
      <vt:lpstr>BM</vt:lpstr>
      <vt:lpstr>CM</vt:lpstr>
      <vt:lpstr>Additional Info</vt:lpstr>
      <vt:lpstr>Stats SA 2009</vt:lpstr>
      <vt:lpstr>ESKOM Annual Report 2009</vt:lpstr>
      <vt:lpstr>ESKOM Website 2008</vt:lpstr>
      <vt:lpstr>NERSA Stage 3 2007</vt:lpstr>
      <vt:lpstr>NERSA Stage 4 2008</vt:lpstr>
      <vt:lpstr>Sheet1</vt:lpstr>
    </vt:vector>
  </TitlesOfParts>
  <Company>Promethium Carbon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 Van Der Merwe</dc:creator>
  <cp:lastModifiedBy>AB Van Der Merwe</cp:lastModifiedBy>
  <dcterms:created xsi:type="dcterms:W3CDTF">2010-03-11T10:24:16Z</dcterms:created>
  <dcterms:modified xsi:type="dcterms:W3CDTF">2010-06-03T12:41:44Z</dcterms:modified>
</cp:coreProperties>
</file>