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790" windowHeight="5685"/>
  </bookViews>
  <sheets>
    <sheet name="CER Summary" sheetId="8" r:id="rId1"/>
    <sheet name="I-C" sheetId="1" r:id="rId2"/>
    <sheet name="III-H" sheetId="2" r:id="rId3"/>
    <sheet name="Measurement and historical data" sheetId="6" r:id="rId4"/>
    <sheet name="Biogas flow rate" sheetId="7" r:id="rId5"/>
  </sheets>
  <externalReferences>
    <externalReference r:id="rId6"/>
  </externalReferences>
  <definedNames>
    <definedName name="_1Excel_BuiltIn_Print_Area_5_1">#REF!</definedName>
    <definedName name="_C">#REF!</definedName>
    <definedName name="_ftn1_6">'[1]5. Project Emissions AMS-ID'!#REF!</definedName>
    <definedName name="_ftnref1_6">'[1]5. Project Emissions AMS-ID'!#REF!</definedName>
    <definedName name="_W">#REF!</definedName>
    <definedName name="Calculations">#REF!</definedName>
    <definedName name="CASHAFTER">#REF!</definedName>
    <definedName name="CASHBEFORE">#REF!</definedName>
    <definedName name="Fixed_Asset_Schedule">#REF!</definedName>
    <definedName name="type">'III-H'!$J$4:$J$22</definedName>
    <definedName name="type2" localSheetId="0">#REF!</definedName>
    <definedName name="type2">#REF!</definedName>
  </definedNames>
  <calcPr calcId="125725"/>
</workbook>
</file>

<file path=xl/calcChain.xml><?xml version="1.0" encoding="utf-8"?>
<calcChain xmlns="http://schemas.openxmlformats.org/spreadsheetml/2006/main">
  <c r="D20" i="8"/>
  <c r="N7" s="1"/>
  <c r="D19"/>
  <c r="G12"/>
  <c r="D5"/>
  <c r="L8" s="1"/>
  <c r="D22" i="6"/>
  <c r="C22"/>
  <c r="N10" i="8" l="1"/>
  <c r="N9"/>
  <c r="N8"/>
  <c r="L9"/>
  <c r="L11"/>
  <c r="L7"/>
  <c r="L10"/>
  <c r="N11"/>
  <c r="N5"/>
  <c r="L6"/>
  <c r="N6"/>
  <c r="E54" i="2"/>
  <c r="E30" i="7"/>
  <c r="E19"/>
  <c r="E55" i="2"/>
  <c r="E53"/>
  <c r="E47"/>
  <c r="E49" s="1"/>
  <c r="E45"/>
  <c r="E5" i="1"/>
  <c r="E6" s="1"/>
  <c r="E17" i="2" s="1"/>
  <c r="E7"/>
  <c r="E5" s="1"/>
  <c r="E6"/>
  <c r="E4" s="1"/>
  <c r="C21" i="6"/>
  <c r="E8" i="2"/>
  <c r="E12" s="1"/>
  <c r="D21" i="6"/>
  <c r="E10" i="2"/>
  <c r="E39" s="1"/>
  <c r="E13" i="1"/>
  <c r="C6" i="6"/>
  <c r="E57" i="2" l="1"/>
  <c r="E60" s="1"/>
  <c r="E56"/>
  <c r="E59" s="1"/>
  <c r="L12" i="8"/>
  <c r="N12"/>
  <c r="E14" i="2"/>
  <c r="E15" s="1"/>
  <c r="E62" s="1"/>
  <c r="D14" i="8" s="1"/>
  <c r="E31" i="7"/>
  <c r="E32" s="1"/>
  <c r="E35" s="1"/>
  <c r="E36" s="1"/>
  <c r="E17" i="1"/>
  <c r="D10" i="8" s="1"/>
  <c r="E10" i="7"/>
  <c r="E7" i="1"/>
  <c r="E16" s="1"/>
  <c r="E11" i="7"/>
  <c r="E13" s="1"/>
  <c r="E9" i="2"/>
  <c r="E38" s="1"/>
  <c r="D11" i="8"/>
  <c r="H5" s="1"/>
  <c r="E11" i="2"/>
  <c r="D12" i="8" l="1"/>
  <c r="J8"/>
  <c r="J9"/>
  <c r="J10"/>
  <c r="J7"/>
  <c r="J11"/>
  <c r="J5"/>
  <c r="J6"/>
  <c r="E14" i="7"/>
  <c r="E15" s="1"/>
  <c r="E16" s="1"/>
  <c r="E16" i="2"/>
  <c r="E61" s="1"/>
  <c r="D13" i="8" s="1"/>
  <c r="E20" i="7"/>
  <c r="E22" s="1"/>
  <c r="E63" i="2"/>
  <c r="D15" i="8" s="1"/>
  <c r="K5" s="1"/>
  <c r="E64" i="2"/>
  <c r="D16" i="8" s="1"/>
  <c r="E40" i="2"/>
  <c r="D6" i="8" s="1"/>
  <c r="E66" i="2" l="1"/>
  <c r="H8" i="8"/>
  <c r="H11"/>
  <c r="H7"/>
  <c r="H9"/>
  <c r="H10"/>
  <c r="H6"/>
  <c r="E65" i="2"/>
  <c r="I11" i="8"/>
  <c r="I6"/>
  <c r="I8"/>
  <c r="I9"/>
  <c r="I7"/>
  <c r="I10"/>
  <c r="I5"/>
  <c r="M11"/>
  <c r="M8"/>
  <c r="O8" s="1"/>
  <c r="M5"/>
  <c r="O5" s="1"/>
  <c r="M6"/>
  <c r="M7"/>
  <c r="M10"/>
  <c r="M9"/>
  <c r="J12"/>
  <c r="K11"/>
  <c r="K10"/>
  <c r="K9"/>
  <c r="K6"/>
  <c r="K8"/>
  <c r="K7"/>
  <c r="E23" i="7"/>
  <c r="E24" s="1"/>
  <c r="E27" s="1"/>
  <c r="O9" i="8" l="1"/>
  <c r="O6"/>
  <c r="H12"/>
  <c r="O10"/>
  <c r="O7"/>
  <c r="O11"/>
  <c r="I12"/>
  <c r="M12"/>
  <c r="K12"/>
  <c r="E26" i="7"/>
  <c r="O13" i="8" l="1"/>
  <c r="O12"/>
</calcChain>
</file>

<file path=xl/comments1.xml><?xml version="1.0" encoding="utf-8"?>
<comments xmlns="http://schemas.openxmlformats.org/spreadsheetml/2006/main">
  <authors>
    <author>sharjono</author>
  </authors>
  <commentList>
    <comment ref="B10" authorId="0">
      <text>
        <r>
          <rPr>
            <b/>
            <sz val="9"/>
            <color indexed="81"/>
            <rFont val="Tahoma"/>
            <family val="2"/>
          </rPr>
          <t>sharjono:</t>
        </r>
        <r>
          <rPr>
            <sz val="9"/>
            <color indexed="81"/>
            <rFont val="Tahoma"/>
            <family val="2"/>
          </rPr>
          <t xml:space="preserve">
Project emission is accounted </t>
        </r>
        <r>
          <rPr>
            <i/>
            <sz val="9"/>
            <color indexed="81"/>
            <rFont val="Tahoma"/>
            <family val="2"/>
          </rPr>
          <t>ex-post</t>
        </r>
        <r>
          <rPr>
            <sz val="9"/>
            <color indexed="81"/>
            <rFont val="Tahoma"/>
            <family val="2"/>
          </rPr>
          <t xml:space="preserve"> when necessary</t>
        </r>
      </text>
    </comment>
  </commentList>
</comments>
</file>

<file path=xl/sharedStrings.xml><?xml version="1.0" encoding="utf-8"?>
<sst xmlns="http://schemas.openxmlformats.org/spreadsheetml/2006/main" count="410" uniqueCount="265">
  <si>
    <t>tonnes</t>
  </si>
  <si>
    <t>Bo</t>
  </si>
  <si>
    <t>GWP</t>
  </si>
  <si>
    <t>-</t>
  </si>
  <si>
    <t>DF</t>
  </si>
  <si>
    <t>Source</t>
  </si>
  <si>
    <t>Parameters</t>
  </si>
  <si>
    <t>Symbols</t>
  </si>
  <si>
    <t>Unit</t>
  </si>
  <si>
    <t>Emission factor of fuel</t>
  </si>
  <si>
    <t>Value</t>
  </si>
  <si>
    <t xml:space="preserve">BE </t>
  </si>
  <si>
    <t>Symbol</t>
  </si>
  <si>
    <t>Values</t>
  </si>
  <si>
    <t>Global warming potential of methane</t>
  </si>
  <si>
    <t>Methane Correction Factor</t>
  </si>
  <si>
    <t>Baseline wastewater treatment</t>
  </si>
  <si>
    <t>Baseline wastewater discharge</t>
  </si>
  <si>
    <t>Baseline emission calculation</t>
  </si>
  <si>
    <t>TOTAL BASELINE EMISSION</t>
  </si>
  <si>
    <t>Project emission calculation</t>
  </si>
  <si>
    <t>flaring</t>
  </si>
  <si>
    <t>Discount factor for baseline emissions</t>
  </si>
  <si>
    <t>LEAKAGE</t>
  </si>
  <si>
    <t>Baseline emission</t>
  </si>
  <si>
    <t>power generation (I-C)</t>
  </si>
  <si>
    <t>methane recovery (III-H)</t>
  </si>
  <si>
    <t>unit</t>
  </si>
  <si>
    <t>PE</t>
  </si>
  <si>
    <t>year</t>
  </si>
  <si>
    <t>Estimation of project activity emissions (tCO2e)</t>
  </si>
  <si>
    <t>power generation</t>
  </si>
  <si>
    <t>methane recovery</t>
  </si>
  <si>
    <t>Estimation of baseline emissions (tCO2e)</t>
  </si>
  <si>
    <t>Estimation of overall emission reductions (tCO2e)</t>
  </si>
  <si>
    <t>Estimation of leakage (tCO2e)</t>
  </si>
  <si>
    <t xml:space="preserve">total </t>
  </si>
  <si>
    <t>NCVj</t>
  </si>
  <si>
    <t>Baseline situation</t>
  </si>
  <si>
    <t>Project activity</t>
  </si>
  <si>
    <t>Fuel consumption</t>
  </si>
  <si>
    <t>Net Calorific value</t>
  </si>
  <si>
    <t>BE</t>
  </si>
  <si>
    <t>Project activity emission</t>
  </si>
  <si>
    <t>Leakage</t>
  </si>
  <si>
    <t>LE</t>
  </si>
  <si>
    <t>Non-operational parameters</t>
  </si>
  <si>
    <t>Operational Parameters</t>
  </si>
  <si>
    <t>%</t>
  </si>
  <si>
    <t>COD removal efficiency of anarobic pond I (baseline)</t>
  </si>
  <si>
    <t>Sep-Dec 2009</t>
  </si>
  <si>
    <t>Jan-Aug 2010</t>
  </si>
  <si>
    <t>Fuel (L)</t>
  </si>
  <si>
    <t>Total fuel consumption (FC)</t>
  </si>
  <si>
    <t>g/ml</t>
  </si>
  <si>
    <t>CODin (mg/L)</t>
  </si>
  <si>
    <t>CODout (mg/L)</t>
  </si>
  <si>
    <t>average (tonnes/m3)</t>
  </si>
  <si>
    <t>electricity consumption</t>
  </si>
  <si>
    <t>Power requirement for project</t>
  </si>
  <si>
    <t>MW</t>
  </si>
  <si>
    <t>discharge</t>
  </si>
  <si>
    <t>GJ/tonnes</t>
  </si>
  <si>
    <t>Fugitive (III.H)</t>
  </si>
  <si>
    <t>fugitive</t>
  </si>
  <si>
    <t>COD removal efficiency of anaerobic digesters system in project activity</t>
  </si>
  <si>
    <t>hours</t>
  </si>
  <si>
    <t>Number of operating hours of anaerobic digesters</t>
  </si>
  <si>
    <t>Volume of diesel used in diesel generators</t>
  </si>
  <si>
    <t>litre</t>
  </si>
  <si>
    <t>Density of diesel used in diesel generators</t>
  </si>
  <si>
    <t>Fuel consumption in diesel generators</t>
  </si>
  <si>
    <t>Emission factor of captive grid calculation</t>
  </si>
  <si>
    <t>Power generation capacity of biomass boiler</t>
  </si>
  <si>
    <t>Power generation capacity of diesel generators</t>
  </si>
  <si>
    <t>Power generating capacity of biogas engine</t>
  </si>
  <si>
    <t>MWh</t>
  </si>
  <si>
    <t>Number of operating hours of biogas engine</t>
  </si>
  <si>
    <t>Electrical energy generated by biogas engine</t>
  </si>
  <si>
    <t xml:space="preserve">MW </t>
  </si>
  <si>
    <t>GJ</t>
  </si>
  <si>
    <t>average (mg/L)</t>
  </si>
  <si>
    <t>Power consumption</t>
  </si>
  <si>
    <t>Chemical Oxygen Demand (COD) of wastewater entering anaerobic pond 1 in baseline system</t>
  </si>
  <si>
    <t>COD of the treated wastewater exiting anaerobic pond 2 in baseline system</t>
  </si>
  <si>
    <t>COD removed by anaerobic pond 1 and 2 in the baseline treatment system</t>
  </si>
  <si>
    <t>COD removed by anaerobic digesters</t>
  </si>
  <si>
    <t>Efficiency of the baseline diesel generators</t>
  </si>
  <si>
    <t>Flaring efficiency</t>
  </si>
  <si>
    <t>Electricity generated by biogas engine</t>
  </si>
  <si>
    <t>NCV biogas</t>
  </si>
  <si>
    <t xml:space="preserve">Net Calorific Value of Biogas </t>
  </si>
  <si>
    <t>Density of methane at normal condition</t>
  </si>
  <si>
    <t>TJ/kg</t>
  </si>
  <si>
    <t>Density of biogas</t>
  </si>
  <si>
    <t>http://biomass.ucdavis.edu/materials/calculator/EconCalculator_Biogas.xls</t>
  </si>
  <si>
    <t>IPCC default value as per Table III.H.1 AMS III.H version 16</t>
  </si>
  <si>
    <t>IPCC value as per Table 6.8 Volume 5 Chapter 6 of IPCC 2006 Guideline for anaerobic reactor</t>
  </si>
  <si>
    <t>AMS III.H version 16 paragraph 20</t>
  </si>
  <si>
    <t>AMS III.H version 16 paragraph 29</t>
  </si>
  <si>
    <t xml:space="preserve">AMS III.H version 16 paragraph 27 </t>
  </si>
  <si>
    <t>IPCC 2006 value as per Table 1.2 Volume 2 Chapter 1</t>
  </si>
  <si>
    <t>Value as per tool to determine project emission from flaring of biogas containing methane Section II</t>
  </si>
  <si>
    <t>AMS III.H version 16 paragraph 24</t>
  </si>
  <si>
    <t>http:www.iea.org/work/2004/eswg/SIP9.pdf</t>
  </si>
  <si>
    <t>IPCC 2006 value as per Table 2.3 Volume 2 Chapter 2</t>
  </si>
  <si>
    <t>IPCC 2006 default value as per Table 1.2 Chapter 1 Volume 2</t>
  </si>
  <si>
    <t>Stage 1: Two (2) anaerobic digesters in parallel</t>
  </si>
  <si>
    <t>Volume of POME treated by first stage of anaerobic digesters</t>
  </si>
  <si>
    <t>COD of POME entering first stage of anaerobic digesters</t>
  </si>
  <si>
    <t>CODin</t>
  </si>
  <si>
    <t>Methane producing capacity of the wastewater</t>
  </si>
  <si>
    <t>COD removal efficiency of the first stage digesters</t>
  </si>
  <si>
    <t>Model correction factor to account for model uncertainties</t>
  </si>
  <si>
    <r>
      <t>UF</t>
    </r>
    <r>
      <rPr>
        <vertAlign val="subscript"/>
        <sz val="11"/>
        <color theme="1"/>
        <rFont val="Calibri"/>
        <family val="2"/>
        <scheme val="minor"/>
      </rPr>
      <t>PJ</t>
    </r>
  </si>
  <si>
    <t xml:space="preserve">Methane correction factor for the project POME treatment system </t>
  </si>
  <si>
    <t>Volume fraction of methane in biogas stream</t>
  </si>
  <si>
    <t>w</t>
  </si>
  <si>
    <t>Density of methane</t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</si>
  <si>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</si>
  <si>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kg 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/kg COD</t>
    </r>
  </si>
  <si>
    <r>
      <t>MCF</t>
    </r>
    <r>
      <rPr>
        <vertAlign val="subscript"/>
        <sz val="11"/>
        <color theme="1"/>
        <rFont val="Calibri"/>
        <family val="2"/>
        <scheme val="minor"/>
      </rPr>
      <t>ww. Treatment</t>
    </r>
  </si>
  <si>
    <r>
      <t>ρ</t>
    </r>
    <r>
      <rPr>
        <vertAlign val="subscript"/>
        <sz val="11"/>
        <color theme="1"/>
        <rFont val="Calibri"/>
        <family val="2"/>
        <scheme val="minor"/>
      </rPr>
      <t>CH4</t>
    </r>
  </si>
  <si>
    <r>
      <t>Q</t>
    </r>
    <r>
      <rPr>
        <vertAlign val="subscript"/>
        <sz val="11"/>
        <color indexed="8"/>
        <rFont val="Calibri"/>
        <family val="2"/>
        <scheme val="minor"/>
      </rPr>
      <t>wwin PJ</t>
    </r>
  </si>
  <si>
    <r>
      <rPr>
        <sz val="11"/>
        <color theme="1"/>
        <rFont val="Times New Roman"/>
        <family val="1"/>
      </rPr>
      <t>ɳ</t>
    </r>
    <r>
      <rPr>
        <sz val="8.8000000000000007"/>
        <color theme="1"/>
        <rFont val="Calibri"/>
        <family val="2"/>
        <scheme val="minor"/>
      </rPr>
      <t>COD,1</t>
    </r>
  </si>
  <si>
    <t>COD removed</t>
  </si>
  <si>
    <r>
      <t>COD</t>
    </r>
    <r>
      <rPr>
        <vertAlign val="subscript"/>
        <sz val="11"/>
        <color theme="1"/>
        <rFont val="Calibri"/>
        <family val="2"/>
        <scheme val="minor"/>
      </rPr>
      <t>removed,1</t>
    </r>
  </si>
  <si>
    <t>Methane capture efficiency of the digesters</t>
  </si>
  <si>
    <r>
      <t>CFE</t>
    </r>
    <r>
      <rPr>
        <vertAlign val="subscript"/>
        <sz val="11"/>
        <color indexed="8"/>
        <rFont val="Calibri"/>
        <family val="2"/>
        <scheme val="minor"/>
      </rPr>
      <t>ww</t>
    </r>
  </si>
  <si>
    <t>Volume of biogas generated from the first stage of digesters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</si>
  <si>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/year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</si>
  <si>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/day</t>
    </r>
  </si>
  <si>
    <t>Volume of biogas generated from each digester at the first stage</t>
  </si>
  <si>
    <t>Stage 2: One (1) anaerobic digester</t>
  </si>
  <si>
    <t>COD of POME entering second stage of anaerobic digester</t>
  </si>
  <si>
    <t>Volume of POME treated by second stage of anaerobic digester</t>
  </si>
  <si>
    <t>COD removal efficiency of the second stage digester</t>
  </si>
  <si>
    <r>
      <t>COD</t>
    </r>
    <r>
      <rPr>
        <vertAlign val="subscript"/>
        <sz val="11"/>
        <color theme="1"/>
        <rFont val="Calibri"/>
        <family val="2"/>
        <scheme val="minor"/>
      </rPr>
      <t>removed,2</t>
    </r>
  </si>
  <si>
    <t>Volume of biogas generated from the second stage of digester</t>
  </si>
  <si>
    <t>Total volume of biogas generated from the three (3) digesters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</si>
  <si>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/day</t>
    </r>
  </si>
  <si>
    <t>10 days measurement campaign</t>
  </si>
  <si>
    <t>Historical diesel consumption data</t>
  </si>
  <si>
    <r>
      <rPr>
        <b/>
        <i/>
        <sz val="11"/>
        <color indexed="8"/>
        <rFont val="Calibri"/>
        <family val="2"/>
        <scheme val="minor"/>
      </rPr>
      <t>EX-ANTE</t>
    </r>
    <r>
      <rPr>
        <b/>
        <sz val="11"/>
        <color indexed="8"/>
        <rFont val="Calibri"/>
        <family val="2"/>
        <scheme val="minor"/>
      </rPr>
      <t xml:space="preserve"> EMISSION REDUCTION SUMMARY</t>
    </r>
  </si>
  <si>
    <r>
      <t>tCO</t>
    </r>
    <r>
      <rPr>
        <vertAlign val="subscript"/>
        <sz val="11"/>
        <color indexed="8"/>
        <rFont val="Calibri"/>
        <family val="2"/>
        <scheme val="minor"/>
      </rPr>
      <t>2e</t>
    </r>
  </si>
  <si>
    <r>
      <t>Q</t>
    </r>
    <r>
      <rPr>
        <vertAlign val="subscript"/>
        <sz val="11"/>
        <color indexed="8"/>
        <rFont val="Calibri"/>
        <family val="2"/>
        <scheme val="minor"/>
      </rPr>
      <t>wwin</t>
    </r>
  </si>
  <si>
    <r>
      <t>Q</t>
    </r>
    <r>
      <rPr>
        <vertAlign val="subscript"/>
        <sz val="11"/>
        <color indexed="8"/>
        <rFont val="Calibri"/>
        <family val="2"/>
        <scheme val="minor"/>
      </rPr>
      <t>wwout</t>
    </r>
  </si>
  <si>
    <r>
      <t>Q</t>
    </r>
    <r>
      <rPr>
        <vertAlign val="subscript"/>
        <sz val="11"/>
        <color indexed="8"/>
        <rFont val="Calibri"/>
        <family val="2"/>
        <scheme val="minor"/>
      </rPr>
      <t>wwout PJ</t>
    </r>
  </si>
  <si>
    <r>
      <t>COD</t>
    </r>
    <r>
      <rPr>
        <vertAlign val="subscript"/>
        <sz val="11"/>
        <color indexed="8"/>
        <rFont val="Calibri"/>
        <family val="2"/>
        <scheme val="minor"/>
      </rPr>
      <t>in BL</t>
    </r>
  </si>
  <si>
    <r>
      <t>ɳ</t>
    </r>
    <r>
      <rPr>
        <vertAlign val="subscript"/>
        <sz val="11"/>
        <color indexed="8"/>
        <rFont val="Calibri"/>
        <family val="2"/>
        <scheme val="minor"/>
      </rPr>
      <t>baseline</t>
    </r>
  </si>
  <si>
    <r>
      <t>COD</t>
    </r>
    <r>
      <rPr>
        <vertAlign val="subscript"/>
        <sz val="11"/>
        <color indexed="8"/>
        <rFont val="Calibri"/>
        <family val="2"/>
        <scheme val="minor"/>
      </rPr>
      <t>out BL</t>
    </r>
  </si>
  <si>
    <r>
      <t>COD</t>
    </r>
    <r>
      <rPr>
        <vertAlign val="subscript"/>
        <sz val="11"/>
        <color indexed="8"/>
        <rFont val="Calibri"/>
        <family val="2"/>
        <scheme val="minor"/>
      </rPr>
      <t>removed BL</t>
    </r>
  </si>
  <si>
    <r>
      <t>COD</t>
    </r>
    <r>
      <rPr>
        <vertAlign val="subscript"/>
        <sz val="11"/>
        <color indexed="8"/>
        <rFont val="Calibri"/>
        <family val="2"/>
        <scheme val="minor"/>
      </rPr>
      <t>inPJ</t>
    </r>
  </si>
  <si>
    <r>
      <t>ɳ</t>
    </r>
    <r>
      <rPr>
        <vertAlign val="subscript"/>
        <sz val="11"/>
        <color indexed="8"/>
        <rFont val="Calibri"/>
        <family val="2"/>
        <scheme val="minor"/>
      </rPr>
      <t>project</t>
    </r>
  </si>
  <si>
    <r>
      <t>COD</t>
    </r>
    <r>
      <rPr>
        <vertAlign val="subscript"/>
        <sz val="11"/>
        <color indexed="8"/>
        <rFont val="Calibri"/>
        <family val="2"/>
        <scheme val="minor"/>
      </rPr>
      <t>removed PJ</t>
    </r>
  </si>
  <si>
    <r>
      <t>COD</t>
    </r>
    <r>
      <rPr>
        <vertAlign val="subscript"/>
        <sz val="11"/>
        <color indexed="8"/>
        <rFont val="Calibri"/>
        <family val="2"/>
        <scheme val="minor"/>
      </rPr>
      <t>ww,discharged,PJ</t>
    </r>
  </si>
  <si>
    <r>
      <t>EG</t>
    </r>
    <r>
      <rPr>
        <vertAlign val="subscript"/>
        <sz val="11"/>
        <color indexed="8"/>
        <rFont val="Calibri"/>
        <family val="2"/>
        <scheme val="minor"/>
      </rPr>
      <t>biogas</t>
    </r>
  </si>
  <si>
    <r>
      <t>w</t>
    </r>
    <r>
      <rPr>
        <vertAlign val="subscript"/>
        <sz val="11"/>
        <color indexed="8"/>
        <rFont val="Calibri"/>
        <family val="2"/>
        <scheme val="minor"/>
      </rPr>
      <t>CH4,y</t>
    </r>
  </si>
  <si>
    <r>
      <t xml:space="preserve">MCF </t>
    </r>
    <r>
      <rPr>
        <vertAlign val="subscript"/>
        <sz val="11"/>
        <color indexed="8"/>
        <rFont val="Calibri"/>
        <family val="2"/>
        <scheme val="minor"/>
      </rPr>
      <t>ww,treatment,BL</t>
    </r>
  </si>
  <si>
    <r>
      <t xml:space="preserve">MCF </t>
    </r>
    <r>
      <rPr>
        <vertAlign val="subscript"/>
        <sz val="11"/>
        <color indexed="8"/>
        <rFont val="Calibri"/>
        <family val="2"/>
        <scheme val="minor"/>
      </rPr>
      <t>ww,discharge,BL</t>
    </r>
  </si>
  <si>
    <r>
      <t>MCF</t>
    </r>
    <r>
      <rPr>
        <vertAlign val="subscript"/>
        <sz val="11"/>
        <color indexed="8"/>
        <rFont val="Calibri"/>
        <family val="2"/>
        <scheme val="minor"/>
      </rPr>
      <t>ww,treatment,PJ</t>
    </r>
  </si>
  <si>
    <r>
      <t>MCF</t>
    </r>
    <r>
      <rPr>
        <vertAlign val="subscript"/>
        <sz val="11"/>
        <color indexed="8"/>
        <rFont val="Calibri"/>
        <family val="2"/>
        <scheme val="minor"/>
      </rPr>
      <t>ww,discharge,PJ</t>
    </r>
  </si>
  <si>
    <r>
      <t xml:space="preserve">UF </t>
    </r>
    <r>
      <rPr>
        <vertAlign val="subscript"/>
        <sz val="11"/>
        <color indexed="8"/>
        <rFont val="Calibri"/>
        <family val="2"/>
        <scheme val="minor"/>
      </rPr>
      <t>BL</t>
    </r>
  </si>
  <si>
    <r>
      <t>UF</t>
    </r>
    <r>
      <rPr>
        <vertAlign val="subscript"/>
        <sz val="11"/>
        <color indexed="8"/>
        <rFont val="Calibri"/>
        <family val="2"/>
        <scheme val="minor"/>
      </rPr>
      <t xml:space="preserve"> PJ</t>
    </r>
  </si>
  <si>
    <r>
      <t>kg/m</t>
    </r>
    <r>
      <rPr>
        <vertAlign val="superscript"/>
        <sz val="11"/>
        <color indexed="8"/>
        <rFont val="Calibri"/>
        <family val="2"/>
        <scheme val="minor"/>
      </rPr>
      <t>3</t>
    </r>
  </si>
  <si>
    <r>
      <t>BE</t>
    </r>
    <r>
      <rPr>
        <vertAlign val="subscript"/>
        <sz val="11"/>
        <color indexed="8"/>
        <rFont val="Calibri"/>
        <family val="2"/>
        <scheme val="minor"/>
      </rPr>
      <t>ww,treatment</t>
    </r>
  </si>
  <si>
    <r>
      <t>t CO</t>
    </r>
    <r>
      <rPr>
        <vertAlign val="subscript"/>
        <sz val="11"/>
        <color indexed="8"/>
        <rFont val="Calibri"/>
        <family val="2"/>
        <scheme val="minor"/>
      </rPr>
      <t>2e</t>
    </r>
  </si>
  <si>
    <r>
      <t>BE</t>
    </r>
    <r>
      <rPr>
        <vertAlign val="subscript"/>
        <sz val="11"/>
        <color indexed="8"/>
        <rFont val="Calibri"/>
        <family val="2"/>
        <scheme val="minor"/>
      </rPr>
      <t>ww,discharge</t>
    </r>
  </si>
  <si>
    <r>
      <t>P</t>
    </r>
    <r>
      <rPr>
        <vertAlign val="subscript"/>
        <sz val="11"/>
        <color indexed="8"/>
        <rFont val="Calibri"/>
        <family val="2"/>
        <scheme val="minor"/>
      </rPr>
      <t>anaerobic digesters</t>
    </r>
  </si>
  <si>
    <r>
      <t>n</t>
    </r>
    <r>
      <rPr>
        <vertAlign val="subscript"/>
        <sz val="11"/>
        <color indexed="8"/>
        <rFont val="Calibri"/>
        <family val="2"/>
        <scheme val="minor"/>
      </rPr>
      <t>anaerobic digesters</t>
    </r>
  </si>
  <si>
    <r>
      <t>Q</t>
    </r>
    <r>
      <rPr>
        <vertAlign val="subscript"/>
        <sz val="11"/>
        <color indexed="8"/>
        <rFont val="Calibri"/>
        <family val="2"/>
        <scheme val="minor"/>
      </rPr>
      <t>diesel,y</t>
    </r>
  </si>
  <si>
    <r>
      <t>ρ</t>
    </r>
    <r>
      <rPr>
        <vertAlign val="subscript"/>
        <sz val="11"/>
        <color indexed="8"/>
        <rFont val="Calibri"/>
        <family val="2"/>
        <scheme val="minor"/>
      </rPr>
      <t>diesel</t>
    </r>
  </si>
  <si>
    <r>
      <t>FC</t>
    </r>
    <r>
      <rPr>
        <vertAlign val="subscript"/>
        <sz val="11"/>
        <color indexed="8"/>
        <rFont val="Calibri"/>
        <family val="2"/>
        <scheme val="minor"/>
      </rPr>
      <t>diesel,y</t>
    </r>
    <r>
      <rPr>
        <sz val="11"/>
        <color indexed="8"/>
        <rFont val="Calibri"/>
        <family val="2"/>
        <scheme val="minor"/>
      </rPr>
      <t xml:space="preserve"> </t>
    </r>
  </si>
  <si>
    <r>
      <t>EF</t>
    </r>
    <r>
      <rPr>
        <vertAlign val="subscript"/>
        <sz val="11"/>
        <color indexed="8"/>
        <rFont val="Calibri"/>
        <family val="2"/>
        <scheme val="minor"/>
      </rPr>
      <t>diesel</t>
    </r>
  </si>
  <si>
    <r>
      <t>tCO</t>
    </r>
    <r>
      <rPr>
        <vertAlign val="subscript"/>
        <sz val="11"/>
        <color indexed="8"/>
        <rFont val="Calibri"/>
        <family val="2"/>
        <scheme val="minor"/>
      </rPr>
      <t>2e</t>
    </r>
    <r>
      <rPr>
        <sz val="11"/>
        <color indexed="8"/>
        <rFont val="Calibri"/>
        <family val="2"/>
        <scheme val="minor"/>
      </rPr>
      <t>/GJ</t>
    </r>
  </si>
  <si>
    <r>
      <t>P</t>
    </r>
    <r>
      <rPr>
        <vertAlign val="subscript"/>
        <sz val="11"/>
        <color indexed="8"/>
        <rFont val="Calibri"/>
        <family val="2"/>
        <scheme val="minor"/>
      </rPr>
      <t>biomass boiler</t>
    </r>
  </si>
  <si>
    <r>
      <t>n</t>
    </r>
    <r>
      <rPr>
        <vertAlign val="subscript"/>
        <sz val="11"/>
        <color indexed="8"/>
        <rFont val="Calibri"/>
        <family val="2"/>
        <scheme val="minor"/>
      </rPr>
      <t>biomass boiler,y</t>
    </r>
  </si>
  <si>
    <r>
      <t>P</t>
    </r>
    <r>
      <rPr>
        <vertAlign val="subscript"/>
        <sz val="11"/>
        <color indexed="8"/>
        <rFont val="Calibri"/>
        <family val="2"/>
        <scheme val="minor"/>
      </rPr>
      <t xml:space="preserve">diesel </t>
    </r>
  </si>
  <si>
    <r>
      <t>n</t>
    </r>
    <r>
      <rPr>
        <vertAlign val="subscript"/>
        <sz val="11"/>
        <color indexed="8"/>
        <rFont val="Calibri"/>
        <family val="2"/>
        <scheme val="minor"/>
      </rPr>
      <t>diesel generators,y</t>
    </r>
  </si>
  <si>
    <r>
      <t>EF</t>
    </r>
    <r>
      <rPr>
        <vertAlign val="subscript"/>
        <sz val="11"/>
        <color indexed="8"/>
        <rFont val="Calibri"/>
        <family val="2"/>
        <scheme val="minor"/>
      </rPr>
      <t>grid</t>
    </r>
  </si>
  <si>
    <r>
      <t>tCO</t>
    </r>
    <r>
      <rPr>
        <vertAlign val="subscript"/>
        <sz val="11"/>
        <color indexed="8"/>
        <rFont val="Calibri"/>
        <family val="2"/>
        <scheme val="minor"/>
      </rPr>
      <t>2e</t>
    </r>
    <r>
      <rPr>
        <sz val="11"/>
        <color indexed="8"/>
        <rFont val="Calibri"/>
        <family val="2"/>
        <scheme val="minor"/>
      </rPr>
      <t>/MWh</t>
    </r>
  </si>
  <si>
    <r>
      <t>ρ</t>
    </r>
    <r>
      <rPr>
        <vertAlign val="subscript"/>
        <sz val="11"/>
        <color indexed="8"/>
        <rFont val="Calibri"/>
        <family val="2"/>
        <scheme val="minor"/>
      </rPr>
      <t>CH4</t>
    </r>
  </si>
  <si>
    <t>ɳflaring</t>
  </si>
  <si>
    <r>
      <t>ρ</t>
    </r>
    <r>
      <rPr>
        <vertAlign val="subscript"/>
        <sz val="11"/>
        <color indexed="8"/>
        <rFont val="Calibri"/>
        <family val="2"/>
        <scheme val="minor"/>
      </rPr>
      <t>biogas</t>
    </r>
  </si>
  <si>
    <r>
      <t>m</t>
    </r>
    <r>
      <rPr>
        <vertAlign val="superscript"/>
        <sz val="11"/>
        <color indexed="8"/>
        <rFont val="Calibri"/>
        <family val="2"/>
        <scheme val="minor"/>
      </rPr>
      <t>3</t>
    </r>
    <r>
      <rPr>
        <sz val="11"/>
        <color indexed="8"/>
        <rFont val="Calibri"/>
        <family val="2"/>
        <scheme val="minor"/>
      </rPr>
      <t>/year</t>
    </r>
  </si>
  <si>
    <r>
      <t>tonnes COD/m</t>
    </r>
    <r>
      <rPr>
        <vertAlign val="superscript"/>
        <sz val="11"/>
        <color indexed="8"/>
        <rFont val="Calibri"/>
        <family val="2"/>
        <scheme val="minor"/>
      </rPr>
      <t>3</t>
    </r>
  </si>
  <si>
    <r>
      <t>kg CH</t>
    </r>
    <r>
      <rPr>
        <vertAlign val="subscript"/>
        <sz val="11"/>
        <color indexed="8"/>
        <rFont val="Calibri"/>
        <family val="2"/>
        <scheme val="minor"/>
      </rPr>
      <t>4</t>
    </r>
    <r>
      <rPr>
        <sz val="11"/>
        <color indexed="8"/>
        <rFont val="Calibri"/>
        <family val="2"/>
        <scheme val="minor"/>
      </rPr>
      <t>/kg COD</t>
    </r>
  </si>
  <si>
    <r>
      <t>P</t>
    </r>
    <r>
      <rPr>
        <vertAlign val="subscript"/>
        <sz val="11"/>
        <color indexed="8"/>
        <rFont val="Calibri"/>
        <family val="2"/>
        <scheme val="minor"/>
      </rPr>
      <t>biogas engine</t>
    </r>
  </si>
  <si>
    <r>
      <t xml:space="preserve">n </t>
    </r>
    <r>
      <rPr>
        <vertAlign val="subscript"/>
        <sz val="11"/>
        <color indexed="8"/>
        <rFont val="Calibri"/>
        <family val="2"/>
        <scheme val="minor"/>
      </rPr>
      <t>biogas engine</t>
    </r>
  </si>
  <si>
    <r>
      <rPr>
        <vertAlign val="superscript"/>
        <sz val="11"/>
        <color indexed="8"/>
        <rFont val="Calibri"/>
        <family val="2"/>
        <scheme val="minor"/>
      </rPr>
      <t>1</t>
    </r>
    <r>
      <rPr>
        <sz val="11"/>
        <color indexed="8"/>
        <rFont val="Calibri"/>
        <family val="2"/>
        <scheme val="minor"/>
      </rPr>
      <t>http://www.iea.org/work/2004/eswg/SIP9.pdf</t>
    </r>
  </si>
  <si>
    <r>
      <t>ɳ</t>
    </r>
    <r>
      <rPr>
        <vertAlign val="subscript"/>
        <sz val="11"/>
        <color indexed="8"/>
        <rFont val="Calibri"/>
        <family val="2"/>
        <scheme val="minor"/>
      </rPr>
      <t>BL</t>
    </r>
  </si>
  <si>
    <t>Biogas recovery in biogas engine</t>
  </si>
  <si>
    <t>Net calorific value of biogas</t>
  </si>
  <si>
    <r>
      <t>NCV</t>
    </r>
    <r>
      <rPr>
        <vertAlign val="subscript"/>
        <sz val="11"/>
        <color indexed="8"/>
        <rFont val="Calibri"/>
        <family val="2"/>
        <scheme val="minor"/>
      </rPr>
      <t>biogas</t>
    </r>
  </si>
  <si>
    <t>TJ/tonne</t>
  </si>
  <si>
    <t>IPCC default value as per Table 1.2 Volume 2 Chapter 1</t>
  </si>
  <si>
    <t>Volume of biogas recovered in biogas engine</t>
  </si>
  <si>
    <r>
      <t>BG</t>
    </r>
    <r>
      <rPr>
        <vertAlign val="subscript"/>
        <sz val="11"/>
        <color indexed="8"/>
        <rFont val="Calibri"/>
        <family val="2"/>
        <scheme val="minor"/>
      </rPr>
      <t>recovered</t>
    </r>
  </si>
  <si>
    <t>GJ/tonne</t>
  </si>
  <si>
    <r>
      <t>tonnes/m</t>
    </r>
    <r>
      <rPr>
        <vertAlign val="superscript"/>
        <sz val="11"/>
        <color theme="1"/>
        <rFont val="Calibri"/>
        <family val="2"/>
        <scheme val="minor"/>
      </rPr>
      <t>3</t>
    </r>
  </si>
  <si>
    <t>Conservative assumption</t>
  </si>
  <si>
    <t>IPCC dafault value as per paragraph 20 AMS III.H version 16</t>
  </si>
  <si>
    <t>AMS III.H version 16 paragraph 30</t>
  </si>
  <si>
    <t>Default efficiency as per tool to determine project emission from flaring of biogas containing methane Section II</t>
  </si>
  <si>
    <r>
      <t>Tool to calculate project or leakage CO</t>
    </r>
    <r>
      <rPr>
        <vertAlign val="subscript"/>
        <sz val="11"/>
        <color indexed="8"/>
        <rFont val="Calibri"/>
        <family val="2"/>
        <scheme val="minor"/>
      </rPr>
      <t>2</t>
    </r>
    <r>
      <rPr>
        <sz val="11"/>
        <color indexed="8"/>
        <rFont val="Calibri"/>
        <family val="2"/>
        <scheme val="minor"/>
      </rPr>
      <t xml:space="preserve"> emissions from fossil fuel combustion</t>
    </r>
  </si>
  <si>
    <t>Tool to determine PE from flaring gases containing methane equation 15 Section II</t>
  </si>
  <si>
    <t>Volume of untreated wastewater entering anaerobic pond 1 in baseline system per year</t>
  </si>
  <si>
    <t>Volume of treated wastewater discharged from anaerobic pond 2 to aerobic pond 1 in baseline system per year</t>
  </si>
  <si>
    <t>Volume of untreated wastewater entering anaerobic digester in project system per year</t>
  </si>
  <si>
    <t>Volume of treated wastewater discharged from anaerobic digester to aerobic pond 1 in project system per year</t>
  </si>
  <si>
    <t>Volume fraction of methane in the captured and recovered biogas</t>
  </si>
  <si>
    <t>Project wastewater treatment (equipped with biogas recovery)</t>
  </si>
  <si>
    <t xml:space="preserve">Project wastewater discharge </t>
  </si>
  <si>
    <t>Methane producing capacity of wastewater</t>
  </si>
  <si>
    <t>Model correction factor for uncertainties in baseline</t>
  </si>
  <si>
    <t>Model correction factor for uncertainties in project activities</t>
  </si>
  <si>
    <t>Capture efficiency of biogas recovery in wastewater treatment</t>
  </si>
  <si>
    <t>Wastewater treatment</t>
  </si>
  <si>
    <t>Wastewater discharge</t>
  </si>
  <si>
    <t>Number of operating hours of biomass boiler</t>
  </si>
  <si>
    <t>Number of operating hours of diesel generators</t>
  </si>
  <si>
    <t>Fugitive emission</t>
  </si>
  <si>
    <r>
      <t>PE</t>
    </r>
    <r>
      <rPr>
        <vertAlign val="subscript"/>
        <sz val="11"/>
        <color indexed="8"/>
        <rFont val="Calibri"/>
        <family val="2"/>
        <scheme val="minor"/>
      </rPr>
      <t xml:space="preserve"> power</t>
    </r>
  </si>
  <si>
    <r>
      <t>PE</t>
    </r>
    <r>
      <rPr>
        <vertAlign val="subscript"/>
        <sz val="11"/>
        <color indexed="8"/>
        <rFont val="Calibri"/>
        <family val="2"/>
        <scheme val="minor"/>
      </rPr>
      <t xml:space="preserve"> ww,discharge</t>
    </r>
  </si>
  <si>
    <r>
      <t>PE</t>
    </r>
    <r>
      <rPr>
        <vertAlign val="subscript"/>
        <sz val="11"/>
        <color indexed="8"/>
        <rFont val="Calibri"/>
        <family val="2"/>
        <scheme val="minor"/>
      </rPr>
      <t xml:space="preserve"> fugitive</t>
    </r>
  </si>
  <si>
    <r>
      <t>PE</t>
    </r>
    <r>
      <rPr>
        <vertAlign val="subscript"/>
        <sz val="11"/>
        <color indexed="8"/>
        <rFont val="Calibri"/>
        <family val="2"/>
        <scheme val="minor"/>
      </rPr>
      <t xml:space="preserve"> flaring</t>
    </r>
  </si>
  <si>
    <t>F consumption,y</t>
  </si>
  <si>
    <t>Project Proponent (PP): Project design value</t>
  </si>
  <si>
    <t>PP: Project design value</t>
  </si>
  <si>
    <t>PP: 10 days measurement campaign</t>
  </si>
  <si>
    <t>PP: This will be equal to CODin for baseline system as per 10 Days measurement</t>
  </si>
  <si>
    <t>PP</t>
  </si>
  <si>
    <t>PP: 10 Days measurement campaign</t>
  </si>
  <si>
    <t>PP: This is the total generating capacity of two diesel gensets of 320 kW (0.32 MW) each.</t>
  </si>
  <si>
    <t>Annual operating hours for biogas engine</t>
  </si>
  <si>
    <r>
      <t xml:space="preserve">PP: For </t>
    </r>
    <r>
      <rPr>
        <i/>
        <sz val="11"/>
        <color indexed="8"/>
        <rFont val="Calibri"/>
        <family val="2"/>
        <scheme val="minor"/>
      </rPr>
      <t>ex-post</t>
    </r>
    <r>
      <rPr>
        <sz val="11"/>
        <color indexed="8"/>
        <rFont val="Calibri"/>
        <family val="2"/>
        <scheme val="minor"/>
      </rPr>
      <t xml:space="preserve"> monitoring</t>
    </r>
  </si>
  <si>
    <t>BASELINE EMISSIONS</t>
  </si>
  <si>
    <t>From power generation (I-C)</t>
  </si>
  <si>
    <t>From methane avoidance (III-H)</t>
  </si>
  <si>
    <t>PROJECT EMISSIONS</t>
  </si>
  <si>
    <t>From electricity consumption (III.H)</t>
  </si>
  <si>
    <t>From treated ww discharge (III.H)</t>
  </si>
  <si>
    <t>PP: 20 hours of daily operation</t>
  </si>
  <si>
    <t>PP: 8 hours of daily operation</t>
  </si>
  <si>
    <t>PP: for captive grid</t>
  </si>
  <si>
    <t>Flaring (year 1) (III.H)</t>
  </si>
  <si>
    <t>Flaring (year 2-21) (III.H)</t>
  </si>
  <si>
    <t>LEAKAGE EMISSIONS</t>
  </si>
  <si>
    <t xml:space="preserve">COD of wastewater discharged from anaerobic digester system </t>
  </si>
  <si>
    <t>COD of wastewater discharged from anaerobic digester entering aerobic pond 1</t>
  </si>
  <si>
    <r>
      <t>COD</t>
    </r>
    <r>
      <rPr>
        <vertAlign val="subscript"/>
        <sz val="11"/>
        <color indexed="8"/>
        <rFont val="Calibri"/>
        <family val="2"/>
        <scheme val="minor"/>
      </rPr>
      <t xml:space="preserve">out  </t>
    </r>
  </si>
  <si>
    <t>AMS III.H version 16, footnote 10</t>
  </si>
  <si>
    <t xml:space="preserve">COD of the untreated wastewater entering anaerobic digesters system in project </t>
  </si>
  <si>
    <t>IPCC 2006 default value as per Table 2.2 Chapter 2 Volume 2</t>
  </si>
  <si>
    <t>Electricity (Phase I)</t>
  </si>
  <si>
    <t>Electricity (Phase II)</t>
  </si>
  <si>
    <t>Emission factor of captive grid (Phase I)</t>
  </si>
  <si>
    <t>Emission factor of captive grid (Phase II)</t>
  </si>
  <si>
    <t>Flaring (Phase II)</t>
  </si>
  <si>
    <t>Flaring (Phase I)</t>
  </si>
  <si>
    <t>TOTAL PROJECT ACTIVITY EMISSION (Phase I)</t>
  </si>
  <si>
    <t>TOTAL PROJECT ACTIVITY EMISSION (Phase II)</t>
  </si>
  <si>
    <r>
      <t>average emission (tCO</t>
    </r>
    <r>
      <rPr>
        <b/>
        <vertAlign val="subscript"/>
        <sz val="11"/>
        <color indexed="8"/>
        <rFont val="Calibri"/>
        <family val="2"/>
        <scheme val="minor"/>
      </rPr>
      <t>2e</t>
    </r>
    <r>
      <rPr>
        <b/>
        <sz val="11"/>
        <color indexed="8"/>
        <rFont val="Calibri"/>
        <family val="2"/>
        <scheme val="minor"/>
      </rPr>
      <t>)</t>
    </r>
  </si>
  <si>
    <t>Quantity of diesel displaced by project activity</t>
  </si>
  <si>
    <t>PP: one year historical record (September 2009 - August 2010)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</si>
</sst>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;[Red]#,##0"/>
    <numFmt numFmtId="165" formatCode="#,##0.0000"/>
    <numFmt numFmtId="166" formatCode="0.000000"/>
    <numFmt numFmtId="167" formatCode="."/>
    <numFmt numFmtId="168" formatCode="0.0000"/>
  </numFmts>
  <fonts count="33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b/>
      <sz val="11"/>
      <color indexed="12"/>
      <name val="Calibri"/>
      <family val="2"/>
    </font>
    <font>
      <u/>
      <sz val="9.9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vertAlign val="subscript"/>
      <sz val="11"/>
      <color indexed="8"/>
      <name val="Calibri"/>
      <family val="2"/>
      <scheme val="minor"/>
    </font>
    <font>
      <sz val="8.8000000000000007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1"/>
      <color indexed="9"/>
      <name val="Calibri"/>
      <family val="2"/>
      <scheme val="minor"/>
    </font>
    <font>
      <vertAlign val="superscript"/>
      <sz val="11"/>
      <color indexed="8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u/>
      <sz val="12"/>
      <name val="Times"/>
    </font>
    <font>
      <sz val="10"/>
      <name val="Arial"/>
    </font>
    <font>
      <b/>
      <vertAlign val="subscript"/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6" fillId="0" borderId="0"/>
    <xf numFmtId="43" fontId="27" fillId="0" borderId="0">
      <alignment vertical="top" wrapText="1"/>
    </xf>
    <xf numFmtId="43" fontId="28" fillId="0" borderId="0" applyFont="0" applyFill="0" applyBorder="0" applyAlignment="0" applyProtection="0"/>
    <xf numFmtId="44" fontId="26" fillId="0" borderId="0" applyFont="0" applyFill="0" applyBorder="0" applyAlignment="0" applyProtection="0"/>
    <xf numFmtId="167" fontId="27" fillId="0" borderId="0" applyNumberFormat="0">
      <alignment vertical="top" wrapText="1"/>
    </xf>
    <xf numFmtId="0" fontId="29" fillId="0" borderId="0">
      <alignment horizontal="left" vertical="top"/>
    </xf>
    <xf numFmtId="0" fontId="30" fillId="0" borderId="0">
      <alignment horizontal="left" vertical="top"/>
    </xf>
    <xf numFmtId="43" fontId="27" fillId="0" borderId="2">
      <alignment vertical="top"/>
    </xf>
    <xf numFmtId="0" fontId="27" fillId="0" borderId="0">
      <alignment horizontal="left" vertical="top" wrapText="1"/>
    </xf>
    <xf numFmtId="49" fontId="29" fillId="0" borderId="0">
      <alignment horizontal="left" vertical="top" wrapText="1"/>
    </xf>
    <xf numFmtId="0" fontId="26" fillId="0" borderId="0"/>
    <xf numFmtId="0" fontId="31" fillId="0" borderId="0"/>
    <xf numFmtId="0" fontId="26" fillId="0" borderId="0"/>
    <xf numFmtId="9" fontId="26" fillId="0" borderId="0" applyFont="0" applyFill="0" applyBorder="0" applyAlignment="0" applyProtection="0"/>
    <xf numFmtId="43" fontId="29" fillId="0" borderId="3">
      <alignment vertical="top" wrapText="1"/>
    </xf>
    <xf numFmtId="0" fontId="29" fillId="0" borderId="0">
      <alignment vertical="top" wrapText="1"/>
    </xf>
  </cellStyleXfs>
  <cellXfs count="108">
    <xf numFmtId="0" fontId="0" fillId="0" borderId="0" xfId="0"/>
    <xf numFmtId="164" fontId="0" fillId="0" borderId="0" xfId="0" applyNumberFormat="1"/>
    <xf numFmtId="10" fontId="0" fillId="0" borderId="0" xfId="0" applyNumberFormat="1"/>
    <xf numFmtId="10" fontId="6" fillId="0" borderId="0" xfId="0" applyNumberFormat="1" applyFont="1"/>
    <xf numFmtId="0" fontId="6" fillId="0" borderId="0" xfId="0" applyFont="1"/>
    <xf numFmtId="0" fontId="5" fillId="0" borderId="0" xfId="0" applyFont="1"/>
    <xf numFmtId="3" fontId="0" fillId="0" borderId="0" xfId="0" applyNumberFormat="1"/>
    <xf numFmtId="0" fontId="8" fillId="0" borderId="0" xfId="0" applyFont="1"/>
    <xf numFmtId="0" fontId="0" fillId="0" borderId="0" xfId="0" applyFont="1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164" fontId="8" fillId="0" borderId="0" xfId="0" applyNumberFormat="1" applyFont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horizontal="center"/>
    </xf>
    <xf numFmtId="0" fontId="18" fillId="2" borderId="0" xfId="0" applyFont="1" applyFill="1"/>
    <xf numFmtId="0" fontId="18" fillId="4" borderId="0" xfId="0" applyFont="1" applyFill="1"/>
    <xf numFmtId="0" fontId="18" fillId="4" borderId="0" xfId="0" applyFont="1" applyFill="1" applyAlignment="1">
      <alignment wrapText="1"/>
    </xf>
    <xf numFmtId="0" fontId="12" fillId="0" borderId="0" xfId="0" applyFont="1" applyFill="1" applyAlignment="1">
      <alignment vertical="center" wrapText="1"/>
    </xf>
    <xf numFmtId="0" fontId="16" fillId="4" borderId="0" xfId="0" applyFont="1" applyFill="1" applyAlignment="1">
      <alignment vertical="center" wrapText="1"/>
    </xf>
    <xf numFmtId="0" fontId="16" fillId="4" borderId="0" xfId="0" applyFont="1" applyFill="1" applyAlignment="1">
      <alignment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 wrapText="1"/>
    </xf>
    <xf numFmtId="0" fontId="20" fillId="0" borderId="0" xfId="0" applyFont="1" applyFill="1" applyAlignment="1">
      <alignment vertical="center"/>
    </xf>
    <xf numFmtId="0" fontId="20" fillId="0" borderId="0" xfId="0" applyFont="1" applyFill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/>
    </xf>
    <xf numFmtId="0" fontId="23" fillId="0" borderId="0" xfId="1" applyFont="1" applyAlignment="1" applyProtection="1">
      <alignment vertical="center" wrapText="1"/>
    </xf>
    <xf numFmtId="0" fontId="20" fillId="2" borderId="0" xfId="0" applyFont="1" applyFill="1"/>
    <xf numFmtId="0" fontId="16" fillId="3" borderId="0" xfId="0" applyFont="1" applyFill="1"/>
    <xf numFmtId="0" fontId="18" fillId="3" borderId="0" xfId="0" applyFont="1" applyFill="1"/>
    <xf numFmtId="0" fontId="20" fillId="3" borderId="0" xfId="0" applyFont="1" applyFill="1"/>
    <xf numFmtId="0" fontId="12" fillId="0" borderId="0" xfId="0" applyFont="1" applyFill="1"/>
    <xf numFmtId="0" fontId="22" fillId="0" borderId="0" xfId="0" applyFont="1" applyFill="1"/>
    <xf numFmtId="0" fontId="12" fillId="0" borderId="0" xfId="0" applyFont="1" applyAlignment="1">
      <alignment horizontal="left" vertical="center" wrapText="1"/>
    </xf>
    <xf numFmtId="0" fontId="12" fillId="0" borderId="0" xfId="0" applyFont="1" applyFill="1" applyAlignment="1">
      <alignment horizontal="center" vertical="center"/>
    </xf>
    <xf numFmtId="3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center"/>
    </xf>
    <xf numFmtId="0" fontId="8" fillId="5" borderId="0" xfId="0" applyFont="1" applyFill="1"/>
    <xf numFmtId="0" fontId="12" fillId="0" borderId="0" xfId="0" applyFont="1" applyFill="1" applyAlignment="1">
      <alignment horizontal="center"/>
    </xf>
    <xf numFmtId="3" fontId="12" fillId="0" borderId="0" xfId="0" applyNumberFormat="1" applyFont="1" applyFill="1" applyAlignment="1">
      <alignment horizontal="center"/>
    </xf>
    <xf numFmtId="0" fontId="12" fillId="0" borderId="0" xfId="0" applyFont="1" applyAlignment="1">
      <alignment horizontal="center"/>
    </xf>
    <xf numFmtId="0" fontId="18" fillId="4" borderId="0" xfId="0" applyFont="1" applyFill="1" applyAlignment="1">
      <alignment horizontal="center"/>
    </xf>
    <xf numFmtId="166" fontId="12" fillId="0" borderId="0" xfId="0" applyNumberFormat="1" applyFont="1" applyFill="1" applyAlignment="1">
      <alignment horizontal="center" vertical="center"/>
    </xf>
    <xf numFmtId="3" fontId="12" fillId="0" borderId="0" xfId="0" applyNumberFormat="1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18" fillId="3" borderId="0" xfId="0" applyFont="1" applyFill="1" applyAlignment="1">
      <alignment horizontal="center"/>
    </xf>
    <xf numFmtId="0" fontId="24" fillId="4" borderId="0" xfId="0" applyFont="1" applyFill="1" applyAlignment="1">
      <alignment wrapText="1"/>
    </xf>
    <xf numFmtId="0" fontId="24" fillId="4" borderId="0" xfId="0" applyFont="1" applyFill="1" applyAlignment="1">
      <alignment vertical="center" wrapText="1"/>
    </xf>
    <xf numFmtId="0" fontId="21" fillId="6" borderId="0" xfId="0" applyFont="1" applyFill="1" applyAlignment="1">
      <alignment vertical="center" wrapText="1"/>
    </xf>
    <xf numFmtId="0" fontId="21" fillId="6" borderId="0" xfId="0" applyFont="1" applyFill="1" applyAlignment="1">
      <alignment vertical="center"/>
    </xf>
    <xf numFmtId="0" fontId="21" fillId="6" borderId="0" xfId="0" applyFont="1" applyFill="1" applyAlignment="1">
      <alignment horizontal="center" vertical="center"/>
    </xf>
    <xf numFmtId="3" fontId="8" fillId="5" borderId="0" xfId="0" applyNumberFormat="1" applyFont="1" applyFill="1" applyAlignment="1">
      <alignment horizontal="center"/>
    </xf>
    <xf numFmtId="3" fontId="16" fillId="0" borderId="0" xfId="0" applyNumberFormat="1" applyFont="1" applyAlignment="1">
      <alignment horizontal="center"/>
    </xf>
    <xf numFmtId="3" fontId="22" fillId="0" borderId="0" xfId="0" applyNumberFormat="1" applyFont="1" applyFill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2" applyFont="1"/>
    <xf numFmtId="0" fontId="12" fillId="0" borderId="0" xfId="2" applyFont="1"/>
    <xf numFmtId="0" fontId="12" fillId="0" borderId="0" xfId="2" applyFont="1" applyAlignment="1"/>
    <xf numFmtId="3" fontId="12" fillId="0" borderId="0" xfId="2" applyNumberFormat="1" applyFont="1"/>
    <xf numFmtId="0" fontId="12" fillId="0" borderId="1" xfId="2" applyFont="1" applyBorder="1" applyAlignment="1">
      <alignment horizontal="center"/>
    </xf>
    <xf numFmtId="1" fontId="12" fillId="0" borderId="1" xfId="2" applyNumberFormat="1" applyFont="1" applyBorder="1" applyAlignment="1">
      <alignment horizontal="center"/>
    </xf>
    <xf numFmtId="3" fontId="12" fillId="0" borderId="1" xfId="2" applyNumberFormat="1" applyFont="1" applyBorder="1" applyAlignment="1">
      <alignment horizontal="center"/>
    </xf>
    <xf numFmtId="0" fontId="12" fillId="0" borderId="0" xfId="2" applyFont="1" applyBorder="1"/>
    <xf numFmtId="0" fontId="12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1" fontId="12" fillId="0" borderId="0" xfId="2" applyNumberFormat="1" applyFont="1" applyBorder="1" applyAlignment="1">
      <alignment horizontal="center"/>
    </xf>
    <xf numFmtId="3" fontId="12" fillId="0" borderId="0" xfId="2" applyNumberFormat="1" applyFont="1" applyBorder="1" applyAlignment="1">
      <alignment horizontal="center"/>
    </xf>
    <xf numFmtId="1" fontId="12" fillId="0" borderId="0" xfId="2" applyNumberFormat="1" applyFont="1"/>
    <xf numFmtId="3" fontId="12" fillId="0" borderId="1" xfId="2" applyNumberFormat="1" applyFont="1" applyFill="1" applyBorder="1" applyAlignment="1">
      <alignment horizontal="center"/>
    </xf>
    <xf numFmtId="1" fontId="12" fillId="0" borderId="1" xfId="2" applyNumberFormat="1" applyFont="1" applyFill="1" applyBorder="1" applyAlignment="1">
      <alignment horizontal="center"/>
    </xf>
    <xf numFmtId="3" fontId="12" fillId="0" borderId="0" xfId="2" applyNumberFormat="1" applyFont="1" applyFill="1"/>
    <xf numFmtId="0" fontId="16" fillId="0" borderId="1" xfId="2" applyFont="1" applyBorder="1" applyAlignment="1">
      <alignment horizontal="center" wrapText="1"/>
    </xf>
    <xf numFmtId="0" fontId="24" fillId="7" borderId="1" xfId="2" applyFont="1" applyFill="1" applyBorder="1" applyAlignment="1">
      <alignment horizontal="center" wrapText="1"/>
    </xf>
    <xf numFmtId="0" fontId="24" fillId="7" borderId="1" xfId="2" applyFont="1" applyFill="1" applyBorder="1" applyAlignment="1">
      <alignment wrapText="1"/>
    </xf>
    <xf numFmtId="3" fontId="16" fillId="0" borderId="1" xfId="2" applyNumberFormat="1" applyFont="1" applyFill="1" applyBorder="1" applyAlignment="1">
      <alignment horizontal="center"/>
    </xf>
    <xf numFmtId="165" fontId="16" fillId="0" borderId="0" xfId="0" applyNumberFormat="1" applyFont="1" applyFill="1" applyAlignment="1">
      <alignment horizontal="center" vertical="center"/>
    </xf>
    <xf numFmtId="168" fontId="16" fillId="0" borderId="0" xfId="0" applyNumberFormat="1" applyFont="1" applyFill="1" applyAlignment="1">
      <alignment horizontal="center" vertical="center"/>
    </xf>
    <xf numFmtId="1" fontId="12" fillId="0" borderId="0" xfId="0" applyNumberFormat="1" applyFont="1" applyFill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3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center"/>
    </xf>
    <xf numFmtId="0" fontId="24" fillId="7" borderId="1" xfId="2" applyFont="1" applyFill="1" applyBorder="1" applyAlignment="1">
      <alignment horizontal="center"/>
    </xf>
    <xf numFmtId="0" fontId="24" fillId="7" borderId="1" xfId="2" applyFont="1" applyFill="1" applyBorder="1" applyAlignment="1">
      <alignment horizontal="center" wrapText="1"/>
    </xf>
    <xf numFmtId="0" fontId="24" fillId="7" borderId="1" xfId="2" applyFont="1" applyFill="1" applyBorder="1" applyAlignment="1">
      <alignment horizontal="center" vertical="center" wrapText="1"/>
    </xf>
    <xf numFmtId="0" fontId="24" fillId="7" borderId="4" xfId="2" applyFont="1" applyFill="1" applyBorder="1" applyAlignment="1">
      <alignment horizontal="center" vertical="center" wrapText="1"/>
    </xf>
    <xf numFmtId="0" fontId="24" fillId="7" borderId="5" xfId="2" applyFont="1" applyFill="1" applyBorder="1" applyAlignment="1">
      <alignment horizontal="center" vertical="center" wrapText="1"/>
    </xf>
    <xf numFmtId="0" fontId="24" fillId="7" borderId="6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center"/>
    </xf>
  </cellXfs>
  <cellStyles count="18">
    <cellStyle name="Amount-Lock" xfId="3"/>
    <cellStyle name="Comma 2" xfId="4"/>
    <cellStyle name="Currency 2" xfId="5"/>
    <cellStyle name="Des" xfId="6"/>
    <cellStyle name="Des-Bold" xfId="7"/>
    <cellStyle name="Des-BU" xfId="8"/>
    <cellStyle name="dotted underline" xfId="9"/>
    <cellStyle name="Hyperlink" xfId="1" builtinId="8"/>
    <cellStyle name="Item" xfId="10"/>
    <cellStyle name="Item-Bold" xfId="11"/>
    <cellStyle name="Normal" xfId="0" builtinId="0"/>
    <cellStyle name="Normal 2" xfId="12"/>
    <cellStyle name="Normal 3" xfId="13"/>
    <cellStyle name="Normal 4" xfId="14"/>
    <cellStyle name="Normal 5" xfId="2"/>
    <cellStyle name="Percent 2" xfId="15"/>
    <cellStyle name="Sum Cost - Bold" xfId="16"/>
    <cellStyle name="sum-text Bold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hualim/AppData/Local/Microsoft/Windows/Temporary%20Internet%20Files/OLKF2D1/Sapi%20Palm%20Oil%20Mill%20Calculation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 Assumptions - Inputs"/>
      <sheetName val="2. Baseline Emissions AMS-IA"/>
      <sheetName val="3. Baseline Emissions AMS-III.H"/>
      <sheetName val="4. Project Emissions AMS-III.H"/>
      <sheetName val="5. Project Emissions AMS-ID"/>
      <sheetName val="6. ER Calculation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biomass.ucdavis.edu/materials/calculator/EconCalculator_Biogas.xls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R25"/>
  <sheetViews>
    <sheetView tabSelected="1" zoomScale="80" zoomScaleNormal="80" workbookViewId="0"/>
  </sheetViews>
  <sheetFormatPr defaultRowHeight="15"/>
  <cols>
    <col min="1" max="1" width="3" style="72" customWidth="1"/>
    <col min="2" max="2" width="35.85546875" style="72" customWidth="1"/>
    <col min="3" max="3" width="7.140625" style="72" customWidth="1"/>
    <col min="4" max="4" width="7" style="72" customWidth="1"/>
    <col min="5" max="5" width="6.42578125" style="72" customWidth="1"/>
    <col min="6" max="6" width="6.5703125" style="72" customWidth="1"/>
    <col min="7" max="7" width="10.85546875" style="72" customWidth="1"/>
    <col min="8" max="8" width="14.28515625" style="72" customWidth="1"/>
    <col min="9" max="9" width="12.140625" style="72" customWidth="1"/>
    <col min="10" max="11" width="8.42578125" style="72" customWidth="1"/>
    <col min="12" max="12" width="15" style="72" customWidth="1"/>
    <col min="13" max="13" width="21" style="72" customWidth="1"/>
    <col min="14" max="14" width="19.28515625" style="72" customWidth="1"/>
    <col min="15" max="15" width="25.85546875" style="72" customWidth="1"/>
    <col min="16" max="16" width="17.7109375" style="72" customWidth="1"/>
    <col min="17" max="17" width="17.140625" style="72" customWidth="1"/>
    <col min="18" max="18" width="28.28515625" style="72" customWidth="1"/>
    <col min="19" max="16384" width="9.140625" style="72"/>
  </cols>
  <sheetData>
    <row r="2" spans="2:18">
      <c r="B2" s="71" t="s">
        <v>143</v>
      </c>
    </row>
    <row r="3" spans="2:18" ht="27" customHeight="1">
      <c r="F3" s="99" t="s">
        <v>29</v>
      </c>
      <c r="G3" s="102" t="s">
        <v>30</v>
      </c>
      <c r="H3" s="103"/>
      <c r="I3" s="103"/>
      <c r="J3" s="103"/>
      <c r="K3" s="104"/>
      <c r="L3" s="100" t="s">
        <v>33</v>
      </c>
      <c r="M3" s="100"/>
      <c r="N3" s="101" t="s">
        <v>35</v>
      </c>
      <c r="O3" s="101" t="s">
        <v>34</v>
      </c>
      <c r="Q3" s="73"/>
      <c r="R3" s="73"/>
    </row>
    <row r="4" spans="2:18" ht="30">
      <c r="B4" s="71" t="s">
        <v>236</v>
      </c>
      <c r="C4" s="72" t="s">
        <v>27</v>
      </c>
      <c r="F4" s="99"/>
      <c r="G4" s="88" t="s">
        <v>31</v>
      </c>
      <c r="H4" s="88" t="s">
        <v>58</v>
      </c>
      <c r="I4" s="88" t="s">
        <v>61</v>
      </c>
      <c r="J4" s="89" t="s">
        <v>64</v>
      </c>
      <c r="K4" s="88" t="s">
        <v>21</v>
      </c>
      <c r="L4" s="88" t="s">
        <v>31</v>
      </c>
      <c r="M4" s="88" t="s">
        <v>32</v>
      </c>
      <c r="N4" s="101"/>
      <c r="O4" s="101"/>
    </row>
    <row r="5" spans="2:18" ht="18">
      <c r="B5" s="72" t="s">
        <v>237</v>
      </c>
      <c r="C5" s="72" t="s">
        <v>144</v>
      </c>
      <c r="D5" s="74">
        <f>ROUND('I-C'!E16,0)</f>
        <v>1168</v>
      </c>
      <c r="F5" s="75">
        <v>1</v>
      </c>
      <c r="G5" s="76">
        <v>0</v>
      </c>
      <c r="H5" s="85">
        <f>$D$11</f>
        <v>47</v>
      </c>
      <c r="I5" s="77">
        <f t="shared" ref="I5:I11" si="0">$D$13</f>
        <v>2003</v>
      </c>
      <c r="J5" s="77">
        <f t="shared" ref="J5:J11" si="1">ROUND($D$14,0)</f>
        <v>4900</v>
      </c>
      <c r="K5" s="77">
        <f>ROUND($D$15,0)</f>
        <v>2985</v>
      </c>
      <c r="L5" s="77">
        <v>0</v>
      </c>
      <c r="M5" s="77">
        <f t="shared" ref="M5:M11" si="2">$D$6</f>
        <v>33036</v>
      </c>
      <c r="N5" s="77">
        <f t="shared" ref="N5:N11" si="3">$D$19+$D$20</f>
        <v>0</v>
      </c>
      <c r="O5" s="84">
        <f>SUM(L5:M5)-SUM(G5:K5)-N5</f>
        <v>23101</v>
      </c>
    </row>
    <row r="6" spans="2:18" ht="18">
      <c r="B6" s="72" t="s">
        <v>238</v>
      </c>
      <c r="C6" s="72" t="s">
        <v>144</v>
      </c>
      <c r="D6" s="74">
        <f>ROUND('III-H'!E40,0)</f>
        <v>33036</v>
      </c>
      <c r="F6" s="75">
        <v>2</v>
      </c>
      <c r="G6" s="76">
        <v>0</v>
      </c>
      <c r="H6" s="76">
        <f>D$12</f>
        <v>35.254569310880129</v>
      </c>
      <c r="I6" s="77">
        <f t="shared" si="0"/>
        <v>2003</v>
      </c>
      <c r="J6" s="77">
        <f t="shared" si="1"/>
        <v>4900</v>
      </c>
      <c r="K6" s="77">
        <f t="shared" ref="K6:K11" si="4">ROUND($D$16,0)</f>
        <v>2847</v>
      </c>
      <c r="L6" s="77">
        <f t="shared" ref="L6:L11" si="5">$D$5</f>
        <v>1168</v>
      </c>
      <c r="M6" s="77">
        <f t="shared" si="2"/>
        <v>33036</v>
      </c>
      <c r="N6" s="77">
        <f t="shared" si="3"/>
        <v>0</v>
      </c>
      <c r="O6" s="84">
        <f t="shared" ref="O6:O11" si="6">SUM(L6:M6)-SUM(G6:K6)-N6</f>
        <v>24418.74543068912</v>
      </c>
    </row>
    <row r="7" spans="2:18">
      <c r="D7" s="74"/>
      <c r="F7" s="75">
        <v>3</v>
      </c>
      <c r="G7" s="76">
        <v>0</v>
      </c>
      <c r="H7" s="76">
        <f t="shared" ref="H7:H11" si="7">D$12</f>
        <v>35.254569310880129</v>
      </c>
      <c r="I7" s="77">
        <f t="shared" si="0"/>
        <v>2003</v>
      </c>
      <c r="J7" s="77">
        <f t="shared" si="1"/>
        <v>4900</v>
      </c>
      <c r="K7" s="77">
        <f t="shared" si="4"/>
        <v>2847</v>
      </c>
      <c r="L7" s="77">
        <f t="shared" si="5"/>
        <v>1168</v>
      </c>
      <c r="M7" s="77">
        <f t="shared" si="2"/>
        <v>33036</v>
      </c>
      <c r="N7" s="77">
        <f t="shared" si="3"/>
        <v>0</v>
      </c>
      <c r="O7" s="84">
        <f t="shared" si="6"/>
        <v>24418.74543068912</v>
      </c>
    </row>
    <row r="8" spans="2:18">
      <c r="D8" s="74"/>
      <c r="F8" s="75">
        <v>4</v>
      </c>
      <c r="G8" s="76">
        <v>0</v>
      </c>
      <c r="H8" s="76">
        <f t="shared" si="7"/>
        <v>35.254569310880129</v>
      </c>
      <c r="I8" s="77">
        <f t="shared" si="0"/>
        <v>2003</v>
      </c>
      <c r="J8" s="77">
        <f t="shared" si="1"/>
        <v>4900</v>
      </c>
      <c r="K8" s="77">
        <f t="shared" si="4"/>
        <v>2847</v>
      </c>
      <c r="L8" s="77">
        <f t="shared" si="5"/>
        <v>1168</v>
      </c>
      <c r="M8" s="77">
        <f t="shared" si="2"/>
        <v>33036</v>
      </c>
      <c r="N8" s="77">
        <f t="shared" si="3"/>
        <v>0</v>
      </c>
      <c r="O8" s="84">
        <f t="shared" si="6"/>
        <v>24418.74543068912</v>
      </c>
    </row>
    <row r="9" spans="2:18">
      <c r="B9" s="71" t="s">
        <v>239</v>
      </c>
      <c r="D9" s="74"/>
      <c r="F9" s="75">
        <v>5</v>
      </c>
      <c r="G9" s="76">
        <v>0</v>
      </c>
      <c r="H9" s="76">
        <f t="shared" si="7"/>
        <v>35.254569310880129</v>
      </c>
      <c r="I9" s="77">
        <f t="shared" si="0"/>
        <v>2003</v>
      </c>
      <c r="J9" s="77">
        <f t="shared" si="1"/>
        <v>4900</v>
      </c>
      <c r="K9" s="77">
        <f t="shared" si="4"/>
        <v>2847</v>
      </c>
      <c r="L9" s="77">
        <f t="shared" si="5"/>
        <v>1168</v>
      </c>
      <c r="M9" s="77">
        <f t="shared" si="2"/>
        <v>33036</v>
      </c>
      <c r="N9" s="77">
        <f t="shared" si="3"/>
        <v>0</v>
      </c>
      <c r="O9" s="84">
        <f t="shared" si="6"/>
        <v>24418.74543068912</v>
      </c>
    </row>
    <row r="10" spans="2:18" ht="18">
      <c r="B10" s="78" t="s">
        <v>237</v>
      </c>
      <c r="C10" s="72" t="s">
        <v>144</v>
      </c>
      <c r="D10" s="74">
        <f>ROUND('I-C'!E17,0)</f>
        <v>0</v>
      </c>
      <c r="F10" s="75">
        <v>6</v>
      </c>
      <c r="G10" s="76">
        <v>0</v>
      </c>
      <c r="H10" s="76">
        <f t="shared" si="7"/>
        <v>35.254569310880129</v>
      </c>
      <c r="I10" s="77">
        <f t="shared" si="0"/>
        <v>2003</v>
      </c>
      <c r="J10" s="77">
        <f t="shared" si="1"/>
        <v>4900</v>
      </c>
      <c r="K10" s="77">
        <f t="shared" si="4"/>
        <v>2847</v>
      </c>
      <c r="L10" s="77">
        <f t="shared" si="5"/>
        <v>1168</v>
      </c>
      <c r="M10" s="77">
        <f t="shared" si="2"/>
        <v>33036</v>
      </c>
      <c r="N10" s="77">
        <f t="shared" si="3"/>
        <v>0</v>
      </c>
      <c r="O10" s="84">
        <f t="shared" si="6"/>
        <v>24418.74543068912</v>
      </c>
    </row>
    <row r="11" spans="2:18" ht="18">
      <c r="B11" s="79" t="s">
        <v>240</v>
      </c>
      <c r="C11" s="72" t="s">
        <v>144</v>
      </c>
      <c r="D11" s="86">
        <f>ROUND('III-H'!E59,0)</f>
        <v>47</v>
      </c>
      <c r="F11" s="75">
        <v>7</v>
      </c>
      <c r="G11" s="76">
        <v>0</v>
      </c>
      <c r="H11" s="76">
        <f t="shared" si="7"/>
        <v>35.254569310880129</v>
      </c>
      <c r="I11" s="77">
        <f t="shared" si="0"/>
        <v>2003</v>
      </c>
      <c r="J11" s="77">
        <f t="shared" si="1"/>
        <v>4900</v>
      </c>
      <c r="K11" s="77">
        <f t="shared" si="4"/>
        <v>2847</v>
      </c>
      <c r="L11" s="77">
        <f t="shared" si="5"/>
        <v>1168</v>
      </c>
      <c r="M11" s="77">
        <f t="shared" si="2"/>
        <v>33036</v>
      </c>
      <c r="N11" s="77">
        <f t="shared" si="3"/>
        <v>0</v>
      </c>
      <c r="O11" s="84">
        <f t="shared" si="6"/>
        <v>24418.74543068912</v>
      </c>
    </row>
    <row r="12" spans="2:18" ht="18">
      <c r="B12" s="72" t="s">
        <v>240</v>
      </c>
      <c r="C12" s="72" t="s">
        <v>144</v>
      </c>
      <c r="D12" s="83">
        <f>'III-H'!E60</f>
        <v>35.254569310880129</v>
      </c>
      <c r="F12" s="75" t="s">
        <v>36</v>
      </c>
      <c r="G12" s="76">
        <f t="shared" ref="G12:O12" si="8">SUM(G5:G11)</f>
        <v>0</v>
      </c>
      <c r="H12" s="85">
        <f t="shared" si="8"/>
        <v>258.52741586528077</v>
      </c>
      <c r="I12" s="77">
        <f t="shared" si="8"/>
        <v>14021</v>
      </c>
      <c r="J12" s="77">
        <f t="shared" si="8"/>
        <v>34300</v>
      </c>
      <c r="K12" s="77">
        <f t="shared" si="8"/>
        <v>20067</v>
      </c>
      <c r="L12" s="77">
        <f t="shared" si="8"/>
        <v>7008</v>
      </c>
      <c r="M12" s="77">
        <f t="shared" si="8"/>
        <v>231252</v>
      </c>
      <c r="N12" s="77">
        <f t="shared" si="8"/>
        <v>0</v>
      </c>
      <c r="O12" s="84">
        <f t="shared" si="8"/>
        <v>169613.47258413472</v>
      </c>
    </row>
    <row r="13" spans="2:18" ht="33">
      <c r="B13" s="79" t="s">
        <v>241</v>
      </c>
      <c r="C13" s="72" t="s">
        <v>144</v>
      </c>
      <c r="D13" s="74">
        <f>ROUND('III-H'!E61,0)</f>
        <v>2003</v>
      </c>
      <c r="F13" s="80"/>
      <c r="G13" s="81"/>
      <c r="H13" s="81"/>
      <c r="I13" s="82"/>
      <c r="J13" s="82"/>
      <c r="K13" s="82"/>
      <c r="L13" s="82"/>
      <c r="M13" s="82"/>
      <c r="N13" s="87" t="s">
        <v>262</v>
      </c>
      <c r="O13" s="90">
        <f>AVERAGE(O5:O11)</f>
        <v>24230.496083447819</v>
      </c>
    </row>
    <row r="14" spans="2:18" ht="18">
      <c r="B14" s="72" t="s">
        <v>63</v>
      </c>
      <c r="C14" s="72" t="s">
        <v>144</v>
      </c>
      <c r="D14" s="74">
        <f>ROUND('III-H'!E62,0)</f>
        <v>4900</v>
      </c>
      <c r="F14" s="80"/>
      <c r="G14" s="81"/>
      <c r="H14" s="81"/>
      <c r="I14" s="82"/>
      <c r="J14" s="82"/>
      <c r="K14" s="82"/>
      <c r="L14" s="82"/>
      <c r="M14" s="82"/>
      <c r="N14" s="82"/>
      <c r="O14" s="82"/>
    </row>
    <row r="15" spans="2:18" ht="18">
      <c r="B15" s="72" t="s">
        <v>245</v>
      </c>
      <c r="C15" s="72" t="s">
        <v>144</v>
      </c>
      <c r="D15" s="74">
        <f>'III-H'!E63</f>
        <v>2985.2428152203997</v>
      </c>
      <c r="F15" s="80"/>
      <c r="G15" s="81"/>
      <c r="H15" s="81"/>
      <c r="I15" s="82"/>
      <c r="J15" s="82"/>
      <c r="K15" s="82"/>
      <c r="L15" s="82"/>
      <c r="M15" s="82"/>
      <c r="N15" s="82"/>
      <c r="O15" s="82"/>
    </row>
    <row r="16" spans="2:18" ht="18">
      <c r="B16" s="72" t="s">
        <v>246</v>
      </c>
      <c r="C16" s="72" t="s">
        <v>144</v>
      </c>
      <c r="D16" s="74">
        <f>'III-H'!E64</f>
        <v>2846.6574094650041</v>
      </c>
      <c r="F16" s="80"/>
      <c r="G16" s="81"/>
      <c r="H16" s="81"/>
      <c r="I16" s="82"/>
      <c r="J16" s="82"/>
      <c r="K16" s="82"/>
      <c r="L16" s="82"/>
      <c r="M16" s="82"/>
      <c r="N16" s="82"/>
      <c r="O16" s="82"/>
    </row>
    <row r="17" spans="2:15">
      <c r="D17" s="74"/>
      <c r="F17" s="80"/>
      <c r="G17" s="81"/>
      <c r="H17" s="81"/>
      <c r="I17" s="82"/>
      <c r="J17" s="82"/>
      <c r="K17" s="82"/>
      <c r="L17" s="82"/>
      <c r="M17" s="82"/>
      <c r="N17" s="82"/>
      <c r="O17" s="82"/>
    </row>
    <row r="18" spans="2:15">
      <c r="B18" s="71" t="s">
        <v>247</v>
      </c>
      <c r="D18" s="74"/>
      <c r="F18" s="80"/>
      <c r="G18" s="81"/>
      <c r="H18" s="81"/>
      <c r="I18" s="82"/>
      <c r="J18" s="82"/>
      <c r="K18" s="82"/>
      <c r="L18" s="82"/>
      <c r="M18" s="82"/>
      <c r="N18" s="82"/>
      <c r="O18" s="82"/>
    </row>
    <row r="19" spans="2:15" ht="18">
      <c r="B19" s="72" t="s">
        <v>25</v>
      </c>
      <c r="C19" s="72" t="s">
        <v>144</v>
      </c>
      <c r="D19" s="74">
        <f>ROUND('I-C'!E18,0)</f>
        <v>0</v>
      </c>
      <c r="F19" s="80"/>
      <c r="G19" s="81"/>
      <c r="H19" s="81"/>
      <c r="I19" s="82"/>
      <c r="J19" s="82"/>
      <c r="K19" s="82"/>
      <c r="L19" s="82"/>
      <c r="M19" s="82"/>
      <c r="N19" s="82"/>
      <c r="O19" s="82"/>
    </row>
    <row r="20" spans="2:15" ht="18">
      <c r="B20" s="72" t="s">
        <v>26</v>
      </c>
      <c r="C20" s="72" t="s">
        <v>144</v>
      </c>
      <c r="D20" s="74">
        <f>ROUND('III-H'!E68,0)</f>
        <v>0</v>
      </c>
      <c r="F20" s="80"/>
      <c r="G20" s="81"/>
      <c r="H20" s="81"/>
      <c r="I20" s="82"/>
      <c r="J20" s="82"/>
      <c r="K20" s="82"/>
      <c r="L20" s="82"/>
      <c r="M20" s="82"/>
      <c r="N20" s="82"/>
      <c r="O20" s="82"/>
    </row>
    <row r="21" spans="2:15">
      <c r="F21" s="80"/>
      <c r="G21" s="81"/>
      <c r="H21" s="81"/>
      <c r="I21" s="82"/>
      <c r="J21" s="82"/>
      <c r="K21" s="82"/>
      <c r="L21" s="82"/>
      <c r="M21" s="82"/>
      <c r="N21" s="82"/>
      <c r="O21" s="82"/>
    </row>
    <row r="22" spans="2:15">
      <c r="F22" s="80"/>
      <c r="G22" s="81"/>
      <c r="H22" s="81"/>
      <c r="I22" s="82"/>
      <c r="J22" s="82"/>
      <c r="K22" s="82"/>
      <c r="L22" s="82"/>
      <c r="M22" s="82"/>
      <c r="N22" s="82"/>
      <c r="O22" s="82"/>
    </row>
    <row r="23" spans="2:15">
      <c r="F23" s="80"/>
      <c r="G23" s="81"/>
      <c r="H23" s="81"/>
      <c r="I23" s="82"/>
      <c r="J23" s="82"/>
      <c r="K23" s="82"/>
      <c r="L23" s="82"/>
      <c r="M23" s="82"/>
      <c r="N23" s="82"/>
      <c r="O23" s="82"/>
    </row>
    <row r="24" spans="2:15">
      <c r="F24" s="80"/>
      <c r="G24" s="81"/>
      <c r="H24" s="81"/>
      <c r="I24" s="82"/>
      <c r="J24" s="82"/>
      <c r="K24" s="82"/>
      <c r="L24" s="82"/>
      <c r="M24" s="82"/>
      <c r="N24" s="82"/>
      <c r="O24" s="82"/>
    </row>
    <row r="25" spans="2:15">
      <c r="F25" s="80"/>
      <c r="G25" s="81"/>
      <c r="H25" s="81"/>
      <c r="I25" s="82"/>
      <c r="J25" s="82"/>
      <c r="K25" s="82"/>
      <c r="L25" s="82"/>
      <c r="M25" s="82"/>
      <c r="N25" s="82"/>
      <c r="O25" s="82"/>
    </row>
  </sheetData>
  <mergeCells count="5">
    <mergeCell ref="F3:F4"/>
    <mergeCell ref="L3:M3"/>
    <mergeCell ref="N3:N4"/>
    <mergeCell ref="O3:O4"/>
    <mergeCell ref="G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F37"/>
  <sheetViews>
    <sheetView zoomScale="80" zoomScaleNormal="80" workbookViewId="0"/>
  </sheetViews>
  <sheetFormatPr defaultRowHeight="15"/>
  <cols>
    <col min="1" max="1" width="4.28515625" style="19" customWidth="1"/>
    <col min="2" max="2" width="46.85546875" style="19" customWidth="1"/>
    <col min="3" max="3" width="18" style="19" customWidth="1"/>
    <col min="4" max="4" width="16" style="19" customWidth="1"/>
    <col min="5" max="5" width="18" style="50" customWidth="1"/>
    <col min="6" max="6" width="61.7109375" style="19" customWidth="1"/>
    <col min="7" max="16384" width="9.140625" style="19"/>
  </cols>
  <sheetData>
    <row r="2" spans="2:6" s="37" customFormat="1">
      <c r="B2" s="22" t="s">
        <v>6</v>
      </c>
      <c r="C2" s="22" t="s">
        <v>7</v>
      </c>
      <c r="D2" s="22" t="s">
        <v>8</v>
      </c>
      <c r="E2" s="22" t="s">
        <v>10</v>
      </c>
      <c r="F2" s="22" t="s">
        <v>5</v>
      </c>
    </row>
    <row r="3" spans="2:6" s="40" customFormat="1">
      <c r="B3" s="38" t="s">
        <v>38</v>
      </c>
      <c r="C3" s="39"/>
      <c r="D3" s="39"/>
      <c r="E3" s="60"/>
      <c r="F3" s="39"/>
    </row>
    <row r="4" spans="2:6" s="41" customFormat="1" ht="18">
      <c r="B4" s="41" t="s">
        <v>75</v>
      </c>
      <c r="C4" s="41" t="s">
        <v>187</v>
      </c>
      <c r="D4" s="41" t="s">
        <v>79</v>
      </c>
      <c r="E4" s="48">
        <v>0.5</v>
      </c>
      <c r="F4" s="41" t="s">
        <v>227</v>
      </c>
    </row>
    <row r="5" spans="2:6" s="41" customFormat="1" ht="18">
      <c r="B5" s="41" t="s">
        <v>234</v>
      </c>
      <c r="C5" s="41" t="s">
        <v>188</v>
      </c>
      <c r="D5" s="41" t="s">
        <v>66</v>
      </c>
      <c r="E5" s="49">
        <f>365*24</f>
        <v>8760</v>
      </c>
      <c r="F5" s="41" t="s">
        <v>228</v>
      </c>
    </row>
    <row r="6" spans="2:6" s="41" customFormat="1" ht="18">
      <c r="B6" s="41" t="s">
        <v>78</v>
      </c>
      <c r="C6" s="41" t="s">
        <v>156</v>
      </c>
      <c r="D6" s="41" t="s">
        <v>76</v>
      </c>
      <c r="E6" s="49">
        <f>E4*E5</f>
        <v>4380</v>
      </c>
      <c r="F6" s="41" t="s">
        <v>3</v>
      </c>
    </row>
    <row r="7" spans="2:6" s="41" customFormat="1">
      <c r="B7" s="41" t="s">
        <v>263</v>
      </c>
      <c r="D7" s="41" t="s">
        <v>80</v>
      </c>
      <c r="E7" s="49">
        <f>(E6*3.6)</f>
        <v>15768</v>
      </c>
      <c r="F7" s="41" t="s">
        <v>3</v>
      </c>
    </row>
    <row r="8" spans="2:6" ht="18">
      <c r="B8" s="19" t="s">
        <v>9</v>
      </c>
      <c r="C8" s="19" t="s">
        <v>173</v>
      </c>
      <c r="D8" s="19" t="s">
        <v>174</v>
      </c>
      <c r="E8" s="48">
        <v>7.4099999999999999E-2</v>
      </c>
      <c r="F8" s="19" t="s">
        <v>253</v>
      </c>
    </row>
    <row r="9" spans="2:6" ht="18">
      <c r="B9" s="19" t="s">
        <v>87</v>
      </c>
      <c r="C9" s="19" t="s">
        <v>190</v>
      </c>
      <c r="D9" s="19" t="s">
        <v>48</v>
      </c>
      <c r="E9" s="48">
        <v>100</v>
      </c>
      <c r="F9" s="19" t="s">
        <v>200</v>
      </c>
    </row>
    <row r="10" spans="2:6" s="39" customFormat="1">
      <c r="B10" s="38" t="s">
        <v>39</v>
      </c>
      <c r="E10" s="60"/>
    </row>
    <row r="11" spans="2:6" ht="18">
      <c r="B11" s="42" t="s">
        <v>68</v>
      </c>
      <c r="C11" s="19" t="s">
        <v>170</v>
      </c>
      <c r="D11" s="19" t="s">
        <v>69</v>
      </c>
      <c r="E11" s="48"/>
      <c r="F11" s="41" t="s">
        <v>235</v>
      </c>
    </row>
    <row r="12" spans="2:6" s="10" customFormat="1" ht="18">
      <c r="B12" s="35" t="s">
        <v>70</v>
      </c>
      <c r="C12" s="10" t="s">
        <v>171</v>
      </c>
      <c r="D12" s="35" t="s">
        <v>54</v>
      </c>
      <c r="E12" s="59">
        <v>0.84099999999999997</v>
      </c>
      <c r="F12" s="34" t="s">
        <v>104</v>
      </c>
    </row>
    <row r="13" spans="2:6">
      <c r="B13" s="42" t="s">
        <v>40</v>
      </c>
      <c r="C13" s="42" t="s">
        <v>226</v>
      </c>
      <c r="D13" s="19" t="s">
        <v>0</v>
      </c>
      <c r="E13" s="48">
        <f>(E11*E12)/1000</f>
        <v>0</v>
      </c>
    </row>
    <row r="14" spans="2:6">
      <c r="B14" s="19" t="s">
        <v>41</v>
      </c>
      <c r="C14" s="42" t="s">
        <v>226</v>
      </c>
      <c r="D14" s="19" t="s">
        <v>198</v>
      </c>
      <c r="E14" s="48">
        <v>43.3</v>
      </c>
      <c r="F14" s="19" t="s">
        <v>106</v>
      </c>
    </row>
    <row r="15" spans="2:6">
      <c r="B15" s="18"/>
    </row>
    <row r="16" spans="2:6" ht="18">
      <c r="B16" s="18" t="s">
        <v>24</v>
      </c>
      <c r="C16" s="19" t="s">
        <v>42</v>
      </c>
      <c r="D16" s="19" t="s">
        <v>144</v>
      </c>
      <c r="E16" s="67">
        <f>(E7/(E9/100))*E8</f>
        <v>1168.4087999999999</v>
      </c>
    </row>
    <row r="17" spans="2:5" ht="18">
      <c r="B17" s="18" t="s">
        <v>43</v>
      </c>
      <c r="C17" s="19" t="s">
        <v>28</v>
      </c>
      <c r="D17" s="19" t="s">
        <v>144</v>
      </c>
      <c r="E17" s="50">
        <f>E13*E14*E8</f>
        <v>0</v>
      </c>
    </row>
    <row r="18" spans="2:5" ht="18">
      <c r="B18" s="18" t="s">
        <v>44</v>
      </c>
      <c r="C18" s="19" t="s">
        <v>45</v>
      </c>
      <c r="D18" s="19" t="s">
        <v>144</v>
      </c>
      <c r="E18" s="50">
        <v>0</v>
      </c>
    </row>
    <row r="37" spans="2:2" ht="17.25">
      <c r="B37" s="19" t="s">
        <v>189</v>
      </c>
    </row>
  </sheetData>
  <phoneticPr fontId="4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73"/>
  <sheetViews>
    <sheetView zoomScale="80" zoomScaleNormal="80" workbookViewId="0"/>
  </sheetViews>
  <sheetFormatPr defaultRowHeight="15"/>
  <cols>
    <col min="1" max="1" width="4.7109375" style="10" customWidth="1"/>
    <col min="2" max="2" width="89" style="9" customWidth="1"/>
    <col min="3" max="3" width="18.28515625" style="10" customWidth="1"/>
    <col min="4" max="4" width="16.28515625" style="10" customWidth="1"/>
    <col min="5" max="5" width="10.5703125" style="56" bestFit="1" customWidth="1"/>
    <col min="6" max="6" width="61.28515625" style="9" customWidth="1"/>
    <col min="7" max="7" width="46" style="10" customWidth="1"/>
    <col min="8" max="8" width="9.140625" style="10"/>
    <col min="9" max="9" width="17.85546875" style="10" customWidth="1"/>
    <col min="10" max="10" width="57.85546875" style="10" customWidth="1"/>
    <col min="11" max="16384" width="9.140625" style="10"/>
  </cols>
  <sheetData>
    <row r="1" spans="1:7" s="19" customFormat="1">
      <c r="B1" s="20"/>
      <c r="E1" s="50"/>
      <c r="F1" s="20"/>
    </row>
    <row r="2" spans="1:7" s="23" customFormat="1">
      <c r="B2" s="21" t="s">
        <v>6</v>
      </c>
      <c r="C2" s="22" t="s">
        <v>12</v>
      </c>
      <c r="D2" s="22" t="s">
        <v>8</v>
      </c>
      <c r="E2" s="22" t="s">
        <v>13</v>
      </c>
      <c r="F2" s="21" t="s">
        <v>5</v>
      </c>
      <c r="G2" s="22"/>
    </row>
    <row r="3" spans="1:7" s="24" customFormat="1">
      <c r="B3" s="61" t="s">
        <v>47</v>
      </c>
      <c r="E3" s="51"/>
      <c r="F3" s="25"/>
    </row>
    <row r="4" spans="1:7" ht="18">
      <c r="B4" s="9" t="s">
        <v>206</v>
      </c>
      <c r="C4" s="10" t="s">
        <v>145</v>
      </c>
      <c r="D4" s="10" t="s">
        <v>184</v>
      </c>
      <c r="E4" s="53">
        <f>E6</f>
        <v>219000</v>
      </c>
      <c r="F4" s="9" t="s">
        <v>228</v>
      </c>
    </row>
    <row r="5" spans="1:7" ht="30">
      <c r="B5" s="9" t="s">
        <v>207</v>
      </c>
      <c r="C5" s="10" t="s">
        <v>146</v>
      </c>
      <c r="D5" s="10" t="s">
        <v>184</v>
      </c>
      <c r="E5" s="53">
        <f>E7</f>
        <v>214839</v>
      </c>
      <c r="F5" s="9" t="s">
        <v>228</v>
      </c>
    </row>
    <row r="6" spans="1:7" ht="18">
      <c r="B6" s="9" t="s">
        <v>208</v>
      </c>
      <c r="C6" s="10" t="s">
        <v>123</v>
      </c>
      <c r="D6" s="10" t="s">
        <v>184</v>
      </c>
      <c r="E6" s="53">
        <f>600*365</f>
        <v>219000</v>
      </c>
      <c r="F6" s="9" t="s">
        <v>228</v>
      </c>
    </row>
    <row r="7" spans="1:7" ht="30">
      <c r="B7" s="9" t="s">
        <v>209</v>
      </c>
      <c r="C7" s="10" t="s">
        <v>147</v>
      </c>
      <c r="D7" s="10" t="s">
        <v>184</v>
      </c>
      <c r="E7" s="53">
        <f>588.6*365</f>
        <v>214839</v>
      </c>
      <c r="F7" s="9" t="s">
        <v>228</v>
      </c>
    </row>
    <row r="8" spans="1:7" ht="18">
      <c r="B8" s="9" t="s">
        <v>83</v>
      </c>
      <c r="C8" s="10" t="s">
        <v>148</v>
      </c>
      <c r="D8" s="10" t="s">
        <v>185</v>
      </c>
      <c r="E8" s="44">
        <f>'Measurement and historical data'!C22</f>
        <v>5.2850000000000001E-2</v>
      </c>
      <c r="F8" s="26" t="s">
        <v>229</v>
      </c>
    </row>
    <row r="9" spans="1:7" ht="18">
      <c r="B9" s="9" t="s">
        <v>49</v>
      </c>
      <c r="C9" s="10" t="s">
        <v>149</v>
      </c>
      <c r="D9" s="10" t="s">
        <v>48</v>
      </c>
      <c r="E9" s="44">
        <f>((E8-E10)/E8)*100</f>
        <v>77.528476821192058</v>
      </c>
      <c r="F9" s="26" t="s">
        <v>229</v>
      </c>
    </row>
    <row r="10" spans="1:7" ht="18">
      <c r="B10" s="9" t="s">
        <v>84</v>
      </c>
      <c r="C10" s="10" t="s">
        <v>150</v>
      </c>
      <c r="D10" s="10" t="s">
        <v>185</v>
      </c>
      <c r="E10" s="52">
        <f>'Measurement and historical data'!D22</f>
        <v>1.18762E-2</v>
      </c>
      <c r="F10" s="26" t="s">
        <v>229</v>
      </c>
    </row>
    <row r="11" spans="1:7" ht="18">
      <c r="B11" s="9" t="s">
        <v>85</v>
      </c>
      <c r="C11" s="10" t="s">
        <v>151</v>
      </c>
      <c r="D11" s="10" t="s">
        <v>185</v>
      </c>
      <c r="E11" s="52">
        <f>E8-E10</f>
        <v>4.0973800000000005E-2</v>
      </c>
      <c r="F11" s="26"/>
    </row>
    <row r="12" spans="1:7" ht="30">
      <c r="B12" s="9" t="s">
        <v>252</v>
      </c>
      <c r="C12" s="10" t="s">
        <v>152</v>
      </c>
      <c r="D12" s="10" t="s">
        <v>185</v>
      </c>
      <c r="E12" s="44">
        <f>E8</f>
        <v>5.2850000000000001E-2</v>
      </c>
      <c r="F12" s="26" t="s">
        <v>230</v>
      </c>
    </row>
    <row r="13" spans="1:7" ht="18">
      <c r="B13" s="9" t="s">
        <v>65</v>
      </c>
      <c r="C13" s="10" t="s">
        <v>153</v>
      </c>
      <c r="D13" s="10" t="s">
        <v>48</v>
      </c>
      <c r="E13" s="44">
        <v>90</v>
      </c>
      <c r="F13" s="26" t="s">
        <v>228</v>
      </c>
    </row>
    <row r="14" spans="1:7" ht="18">
      <c r="A14" s="12"/>
      <c r="B14" s="26" t="s">
        <v>248</v>
      </c>
      <c r="C14" s="12" t="s">
        <v>250</v>
      </c>
      <c r="D14" s="12" t="s">
        <v>185</v>
      </c>
      <c r="E14" s="44">
        <f>(100-E13)%*E12</f>
        <v>5.2850000000000006E-3</v>
      </c>
      <c r="F14" s="26"/>
    </row>
    <row r="15" spans="1:7" ht="18">
      <c r="B15" s="9" t="s">
        <v>86</v>
      </c>
      <c r="C15" s="10" t="s">
        <v>154</v>
      </c>
      <c r="D15" s="10" t="s">
        <v>185</v>
      </c>
      <c r="E15" s="44">
        <f>E12-E14</f>
        <v>4.7565000000000003E-2</v>
      </c>
      <c r="F15" s="9" t="s">
        <v>251</v>
      </c>
    </row>
    <row r="16" spans="1:7" ht="18">
      <c r="B16" s="9" t="s">
        <v>249</v>
      </c>
      <c r="C16" s="10" t="s">
        <v>155</v>
      </c>
      <c r="D16" s="10" t="s">
        <v>185</v>
      </c>
      <c r="E16" s="44">
        <f>E12-E15</f>
        <v>5.284999999999998E-3</v>
      </c>
    </row>
    <row r="17" spans="2:6" ht="18">
      <c r="B17" s="9" t="s">
        <v>89</v>
      </c>
      <c r="C17" s="10" t="s">
        <v>156</v>
      </c>
      <c r="D17" s="10" t="s">
        <v>76</v>
      </c>
      <c r="E17" s="53">
        <f>'I-C'!E6</f>
        <v>4380</v>
      </c>
    </row>
    <row r="18" spans="2:6" ht="15" customHeight="1">
      <c r="B18" s="9" t="s">
        <v>210</v>
      </c>
      <c r="C18" s="10" t="s">
        <v>157</v>
      </c>
      <c r="D18" s="10" t="s">
        <v>3</v>
      </c>
      <c r="E18" s="44">
        <v>0.65</v>
      </c>
      <c r="F18" s="9" t="s">
        <v>228</v>
      </c>
    </row>
    <row r="20" spans="2:6" s="28" customFormat="1">
      <c r="B20" s="62" t="s">
        <v>46</v>
      </c>
      <c r="E20" s="54"/>
      <c r="F20" s="27"/>
    </row>
    <row r="21" spans="2:6">
      <c r="B21" s="29" t="s">
        <v>15</v>
      </c>
      <c r="E21" s="44"/>
    </row>
    <row r="22" spans="2:6" ht="18">
      <c r="B22" s="9" t="s">
        <v>16</v>
      </c>
      <c r="C22" s="10" t="s">
        <v>158</v>
      </c>
      <c r="D22" s="10" t="s">
        <v>3</v>
      </c>
      <c r="E22" s="44">
        <v>0.8</v>
      </c>
      <c r="F22" s="9" t="s">
        <v>96</v>
      </c>
    </row>
    <row r="23" spans="2:6" ht="18">
      <c r="B23" s="9" t="s">
        <v>17</v>
      </c>
      <c r="C23" s="10" t="s">
        <v>159</v>
      </c>
      <c r="D23" s="10" t="s">
        <v>3</v>
      </c>
      <c r="E23" s="44">
        <v>0.3</v>
      </c>
      <c r="F23" s="9" t="s">
        <v>96</v>
      </c>
    </row>
    <row r="24" spans="2:6" ht="30">
      <c r="B24" s="9" t="s">
        <v>211</v>
      </c>
      <c r="C24" s="10" t="s">
        <v>160</v>
      </c>
      <c r="D24" s="10" t="s">
        <v>3</v>
      </c>
      <c r="E24" s="44">
        <v>0.8</v>
      </c>
      <c r="F24" s="9" t="s">
        <v>97</v>
      </c>
    </row>
    <row r="25" spans="2:6" ht="18">
      <c r="B25" s="9" t="s">
        <v>212</v>
      </c>
      <c r="C25" s="10" t="s">
        <v>161</v>
      </c>
      <c r="E25" s="44">
        <v>0.3</v>
      </c>
      <c r="F25" s="9" t="s">
        <v>96</v>
      </c>
    </row>
    <row r="26" spans="2:6" ht="18">
      <c r="B26" s="9" t="s">
        <v>213</v>
      </c>
      <c r="C26" s="10" t="s">
        <v>1</v>
      </c>
      <c r="D26" s="10" t="s">
        <v>186</v>
      </c>
      <c r="E26" s="55">
        <v>0.25</v>
      </c>
      <c r="F26" s="9" t="s">
        <v>98</v>
      </c>
    </row>
    <row r="27" spans="2:6" ht="18">
      <c r="B27" s="9" t="s">
        <v>214</v>
      </c>
      <c r="C27" s="10" t="s">
        <v>162</v>
      </c>
      <c r="D27" s="10" t="s">
        <v>3</v>
      </c>
      <c r="E27" s="55">
        <v>0.89</v>
      </c>
      <c r="F27" s="9" t="s">
        <v>98</v>
      </c>
    </row>
    <row r="28" spans="2:6" ht="18">
      <c r="B28" s="9" t="s">
        <v>215</v>
      </c>
      <c r="C28" s="10" t="s">
        <v>163</v>
      </c>
      <c r="D28" s="10" t="s">
        <v>3</v>
      </c>
      <c r="E28" s="55">
        <v>1.1200000000000001</v>
      </c>
      <c r="F28" s="9" t="s">
        <v>99</v>
      </c>
    </row>
    <row r="29" spans="2:6">
      <c r="B29" s="9" t="s">
        <v>14</v>
      </c>
      <c r="C29" s="10" t="s">
        <v>2</v>
      </c>
      <c r="D29" s="10" t="s">
        <v>3</v>
      </c>
      <c r="E29" s="55">
        <v>21</v>
      </c>
      <c r="F29" s="9" t="s">
        <v>201</v>
      </c>
    </row>
    <row r="30" spans="2:6">
      <c r="B30" s="9" t="s">
        <v>22</v>
      </c>
      <c r="C30" s="10" t="s">
        <v>4</v>
      </c>
      <c r="E30" s="55">
        <v>0.89</v>
      </c>
      <c r="F30" s="9" t="s">
        <v>100</v>
      </c>
    </row>
    <row r="31" spans="2:6" ht="18">
      <c r="B31" s="9" t="s">
        <v>216</v>
      </c>
      <c r="C31" s="10" t="s">
        <v>128</v>
      </c>
      <c r="D31" s="10" t="s">
        <v>3</v>
      </c>
      <c r="E31" s="55">
        <v>0.9</v>
      </c>
      <c r="F31" s="9" t="s">
        <v>202</v>
      </c>
    </row>
    <row r="32" spans="2:6">
      <c r="B32" s="9" t="s">
        <v>91</v>
      </c>
      <c r="C32" s="10" t="s">
        <v>90</v>
      </c>
      <c r="D32" s="10" t="s">
        <v>93</v>
      </c>
      <c r="E32" s="44">
        <v>100</v>
      </c>
      <c r="F32" s="9" t="s">
        <v>101</v>
      </c>
    </row>
    <row r="33" spans="2:12" ht="30">
      <c r="B33" s="9" t="s">
        <v>92</v>
      </c>
      <c r="C33" s="10" t="s">
        <v>181</v>
      </c>
      <c r="D33" s="10" t="s">
        <v>164</v>
      </c>
      <c r="E33" s="44">
        <v>0.71599999999999997</v>
      </c>
      <c r="F33" s="9" t="s">
        <v>102</v>
      </c>
    </row>
    <row r="34" spans="2:12" ht="30">
      <c r="B34" s="9" t="s">
        <v>88</v>
      </c>
      <c r="C34" s="10" t="s">
        <v>182</v>
      </c>
      <c r="D34" s="10" t="s">
        <v>3</v>
      </c>
      <c r="E34" s="56">
        <v>0.9</v>
      </c>
      <c r="F34" s="9" t="s">
        <v>203</v>
      </c>
    </row>
    <row r="35" spans="2:12" ht="30">
      <c r="B35" s="9" t="s">
        <v>94</v>
      </c>
      <c r="C35" s="10" t="s">
        <v>183</v>
      </c>
      <c r="D35" s="10" t="s">
        <v>164</v>
      </c>
      <c r="E35" s="56">
        <v>1.1120000000000001</v>
      </c>
      <c r="F35" s="36" t="s">
        <v>95</v>
      </c>
    </row>
    <row r="36" spans="2:12">
      <c r="B36" s="30"/>
    </row>
    <row r="37" spans="2:12" s="64" customFormat="1">
      <c r="B37" s="63" t="s">
        <v>18</v>
      </c>
      <c r="E37" s="65"/>
      <c r="F37" s="63"/>
    </row>
    <row r="38" spans="2:12" ht="18">
      <c r="B38" s="30" t="s">
        <v>217</v>
      </c>
      <c r="C38" s="10" t="s">
        <v>165</v>
      </c>
      <c r="D38" s="10" t="s">
        <v>166</v>
      </c>
      <c r="E38" s="57">
        <f>(E4*E8*E9%*E30*E22*E26*E27*E29)</f>
        <v>29852.428152204004</v>
      </c>
      <c r="F38" s="9" t="s">
        <v>98</v>
      </c>
    </row>
    <row r="39" spans="2:12" ht="18">
      <c r="B39" s="30" t="s">
        <v>218</v>
      </c>
      <c r="C39" s="10" t="s">
        <v>167</v>
      </c>
      <c r="D39" s="10" t="s">
        <v>166</v>
      </c>
      <c r="E39" s="57">
        <f>E5*E29*E26*E27*E10*E23*E30</f>
        <v>3183.1066969990788</v>
      </c>
      <c r="F39" s="9" t="s">
        <v>103</v>
      </c>
    </row>
    <row r="40" spans="2:12" ht="18">
      <c r="B40" s="30" t="s">
        <v>19</v>
      </c>
      <c r="C40" s="10" t="s">
        <v>11</v>
      </c>
      <c r="D40" s="10" t="s">
        <v>166</v>
      </c>
      <c r="E40" s="69">
        <f>SUM(E38:E39)</f>
        <v>33035.534849203083</v>
      </c>
    </row>
    <row r="42" spans="2:12" s="64" customFormat="1">
      <c r="B42" s="63" t="s">
        <v>20</v>
      </c>
      <c r="E42" s="65"/>
      <c r="F42" s="63"/>
    </row>
    <row r="43" spans="2:12" s="31" customFormat="1">
      <c r="B43" s="33" t="s">
        <v>82</v>
      </c>
      <c r="E43" s="58"/>
      <c r="F43" s="32"/>
    </row>
    <row r="44" spans="2:12" ht="18">
      <c r="B44" s="9" t="s">
        <v>59</v>
      </c>
      <c r="C44" s="10" t="s">
        <v>168</v>
      </c>
      <c r="D44" s="10" t="s">
        <v>60</v>
      </c>
      <c r="E44" s="44">
        <v>0.1</v>
      </c>
      <c r="F44" s="9" t="s">
        <v>228</v>
      </c>
    </row>
    <row r="45" spans="2:12" ht="18">
      <c r="B45" s="9" t="s">
        <v>67</v>
      </c>
      <c r="C45" s="10" t="s">
        <v>169</v>
      </c>
      <c r="D45" s="10" t="s">
        <v>66</v>
      </c>
      <c r="E45" s="53">
        <f>365*24</f>
        <v>8760</v>
      </c>
      <c r="F45" s="9" t="s">
        <v>228</v>
      </c>
    </row>
    <row r="46" spans="2:12" s="12" customFormat="1">
      <c r="B46" s="29" t="s">
        <v>72</v>
      </c>
      <c r="E46" s="44"/>
      <c r="F46" s="26"/>
    </row>
    <row r="47" spans="2:12" s="35" customFormat="1" ht="18">
      <c r="B47" s="34" t="s">
        <v>68</v>
      </c>
      <c r="C47" s="10" t="s">
        <v>170</v>
      </c>
      <c r="D47" s="35" t="s">
        <v>69</v>
      </c>
      <c r="E47" s="68">
        <f>'Measurement and historical data'!C6</f>
        <v>264897</v>
      </c>
      <c r="F47" s="34" t="s">
        <v>264</v>
      </c>
      <c r="G47" s="12"/>
      <c r="H47" s="12"/>
      <c r="I47" s="12"/>
      <c r="J47" s="12"/>
      <c r="K47" s="12"/>
      <c r="L47" s="12"/>
    </row>
    <row r="48" spans="2:12" s="35" customFormat="1" ht="18">
      <c r="B48" s="34" t="s">
        <v>70</v>
      </c>
      <c r="C48" s="10" t="s">
        <v>171</v>
      </c>
      <c r="D48" s="35" t="s">
        <v>54</v>
      </c>
      <c r="E48" s="59">
        <v>0.84099999999999997</v>
      </c>
      <c r="F48" s="34" t="s">
        <v>104</v>
      </c>
    </row>
    <row r="49" spans="1:6" s="35" customFormat="1" ht="18">
      <c r="B49" s="34" t="s">
        <v>71</v>
      </c>
      <c r="C49" s="10" t="s">
        <v>172</v>
      </c>
      <c r="D49" s="35" t="s">
        <v>0</v>
      </c>
      <c r="E49" s="59">
        <f>(E47*E48)/1000</f>
        <v>222.77837699999998</v>
      </c>
      <c r="F49" s="34"/>
    </row>
    <row r="50" spans="1:6" s="35" customFormat="1">
      <c r="B50" s="9" t="s">
        <v>41</v>
      </c>
      <c r="C50" s="10" t="s">
        <v>37</v>
      </c>
      <c r="D50" s="10" t="s">
        <v>62</v>
      </c>
      <c r="E50" s="44">
        <v>43.3</v>
      </c>
      <c r="F50" s="9" t="s">
        <v>101</v>
      </c>
    </row>
    <row r="51" spans="1:6" ht="18">
      <c r="B51" s="9" t="s">
        <v>9</v>
      </c>
      <c r="C51" s="10" t="s">
        <v>173</v>
      </c>
      <c r="D51" s="10" t="s">
        <v>174</v>
      </c>
      <c r="E51" s="44">
        <v>7.4800000000000005E-2</v>
      </c>
      <c r="F51" s="9" t="s">
        <v>105</v>
      </c>
    </row>
    <row r="52" spans="1:6" s="12" customFormat="1" ht="18">
      <c r="B52" s="26" t="s">
        <v>73</v>
      </c>
      <c r="C52" s="12" t="s">
        <v>175</v>
      </c>
      <c r="D52" s="12" t="s">
        <v>60</v>
      </c>
      <c r="E52" s="44">
        <v>1.6</v>
      </c>
      <c r="F52" s="26" t="s">
        <v>231</v>
      </c>
    </row>
    <row r="53" spans="1:6" s="12" customFormat="1" ht="18">
      <c r="B53" s="26" t="s">
        <v>219</v>
      </c>
      <c r="C53" s="12" t="s">
        <v>176</v>
      </c>
      <c r="D53" s="12" t="s">
        <v>66</v>
      </c>
      <c r="E53" s="53">
        <f>20*365</f>
        <v>7300</v>
      </c>
      <c r="F53" s="26" t="s">
        <v>242</v>
      </c>
    </row>
    <row r="54" spans="1:6" s="12" customFormat="1" ht="30">
      <c r="B54" s="26" t="s">
        <v>74</v>
      </c>
      <c r="C54" s="12" t="s">
        <v>177</v>
      </c>
      <c r="D54" s="12" t="s">
        <v>60</v>
      </c>
      <c r="E54" s="44">
        <f>2*0.32</f>
        <v>0.64</v>
      </c>
      <c r="F54" s="26" t="s">
        <v>233</v>
      </c>
    </row>
    <row r="55" spans="1:6" s="12" customFormat="1" ht="18">
      <c r="B55" s="26" t="s">
        <v>220</v>
      </c>
      <c r="C55" s="12" t="s">
        <v>178</v>
      </c>
      <c r="D55" s="12" t="s">
        <v>66</v>
      </c>
      <c r="E55" s="53">
        <f>8*365</f>
        <v>2920</v>
      </c>
      <c r="F55" s="26" t="s">
        <v>243</v>
      </c>
    </row>
    <row r="56" spans="1:6" ht="18">
      <c r="A56" s="12"/>
      <c r="B56" s="26" t="s">
        <v>256</v>
      </c>
      <c r="C56" s="12" t="s">
        <v>179</v>
      </c>
      <c r="D56" s="12" t="s">
        <v>180</v>
      </c>
      <c r="E56" s="91">
        <f>(E49*E50*E51)/(E52*E53+E54*E55)</f>
        <v>5.3255160498544514E-2</v>
      </c>
      <c r="F56" s="9" t="s">
        <v>244</v>
      </c>
    </row>
    <row r="57" spans="1:6" ht="18">
      <c r="A57" s="12"/>
      <c r="B57" s="26" t="s">
        <v>257</v>
      </c>
      <c r="C57" s="12" t="s">
        <v>179</v>
      </c>
      <c r="D57" s="12" t="s">
        <v>180</v>
      </c>
      <c r="E57" s="92">
        <f>(E49*E50*E51)/(E52*E53+E54*E55+'I-C'!E6)</f>
        <v>4.0244942135707909E-2</v>
      </c>
      <c r="F57" s="9" t="s">
        <v>244</v>
      </c>
    </row>
    <row r="58" spans="1:6">
      <c r="A58" s="12"/>
      <c r="B58" s="26"/>
      <c r="C58" s="12"/>
      <c r="D58" s="12"/>
      <c r="E58" s="44"/>
    </row>
    <row r="59" spans="1:6" ht="35.25" customHeight="1">
      <c r="A59" s="12"/>
      <c r="B59" s="29" t="s">
        <v>254</v>
      </c>
      <c r="C59" s="12" t="s">
        <v>222</v>
      </c>
      <c r="D59" s="12" t="s">
        <v>144</v>
      </c>
      <c r="E59" s="93">
        <f>E44*E45*E56</f>
        <v>46.651520596724993</v>
      </c>
      <c r="F59" s="9" t="s">
        <v>204</v>
      </c>
    </row>
    <row r="60" spans="1:6" ht="35.25" customHeight="1">
      <c r="A60" s="12"/>
      <c r="B60" s="29" t="s">
        <v>255</v>
      </c>
      <c r="C60" s="12" t="s">
        <v>222</v>
      </c>
      <c r="D60" s="12" t="s">
        <v>144</v>
      </c>
      <c r="E60" s="93">
        <f>E44*E45*E57</f>
        <v>35.254569310880129</v>
      </c>
      <c r="F60" s="9" t="s">
        <v>204</v>
      </c>
    </row>
    <row r="61" spans="1:6" ht="18">
      <c r="A61" s="12"/>
      <c r="B61" s="33" t="s">
        <v>218</v>
      </c>
      <c r="C61" s="12" t="s">
        <v>223</v>
      </c>
      <c r="D61" s="12" t="s">
        <v>144</v>
      </c>
      <c r="E61" s="53">
        <f>E7*E29*E26*E28*E16*E25</f>
        <v>2002.8881388599993</v>
      </c>
      <c r="F61" s="9" t="s">
        <v>99</v>
      </c>
    </row>
    <row r="62" spans="1:6" ht="18">
      <c r="A62" s="12"/>
      <c r="B62" s="33" t="s">
        <v>221</v>
      </c>
      <c r="C62" s="12" t="s">
        <v>224</v>
      </c>
      <c r="D62" s="12" t="s">
        <v>144</v>
      </c>
      <c r="E62" s="53">
        <f>((1-E31)*(E6*E26*E28*E15*E24)*E29)</f>
        <v>4900.0321439999998</v>
      </c>
      <c r="F62" s="9" t="s">
        <v>202</v>
      </c>
    </row>
    <row r="63" spans="1:6" ht="18">
      <c r="A63" s="12"/>
      <c r="B63" s="33" t="s">
        <v>259</v>
      </c>
      <c r="C63" s="12" t="s">
        <v>225</v>
      </c>
      <c r="D63" s="12" t="s">
        <v>144</v>
      </c>
      <c r="E63" s="53">
        <f>(E38/E29)*(1-E34)*E29</f>
        <v>2985.2428152203997</v>
      </c>
      <c r="F63" s="9" t="s">
        <v>99</v>
      </c>
    </row>
    <row r="64" spans="1:6" ht="30">
      <c r="A64" s="12"/>
      <c r="B64" s="33" t="s">
        <v>258</v>
      </c>
      <c r="C64" s="12" t="s">
        <v>225</v>
      </c>
      <c r="D64" s="12" t="s">
        <v>144</v>
      </c>
      <c r="E64" s="53">
        <f>((E38/E29)-((E17*0.0036)/((E32*E35)/1000000))*((E18*E33)/1000))*(1-E34)*E29</f>
        <v>2846.6574094650041</v>
      </c>
      <c r="F64" s="9" t="s">
        <v>205</v>
      </c>
    </row>
    <row r="65" spans="1:5" ht="18">
      <c r="A65" s="12"/>
      <c r="B65" s="29" t="s">
        <v>260</v>
      </c>
      <c r="C65" s="12"/>
      <c r="D65" s="12" t="s">
        <v>144</v>
      </c>
      <c r="E65" s="94">
        <f>E59+E61+E62+E63</f>
        <v>9934.8146186771228</v>
      </c>
    </row>
    <row r="66" spans="1:5" ht="18">
      <c r="A66" s="12"/>
      <c r="B66" s="29" t="s">
        <v>261</v>
      </c>
      <c r="C66" s="12"/>
      <c r="D66" s="12" t="s">
        <v>144</v>
      </c>
      <c r="E66" s="94">
        <f>E60+E61+E62+E64</f>
        <v>9784.8322616358837</v>
      </c>
    </row>
    <row r="67" spans="1:5">
      <c r="A67" s="12"/>
      <c r="B67" s="29"/>
      <c r="C67" s="12"/>
      <c r="D67" s="12"/>
      <c r="E67" s="44"/>
    </row>
    <row r="68" spans="1:5" ht="18">
      <c r="A68" s="12"/>
      <c r="B68" s="29" t="s">
        <v>23</v>
      </c>
      <c r="C68" s="12"/>
      <c r="D68" s="12" t="s">
        <v>144</v>
      </c>
      <c r="E68" s="70">
        <v>0</v>
      </c>
    </row>
    <row r="69" spans="1:5">
      <c r="A69" s="12"/>
      <c r="B69" s="26"/>
      <c r="C69" s="12"/>
      <c r="D69" s="12"/>
      <c r="E69" s="44"/>
    </row>
    <row r="70" spans="1:5">
      <c r="A70" s="12"/>
      <c r="B70" s="26"/>
      <c r="C70" s="12"/>
      <c r="D70" s="12"/>
      <c r="E70" s="44"/>
    </row>
    <row r="71" spans="1:5">
      <c r="A71" s="12"/>
      <c r="B71" s="26"/>
      <c r="C71" s="12"/>
      <c r="D71" s="12"/>
      <c r="E71" s="44"/>
    </row>
    <row r="72" spans="1:5">
      <c r="A72" s="12"/>
      <c r="B72" s="26"/>
      <c r="C72" s="12"/>
      <c r="D72" s="12"/>
      <c r="E72" s="44"/>
    </row>
    <row r="73" spans="1:5">
      <c r="A73" s="12"/>
      <c r="B73" s="26"/>
      <c r="C73" s="12"/>
      <c r="D73" s="12"/>
      <c r="E73" s="44"/>
    </row>
  </sheetData>
  <phoneticPr fontId="4" type="noConversion"/>
  <hyperlinks>
    <hyperlink ref="F35" r:id="rId1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F22"/>
  <sheetViews>
    <sheetView zoomScale="80" zoomScaleNormal="80" workbookViewId="0"/>
  </sheetViews>
  <sheetFormatPr defaultRowHeight="15"/>
  <cols>
    <col min="2" max="2" width="31.42578125" customWidth="1"/>
    <col min="3" max="4" width="16.140625" customWidth="1"/>
    <col min="6" max="6" width="11" customWidth="1"/>
    <col min="9" max="9" width="11" customWidth="1"/>
  </cols>
  <sheetData>
    <row r="2" spans="2:6">
      <c r="B2" s="7" t="s">
        <v>142</v>
      </c>
    </row>
    <row r="3" spans="2:6">
      <c r="C3" t="s">
        <v>52</v>
      </c>
    </row>
    <row r="4" spans="2:6">
      <c r="B4" t="s">
        <v>50</v>
      </c>
      <c r="C4" s="1">
        <v>66366</v>
      </c>
    </row>
    <row r="5" spans="2:6">
      <c r="B5" t="s">
        <v>51</v>
      </c>
      <c r="C5" s="1">
        <v>198531</v>
      </c>
    </row>
    <row r="6" spans="2:6">
      <c r="B6" s="7" t="s">
        <v>53</v>
      </c>
      <c r="C6" s="15">
        <f>SUM(C4:C5)</f>
        <v>264897</v>
      </c>
    </row>
    <row r="7" spans="2:6">
      <c r="C7" s="1"/>
    </row>
    <row r="8" spans="2:6">
      <c r="C8" s="1"/>
    </row>
    <row r="9" spans="2:6">
      <c r="B9" s="7" t="s">
        <v>141</v>
      </c>
    </row>
    <row r="10" spans="2:6">
      <c r="C10" t="s">
        <v>55</v>
      </c>
      <c r="D10" t="s">
        <v>56</v>
      </c>
    </row>
    <row r="11" spans="2:6">
      <c r="B11" s="16">
        <v>40463</v>
      </c>
      <c r="C11" s="6">
        <v>53625</v>
      </c>
      <c r="D11" s="6">
        <v>10250</v>
      </c>
      <c r="F11" s="2"/>
    </row>
    <row r="12" spans="2:6">
      <c r="B12" s="16">
        <v>40464</v>
      </c>
      <c r="C12" s="6">
        <v>55250</v>
      </c>
      <c r="D12" s="6">
        <v>10094</v>
      </c>
      <c r="F12" s="2"/>
    </row>
    <row r="13" spans="2:6">
      <c r="B13" s="16">
        <v>40465</v>
      </c>
      <c r="C13" s="6">
        <v>53875</v>
      </c>
      <c r="D13" s="6">
        <v>8812</v>
      </c>
      <c r="F13" s="2"/>
    </row>
    <row r="14" spans="2:6">
      <c r="B14" s="16">
        <v>40466</v>
      </c>
      <c r="C14" s="6">
        <v>54125</v>
      </c>
      <c r="D14" s="6">
        <v>9013</v>
      </c>
      <c r="F14" s="2"/>
    </row>
    <row r="15" spans="2:6">
      <c r="B15" s="16">
        <v>40467</v>
      </c>
      <c r="C15" s="6">
        <v>51375</v>
      </c>
      <c r="D15" s="6">
        <v>20000</v>
      </c>
      <c r="F15" s="2"/>
    </row>
    <row r="16" spans="2:6">
      <c r="B16" s="16">
        <v>40468</v>
      </c>
      <c r="C16" s="6">
        <v>52375</v>
      </c>
      <c r="D16" s="6">
        <v>14219</v>
      </c>
      <c r="F16" s="2"/>
    </row>
    <row r="17" spans="2:6">
      <c r="B17" s="16">
        <v>40469</v>
      </c>
      <c r="C17" s="6">
        <v>55125</v>
      </c>
      <c r="D17" s="6">
        <v>14406</v>
      </c>
      <c r="F17" s="2"/>
    </row>
    <row r="18" spans="2:6">
      <c r="B18" s="16">
        <v>40470</v>
      </c>
      <c r="C18" s="6">
        <v>50000</v>
      </c>
      <c r="D18" s="6">
        <v>10312</v>
      </c>
      <c r="F18" s="2"/>
    </row>
    <row r="19" spans="2:6">
      <c r="B19" s="16">
        <v>40471</v>
      </c>
      <c r="C19" s="6">
        <v>50500</v>
      </c>
      <c r="D19" s="6">
        <v>12750</v>
      </c>
      <c r="F19" s="2"/>
    </row>
    <row r="20" spans="2:6">
      <c r="B20" s="16">
        <v>40472</v>
      </c>
      <c r="C20" s="6">
        <v>52250</v>
      </c>
      <c r="D20" s="6">
        <v>8906</v>
      </c>
      <c r="F20" s="2"/>
    </row>
    <row r="21" spans="2:6">
      <c r="B21" s="17" t="s">
        <v>81</v>
      </c>
      <c r="C21" s="4">
        <f>AVERAGE(C11:C20)</f>
        <v>52850</v>
      </c>
      <c r="D21" s="4">
        <f>AVERAGE(D11:D20)</f>
        <v>11876.2</v>
      </c>
      <c r="F21" s="3"/>
    </row>
    <row r="22" spans="2:6">
      <c r="B22" s="17" t="s">
        <v>57</v>
      </c>
      <c r="C22" s="5">
        <f>C21/10^6</f>
        <v>5.2850000000000001E-2</v>
      </c>
      <c r="D22" s="5">
        <f>D21/10^6</f>
        <v>1.18762E-2</v>
      </c>
      <c r="F22" s="2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F39"/>
  <sheetViews>
    <sheetView zoomScale="80" zoomScaleNormal="80" workbookViewId="0"/>
  </sheetViews>
  <sheetFormatPr defaultRowHeight="15"/>
  <cols>
    <col min="1" max="1" width="4.28515625" style="8" customWidth="1"/>
    <col min="2" max="2" width="69.28515625" style="8" customWidth="1"/>
    <col min="3" max="3" width="17.7109375" style="8" customWidth="1"/>
    <col min="4" max="4" width="16.42578125" style="8" customWidth="1"/>
    <col min="5" max="5" width="13.28515625" style="13" customWidth="1"/>
    <col min="6" max="6" width="76.42578125" style="8" customWidth="1"/>
    <col min="7" max="16384" width="9.140625" style="8"/>
  </cols>
  <sheetData>
    <row r="2" spans="2:6" ht="18">
      <c r="B2" s="8" t="s">
        <v>111</v>
      </c>
      <c r="C2" s="8" t="s">
        <v>1</v>
      </c>
      <c r="D2" s="8" t="s">
        <v>120</v>
      </c>
      <c r="E2" s="95">
        <v>0.25</v>
      </c>
      <c r="F2" s="9" t="s">
        <v>98</v>
      </c>
    </row>
    <row r="3" spans="2:6" ht="18">
      <c r="B3" s="8" t="s">
        <v>113</v>
      </c>
      <c r="C3" s="8" t="s">
        <v>114</v>
      </c>
      <c r="D3" s="8" t="s">
        <v>3</v>
      </c>
      <c r="E3" s="95">
        <v>1.1200000000000001</v>
      </c>
      <c r="F3" s="9" t="s">
        <v>99</v>
      </c>
    </row>
    <row r="4" spans="2:6" s="14" customFormat="1" ht="30">
      <c r="B4" s="14" t="s">
        <v>115</v>
      </c>
      <c r="C4" s="14" t="s">
        <v>121</v>
      </c>
      <c r="D4" s="14" t="s">
        <v>3</v>
      </c>
      <c r="E4" s="96">
        <v>0.8</v>
      </c>
      <c r="F4" s="43" t="s">
        <v>97</v>
      </c>
    </row>
    <row r="5" spans="2:6">
      <c r="B5" s="8" t="s">
        <v>116</v>
      </c>
      <c r="C5" s="8" t="s">
        <v>117</v>
      </c>
      <c r="D5" s="8" t="s">
        <v>3</v>
      </c>
      <c r="E5" s="95">
        <v>0.65</v>
      </c>
      <c r="F5" s="9" t="s">
        <v>228</v>
      </c>
    </row>
    <row r="6" spans="2:6" s="11" customFormat="1" ht="30">
      <c r="B6" s="11" t="s">
        <v>118</v>
      </c>
      <c r="C6" s="11" t="s">
        <v>122</v>
      </c>
      <c r="D6" s="11" t="s">
        <v>119</v>
      </c>
      <c r="E6" s="96">
        <v>0.71599999999999997</v>
      </c>
      <c r="F6" s="9" t="s">
        <v>102</v>
      </c>
    </row>
    <row r="7" spans="2:6" ht="18">
      <c r="B7" s="8" t="s">
        <v>127</v>
      </c>
      <c r="C7" s="10" t="s">
        <v>128</v>
      </c>
      <c r="D7" s="8" t="s">
        <v>3</v>
      </c>
      <c r="E7" s="44">
        <v>0.9</v>
      </c>
      <c r="F7" s="9" t="s">
        <v>202</v>
      </c>
    </row>
    <row r="8" spans="2:6">
      <c r="E8" s="95"/>
    </row>
    <row r="9" spans="2:6">
      <c r="B9" s="47" t="s">
        <v>107</v>
      </c>
      <c r="E9" s="95"/>
    </row>
    <row r="10" spans="2:6" ht="18">
      <c r="B10" s="8" t="s">
        <v>108</v>
      </c>
      <c r="C10" s="10" t="s">
        <v>123</v>
      </c>
      <c r="D10" t="s">
        <v>130</v>
      </c>
      <c r="E10" s="97">
        <f>'III-H'!E6</f>
        <v>219000</v>
      </c>
      <c r="F10" s="9" t="s">
        <v>228</v>
      </c>
    </row>
    <row r="11" spans="2:6" ht="17.25">
      <c r="B11" s="8" t="s">
        <v>109</v>
      </c>
      <c r="C11" s="8" t="s">
        <v>110</v>
      </c>
      <c r="D11" t="s">
        <v>199</v>
      </c>
      <c r="E11" s="95">
        <f>'III-H'!E12</f>
        <v>5.2850000000000001E-2</v>
      </c>
      <c r="F11" t="s">
        <v>232</v>
      </c>
    </row>
    <row r="12" spans="2:6">
      <c r="B12" s="8" t="s">
        <v>112</v>
      </c>
      <c r="C12" s="8" t="s">
        <v>124</v>
      </c>
      <c r="D12" s="8" t="s">
        <v>3</v>
      </c>
      <c r="E12" s="95">
        <v>0.8</v>
      </c>
      <c r="F12" s="9" t="s">
        <v>228</v>
      </c>
    </row>
    <row r="13" spans="2:6" ht="18.75">
      <c r="B13" s="8" t="s">
        <v>125</v>
      </c>
      <c r="C13" s="8" t="s">
        <v>126</v>
      </c>
      <c r="D13" t="s">
        <v>199</v>
      </c>
      <c r="E13" s="95">
        <f>E11*E12</f>
        <v>4.2280000000000005E-2</v>
      </c>
    </row>
    <row r="14" spans="2:6" ht="17.25">
      <c r="B14" s="8" t="s">
        <v>129</v>
      </c>
      <c r="D14" t="s">
        <v>130</v>
      </c>
      <c r="E14" s="45">
        <f>((E10*$E$2*$E$3*E13*$E$4*$E$7)/($E$6/1000))/$E$5</f>
        <v>4010913.0038676425</v>
      </c>
    </row>
    <row r="15" spans="2:6" ht="17.25">
      <c r="B15" s="106" t="s">
        <v>132</v>
      </c>
      <c r="C15" s="107"/>
      <c r="D15" t="s">
        <v>130</v>
      </c>
      <c r="E15" s="46">
        <f>E14/2</f>
        <v>2005456.5019338212</v>
      </c>
    </row>
    <row r="16" spans="2:6" ht="17.25">
      <c r="B16" s="106"/>
      <c r="C16" s="107"/>
      <c r="D16" s="7" t="s">
        <v>140</v>
      </c>
      <c r="E16" s="66">
        <f>E15/365</f>
        <v>5494.4013751611537</v>
      </c>
    </row>
    <row r="18" spans="2:6">
      <c r="B18" s="47" t="s">
        <v>133</v>
      </c>
      <c r="E18" s="95"/>
    </row>
    <row r="19" spans="2:6" ht="18">
      <c r="B19" t="s">
        <v>135</v>
      </c>
      <c r="C19" s="10" t="s">
        <v>123</v>
      </c>
      <c r="D19" t="s">
        <v>130</v>
      </c>
      <c r="E19" s="97">
        <f>540*365</f>
        <v>197100</v>
      </c>
      <c r="F19" s="9" t="s">
        <v>228</v>
      </c>
    </row>
    <row r="20" spans="2:6" ht="17.25">
      <c r="B20" t="s">
        <v>134</v>
      </c>
      <c r="C20" s="8" t="s">
        <v>110</v>
      </c>
      <c r="D20" t="s">
        <v>199</v>
      </c>
      <c r="E20" s="95">
        <f>E11-E13</f>
        <v>1.0569999999999996E-2</v>
      </c>
    </row>
    <row r="21" spans="2:6">
      <c r="B21" t="s">
        <v>136</v>
      </c>
      <c r="C21" s="8" t="s">
        <v>124</v>
      </c>
      <c r="D21" s="8" t="s">
        <v>3</v>
      </c>
      <c r="E21" s="95">
        <v>0.5</v>
      </c>
      <c r="F21" s="9" t="s">
        <v>228</v>
      </c>
    </row>
    <row r="22" spans="2:6" ht="18.75">
      <c r="B22" t="s">
        <v>125</v>
      </c>
      <c r="C22" t="s">
        <v>137</v>
      </c>
      <c r="D22" t="s">
        <v>199</v>
      </c>
      <c r="E22" s="95">
        <f>E20*E21</f>
        <v>5.284999999999998E-3</v>
      </c>
    </row>
    <row r="23" spans="2:6" ht="17.25">
      <c r="B23" s="106" t="s">
        <v>138</v>
      </c>
      <c r="C23" s="107"/>
      <c r="D23" t="s">
        <v>130</v>
      </c>
      <c r="E23" s="45">
        <f>((E19*$E$2*$E$3*E22*$E$4*$E$7)/($E$6/1000))/$E$5</f>
        <v>451227.71293510939</v>
      </c>
    </row>
    <row r="24" spans="2:6" ht="17.25">
      <c r="B24" s="106"/>
      <c r="C24" s="107"/>
      <c r="D24" s="7" t="s">
        <v>140</v>
      </c>
      <c r="E24" s="66">
        <f>E23/365</f>
        <v>1236.2403094112585</v>
      </c>
    </row>
    <row r="26" spans="2:6" ht="17.25">
      <c r="B26" s="7" t="s">
        <v>139</v>
      </c>
      <c r="D26" t="s">
        <v>130</v>
      </c>
      <c r="E26" s="45">
        <f>E14+E23</f>
        <v>4462140.7168027516</v>
      </c>
    </row>
    <row r="27" spans="2:6" ht="17.25">
      <c r="D27" t="s">
        <v>131</v>
      </c>
      <c r="E27" s="45">
        <f>E16*2+E24</f>
        <v>12225.043059733565</v>
      </c>
    </row>
    <row r="29" spans="2:6">
      <c r="B29" s="47" t="s">
        <v>191</v>
      </c>
      <c r="E29" s="95"/>
    </row>
    <row r="30" spans="2:6" ht="18">
      <c r="B30" s="41" t="s">
        <v>75</v>
      </c>
      <c r="C30" s="41" t="s">
        <v>187</v>
      </c>
      <c r="D30" s="41" t="s">
        <v>79</v>
      </c>
      <c r="E30" s="48">
        <f>'I-C'!E4</f>
        <v>0.5</v>
      </c>
      <c r="F30" s="9" t="s">
        <v>228</v>
      </c>
    </row>
    <row r="31" spans="2:6" ht="18">
      <c r="B31" s="41" t="s">
        <v>77</v>
      </c>
      <c r="C31" s="41" t="s">
        <v>188</v>
      </c>
      <c r="D31" s="41" t="s">
        <v>66</v>
      </c>
      <c r="E31" s="49">
        <f>'I-C'!E5</f>
        <v>8760</v>
      </c>
      <c r="F31" s="9" t="s">
        <v>228</v>
      </c>
    </row>
    <row r="32" spans="2:6" ht="18">
      <c r="B32" s="41" t="s">
        <v>78</v>
      </c>
      <c r="C32" s="41" t="s">
        <v>156</v>
      </c>
      <c r="D32" s="41" t="s">
        <v>76</v>
      </c>
      <c r="E32" s="49">
        <f>E30*E31</f>
        <v>4380</v>
      </c>
    </row>
    <row r="33" spans="2:6" ht="18">
      <c r="B33" s="41" t="s">
        <v>192</v>
      </c>
      <c r="C33" s="41" t="s">
        <v>193</v>
      </c>
      <c r="D33" s="41" t="s">
        <v>194</v>
      </c>
      <c r="E33" s="95">
        <v>100</v>
      </c>
      <c r="F33" s="41" t="s">
        <v>195</v>
      </c>
    </row>
    <row r="34" spans="2:6" ht="18.75">
      <c r="B34" s="41" t="s">
        <v>94</v>
      </c>
      <c r="C34" s="41" t="s">
        <v>183</v>
      </c>
      <c r="D34" s="41" t="s">
        <v>164</v>
      </c>
      <c r="E34" s="95">
        <v>1.1120000000000001</v>
      </c>
      <c r="F34" s="41" t="s">
        <v>95</v>
      </c>
    </row>
    <row r="35" spans="2:6" ht="18.75" customHeight="1">
      <c r="B35" s="105" t="s">
        <v>196</v>
      </c>
      <c r="C35" s="105" t="s">
        <v>197</v>
      </c>
      <c r="D35" t="s">
        <v>130</v>
      </c>
      <c r="E35" s="98">
        <f>(E32*0.0036)/(E33*(E34/1000000))</f>
        <v>141798.56115107911</v>
      </c>
    </row>
    <row r="36" spans="2:6" ht="17.25">
      <c r="B36" s="105"/>
      <c r="C36" s="105"/>
      <c r="D36" t="s">
        <v>131</v>
      </c>
      <c r="E36" s="97">
        <f>E35/365</f>
        <v>388.48920863309343</v>
      </c>
    </row>
    <row r="39" spans="2:6">
      <c r="E39" s="46"/>
    </row>
  </sheetData>
  <mergeCells count="6">
    <mergeCell ref="B35:B36"/>
    <mergeCell ref="C35:C36"/>
    <mergeCell ref="B15:B16"/>
    <mergeCell ref="C15:C16"/>
    <mergeCell ref="B23:B24"/>
    <mergeCell ref="C23:C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CER Summary</vt:lpstr>
      <vt:lpstr>I-C</vt:lpstr>
      <vt:lpstr>III-H</vt:lpstr>
      <vt:lpstr>Measurement and historical data</vt:lpstr>
      <vt:lpstr>Biogas flow rate</vt:lpstr>
      <vt:lpstr>type</vt:lpstr>
    </vt:vector>
  </TitlesOfParts>
  <Company>KPMG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sharjono</dc:creator>
  <cp:lastModifiedBy>rkar</cp:lastModifiedBy>
  <dcterms:created xsi:type="dcterms:W3CDTF">2010-08-17T07:37:02Z</dcterms:created>
  <dcterms:modified xsi:type="dcterms:W3CDTF">2012-08-03T10:57:25Z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-280778471</vt:i4>
  </property>
  <property fmtid="{D5CDD505-2E9C-101B-9397-08002B2CF9AE}" pid="3" name="_NewReviewCycle">
    <vt:lpwstr/>
  </property>
  <property fmtid="{D5CDD505-2E9C-101B-9397-08002B2CF9AE}" pid="4" name="_EmailSubject">
    <vt:lpwstr>Saremas Sdn Bhd - ITR cleared</vt:lpwstr>
  </property>
  <property fmtid="{D5CDD505-2E9C-101B-9397-08002B2CF9AE}" pid="5" name="_AuthorEmail">
    <vt:lpwstr>rkar@kpmg.com.sg</vt:lpwstr>
  </property>
  <property fmtid="{D5CDD505-2E9C-101B-9397-08002B2CF9AE}" pid="6" name="_AuthorEmailDisplayName">
    <vt:lpwstr>Kar, Rahul (SG/Advisory)</vt:lpwstr>
  </property>
</Properties>
</file>