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mments2.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8" windowWidth="12504" windowHeight="5160" tabRatio="962" firstSheet="7" activeTab="11"/>
  </bookViews>
  <sheets>
    <sheet name="Assumption " sheetId="2" r:id="rId1"/>
    <sheet name="P &amp; L " sheetId="3" r:id="rId2"/>
    <sheet name="Depreciation (SLM &amp; WDV)" sheetId="4" r:id="rId3"/>
    <sheet name="Working Capital" sheetId="17" r:id="rId4"/>
    <sheet name="Loan Schedule" sheetId="10" r:id="rId5"/>
    <sheet name="Equity Beta " sheetId="11" r:id="rId6"/>
    <sheet name="Re-lev Beta" sheetId="15" r:id="rId7"/>
    <sheet name="BSE 100" sheetId="14" r:id="rId8"/>
    <sheet name="WACC" sheetId="13" r:id="rId9"/>
    <sheet name="Sensitivity Analysi" sheetId="16" r:id="rId10"/>
    <sheet name="Default ROE in WACC(Crosscheck)" sheetId="18" r:id="rId11"/>
    <sheet name="Levelized cost" sheetId="19" r:id="rId12"/>
  </sheets>
  <externalReferences>
    <externalReference r:id="rId13"/>
    <externalReference r:id="rId14"/>
  </externalReferences>
  <definedNames>
    <definedName name="_xlnm.Print_Area" localSheetId="0">'Assumption '!$A$1:$I$115</definedName>
    <definedName name="_xlnm.Print_Area" localSheetId="7">'BSE 100'!$A$1:$Q$20</definedName>
    <definedName name="_xlnm.Print_Area" localSheetId="10">'Default ROE in WACC(Crosscheck)'!$A$1:$T$65</definedName>
    <definedName name="_xlnm.Print_Area" localSheetId="2">'Depreciation (SLM &amp; WDV)'!$A$1:$V$46</definedName>
    <definedName name="_xlnm.Print_Area" localSheetId="5">'Equity Beta '!$A$1:$U$50</definedName>
    <definedName name="_xlnm.Print_Area" localSheetId="4">'Loan Schedule'!$A$1:$O$31</definedName>
    <definedName name="_xlnm.Print_Area" localSheetId="9">'Sensitivity Analysi'!$A$1:$O$31</definedName>
    <definedName name="_xlnm.Print_Area" localSheetId="8">WACC!$A$1:$F$39</definedName>
    <definedName name="Total_Project_Cost">[1]Assumptions!$C$31</definedName>
  </definedNames>
  <calcPr calcId="124519"/>
</workbook>
</file>

<file path=xl/calcChain.xml><?xml version="1.0" encoding="utf-8"?>
<calcChain xmlns="http://schemas.openxmlformats.org/spreadsheetml/2006/main">
  <c r="E61" i="19"/>
  <c r="F61"/>
  <c r="G61"/>
  <c r="H61"/>
  <c r="I61"/>
  <c r="J61"/>
  <c r="K61"/>
  <c r="L61"/>
  <c r="M61"/>
  <c r="N61"/>
  <c r="O61"/>
  <c r="P61"/>
  <c r="Q61"/>
  <c r="R61"/>
  <c r="S61"/>
  <c r="T61"/>
  <c r="U61"/>
  <c r="V61"/>
  <c r="W61"/>
  <c r="D61"/>
  <c r="E70"/>
  <c r="F70" s="1"/>
  <c r="G70" s="1"/>
  <c r="H70" s="1"/>
  <c r="I70" s="1"/>
  <c r="J70" s="1"/>
  <c r="K70" s="1"/>
  <c r="L70" s="1"/>
  <c r="M70" s="1"/>
  <c r="N70" s="1"/>
  <c r="O70" s="1"/>
  <c r="P70" s="1"/>
  <c r="Q70" s="1"/>
  <c r="R70" s="1"/>
  <c r="S70" s="1"/>
  <c r="T70" s="1"/>
  <c r="U70" s="1"/>
  <c r="V70" s="1"/>
  <c r="W70" s="1"/>
  <c r="W52"/>
  <c r="V52"/>
  <c r="U52"/>
  <c r="T52"/>
  <c r="S52"/>
  <c r="R52"/>
  <c r="Q52"/>
  <c r="P52"/>
  <c r="O52"/>
  <c r="N52"/>
  <c r="M52"/>
  <c r="L52"/>
  <c r="K52"/>
  <c r="J52"/>
  <c r="I52"/>
  <c r="H52"/>
  <c r="G52"/>
  <c r="F52"/>
  <c r="E52"/>
  <c r="E7" l="1"/>
  <c r="F7"/>
  <c r="G7"/>
  <c r="H7"/>
  <c r="I7"/>
  <c r="J7"/>
  <c r="K7"/>
  <c r="L7"/>
  <c r="M7"/>
  <c r="N7"/>
  <c r="O7"/>
  <c r="P7"/>
  <c r="Q7"/>
  <c r="R7"/>
  <c r="S7"/>
  <c r="T7"/>
  <c r="U7"/>
  <c r="V7"/>
  <c r="W7"/>
  <c r="D7"/>
  <c r="W38" l="1"/>
  <c r="W49"/>
  <c r="U38"/>
  <c r="U49"/>
  <c r="S38"/>
  <c r="S49"/>
  <c r="Q38"/>
  <c r="Q49"/>
  <c r="O38"/>
  <c r="O49"/>
  <c r="M38"/>
  <c r="M49"/>
  <c r="K38"/>
  <c r="K49"/>
  <c r="I38"/>
  <c r="I49"/>
  <c r="G38"/>
  <c r="G49"/>
  <c r="E38"/>
  <c r="E49"/>
  <c r="D38"/>
  <c r="D49"/>
  <c r="V38"/>
  <c r="V49"/>
  <c r="T38"/>
  <c r="T49"/>
  <c r="R38"/>
  <c r="R49"/>
  <c r="P38"/>
  <c r="P49"/>
  <c r="N38"/>
  <c r="N49"/>
  <c r="L38"/>
  <c r="L49"/>
  <c r="J38"/>
  <c r="J49"/>
  <c r="H38"/>
  <c r="H49"/>
  <c r="F38"/>
  <c r="F49"/>
  <c r="D40"/>
  <c r="E27" l="1"/>
  <c r="E18"/>
  <c r="E60" s="1"/>
  <c r="F18"/>
  <c r="F60" s="1"/>
  <c r="G18"/>
  <c r="G60" s="1"/>
  <c r="H18"/>
  <c r="H60" s="1"/>
  <c r="I18"/>
  <c r="I60" s="1"/>
  <c r="J18"/>
  <c r="J60" s="1"/>
  <c r="K18"/>
  <c r="K60" s="1"/>
  <c r="L18"/>
  <c r="L60" s="1"/>
  <c r="M18"/>
  <c r="M60" s="1"/>
  <c r="N18"/>
  <c r="N60" s="1"/>
  <c r="O18"/>
  <c r="O60" s="1"/>
  <c r="P18"/>
  <c r="P60" s="1"/>
  <c r="Q18"/>
  <c r="Q60" s="1"/>
  <c r="R18"/>
  <c r="R60" s="1"/>
  <c r="S18"/>
  <c r="S60" s="1"/>
  <c r="T18"/>
  <c r="T60" s="1"/>
  <c r="U18"/>
  <c r="U60" s="1"/>
  <c r="V18"/>
  <c r="V60" s="1"/>
  <c r="D18"/>
  <c r="D60" s="1"/>
  <c r="D17" i="18"/>
  <c r="F17"/>
  <c r="C35"/>
  <c r="C36"/>
  <c r="D42"/>
  <c r="D56"/>
  <c r="E56"/>
  <c r="C59" s="1"/>
  <c r="D57"/>
  <c r="E57"/>
  <c r="F27" i="19" l="1"/>
  <c r="E40"/>
  <c r="Q16" i="3"/>
  <c r="Q16" i="19" s="1"/>
  <c r="Q58" s="1"/>
  <c r="R16" i="3"/>
  <c r="R16" i="19" s="1"/>
  <c r="R58" s="1"/>
  <c r="S16" i="3"/>
  <c r="S16" i="19" s="1"/>
  <c r="S58" s="1"/>
  <c r="T16" i="3"/>
  <c r="T16" i="19" s="1"/>
  <c r="T58" s="1"/>
  <c r="U16" i="3"/>
  <c r="U16" i="19" s="1"/>
  <c r="U58" s="1"/>
  <c r="V16" i="3"/>
  <c r="V16" i="19" s="1"/>
  <c r="V58" s="1"/>
  <c r="W16" i="3"/>
  <c r="W16" i="19" s="1"/>
  <c r="W58" s="1"/>
  <c r="O16" i="3"/>
  <c r="O16" i="19" s="1"/>
  <c r="O58" s="1"/>
  <c r="P16" i="3"/>
  <c r="P16" i="19" s="1"/>
  <c r="P58" s="1"/>
  <c r="G27" l="1"/>
  <c r="F40"/>
  <c r="C10" i="10"/>
  <c r="C23"/>
  <c r="C9"/>
  <c r="H27" i="19" l="1"/>
  <c r="G40"/>
  <c r="C55" i="2"/>
  <c r="C35"/>
  <c r="I27" i="19" l="1"/>
  <c r="H40"/>
  <c r="D96" i="2"/>
  <c r="C15"/>
  <c r="E11" i="3" s="1"/>
  <c r="E25" i="19" s="1"/>
  <c r="E68" s="1"/>
  <c r="C21" i="2"/>
  <c r="W12" i="3"/>
  <c r="W39" i="19" s="1"/>
  <c r="D15" i="3"/>
  <c r="C57"/>
  <c r="C69" s="1"/>
  <c r="U4" i="17"/>
  <c r="V4"/>
  <c r="D4"/>
  <c r="E4"/>
  <c r="F4"/>
  <c r="G4"/>
  <c r="H4"/>
  <c r="I4"/>
  <c r="J4"/>
  <c r="K4"/>
  <c r="L4"/>
  <c r="M4"/>
  <c r="N4"/>
  <c r="O4"/>
  <c r="P4"/>
  <c r="Q4"/>
  <c r="R4"/>
  <c r="S4"/>
  <c r="T4"/>
  <c r="C4"/>
  <c r="D95" i="2"/>
  <c r="C74"/>
  <c r="C73"/>
  <c r="P12" i="3"/>
  <c r="P39" i="19" s="1"/>
  <c r="H12" i="3"/>
  <c r="H39" i="19" s="1"/>
  <c r="E22" i="15"/>
  <c r="E29" s="1"/>
  <c r="H15"/>
  <c r="E15"/>
  <c r="D12" i="11"/>
  <c r="D13"/>
  <c r="D14"/>
  <c r="D15"/>
  <c r="D16"/>
  <c r="D17"/>
  <c r="D18"/>
  <c r="D19"/>
  <c r="D20"/>
  <c r="D21"/>
  <c r="D22"/>
  <c r="D23"/>
  <c r="T13"/>
  <c r="T14"/>
  <c r="T15"/>
  <c r="T16"/>
  <c r="T17"/>
  <c r="T18"/>
  <c r="T19"/>
  <c r="T20"/>
  <c r="T21"/>
  <c r="T22"/>
  <c r="T23"/>
  <c r="T24"/>
  <c r="T25"/>
  <c r="T26"/>
  <c r="T27"/>
  <c r="T28"/>
  <c r="T29"/>
  <c r="T30"/>
  <c r="T31"/>
  <c r="T32"/>
  <c r="T33"/>
  <c r="T34"/>
  <c r="T35"/>
  <c r="T36"/>
  <c r="T37"/>
  <c r="T38"/>
  <c r="T39"/>
  <c r="T40"/>
  <c r="T41"/>
  <c r="T42"/>
  <c r="T43"/>
  <c r="T44"/>
  <c r="T45"/>
  <c r="T46"/>
  <c r="T47"/>
  <c r="T12"/>
  <c r="I15" i="15"/>
  <c r="D29" s="1"/>
  <c r="E65" i="3"/>
  <c r="F65"/>
  <c r="G65"/>
  <c r="H65"/>
  <c r="I65"/>
  <c r="J65"/>
  <c r="K65"/>
  <c r="L65"/>
  <c r="M65"/>
  <c r="D65"/>
  <c r="E47"/>
  <c r="E26" s="1"/>
  <c r="D47"/>
  <c r="D26" s="1"/>
  <c r="E48"/>
  <c r="E27" s="1"/>
  <c r="F48"/>
  <c r="F27" s="1"/>
  <c r="G48"/>
  <c r="G27" s="1"/>
  <c r="H48"/>
  <c r="H27" s="1"/>
  <c r="I48"/>
  <c r="I27" s="1"/>
  <c r="J48"/>
  <c r="J27" s="1"/>
  <c r="K48"/>
  <c r="K27" s="1"/>
  <c r="L48"/>
  <c r="L27" s="1"/>
  <c r="M48"/>
  <c r="M27" s="1"/>
  <c r="N48"/>
  <c r="N27" s="1"/>
  <c r="O48"/>
  <c r="O27" s="1"/>
  <c r="P48"/>
  <c r="P27" s="1"/>
  <c r="Q48"/>
  <c r="Q27" s="1"/>
  <c r="R48"/>
  <c r="R27" s="1"/>
  <c r="S48"/>
  <c r="S27" s="1"/>
  <c r="T48"/>
  <c r="T27" s="1"/>
  <c r="U48"/>
  <c r="U27" s="1"/>
  <c r="V48"/>
  <c r="V27" s="1"/>
  <c r="W48"/>
  <c r="W27" s="1"/>
  <c r="D48"/>
  <c r="D27" s="1"/>
  <c r="W63"/>
  <c r="G63"/>
  <c r="D63"/>
  <c r="T63"/>
  <c r="P63"/>
  <c r="L63"/>
  <c r="H63"/>
  <c r="D62"/>
  <c r="Q12" i="11"/>
  <c r="M12"/>
  <c r="J12"/>
  <c r="G12"/>
  <c r="G13"/>
  <c r="G14"/>
  <c r="H13" i="15"/>
  <c r="H14"/>
  <c r="E13"/>
  <c r="E14"/>
  <c r="E19"/>
  <c r="E26"/>
  <c r="E20"/>
  <c r="E27"/>
  <c r="E21"/>
  <c r="E28"/>
  <c r="H12"/>
  <c r="E12"/>
  <c r="E18"/>
  <c r="E25"/>
  <c r="H11"/>
  <c r="E11"/>
  <c r="Q13" i="11"/>
  <c r="Q14"/>
  <c r="Q15"/>
  <c r="Q16"/>
  <c r="Q17"/>
  <c r="Q18"/>
  <c r="Q19"/>
  <c r="Q20"/>
  <c r="Q21"/>
  <c r="Q22"/>
  <c r="Q23"/>
  <c r="Q24"/>
  <c r="Q25"/>
  <c r="Q26"/>
  <c r="Q27"/>
  <c r="Q28"/>
  <c r="Q29"/>
  <c r="Q30"/>
  <c r="Q31"/>
  <c r="Q32"/>
  <c r="Q33"/>
  <c r="Q34"/>
  <c r="Q35"/>
  <c r="Q36"/>
  <c r="Q37"/>
  <c r="Q38"/>
  <c r="Q39"/>
  <c r="Q40"/>
  <c r="Q41"/>
  <c r="Q42"/>
  <c r="Q43"/>
  <c r="Q44"/>
  <c r="Q45"/>
  <c r="Q46"/>
  <c r="Q47"/>
  <c r="M35"/>
  <c r="M36"/>
  <c r="M37"/>
  <c r="M38"/>
  <c r="M39"/>
  <c r="M40"/>
  <c r="M41"/>
  <c r="M42"/>
  <c r="M43"/>
  <c r="M44"/>
  <c r="M45"/>
  <c r="M46"/>
  <c r="M47"/>
  <c r="J35"/>
  <c r="J36"/>
  <c r="J37"/>
  <c r="J38"/>
  <c r="J39"/>
  <c r="J40"/>
  <c r="J41"/>
  <c r="J42"/>
  <c r="J43"/>
  <c r="J44"/>
  <c r="J45"/>
  <c r="J46"/>
  <c r="J47"/>
  <c r="G47"/>
  <c r="G35"/>
  <c r="G36"/>
  <c r="G37"/>
  <c r="G38"/>
  <c r="G39"/>
  <c r="G40"/>
  <c r="G41"/>
  <c r="G42"/>
  <c r="G43"/>
  <c r="G44"/>
  <c r="G45"/>
  <c r="G46"/>
  <c r="D35"/>
  <c r="D36"/>
  <c r="D37"/>
  <c r="D38"/>
  <c r="D39"/>
  <c r="D40"/>
  <c r="D41"/>
  <c r="D42"/>
  <c r="D43"/>
  <c r="D44"/>
  <c r="D45"/>
  <c r="D46"/>
  <c r="D47"/>
  <c r="C11" i="13"/>
  <c r="C13" s="1"/>
  <c r="E37"/>
  <c r="D22"/>
  <c r="O52" i="3"/>
  <c r="O68" s="1"/>
  <c r="P52"/>
  <c r="P68" s="1"/>
  <c r="Q52"/>
  <c r="Q68" s="1"/>
  <c r="R52"/>
  <c r="R68" s="1"/>
  <c r="S52"/>
  <c r="S68" s="1"/>
  <c r="T52"/>
  <c r="T68" s="1"/>
  <c r="U52"/>
  <c r="U68" s="1"/>
  <c r="V52"/>
  <c r="V68" s="1"/>
  <c r="W52"/>
  <c r="W68" s="1"/>
  <c r="M13" i="11"/>
  <c r="M14"/>
  <c r="M15"/>
  <c r="M16"/>
  <c r="M17"/>
  <c r="M18"/>
  <c r="M19"/>
  <c r="M20"/>
  <c r="M21"/>
  <c r="M22"/>
  <c r="M23"/>
  <c r="M24"/>
  <c r="M25"/>
  <c r="M26"/>
  <c r="M27"/>
  <c r="M28"/>
  <c r="M29"/>
  <c r="M30"/>
  <c r="M31"/>
  <c r="M32"/>
  <c r="M33"/>
  <c r="M34"/>
  <c r="J13"/>
  <c r="J14"/>
  <c r="J15"/>
  <c r="J16"/>
  <c r="J17"/>
  <c r="J18"/>
  <c r="J19"/>
  <c r="J20"/>
  <c r="J21"/>
  <c r="J22"/>
  <c r="J23"/>
  <c r="J24"/>
  <c r="J25"/>
  <c r="J26"/>
  <c r="J27"/>
  <c r="J28"/>
  <c r="J29"/>
  <c r="J30"/>
  <c r="J31"/>
  <c r="J32"/>
  <c r="J33"/>
  <c r="J34"/>
  <c r="G15"/>
  <c r="G16"/>
  <c r="G17"/>
  <c r="G18"/>
  <c r="G19"/>
  <c r="G20"/>
  <c r="G21"/>
  <c r="G22"/>
  <c r="G23"/>
  <c r="G24"/>
  <c r="G25"/>
  <c r="G26"/>
  <c r="G27"/>
  <c r="G28"/>
  <c r="G29"/>
  <c r="G30"/>
  <c r="G31"/>
  <c r="G32"/>
  <c r="G33"/>
  <c r="G34"/>
  <c r="D24"/>
  <c r="D25"/>
  <c r="T48" s="1"/>
  <c r="C29" i="15" s="1"/>
  <c r="D26" i="11"/>
  <c r="D27"/>
  <c r="D28"/>
  <c r="D29"/>
  <c r="D30"/>
  <c r="D31"/>
  <c r="D32"/>
  <c r="D33"/>
  <c r="D34"/>
  <c r="H13" i="4"/>
  <c r="G13"/>
  <c r="F13"/>
  <c r="E13"/>
  <c r="D13"/>
  <c r="C12"/>
  <c r="C11"/>
  <c r="C13" s="1"/>
  <c r="F10"/>
  <c r="H10"/>
  <c r="G10"/>
  <c r="E10"/>
  <c r="D10"/>
  <c r="F8" i="3"/>
  <c r="G8" s="1"/>
  <c r="R49" i="4"/>
  <c r="C18"/>
  <c r="D18"/>
  <c r="E18"/>
  <c r="F18"/>
  <c r="G18"/>
  <c r="H18"/>
  <c r="I18"/>
  <c r="J18"/>
  <c r="K18"/>
  <c r="L18"/>
  <c r="M18"/>
  <c r="N18"/>
  <c r="O18"/>
  <c r="P18"/>
  <c r="Q18"/>
  <c r="R18"/>
  <c r="S18"/>
  <c r="T18"/>
  <c r="U18"/>
  <c r="V18"/>
  <c r="C26"/>
  <c r="D26"/>
  <c r="E26"/>
  <c r="F26"/>
  <c r="G26"/>
  <c r="H26"/>
  <c r="I26"/>
  <c r="J26"/>
  <c r="K26"/>
  <c r="L26"/>
  <c r="M26"/>
  <c r="N26"/>
  <c r="O26"/>
  <c r="P26"/>
  <c r="Q26"/>
  <c r="R26"/>
  <c r="S26"/>
  <c r="T26"/>
  <c r="U26"/>
  <c r="V26"/>
  <c r="C35"/>
  <c r="D35"/>
  <c r="E35"/>
  <c r="F35"/>
  <c r="G35"/>
  <c r="H35"/>
  <c r="I35"/>
  <c r="J35"/>
  <c r="K35"/>
  <c r="L35"/>
  <c r="M35"/>
  <c r="N35"/>
  <c r="O35"/>
  <c r="P35"/>
  <c r="Q35"/>
  <c r="R35"/>
  <c r="S35"/>
  <c r="T35"/>
  <c r="U35"/>
  <c r="V35"/>
  <c r="C41"/>
  <c r="D41"/>
  <c r="E41"/>
  <c r="F41"/>
  <c r="G41"/>
  <c r="H41"/>
  <c r="I41"/>
  <c r="J41"/>
  <c r="K41"/>
  <c r="L41"/>
  <c r="M41"/>
  <c r="N41"/>
  <c r="O41"/>
  <c r="P41"/>
  <c r="Q41"/>
  <c r="R41"/>
  <c r="S41"/>
  <c r="T41"/>
  <c r="U41"/>
  <c r="V41"/>
  <c r="I11" i="15"/>
  <c r="D25" s="1"/>
  <c r="I12"/>
  <c r="D26" s="1"/>
  <c r="I14"/>
  <c r="D28" s="1"/>
  <c r="E63" i="3"/>
  <c r="J48" i="11"/>
  <c r="C26" i="15" s="1"/>
  <c r="F26" s="1"/>
  <c r="G48" i="11"/>
  <c r="C25" i="15" s="1"/>
  <c r="F25" s="1"/>
  <c r="M48" i="11"/>
  <c r="C27" i="15" s="1"/>
  <c r="I13"/>
  <c r="D27" s="1"/>
  <c r="Q48" i="11"/>
  <c r="C28" i="15" s="1"/>
  <c r="F63" i="3"/>
  <c r="J63"/>
  <c r="N63"/>
  <c r="R63"/>
  <c r="V63"/>
  <c r="E62"/>
  <c r="I63"/>
  <c r="M63"/>
  <c r="Q63"/>
  <c r="U63"/>
  <c r="H41" i="19" l="1"/>
  <c r="J27"/>
  <c r="I40"/>
  <c r="C5" i="17"/>
  <c r="D14" i="19"/>
  <c r="D56" s="1"/>
  <c r="F27" i="15"/>
  <c r="F47" i="3"/>
  <c r="F26" s="1"/>
  <c r="O63"/>
  <c r="D11"/>
  <c r="D25" i="19" s="1"/>
  <c r="D68" s="1"/>
  <c r="D12" i="3"/>
  <c r="D39" i="19" s="1"/>
  <c r="D41" s="1"/>
  <c r="L12" i="3"/>
  <c r="L39" i="19" s="1"/>
  <c r="T12" i="3"/>
  <c r="T39" i="19" s="1"/>
  <c r="F12" i="3"/>
  <c r="F39" i="19" s="1"/>
  <c r="F41" s="1"/>
  <c r="J12" i="3"/>
  <c r="J39" i="19" s="1"/>
  <c r="N12" i="3"/>
  <c r="N39" i="19" s="1"/>
  <c r="R12" i="3"/>
  <c r="R39" i="19" s="1"/>
  <c r="V12" i="3"/>
  <c r="V39" i="19" s="1"/>
  <c r="E12" i="3"/>
  <c r="G12"/>
  <c r="G39" i="19" s="1"/>
  <c r="G41" s="1"/>
  <c r="I12" i="3"/>
  <c r="I39" i="19" s="1"/>
  <c r="K12" i="3"/>
  <c r="K39" i="19" s="1"/>
  <c r="M12" i="3"/>
  <c r="M39" i="19" s="1"/>
  <c r="O12" i="3"/>
  <c r="O39" i="19" s="1"/>
  <c r="Q12" i="3"/>
  <c r="Q39" i="19" s="1"/>
  <c r="S12" i="3"/>
  <c r="S39" i="19" s="1"/>
  <c r="U12" i="3"/>
  <c r="U39" i="19" s="1"/>
  <c r="D94" i="2"/>
  <c r="F11" i="3"/>
  <c r="F25" i="19" s="1"/>
  <c r="F68" s="1"/>
  <c r="D37" i="13"/>
  <c r="D36"/>
  <c r="D40" i="2"/>
  <c r="C14" i="10" s="1"/>
  <c r="C6" i="17"/>
  <c r="C7" s="1"/>
  <c r="C8" s="1"/>
  <c r="C10" s="1"/>
  <c r="D55" i="3" s="1"/>
  <c r="H8"/>
  <c r="G47"/>
  <c r="E15"/>
  <c r="E14" i="19" s="1"/>
  <c r="E56" s="1"/>
  <c r="F28" i="15"/>
  <c r="D50" i="11"/>
  <c r="C15" i="13" s="1"/>
  <c r="C16" s="1"/>
  <c r="E36" s="1"/>
  <c r="F29" i="15"/>
  <c r="D39" i="2"/>
  <c r="F62" i="3"/>
  <c r="K63"/>
  <c r="S63"/>
  <c r="F30" i="15"/>
  <c r="E32" s="1"/>
  <c r="I13" i="4"/>
  <c r="G12"/>
  <c r="G11"/>
  <c r="F11"/>
  <c r="H11"/>
  <c r="D12"/>
  <c r="H12"/>
  <c r="F12"/>
  <c r="E12"/>
  <c r="E11"/>
  <c r="D11"/>
  <c r="E10" i="19" l="1"/>
  <c r="G10"/>
  <c r="I10"/>
  <c r="K10"/>
  <c r="M10"/>
  <c r="O10"/>
  <c r="Q10"/>
  <c r="S10"/>
  <c r="U10"/>
  <c r="W10"/>
  <c r="F10"/>
  <c r="H10"/>
  <c r="J10"/>
  <c r="L10"/>
  <c r="N10"/>
  <c r="P10"/>
  <c r="R10"/>
  <c r="T10"/>
  <c r="V10"/>
  <c r="D10"/>
  <c r="D52" s="1"/>
  <c r="E13" i="3"/>
  <c r="E39" i="19"/>
  <c r="E41" s="1"/>
  <c r="I41"/>
  <c r="K27"/>
  <c r="J40"/>
  <c r="J41" s="1"/>
  <c r="G15" i="10"/>
  <c r="L17"/>
  <c r="F19"/>
  <c r="M15"/>
  <c r="C16"/>
  <c r="C18" s="1"/>
  <c r="C20" s="1"/>
  <c r="C22" s="1"/>
  <c r="D14" s="1"/>
  <c r="J19"/>
  <c r="I15"/>
  <c r="J17"/>
  <c r="L19"/>
  <c r="L21"/>
  <c r="K15"/>
  <c r="K17"/>
  <c r="G17"/>
  <c r="D21"/>
  <c r="I19"/>
  <c r="E19"/>
  <c r="I21"/>
  <c r="E21"/>
  <c r="L15"/>
  <c r="H15"/>
  <c r="D19"/>
  <c r="F21"/>
  <c r="F15"/>
  <c r="H17"/>
  <c r="J21"/>
  <c r="D17"/>
  <c r="F17"/>
  <c r="H19"/>
  <c r="H21"/>
  <c r="M17"/>
  <c r="M23" s="1"/>
  <c r="I17"/>
  <c r="E17"/>
  <c r="K19"/>
  <c r="G19"/>
  <c r="K21"/>
  <c r="G21"/>
  <c r="E15"/>
  <c r="J15"/>
  <c r="C24"/>
  <c r="D16" i="3" s="1"/>
  <c r="F13"/>
  <c r="D13"/>
  <c r="G11"/>
  <c r="D41" i="2"/>
  <c r="C39" i="13"/>
  <c r="D18" i="3"/>
  <c r="D15" i="19" s="1"/>
  <c r="D57" s="1"/>
  <c r="F15" i="3"/>
  <c r="F14" i="19" s="1"/>
  <c r="F56" s="1"/>
  <c r="D5" i="17"/>
  <c r="D6" s="1"/>
  <c r="D7" s="1"/>
  <c r="D8" s="1"/>
  <c r="D10" s="1"/>
  <c r="E55" i="3" s="1"/>
  <c r="I8"/>
  <c r="H47"/>
  <c r="G62"/>
  <c r="G26"/>
  <c r="I11" i="4"/>
  <c r="C19" s="1"/>
  <c r="I12"/>
  <c r="C27" s="1"/>
  <c r="D16" s="1"/>
  <c r="L27" i="19" l="1"/>
  <c r="K40"/>
  <c r="K41" s="1"/>
  <c r="G13" i="3"/>
  <c r="G25" i="19"/>
  <c r="G68" s="1"/>
  <c r="D52" i="3"/>
  <c r="D68" s="1"/>
  <c r="D16" i="19"/>
  <c r="J23" i="10"/>
  <c r="D23"/>
  <c r="D16"/>
  <c r="D18" s="1"/>
  <c r="D20" s="1"/>
  <c r="D22" s="1"/>
  <c r="E14" s="1"/>
  <c r="H23"/>
  <c r="E23"/>
  <c r="F23"/>
  <c r="L23"/>
  <c r="K23"/>
  <c r="I23"/>
  <c r="G23"/>
  <c r="H11" i="3"/>
  <c r="C20" i="4"/>
  <c r="C21" s="1"/>
  <c r="D19" s="1"/>
  <c r="D20"/>
  <c r="E20" s="1"/>
  <c r="E18" i="3"/>
  <c r="E15" i="19" s="1"/>
  <c r="E57" s="1"/>
  <c r="G15" i="3"/>
  <c r="G14" i="19" s="1"/>
  <c r="G56" s="1"/>
  <c r="E5" i="17"/>
  <c r="E6" s="1"/>
  <c r="E7" s="1"/>
  <c r="E8" s="1"/>
  <c r="J8" i="3"/>
  <c r="I47"/>
  <c r="H26"/>
  <c r="H62"/>
  <c r="C36" i="4"/>
  <c r="C37" s="1"/>
  <c r="C38" s="1"/>
  <c r="D36" s="1"/>
  <c r="C42"/>
  <c r="D28"/>
  <c r="E28" s="1"/>
  <c r="F28" s="1"/>
  <c r="G28" s="1"/>
  <c r="H28" s="1"/>
  <c r="I28" s="1"/>
  <c r="J28" s="1"/>
  <c r="K28" s="1"/>
  <c r="L28" s="1"/>
  <c r="M28" s="1"/>
  <c r="N28" s="1"/>
  <c r="O28" s="1"/>
  <c r="P28" s="1"/>
  <c r="Q28" s="1"/>
  <c r="R28" s="1"/>
  <c r="S28" s="1"/>
  <c r="C28"/>
  <c r="D17" i="19" l="1"/>
  <c r="D58"/>
  <c r="D59" s="1"/>
  <c r="M27"/>
  <c r="L40"/>
  <c r="L41" s="1"/>
  <c r="H13" i="3"/>
  <c r="H25" i="19"/>
  <c r="H68" s="1"/>
  <c r="D21" i="4"/>
  <c r="E19" s="1"/>
  <c r="D24" i="10"/>
  <c r="E16" i="3" s="1"/>
  <c r="E16" i="10"/>
  <c r="E18" s="1"/>
  <c r="E20" s="1"/>
  <c r="E22" s="1"/>
  <c r="F14" s="1"/>
  <c r="I11" i="3"/>
  <c r="D17"/>
  <c r="E10" i="17"/>
  <c r="F55" i="3" s="1"/>
  <c r="F18"/>
  <c r="F15" i="19" s="1"/>
  <c r="F57" s="1"/>
  <c r="H15" i="3"/>
  <c r="H14" i="19" s="1"/>
  <c r="H56" s="1"/>
  <c r="F5" i="17"/>
  <c r="F6" s="1"/>
  <c r="F7" s="1"/>
  <c r="F8" s="1"/>
  <c r="J47" i="3"/>
  <c r="K8"/>
  <c r="I62"/>
  <c r="I26"/>
  <c r="E21" i="4"/>
  <c r="F19" s="1"/>
  <c r="D37"/>
  <c r="C43"/>
  <c r="C44" s="1"/>
  <c r="D42" s="1"/>
  <c r="F17" i="3"/>
  <c r="F9" i="19" s="1"/>
  <c r="F20" i="4"/>
  <c r="C29"/>
  <c r="D27" s="1"/>
  <c r="D29" s="1"/>
  <c r="E27" s="1"/>
  <c r="E29" s="1"/>
  <c r="F27" s="1"/>
  <c r="F29" s="1"/>
  <c r="G27" s="1"/>
  <c r="G29" s="1"/>
  <c r="H27" s="1"/>
  <c r="H29" s="1"/>
  <c r="I27" s="1"/>
  <c r="I29" s="1"/>
  <c r="J27" s="1"/>
  <c r="J29" s="1"/>
  <c r="K27" s="1"/>
  <c r="K29" s="1"/>
  <c r="L27" s="1"/>
  <c r="L29" s="1"/>
  <c r="M27" s="1"/>
  <c r="M29" s="1"/>
  <c r="N27" s="1"/>
  <c r="N29" s="1"/>
  <c r="O27" s="1"/>
  <c r="O29" s="1"/>
  <c r="P27" s="1"/>
  <c r="P29" s="1"/>
  <c r="Q27" s="1"/>
  <c r="Q29" s="1"/>
  <c r="R27" s="1"/>
  <c r="R29" s="1"/>
  <c r="S27" s="1"/>
  <c r="S29" s="1"/>
  <c r="T27" s="1"/>
  <c r="I13" i="3"/>
  <c r="T28" i="4"/>
  <c r="E17" i="3"/>
  <c r="E9" i="19" s="1"/>
  <c r="F11" l="1"/>
  <c r="F51"/>
  <c r="F53" s="1"/>
  <c r="E11"/>
  <c r="E51"/>
  <c r="E53" s="1"/>
  <c r="N27"/>
  <c r="M40"/>
  <c r="M41" s="1"/>
  <c r="J11" i="3"/>
  <c r="J25" i="19" s="1"/>
  <c r="J68" s="1"/>
  <c r="I25"/>
  <c r="I68" s="1"/>
  <c r="E52" i="3"/>
  <c r="E68" s="1"/>
  <c r="E16" i="19"/>
  <c r="D19" i="3"/>
  <c r="D20" s="1"/>
  <c r="D9" i="19"/>
  <c r="E24" i="10"/>
  <c r="F16" i="3" s="1"/>
  <c r="E19"/>
  <c r="E20" s="1"/>
  <c r="F16" i="10"/>
  <c r="F18" s="1"/>
  <c r="F20" s="1"/>
  <c r="F22" s="1"/>
  <c r="G14" s="1"/>
  <c r="D50" i="3"/>
  <c r="D66" s="1"/>
  <c r="D29"/>
  <c r="D31"/>
  <c r="F10" i="17"/>
  <c r="G55" i="3" s="1"/>
  <c r="G18"/>
  <c r="G15" i="19" s="1"/>
  <c r="G57" s="1"/>
  <c r="T29" i="4"/>
  <c r="U27" s="1"/>
  <c r="U29" s="1"/>
  <c r="V27" s="1"/>
  <c r="V29" s="1"/>
  <c r="F19" i="3"/>
  <c r="F20" s="1"/>
  <c r="F28" s="1"/>
  <c r="I15"/>
  <c r="I14" i="19" s="1"/>
  <c r="I56" s="1"/>
  <c r="G5" i="17"/>
  <c r="G6" s="1"/>
  <c r="G7" s="1"/>
  <c r="G8" s="1"/>
  <c r="J26" i="3"/>
  <c r="J62"/>
  <c r="L8"/>
  <c r="K47"/>
  <c r="D43" i="4"/>
  <c r="E50" i="3"/>
  <c r="E66" s="1"/>
  <c r="E29"/>
  <c r="J13"/>
  <c r="K11"/>
  <c r="K25" i="19" s="1"/>
  <c r="K68" s="1"/>
  <c r="G17" i="3"/>
  <c r="G9" i="19" s="1"/>
  <c r="G20" i="4"/>
  <c r="D28" i="3"/>
  <c r="F50"/>
  <c r="F66" s="1"/>
  <c r="F29"/>
  <c r="F21" i="4"/>
  <c r="G19" s="1"/>
  <c r="G21" s="1"/>
  <c r="H19" s="1"/>
  <c r="D38"/>
  <c r="E36" s="1"/>
  <c r="E37" s="1"/>
  <c r="G11" i="19" l="1"/>
  <c r="G51"/>
  <c r="G53" s="1"/>
  <c r="D11"/>
  <c r="D53" s="1"/>
  <c r="D64" s="1"/>
  <c r="D51"/>
  <c r="E17"/>
  <c r="E21" s="1"/>
  <c r="E58"/>
  <c r="E59" s="1"/>
  <c r="E64" s="1"/>
  <c r="D21"/>
  <c r="O27"/>
  <c r="N40"/>
  <c r="N41" s="1"/>
  <c r="F52" i="3"/>
  <c r="F68" s="1"/>
  <c r="F16" i="19"/>
  <c r="F24" i="10"/>
  <c r="G16" i="3" s="1"/>
  <c r="G16" i="10"/>
  <c r="G18" s="1"/>
  <c r="G20" s="1"/>
  <c r="G22" s="1"/>
  <c r="H14" s="1"/>
  <c r="E38" i="4"/>
  <c r="F36" s="1"/>
  <c r="F37" s="1"/>
  <c r="E31" i="3"/>
  <c r="G10" i="17"/>
  <c r="H55" i="3" s="1"/>
  <c r="H18"/>
  <c r="H15" i="19" s="1"/>
  <c r="H57" s="1"/>
  <c r="G19" i="3"/>
  <c r="G20" s="1"/>
  <c r="J15"/>
  <c r="J14" i="19" s="1"/>
  <c r="J56" s="1"/>
  <c r="H5" i="17"/>
  <c r="H6" s="1"/>
  <c r="H7" s="1"/>
  <c r="H8" s="1"/>
  <c r="L47" i="3"/>
  <c r="M8"/>
  <c r="K62"/>
  <c r="K26"/>
  <c r="H17"/>
  <c r="H9" i="19" s="1"/>
  <c r="H20" i="4"/>
  <c r="H21" s="1"/>
  <c r="I19" s="1"/>
  <c r="L11" i="3"/>
  <c r="L25" i="19" s="1"/>
  <c r="L68" s="1"/>
  <c r="K13" i="3"/>
  <c r="E28"/>
  <c r="F30"/>
  <c r="F41"/>
  <c r="D30"/>
  <c r="D32" s="1"/>
  <c r="D41"/>
  <c r="G50"/>
  <c r="G66" s="1"/>
  <c r="G29"/>
  <c r="D44" i="4"/>
  <c r="E42" s="1"/>
  <c r="H11" i="19" l="1"/>
  <c r="H51"/>
  <c r="H53" s="1"/>
  <c r="F17"/>
  <c r="F21" s="1"/>
  <c r="F58"/>
  <c r="F59" s="1"/>
  <c r="F64" s="1"/>
  <c r="P27"/>
  <c r="O40"/>
  <c r="O41" s="1"/>
  <c r="G52" i="3"/>
  <c r="G68" s="1"/>
  <c r="G16" i="19"/>
  <c r="G24" i="10"/>
  <c r="H16" i="3" s="1"/>
  <c r="H16" i="10"/>
  <c r="H18" s="1"/>
  <c r="H20" s="1"/>
  <c r="H22" s="1"/>
  <c r="I14" s="1"/>
  <c r="E43" i="4"/>
  <c r="F31" i="3" s="1"/>
  <c r="F32" s="1"/>
  <c r="F53" s="1"/>
  <c r="F38" i="4"/>
  <c r="G36" s="1"/>
  <c r="G37" s="1"/>
  <c r="H19" i="3"/>
  <c r="H20" s="1"/>
  <c r="H10" i="17"/>
  <c r="I55" i="3" s="1"/>
  <c r="I18"/>
  <c r="I15" i="19" s="1"/>
  <c r="I57" s="1"/>
  <c r="I5" i="17"/>
  <c r="I6" s="1"/>
  <c r="I7" s="1"/>
  <c r="I8" s="1"/>
  <c r="K15" i="3"/>
  <c r="K14" i="19" s="1"/>
  <c r="K56" s="1"/>
  <c r="L62" i="3"/>
  <c r="L26"/>
  <c r="M47"/>
  <c r="N8"/>
  <c r="E30"/>
  <c r="E32" s="1"/>
  <c r="E41"/>
  <c r="L13"/>
  <c r="M11"/>
  <c r="M25" i="19" s="1"/>
  <c r="M68" s="1"/>
  <c r="H50" i="3"/>
  <c r="H66" s="1"/>
  <c r="H29"/>
  <c r="G28"/>
  <c r="D53"/>
  <c r="D34"/>
  <c r="D39" s="1"/>
  <c r="D40" s="1"/>
  <c r="I20" i="4"/>
  <c r="I17" i="3"/>
  <c r="I9" i="19" s="1"/>
  <c r="I11" l="1"/>
  <c r="I51"/>
  <c r="I53" s="1"/>
  <c r="G17"/>
  <c r="G21" s="1"/>
  <c r="G58"/>
  <c r="G59" s="1"/>
  <c r="G64" s="1"/>
  <c r="D19"/>
  <c r="F19"/>
  <c r="Q27"/>
  <c r="P40"/>
  <c r="P41" s="1"/>
  <c r="H52" i="3"/>
  <c r="H68" s="1"/>
  <c r="H16" i="19"/>
  <c r="E44" i="4"/>
  <c r="F42" s="1"/>
  <c r="F43" s="1"/>
  <c r="I16" i="10"/>
  <c r="I18" s="1"/>
  <c r="I20" s="1"/>
  <c r="I22" s="1"/>
  <c r="J14" s="1"/>
  <c r="H24"/>
  <c r="I16" i="3" s="1"/>
  <c r="I10" i="17"/>
  <c r="J55" i="3" s="1"/>
  <c r="J18"/>
  <c r="J15" i="19" s="1"/>
  <c r="J57" s="1"/>
  <c r="J5" i="17"/>
  <c r="J6" s="1"/>
  <c r="J7" s="1"/>
  <c r="J8" s="1"/>
  <c r="L15" i="3"/>
  <c r="L14" i="19" s="1"/>
  <c r="L56" s="1"/>
  <c r="M26" i="3"/>
  <c r="M62"/>
  <c r="N47"/>
  <c r="O8"/>
  <c r="J17"/>
  <c r="J9" i="19" s="1"/>
  <c r="J20" i="4"/>
  <c r="M13" i="3"/>
  <c r="N11"/>
  <c r="N25" i="19" s="1"/>
  <c r="N68" s="1"/>
  <c r="G30" i="3"/>
  <c r="G41"/>
  <c r="H28"/>
  <c r="I50"/>
  <c r="I66" s="1"/>
  <c r="I29"/>
  <c r="D21"/>
  <c r="D22" s="1"/>
  <c r="D49" s="1"/>
  <c r="D42"/>
  <c r="D37"/>
  <c r="D38" s="1"/>
  <c r="E33"/>
  <c r="E34" s="1"/>
  <c r="E53"/>
  <c r="G38" i="4"/>
  <c r="H36" s="1"/>
  <c r="H37" s="1"/>
  <c r="I21"/>
  <c r="J19" s="1"/>
  <c r="J11" i="19" l="1"/>
  <c r="J51"/>
  <c r="J53" s="1"/>
  <c r="H17"/>
  <c r="H21" s="1"/>
  <c r="H58"/>
  <c r="H59" s="1"/>
  <c r="H64" s="1"/>
  <c r="F22"/>
  <c r="F23" s="1"/>
  <c r="F26" s="1"/>
  <c r="F28" s="1"/>
  <c r="F62"/>
  <c r="F65" s="1"/>
  <c r="F66" s="1"/>
  <c r="F69" s="1"/>
  <c r="F71" s="1"/>
  <c r="D22"/>
  <c r="D23" s="1"/>
  <c r="D26" s="1"/>
  <c r="D28" s="1"/>
  <c r="D62"/>
  <c r="D65" s="1"/>
  <c r="D66" s="1"/>
  <c r="D69" s="1"/>
  <c r="D71" s="1"/>
  <c r="E19"/>
  <c r="R27"/>
  <c r="Q40"/>
  <c r="Q41" s="1"/>
  <c r="G31" i="3"/>
  <c r="F44" i="4"/>
  <c r="G42" s="1"/>
  <c r="G43" s="1"/>
  <c r="G44" s="1"/>
  <c r="H42" s="1"/>
  <c r="H43" s="1"/>
  <c r="H44" s="1"/>
  <c r="I42" s="1"/>
  <c r="I43" s="1"/>
  <c r="I44" s="1"/>
  <c r="J42" s="1"/>
  <c r="I52" i="3"/>
  <c r="I68" s="1"/>
  <c r="I16" i="19"/>
  <c r="I19" i="3"/>
  <c r="I20" s="1"/>
  <c r="I28" s="1"/>
  <c r="G32"/>
  <c r="G53" s="1"/>
  <c r="J16" i="10"/>
  <c r="J18" s="1"/>
  <c r="J20" s="1"/>
  <c r="J22" s="1"/>
  <c r="K14" s="1"/>
  <c r="I24"/>
  <c r="J16" i="3" s="1"/>
  <c r="D54"/>
  <c r="D56" s="1"/>
  <c r="D57" s="1"/>
  <c r="J21" i="4"/>
  <c r="K19" s="1"/>
  <c r="J10" i="17"/>
  <c r="K55" i="3" s="1"/>
  <c r="K18"/>
  <c r="K15" i="19" s="1"/>
  <c r="K57" s="1"/>
  <c r="H38" i="4"/>
  <c r="I36" s="1"/>
  <c r="I37" s="1"/>
  <c r="K5" i="17"/>
  <c r="K6" s="1"/>
  <c r="K7" s="1"/>
  <c r="K8" s="1"/>
  <c r="M15" i="3"/>
  <c r="M14" i="19" s="1"/>
  <c r="M56" s="1"/>
  <c r="O47" i="3"/>
  <c r="P8"/>
  <c r="N62"/>
  <c r="N26"/>
  <c r="H30"/>
  <c r="H41"/>
  <c r="J50"/>
  <c r="J66" s="1"/>
  <c r="J29"/>
  <c r="E37"/>
  <c r="E38" s="1"/>
  <c r="E39" s="1"/>
  <c r="E40" s="1"/>
  <c r="F33"/>
  <c r="F34" s="1"/>
  <c r="D64"/>
  <c r="D69" s="1"/>
  <c r="N13"/>
  <c r="O11"/>
  <c r="O25" i="19" s="1"/>
  <c r="O68" s="1"/>
  <c r="K20" i="4"/>
  <c r="K17" i="3"/>
  <c r="K9" i="19" s="1"/>
  <c r="K11" l="1"/>
  <c r="K51"/>
  <c r="K53" s="1"/>
  <c r="I17"/>
  <c r="I21" s="1"/>
  <c r="I58"/>
  <c r="I59" s="1"/>
  <c r="I64" s="1"/>
  <c r="E22"/>
  <c r="E23" s="1"/>
  <c r="E26" s="1"/>
  <c r="E28" s="1"/>
  <c r="E62"/>
  <c r="E65" s="1"/>
  <c r="E66" s="1"/>
  <c r="E69" s="1"/>
  <c r="E71" s="1"/>
  <c r="G19"/>
  <c r="S27"/>
  <c r="R40"/>
  <c r="R41" s="1"/>
  <c r="I31" i="3"/>
  <c r="H31"/>
  <c r="J52"/>
  <c r="J68" s="1"/>
  <c r="J16" i="19"/>
  <c r="J19" i="3"/>
  <c r="J20" s="1"/>
  <c r="J28" s="1"/>
  <c r="J41" s="1"/>
  <c r="H32"/>
  <c r="H53" s="1"/>
  <c r="K16" i="10"/>
  <c r="K18" s="1"/>
  <c r="K20" s="1"/>
  <c r="K22" s="1"/>
  <c r="L14" s="1"/>
  <c r="J24"/>
  <c r="K16" i="3" s="1"/>
  <c r="J43" i="4"/>
  <c r="J44" s="1"/>
  <c r="K42" s="1"/>
  <c r="I38"/>
  <c r="J36" s="1"/>
  <c r="J37" s="1"/>
  <c r="K10" i="17"/>
  <c r="L55" i="3" s="1"/>
  <c r="L18"/>
  <c r="L15" i="19" s="1"/>
  <c r="L57" s="1"/>
  <c r="L5" i="17"/>
  <c r="L6" s="1"/>
  <c r="L7" s="1"/>
  <c r="L8" s="1"/>
  <c r="N15" i="3"/>
  <c r="N14" i="19" s="1"/>
  <c r="N56" s="1"/>
  <c r="O62" i="3"/>
  <c r="O26"/>
  <c r="P47"/>
  <c r="Q8"/>
  <c r="E21"/>
  <c r="E22" s="1"/>
  <c r="E49" s="1"/>
  <c r="E42"/>
  <c r="K50"/>
  <c r="K66" s="1"/>
  <c r="K29"/>
  <c r="O13"/>
  <c r="P11"/>
  <c r="P25" i="19" s="1"/>
  <c r="P68" s="1"/>
  <c r="F37" i="3"/>
  <c r="F38" s="1"/>
  <c r="F39" s="1"/>
  <c r="F40" s="1"/>
  <c r="G33"/>
  <c r="G34" s="1"/>
  <c r="L20" i="4"/>
  <c r="L17" i="3"/>
  <c r="L9" i="19" s="1"/>
  <c r="J30" i="3"/>
  <c r="I30"/>
  <c r="I32" s="1"/>
  <c r="I41"/>
  <c r="J31"/>
  <c r="K21" i="4"/>
  <c r="L19" s="1"/>
  <c r="L11" i="19" l="1"/>
  <c r="L51"/>
  <c r="L53" s="1"/>
  <c r="J17"/>
  <c r="J21" s="1"/>
  <c r="J58"/>
  <c r="J59" s="1"/>
  <c r="J64" s="1"/>
  <c r="G22"/>
  <c r="G23" s="1"/>
  <c r="G26" s="1"/>
  <c r="G28" s="1"/>
  <c r="G62"/>
  <c r="G65" s="1"/>
  <c r="G66" s="1"/>
  <c r="G69" s="1"/>
  <c r="G71" s="1"/>
  <c r="H19"/>
  <c r="T27"/>
  <c r="S40"/>
  <c r="S41" s="1"/>
  <c r="K52" i="3"/>
  <c r="K68" s="1"/>
  <c r="K16" i="19"/>
  <c r="K24" i="10"/>
  <c r="L16" i="3" s="1"/>
  <c r="L19" s="1"/>
  <c r="L20" s="1"/>
  <c r="L16" i="10"/>
  <c r="L18" s="1"/>
  <c r="L20" s="1"/>
  <c r="L22" s="1"/>
  <c r="M14" s="1"/>
  <c r="K19" i="3"/>
  <c r="K20" s="1"/>
  <c r="K28" s="1"/>
  <c r="K44" i="4"/>
  <c r="L42" s="1"/>
  <c r="K43"/>
  <c r="E54" i="3"/>
  <c r="E56" s="1"/>
  <c r="E57" s="1"/>
  <c r="L10" i="17"/>
  <c r="M55" i="3" s="1"/>
  <c r="M18"/>
  <c r="M15" i="19" s="1"/>
  <c r="M57" s="1"/>
  <c r="M5" i="17"/>
  <c r="M6" s="1"/>
  <c r="M7" s="1"/>
  <c r="M8" s="1"/>
  <c r="O15" i="3"/>
  <c r="O14" i="19" s="1"/>
  <c r="O56" s="1"/>
  <c r="P26" i="3"/>
  <c r="P62"/>
  <c r="R8"/>
  <c r="Q47"/>
  <c r="J32"/>
  <c r="J53" s="1"/>
  <c r="F42"/>
  <c r="F21"/>
  <c r="F22" s="1"/>
  <c r="F49" s="1"/>
  <c r="K31"/>
  <c r="Q11"/>
  <c r="Q25" i="19" s="1"/>
  <c r="Q68" s="1"/>
  <c r="P13" i="3"/>
  <c r="I53"/>
  <c r="L50"/>
  <c r="L66" s="1"/>
  <c r="L29"/>
  <c r="G37"/>
  <c r="G38" s="1"/>
  <c r="G39" s="1"/>
  <c r="G40" s="1"/>
  <c r="H33"/>
  <c r="H34" s="1"/>
  <c r="E64"/>
  <c r="E69" s="1"/>
  <c r="J38" i="4"/>
  <c r="K36" s="1"/>
  <c r="K37" s="1"/>
  <c r="L21"/>
  <c r="M19" s="1"/>
  <c r="M20"/>
  <c r="M17" i="3"/>
  <c r="M9" i="19" s="1"/>
  <c r="M11" l="1"/>
  <c r="M51"/>
  <c r="M53" s="1"/>
  <c r="K17"/>
  <c r="K21" s="1"/>
  <c r="K58"/>
  <c r="K59" s="1"/>
  <c r="K64" s="1"/>
  <c r="H22"/>
  <c r="H23" s="1"/>
  <c r="H26" s="1"/>
  <c r="H28" s="1"/>
  <c r="H62"/>
  <c r="H65" s="1"/>
  <c r="H66" s="1"/>
  <c r="H69" s="1"/>
  <c r="H71" s="1"/>
  <c r="I19"/>
  <c r="J19"/>
  <c r="U27"/>
  <c r="T40"/>
  <c r="T41" s="1"/>
  <c r="L52" i="3"/>
  <c r="L68" s="1"/>
  <c r="L16" i="19"/>
  <c r="M16" i="10"/>
  <c r="M18" s="1"/>
  <c r="M20" s="1"/>
  <c r="M22" s="1"/>
  <c r="L24"/>
  <c r="M16" i="3" s="1"/>
  <c r="L43" i="4"/>
  <c r="L44" s="1"/>
  <c r="M42" s="1"/>
  <c r="F54" i="3"/>
  <c r="F56" s="1"/>
  <c r="F57" s="1"/>
  <c r="M10" i="17"/>
  <c r="N55" i="3" s="1"/>
  <c r="N18"/>
  <c r="N15" i="19" s="1"/>
  <c r="N57" s="1"/>
  <c r="N5" i="17"/>
  <c r="N6" s="1"/>
  <c r="N7" s="1"/>
  <c r="N8" s="1"/>
  <c r="P15" i="3"/>
  <c r="P14" i="19" s="1"/>
  <c r="P56" s="1"/>
  <c r="S8" i="3"/>
  <c r="R47"/>
  <c r="Q26"/>
  <c r="Q62"/>
  <c r="K38" i="4"/>
  <c r="L36" s="1"/>
  <c r="L37" s="1"/>
  <c r="G21" i="3"/>
  <c r="G22" s="1"/>
  <c r="G49" s="1"/>
  <c r="G42"/>
  <c r="N20" i="4"/>
  <c r="N17" i="3"/>
  <c r="N9" i="19" s="1"/>
  <c r="K30" i="3"/>
  <c r="K32" s="1"/>
  <c r="K41"/>
  <c r="F64"/>
  <c r="F69" s="1"/>
  <c r="M29"/>
  <c r="M50"/>
  <c r="M66" s="1"/>
  <c r="L28"/>
  <c r="L31"/>
  <c r="M21" i="4"/>
  <c r="N19" s="1"/>
  <c r="I33" i="3"/>
  <c r="I34" s="1"/>
  <c r="H37"/>
  <c r="H38" s="1"/>
  <c r="H39" s="1"/>
  <c r="H40" s="1"/>
  <c r="Q13"/>
  <c r="R11"/>
  <c r="R25" i="19" s="1"/>
  <c r="R68" s="1"/>
  <c r="L17" l="1"/>
  <c r="L21" s="1"/>
  <c r="L58"/>
  <c r="L59" s="1"/>
  <c r="L64" s="1"/>
  <c r="J22"/>
  <c r="J23" s="1"/>
  <c r="J26" s="1"/>
  <c r="J28" s="1"/>
  <c r="J62"/>
  <c r="J65" s="1"/>
  <c r="J66" s="1"/>
  <c r="J69" s="1"/>
  <c r="J71" s="1"/>
  <c r="N11"/>
  <c r="N51"/>
  <c r="N53" s="1"/>
  <c r="I22"/>
  <c r="I23" s="1"/>
  <c r="I26" s="1"/>
  <c r="I28" s="1"/>
  <c r="I62"/>
  <c r="I65" s="1"/>
  <c r="I66" s="1"/>
  <c r="I69" s="1"/>
  <c r="I71" s="1"/>
  <c r="V27"/>
  <c r="U40"/>
  <c r="U41" s="1"/>
  <c r="M52" i="3"/>
  <c r="M68" s="1"/>
  <c r="M16" i="19"/>
  <c r="N21" i="4"/>
  <c r="O19" s="1"/>
  <c r="M19" i="3"/>
  <c r="M20" s="1"/>
  <c r="M28" s="1"/>
  <c r="M24" i="10"/>
  <c r="N16" i="3" s="1"/>
  <c r="M43" i="4"/>
  <c r="M44" s="1"/>
  <c r="N42" s="1"/>
  <c r="G54" i="3"/>
  <c r="G56" s="1"/>
  <c r="G57" s="1"/>
  <c r="N10" i="17"/>
  <c r="O55" i="3" s="1"/>
  <c r="O18"/>
  <c r="O15" i="19" s="1"/>
  <c r="O5" i="17"/>
  <c r="O6" s="1"/>
  <c r="O7" s="1"/>
  <c r="O8" s="1"/>
  <c r="Q15" i="3"/>
  <c r="Q14" i="19" s="1"/>
  <c r="Q56" s="1"/>
  <c r="T8" i="3"/>
  <c r="S47"/>
  <c r="L38" i="4"/>
  <c r="M36" s="1"/>
  <c r="M37" s="1"/>
  <c r="N31" i="3" s="1"/>
  <c r="R26"/>
  <c r="R62"/>
  <c r="H21"/>
  <c r="H22" s="1"/>
  <c r="H49" s="1"/>
  <c r="H42"/>
  <c r="R13"/>
  <c r="S11"/>
  <c r="S25" i="19" s="1"/>
  <c r="S68" s="1"/>
  <c r="I37" i="3"/>
  <c r="I38" s="1"/>
  <c r="I39" s="1"/>
  <c r="I40" s="1"/>
  <c r="J33"/>
  <c r="J34" s="1"/>
  <c r="M31"/>
  <c r="K53"/>
  <c r="O20" i="4"/>
  <c r="O17" i="3"/>
  <c r="O9" i="19" s="1"/>
  <c r="G64" i="3"/>
  <c r="G69" s="1"/>
  <c r="L41"/>
  <c r="L30"/>
  <c r="L32" s="1"/>
  <c r="N29"/>
  <c r="N50"/>
  <c r="N66" s="1"/>
  <c r="O17" i="19" l="1"/>
  <c r="O57"/>
  <c r="O59" s="1"/>
  <c r="O11"/>
  <c r="O21" s="1"/>
  <c r="O51"/>
  <c r="O53" s="1"/>
  <c r="O64" s="1"/>
  <c r="M17"/>
  <c r="M21" s="1"/>
  <c r="M58"/>
  <c r="M59" s="1"/>
  <c r="M64" s="1"/>
  <c r="K19"/>
  <c r="W27"/>
  <c r="V40"/>
  <c r="V41" s="1"/>
  <c r="N52" i="3"/>
  <c r="N68" s="1"/>
  <c r="N16" i="19"/>
  <c r="N19" i="3"/>
  <c r="N20" s="1"/>
  <c r="N28" s="1"/>
  <c r="N43" i="4"/>
  <c r="H54" i="3"/>
  <c r="H56" s="1"/>
  <c r="H57" s="1"/>
  <c r="O10" i="17"/>
  <c r="P55" i="3" s="1"/>
  <c r="P18"/>
  <c r="P15" i="19" s="1"/>
  <c r="M38" i="4"/>
  <c r="N36" s="1"/>
  <c r="O19" i="3"/>
  <c r="O20" s="1"/>
  <c r="P5" i="17"/>
  <c r="P6" s="1"/>
  <c r="P7" s="1"/>
  <c r="P8" s="1"/>
  <c r="R15" i="3"/>
  <c r="R14" i="19" s="1"/>
  <c r="R56" s="1"/>
  <c r="U8" i="3"/>
  <c r="T47"/>
  <c r="S26"/>
  <c r="S62"/>
  <c r="P17"/>
  <c r="P9" i="19" s="1"/>
  <c r="P20" i="4"/>
  <c r="I42" i="3"/>
  <c r="I21"/>
  <c r="I22" s="1"/>
  <c r="I49" s="1"/>
  <c r="H64"/>
  <c r="H69" s="1"/>
  <c r="L53"/>
  <c r="O50"/>
  <c r="O66" s="1"/>
  <c r="O29"/>
  <c r="M30"/>
  <c r="M32" s="1"/>
  <c r="M41"/>
  <c r="J37"/>
  <c r="J38" s="1"/>
  <c r="J39" s="1"/>
  <c r="J40" s="1"/>
  <c r="K33"/>
  <c r="K34" s="1"/>
  <c r="S13"/>
  <c r="T11"/>
  <c r="T25" i="19" s="1"/>
  <c r="T68" s="1"/>
  <c r="O21" i="4"/>
  <c r="P19" s="1"/>
  <c r="P21" s="1"/>
  <c r="Q19" s="1"/>
  <c r="P11" i="19" l="1"/>
  <c r="P51"/>
  <c r="P53" s="1"/>
  <c r="N17"/>
  <c r="N21" s="1"/>
  <c r="N58"/>
  <c r="N59" s="1"/>
  <c r="N64" s="1"/>
  <c r="P17"/>
  <c r="P57"/>
  <c r="P59" s="1"/>
  <c r="K22"/>
  <c r="K23" s="1"/>
  <c r="K26" s="1"/>
  <c r="K28" s="1"/>
  <c r="K62"/>
  <c r="K65" s="1"/>
  <c r="K66" s="1"/>
  <c r="K69" s="1"/>
  <c r="K71" s="1"/>
  <c r="L19"/>
  <c r="P21"/>
  <c r="W40"/>
  <c r="N37" i="4"/>
  <c r="N38" s="1"/>
  <c r="O36" s="1"/>
  <c r="N44"/>
  <c r="O42" s="1"/>
  <c r="I54" i="3"/>
  <c r="I56" s="1"/>
  <c r="I57" s="1"/>
  <c r="P10" i="17"/>
  <c r="Q55" i="3" s="1"/>
  <c r="Q18"/>
  <c r="Q15" i="19" s="1"/>
  <c r="P19" i="3"/>
  <c r="Q5" i="17"/>
  <c r="Q6" s="1"/>
  <c r="Q7" s="1"/>
  <c r="Q8" s="1"/>
  <c r="S15" i="3"/>
  <c r="S14" i="19" s="1"/>
  <c r="S56" s="1"/>
  <c r="V8" i="3"/>
  <c r="U47"/>
  <c r="T26"/>
  <c r="T62"/>
  <c r="J21"/>
  <c r="J22" s="1"/>
  <c r="J49" s="1"/>
  <c r="J42"/>
  <c r="T13"/>
  <c r="U11"/>
  <c r="U25" i="19" s="1"/>
  <c r="U68" s="1"/>
  <c r="K37" i="3"/>
  <c r="K38" s="1"/>
  <c r="K39" s="1"/>
  <c r="K40" s="1"/>
  <c r="L33"/>
  <c r="L34" s="1"/>
  <c r="M53"/>
  <c r="M19" i="19" s="1"/>
  <c r="P29" i="3"/>
  <c r="P50"/>
  <c r="P66" s="1"/>
  <c r="P20"/>
  <c r="N30"/>
  <c r="N32" s="1"/>
  <c r="N41"/>
  <c r="O28"/>
  <c r="I64"/>
  <c r="I69" s="1"/>
  <c r="Q17"/>
  <c r="Q20" i="4"/>
  <c r="Q21" s="1"/>
  <c r="R19" s="1"/>
  <c r="M22" i="19" l="1"/>
  <c r="M23" s="1"/>
  <c r="M26" s="1"/>
  <c r="M28" s="1"/>
  <c r="M62"/>
  <c r="M65" s="1"/>
  <c r="M66" s="1"/>
  <c r="M69" s="1"/>
  <c r="M71" s="1"/>
  <c r="Q17"/>
  <c r="Q57"/>
  <c r="Q59" s="1"/>
  <c r="L22"/>
  <c r="L23" s="1"/>
  <c r="L26" s="1"/>
  <c r="L28" s="1"/>
  <c r="L62"/>
  <c r="L65" s="1"/>
  <c r="L66" s="1"/>
  <c r="L69" s="1"/>
  <c r="L71" s="1"/>
  <c r="P64"/>
  <c r="W41"/>
  <c r="C42" s="1"/>
  <c r="C43" s="1"/>
  <c r="Q19" i="3"/>
  <c r="Q9" i="19"/>
  <c r="O37" i="4"/>
  <c r="O38" s="1"/>
  <c r="P36" s="1"/>
  <c r="O31" i="3"/>
  <c r="O43" i="4"/>
  <c r="P31" i="3" s="1"/>
  <c r="J54"/>
  <c r="J56" s="1"/>
  <c r="J57" s="1"/>
  <c r="Q10" i="17"/>
  <c r="R55" i="3" s="1"/>
  <c r="R18"/>
  <c r="R15" i="19" s="1"/>
  <c r="R5" i="17"/>
  <c r="R6" s="1"/>
  <c r="R7" s="1"/>
  <c r="R8" s="1"/>
  <c r="T15" i="3"/>
  <c r="T14" i="19" s="1"/>
  <c r="T56" s="1"/>
  <c r="W8" i="3"/>
  <c r="W47" s="1"/>
  <c r="V47"/>
  <c r="U26"/>
  <c r="U62"/>
  <c r="Q50"/>
  <c r="Q66" s="1"/>
  <c r="Q29"/>
  <c r="Q20"/>
  <c r="O30"/>
  <c r="O32" s="1"/>
  <c r="O41"/>
  <c r="N53"/>
  <c r="N19" i="19" s="1"/>
  <c r="K42" i="3"/>
  <c r="K21"/>
  <c r="K22" s="1"/>
  <c r="K49" s="1"/>
  <c r="J64"/>
  <c r="J69" s="1"/>
  <c r="R17"/>
  <c r="R9" i="19" s="1"/>
  <c r="R20" i="4"/>
  <c r="P28" i="3"/>
  <c r="L37"/>
  <c r="L38" s="1"/>
  <c r="L39" s="1"/>
  <c r="L40" s="1"/>
  <c r="M33"/>
  <c r="M34" s="1"/>
  <c r="U13"/>
  <c r="V11"/>
  <c r="V25" i="19" s="1"/>
  <c r="V68" s="1"/>
  <c r="R21" i="4"/>
  <c r="S19" s="1"/>
  <c r="R11" i="19" l="1"/>
  <c r="R51"/>
  <c r="R53" s="1"/>
  <c r="N22"/>
  <c r="N23" s="1"/>
  <c r="N26" s="1"/>
  <c r="N28" s="1"/>
  <c r="N62"/>
  <c r="N65" s="1"/>
  <c r="N66" s="1"/>
  <c r="N69" s="1"/>
  <c r="N71" s="1"/>
  <c r="R17"/>
  <c r="R57"/>
  <c r="R59" s="1"/>
  <c r="Q11"/>
  <c r="Q51"/>
  <c r="Q53" s="1"/>
  <c r="Q64" s="1"/>
  <c r="R21"/>
  <c r="Q21"/>
  <c r="P37" i="4"/>
  <c r="P38" s="1"/>
  <c r="Q36" s="1"/>
  <c r="R19" i="3"/>
  <c r="R20" s="1"/>
  <c r="O44" i="4"/>
  <c r="P42" s="1"/>
  <c r="K54" i="3"/>
  <c r="K56" s="1"/>
  <c r="K57" s="1"/>
  <c r="R10" i="17"/>
  <c r="S55" i="3" s="1"/>
  <c r="S18"/>
  <c r="S15" i="19" s="1"/>
  <c r="S5" i="17"/>
  <c r="S6" s="1"/>
  <c r="S7" s="1"/>
  <c r="S8" s="1"/>
  <c r="U15" i="3"/>
  <c r="U14" i="19" s="1"/>
  <c r="U56" s="1"/>
  <c r="W26" i="3"/>
  <c r="W62"/>
  <c r="V62"/>
  <c r="V26"/>
  <c r="L21"/>
  <c r="L22" s="1"/>
  <c r="L49" s="1"/>
  <c r="L42"/>
  <c r="W11"/>
  <c r="V13"/>
  <c r="N33"/>
  <c r="N34" s="1"/>
  <c r="M37"/>
  <c r="M38" s="1"/>
  <c r="M39" s="1"/>
  <c r="M40" s="1"/>
  <c r="P41"/>
  <c r="P30"/>
  <c r="P32" s="1"/>
  <c r="R50"/>
  <c r="R66" s="1"/>
  <c r="R29"/>
  <c r="Q28"/>
  <c r="S20" i="4"/>
  <c r="S17" i="3"/>
  <c r="S9" i="19" s="1"/>
  <c r="K64" i="3"/>
  <c r="K69" s="1"/>
  <c r="O53"/>
  <c r="O19" i="19" s="1"/>
  <c r="S17" l="1"/>
  <c r="S57"/>
  <c r="S59" s="1"/>
  <c r="O22"/>
  <c r="O23" s="1"/>
  <c r="O26" s="1"/>
  <c r="O28" s="1"/>
  <c r="O62"/>
  <c r="O65" s="1"/>
  <c r="O66" s="1"/>
  <c r="O69" s="1"/>
  <c r="O71" s="1"/>
  <c r="S11"/>
  <c r="S51"/>
  <c r="S53" s="1"/>
  <c r="S64" s="1"/>
  <c r="R64"/>
  <c r="S21"/>
  <c r="W13" i="3"/>
  <c r="W25" i="19"/>
  <c r="W68" s="1"/>
  <c r="Q37" i="4"/>
  <c r="Q38" s="1"/>
  <c r="R36" s="1"/>
  <c r="P43"/>
  <c r="Q31" i="3" s="1"/>
  <c r="L54"/>
  <c r="L56" s="1"/>
  <c r="L57" s="1"/>
  <c r="S19"/>
  <c r="S20" s="1"/>
  <c r="S10" i="17"/>
  <c r="T55" i="3" s="1"/>
  <c r="T18"/>
  <c r="T15" i="19" s="1"/>
  <c r="T5" i="17"/>
  <c r="T6" s="1"/>
  <c r="T7" s="1"/>
  <c r="T8" s="1"/>
  <c r="V15" i="3"/>
  <c r="V14" i="19" s="1"/>
  <c r="V56" s="1"/>
  <c r="T20" i="4"/>
  <c r="T17" i="3"/>
  <c r="T9" i="19" s="1"/>
  <c r="Q30" i="3"/>
  <c r="Q32" s="1"/>
  <c r="Q41"/>
  <c r="P53"/>
  <c r="P19" i="19" s="1"/>
  <c r="M21" i="3"/>
  <c r="M22" s="1"/>
  <c r="M49" s="1"/>
  <c r="M42"/>
  <c r="N37"/>
  <c r="N38" s="1"/>
  <c r="N39" s="1"/>
  <c r="N40" s="1"/>
  <c r="O33"/>
  <c r="O34" s="1"/>
  <c r="L64"/>
  <c r="L69" s="1"/>
  <c r="S29"/>
  <c r="S50"/>
  <c r="S66" s="1"/>
  <c r="R28"/>
  <c r="S21" i="4"/>
  <c r="T19" s="1"/>
  <c r="T11" i="19" l="1"/>
  <c r="T51"/>
  <c r="T53" s="1"/>
  <c r="T17"/>
  <c r="T57"/>
  <c r="T59" s="1"/>
  <c r="P22"/>
  <c r="P23" s="1"/>
  <c r="P26" s="1"/>
  <c r="P28" s="1"/>
  <c r="P62"/>
  <c r="P65" s="1"/>
  <c r="P66" s="1"/>
  <c r="P69" s="1"/>
  <c r="P71" s="1"/>
  <c r="T21"/>
  <c r="R37" i="4"/>
  <c r="R38" s="1"/>
  <c r="S36" s="1"/>
  <c r="P44"/>
  <c r="Q42" s="1"/>
  <c r="M54" i="3"/>
  <c r="M56" s="1"/>
  <c r="M57" s="1"/>
  <c r="T10" i="17"/>
  <c r="U55" i="3" s="1"/>
  <c r="U18"/>
  <c r="U15" i="19" s="1"/>
  <c r="T19" i="3"/>
  <c r="T20" s="1"/>
  <c r="U5" i="17"/>
  <c r="U6" s="1"/>
  <c r="U7" s="1"/>
  <c r="U8" s="1"/>
  <c r="W15" i="3"/>
  <c r="W14" i="19" s="1"/>
  <c r="W56" s="1"/>
  <c r="T21" i="4"/>
  <c r="U19" s="1"/>
  <c r="S28" i="3"/>
  <c r="N21"/>
  <c r="N22" s="1"/>
  <c r="N49" s="1"/>
  <c r="N42"/>
  <c r="Q53"/>
  <c r="Q19" i="19" s="1"/>
  <c r="U20" i="4"/>
  <c r="U21" s="1"/>
  <c r="V19" s="1"/>
  <c r="U17" i="3"/>
  <c r="U9" i="19" s="1"/>
  <c r="R30" i="3"/>
  <c r="R41"/>
  <c r="P33"/>
  <c r="P34" s="1"/>
  <c r="O37"/>
  <c r="O38" s="1"/>
  <c r="O39" s="1"/>
  <c r="O40" s="1"/>
  <c r="M64"/>
  <c r="M69" s="1"/>
  <c r="T50"/>
  <c r="T66" s="1"/>
  <c r="T29"/>
  <c r="U11" i="19" l="1"/>
  <c r="U51"/>
  <c r="U53" s="1"/>
  <c r="Q22"/>
  <c r="Q23" s="1"/>
  <c r="Q26" s="1"/>
  <c r="Q28" s="1"/>
  <c r="Q62"/>
  <c r="Q65" s="1"/>
  <c r="Q66" s="1"/>
  <c r="Q69" s="1"/>
  <c r="Q71" s="1"/>
  <c r="U17"/>
  <c r="U57"/>
  <c r="U59" s="1"/>
  <c r="T64"/>
  <c r="U21"/>
  <c r="S37" i="4"/>
  <c r="S38" s="1"/>
  <c r="T36" s="1"/>
  <c r="Q43"/>
  <c r="R31" i="3" s="1"/>
  <c r="R32" s="1"/>
  <c r="R53" s="1"/>
  <c r="R19" i="19" s="1"/>
  <c r="N54" i="3"/>
  <c r="N56" s="1"/>
  <c r="N57" s="1"/>
  <c r="V5" i="17"/>
  <c r="V6" s="1"/>
  <c r="V7" s="1"/>
  <c r="V8" s="1"/>
  <c r="W18" i="3" s="1"/>
  <c r="W15" i="19" s="1"/>
  <c r="U10" i="17"/>
  <c r="V55" i="3" s="1"/>
  <c r="V18"/>
  <c r="V15" i="19" s="1"/>
  <c r="U19" i="3"/>
  <c r="U20" s="1"/>
  <c r="O21"/>
  <c r="O22" s="1"/>
  <c r="O49" s="1"/>
  <c r="O42"/>
  <c r="T28"/>
  <c r="U50"/>
  <c r="U66" s="1"/>
  <c r="U29"/>
  <c r="N64"/>
  <c r="N69" s="1"/>
  <c r="S30"/>
  <c r="S41"/>
  <c r="P37"/>
  <c r="P38" s="1"/>
  <c r="P39" s="1"/>
  <c r="P40" s="1"/>
  <c r="Q33"/>
  <c r="Q34" s="1"/>
  <c r="V20" i="4"/>
  <c r="W17" i="3" s="1"/>
  <c r="W9" i="19" s="1"/>
  <c r="V17" i="3"/>
  <c r="V9" i="19" s="1"/>
  <c r="V21" i="4"/>
  <c r="W51" i="3" s="1"/>
  <c r="V11" i="19" l="1"/>
  <c r="V51"/>
  <c r="V53" s="1"/>
  <c r="W11"/>
  <c r="W51"/>
  <c r="W53" s="1"/>
  <c r="V17"/>
  <c r="V57"/>
  <c r="V59" s="1"/>
  <c r="W17"/>
  <c r="W57"/>
  <c r="W59" s="1"/>
  <c r="R22"/>
  <c r="R23" s="1"/>
  <c r="R26" s="1"/>
  <c r="R28" s="1"/>
  <c r="R62"/>
  <c r="R65" s="1"/>
  <c r="R66" s="1"/>
  <c r="R69" s="1"/>
  <c r="R71" s="1"/>
  <c r="U64"/>
  <c r="V21"/>
  <c r="W67" i="3"/>
  <c r="W18" i="19"/>
  <c r="W60" s="1"/>
  <c r="W21"/>
  <c r="T37" i="4"/>
  <c r="T38" s="1"/>
  <c r="U36" s="1"/>
  <c r="Q44"/>
  <c r="R42" s="1"/>
  <c r="V10" i="17"/>
  <c r="W55" i="3" s="1"/>
  <c r="O54"/>
  <c r="O56" s="1"/>
  <c r="O57" s="1"/>
  <c r="W19"/>
  <c r="W20" s="1"/>
  <c r="V19"/>
  <c r="V20" s="1"/>
  <c r="V50"/>
  <c r="V66" s="1"/>
  <c r="V29"/>
  <c r="P21"/>
  <c r="P22" s="1"/>
  <c r="P49" s="1"/>
  <c r="P42"/>
  <c r="U28"/>
  <c r="T30"/>
  <c r="T41"/>
  <c r="O64"/>
  <c r="O69" s="1"/>
  <c r="W29"/>
  <c r="W50"/>
  <c r="W66" s="1"/>
  <c r="Q37"/>
  <c r="Q38" s="1"/>
  <c r="Q39" s="1"/>
  <c r="Q40" s="1"/>
  <c r="R33"/>
  <c r="R34" s="1"/>
  <c r="W64" i="19" l="1"/>
  <c r="V64"/>
  <c r="U37" i="4"/>
  <c r="U38" s="1"/>
  <c r="V36" s="1"/>
  <c r="R43"/>
  <c r="S31" i="3" s="1"/>
  <c r="S32" s="1"/>
  <c r="S53" s="1"/>
  <c r="S19" i="19" s="1"/>
  <c r="P54" i="3"/>
  <c r="P56" s="1"/>
  <c r="P57" s="1"/>
  <c r="Q21"/>
  <c r="Q22" s="1"/>
  <c r="Q49" s="1"/>
  <c r="Q42"/>
  <c r="R37"/>
  <c r="R38" s="1"/>
  <c r="R39" s="1"/>
  <c r="R40" s="1"/>
  <c r="S33"/>
  <c r="V28"/>
  <c r="W28"/>
  <c r="U41"/>
  <c r="U30"/>
  <c r="P64"/>
  <c r="P69" s="1"/>
  <c r="S22" i="19" l="1"/>
  <c r="S23" s="1"/>
  <c r="S26" s="1"/>
  <c r="S28" s="1"/>
  <c r="S62"/>
  <c r="S65" s="1"/>
  <c r="S66" s="1"/>
  <c r="S69" s="1"/>
  <c r="S71" s="1"/>
  <c r="V37" i="4"/>
  <c r="V38" s="1"/>
  <c r="S34" i="3"/>
  <c r="S37" s="1"/>
  <c r="S38" s="1"/>
  <c r="S39" s="1"/>
  <c r="S40" s="1"/>
  <c r="R44" i="4"/>
  <c r="S42" s="1"/>
  <c r="Q54" i="3"/>
  <c r="Q56" s="1"/>
  <c r="Q57" s="1"/>
  <c r="R21"/>
  <c r="R22" s="1"/>
  <c r="R49" s="1"/>
  <c r="R42"/>
  <c r="Q64"/>
  <c r="Q69" s="1"/>
  <c r="W30"/>
  <c r="W41"/>
  <c r="V30"/>
  <c r="V41"/>
  <c r="T33" l="1"/>
  <c r="S43" i="4"/>
  <c r="T31" i="3" s="1"/>
  <c r="T32" s="1"/>
  <c r="T53" s="1"/>
  <c r="T19" i="19" s="1"/>
  <c r="R54" i="3"/>
  <c r="R56" s="1"/>
  <c r="R57" s="1"/>
  <c r="S21"/>
  <c r="S22" s="1"/>
  <c r="S49" s="1"/>
  <c r="S42"/>
  <c r="R64"/>
  <c r="R69" s="1"/>
  <c r="T22" i="19" l="1"/>
  <c r="T23" s="1"/>
  <c r="T26" s="1"/>
  <c r="T28" s="1"/>
  <c r="T62"/>
  <c r="T65" s="1"/>
  <c r="T66" s="1"/>
  <c r="T69" s="1"/>
  <c r="T71" s="1"/>
  <c r="T34" i="3"/>
  <c r="S44" i="4"/>
  <c r="T42" s="1"/>
  <c r="S54" i="3"/>
  <c r="S56" s="1"/>
  <c r="S57" s="1"/>
  <c r="S64"/>
  <c r="S69" s="1"/>
  <c r="U33" l="1"/>
  <c r="T37"/>
  <c r="T38" s="1"/>
  <c r="T39" s="1"/>
  <c r="T40" s="1"/>
  <c r="T43" i="4"/>
  <c r="U31" i="3" s="1"/>
  <c r="U32" s="1"/>
  <c r="U53" s="1"/>
  <c r="U19" i="19" s="1"/>
  <c r="U22" l="1"/>
  <c r="U23" s="1"/>
  <c r="U26" s="1"/>
  <c r="U28" s="1"/>
  <c r="U62"/>
  <c r="U65" s="1"/>
  <c r="U66" s="1"/>
  <c r="U69" s="1"/>
  <c r="U71" s="1"/>
  <c r="T44" i="4"/>
  <c r="U42" s="1"/>
  <c r="U34" i="3"/>
  <c r="T21"/>
  <c r="T22" s="1"/>
  <c r="T49" s="1"/>
  <c r="T42"/>
  <c r="T54" l="1"/>
  <c r="T56" s="1"/>
  <c r="T57" s="1"/>
  <c r="T64"/>
  <c r="T69" s="1"/>
  <c r="U43" i="4"/>
  <c r="V31" i="3" s="1"/>
  <c r="V32" s="1"/>
  <c r="V53" s="1"/>
  <c r="V19" i="19" s="1"/>
  <c r="U37" i="3"/>
  <c r="U38" s="1"/>
  <c r="U39" s="1"/>
  <c r="U40" s="1"/>
  <c r="V33"/>
  <c r="V22" i="19" l="1"/>
  <c r="V23" s="1"/>
  <c r="V26" s="1"/>
  <c r="V28" s="1"/>
  <c r="V62"/>
  <c r="V65" s="1"/>
  <c r="V66" s="1"/>
  <c r="V69" s="1"/>
  <c r="V71" s="1"/>
  <c r="U42" i="3"/>
  <c r="U21"/>
  <c r="U22" s="1"/>
  <c r="U49" s="1"/>
  <c r="V34"/>
  <c r="U44" i="4"/>
  <c r="V42" s="1"/>
  <c r="V37" i="3" l="1"/>
  <c r="V38" s="1"/>
  <c r="V39" s="1"/>
  <c r="V40" s="1"/>
  <c r="W33"/>
  <c r="V43" i="4"/>
  <c r="W31" i="3" s="1"/>
  <c r="W32" s="1"/>
  <c r="W53" s="1"/>
  <c r="W19" i="19" s="1"/>
  <c r="U64" i="3"/>
  <c r="U69" s="1"/>
  <c r="U54"/>
  <c r="U56" s="1"/>
  <c r="U57" s="1"/>
  <c r="W22" i="19" l="1"/>
  <c r="W23" s="1"/>
  <c r="W26" s="1"/>
  <c r="W28" s="1"/>
  <c r="C29" s="1"/>
  <c r="C30" s="1"/>
  <c r="W62"/>
  <c r="W65" s="1"/>
  <c r="W66" s="1"/>
  <c r="W69" s="1"/>
  <c r="W71" s="1"/>
  <c r="C72" s="1"/>
  <c r="C73" s="1"/>
  <c r="V21" i="3"/>
  <c r="V22" s="1"/>
  <c r="V49" s="1"/>
  <c r="V42"/>
  <c r="V44" i="4"/>
  <c r="W34" i="3"/>
  <c r="W37" s="1"/>
  <c r="W38" s="1"/>
  <c r="W39" s="1"/>
  <c r="W40" s="1"/>
  <c r="W21" l="1"/>
  <c r="W22" s="1"/>
  <c r="W49" s="1"/>
  <c r="W42"/>
  <c r="V64"/>
  <c r="V69" s="1"/>
  <c r="V54"/>
  <c r="V56" s="1"/>
  <c r="V57" s="1"/>
  <c r="W64" l="1"/>
  <c r="W69" s="1"/>
  <c r="C70" s="1"/>
  <c r="C83" i="2" s="1"/>
  <c r="W54" i="3"/>
  <c r="W56" s="1"/>
  <c r="W57" s="1"/>
  <c r="C58" s="1"/>
  <c r="C82" i="2" s="1"/>
</calcChain>
</file>

<file path=xl/comments1.xml><?xml version="1.0" encoding="utf-8"?>
<comments xmlns="http://schemas.openxmlformats.org/spreadsheetml/2006/main">
  <authors>
    <author>shruti</author>
  </authors>
  <commentList>
    <comment ref="D68" authorId="0">
      <text>
        <r>
          <rPr>
            <b/>
            <sz val="9"/>
            <color indexed="81"/>
            <rFont val="Tahoma"/>
            <family val="2"/>
          </rPr>
          <t>shruti:</t>
        </r>
        <r>
          <rPr>
            <sz val="9"/>
            <color indexed="81"/>
            <rFont val="Tahoma"/>
            <family val="2"/>
          </rPr>
          <t xml:space="preserve">
Union budget of 2007-08 does not mention corporte tax rate while budget of 2006-07 says no change in the corporate tax, hence budget of 2005-06 is used</t>
        </r>
      </text>
    </comment>
    <comment ref="D69" authorId="0">
      <text>
        <r>
          <rPr>
            <b/>
            <sz val="9"/>
            <color indexed="81"/>
            <rFont val="Tahoma"/>
            <family val="2"/>
          </rPr>
          <t>shruti:</t>
        </r>
        <r>
          <rPr>
            <sz val="9"/>
            <color indexed="81"/>
            <rFont val="Tahoma"/>
            <family val="2"/>
          </rPr>
          <t xml:space="preserve">
Union budget of 2007-08 does not say anything on MAT rate. Hence previous budget is used</t>
        </r>
      </text>
    </comment>
    <comment ref="D70" authorId="0">
      <text>
        <r>
          <rPr>
            <b/>
            <sz val="9"/>
            <color indexed="81"/>
            <rFont val="Tahoma"/>
            <family val="2"/>
          </rPr>
          <t>shruti:</t>
        </r>
        <r>
          <rPr>
            <sz val="9"/>
            <color indexed="81"/>
            <rFont val="Tahoma"/>
            <family val="2"/>
          </rPr>
          <t xml:space="preserve">
Union budget of 2007-08 and 2006-07 does not mention surcharge. Hence budget of year 2005-06 is used</t>
        </r>
      </text>
    </comment>
    <comment ref="D71" authorId="0">
      <text>
        <r>
          <rPr>
            <b/>
            <sz val="9"/>
            <color indexed="81"/>
            <rFont val="Tahoma"/>
            <family val="2"/>
          </rPr>
          <t>shruti:</t>
        </r>
        <r>
          <rPr>
            <sz val="9"/>
            <color indexed="81"/>
            <rFont val="Tahoma"/>
            <family val="2"/>
          </rPr>
          <t xml:space="preserve">
Page no 15 of the budget says: an additional cess of 1% on all taxes to be levied.
Union budget of the previous year i.e. FY 2006-07 says cess of 2%. Thus, the cess for year 2007-08 becomes 3%</t>
        </r>
      </text>
    </comment>
  </commentList>
</comments>
</file>

<file path=xl/comments2.xml><?xml version="1.0" encoding="utf-8"?>
<comments xmlns="http://schemas.openxmlformats.org/spreadsheetml/2006/main">
  <authors>
    <author>shruti</author>
  </authors>
  <commentList>
    <comment ref="J10" authorId="0">
      <text>
        <r>
          <rPr>
            <b/>
            <sz val="9"/>
            <color indexed="81"/>
            <rFont val="Tahoma"/>
            <family val="2"/>
          </rPr>
          <t>shruti:</t>
        </r>
        <r>
          <rPr>
            <sz val="9"/>
            <color indexed="81"/>
            <rFont val="Tahoma"/>
            <family val="2"/>
          </rPr>
          <t xml:space="preserve">
See for all FY Mar'07</t>
        </r>
      </text>
    </comment>
    <comment ref="F17" authorId="0">
      <text>
        <r>
          <rPr>
            <b/>
            <sz val="9"/>
            <color indexed="81"/>
            <rFont val="Tahoma"/>
            <family val="2"/>
          </rPr>
          <t>shruti:</t>
        </r>
        <r>
          <rPr>
            <sz val="9"/>
            <color indexed="81"/>
            <rFont val="Tahoma"/>
            <family val="2"/>
          </rPr>
          <t xml:space="preserve">
See FY Mar'07</t>
        </r>
      </text>
    </comment>
  </commentList>
</comments>
</file>

<file path=xl/sharedStrings.xml><?xml version="1.0" encoding="utf-8"?>
<sst xmlns="http://schemas.openxmlformats.org/spreadsheetml/2006/main" count="582" uniqueCount="307">
  <si>
    <t>Revenue</t>
  </si>
  <si>
    <t>Total Revenue</t>
  </si>
  <si>
    <t>Expenses</t>
  </si>
  <si>
    <t>Total Expenses</t>
  </si>
  <si>
    <t>PBT</t>
  </si>
  <si>
    <t>Book Dep</t>
  </si>
  <si>
    <t>Income Tax</t>
  </si>
  <si>
    <t>PAT</t>
  </si>
  <si>
    <t>Add Book Dep</t>
  </si>
  <si>
    <t>Taxable Income</t>
  </si>
  <si>
    <t>Project Capacity in MW</t>
  </si>
  <si>
    <t>Project Commissioning Date</t>
  </si>
  <si>
    <t>Project Cost</t>
  </si>
  <si>
    <t>Source</t>
  </si>
  <si>
    <t>Buildings and Civil works</t>
  </si>
  <si>
    <t>Plant and Machinery</t>
  </si>
  <si>
    <t>Miscellaneous Fixed Assests</t>
  </si>
  <si>
    <t>Contingency</t>
  </si>
  <si>
    <t>A. Plant Cost</t>
  </si>
  <si>
    <t>B. Interest during construction</t>
  </si>
  <si>
    <t>C. Preliminary and Preoperative Expenses</t>
  </si>
  <si>
    <t>Sub-Total</t>
  </si>
  <si>
    <t>Employment Cost</t>
  </si>
  <si>
    <t>Repairs &amp; Maintenance</t>
  </si>
  <si>
    <t>Administrative Expenses</t>
  </si>
  <si>
    <t>Total</t>
  </si>
  <si>
    <t xml:space="preserve">TRT Operation - Plant Load Factor </t>
  </si>
  <si>
    <t>Depreciation under IT Act (Plant &amp; Machinery)</t>
  </si>
  <si>
    <t>Depreciation under IT Act (Buildings)</t>
  </si>
  <si>
    <t>Book Depreciation Rate (Straight Line Method basis)</t>
  </si>
  <si>
    <t>Book Depreciation (Plant &amp; Machinery)</t>
  </si>
  <si>
    <t>Book Depreciation (Buildings)</t>
  </si>
  <si>
    <t>Income Tax rate</t>
  </si>
  <si>
    <t>Number of Operating days</t>
  </si>
  <si>
    <t>Number of Hours</t>
  </si>
  <si>
    <t>O &amp; M Expenses</t>
  </si>
  <si>
    <t>Buildings</t>
  </si>
  <si>
    <t>Year Ending</t>
  </si>
  <si>
    <t>Opening balance</t>
  </si>
  <si>
    <t>Depreciation</t>
  </si>
  <si>
    <t>Closing balance</t>
  </si>
  <si>
    <t>Building</t>
  </si>
  <si>
    <t>Book Depreciation</t>
  </si>
  <si>
    <t>Gross Income</t>
  </si>
  <si>
    <t xml:space="preserve">Less: Depreciation as per IT Act </t>
  </si>
  <si>
    <t>Carried Over Losses</t>
  </si>
  <si>
    <t>Income after adjusting carried over Loss</t>
  </si>
  <si>
    <t xml:space="preserve">Taxable Income </t>
  </si>
  <si>
    <t>Sensitivity Analysis</t>
  </si>
  <si>
    <t>Utilities and Other generation costs</t>
  </si>
  <si>
    <t>Exchange Rate</t>
  </si>
  <si>
    <t>Emission Reduction</t>
  </si>
  <si>
    <t xml:space="preserve">IRR </t>
  </si>
  <si>
    <t>Income Tax Depreciation Rate (Written Down Value)</t>
  </si>
  <si>
    <t>Equity</t>
  </si>
  <si>
    <t>Loan</t>
  </si>
  <si>
    <t>Interest Rate</t>
  </si>
  <si>
    <t>Tenure - Years</t>
  </si>
  <si>
    <t>Moratorium - Years</t>
  </si>
  <si>
    <t>No of installments</t>
  </si>
  <si>
    <t>Opening Balance</t>
  </si>
  <si>
    <t>Loan Repayment Schedule</t>
  </si>
  <si>
    <t>Interest on term Loan</t>
  </si>
  <si>
    <t>Salvage Value</t>
  </si>
  <si>
    <t>Cost of Project Finance</t>
  </si>
  <si>
    <t>Value</t>
  </si>
  <si>
    <t>http://www.rbi.org.in/scripts/BS_ViewBulletin_Test.aspx?Id=8261</t>
  </si>
  <si>
    <t>Components</t>
  </si>
  <si>
    <t>Actual cost</t>
  </si>
  <si>
    <t>Total cost</t>
  </si>
  <si>
    <t>Building and civil works</t>
  </si>
  <si>
    <t>Month</t>
  </si>
  <si>
    <t xml:space="preserve">Close </t>
  </si>
  <si>
    <t>Return</t>
  </si>
  <si>
    <t>TATA Steel</t>
  </si>
  <si>
    <t>Close</t>
  </si>
  <si>
    <t>SAIL</t>
  </si>
  <si>
    <t>Mahindra Ugine Steel Co. Ltd</t>
  </si>
  <si>
    <t>Debt</t>
  </si>
  <si>
    <t>Computation of Expected Return on Equity :</t>
  </si>
  <si>
    <t>Parameter</t>
  </si>
  <si>
    <t>CAGR</t>
  </si>
  <si>
    <t xml:space="preserve">Risk-free return </t>
  </si>
  <si>
    <t>Rate of return on equity</t>
  </si>
  <si>
    <t>Rate of Return on Debt</t>
  </si>
  <si>
    <t>Prime lending rate</t>
  </si>
  <si>
    <t>Computation of WACC</t>
  </si>
  <si>
    <t>WACC =</t>
  </si>
  <si>
    <t>E/V*Re +D/V *Rd*(1-Tc)</t>
  </si>
  <si>
    <t>Re is cost of equity</t>
  </si>
  <si>
    <t>RD is cost of debt</t>
  </si>
  <si>
    <t>E is market value of the firm's equity</t>
  </si>
  <si>
    <t>D is market value of the firm's debt</t>
  </si>
  <si>
    <t>V=E+D</t>
  </si>
  <si>
    <t>Tc is corporate tax</t>
  </si>
  <si>
    <t>Percentage</t>
  </si>
  <si>
    <t>Cost</t>
  </si>
  <si>
    <t>Rate of return</t>
  </si>
  <si>
    <t>WACC</t>
  </si>
  <si>
    <t>Open</t>
  </si>
  <si>
    <t>Calculated</t>
  </si>
  <si>
    <t xml:space="preserve">Source: </t>
  </si>
  <si>
    <t>Beta</t>
  </si>
  <si>
    <t>Equity Beta</t>
  </si>
  <si>
    <t>Average equity beta</t>
  </si>
  <si>
    <t xml:space="preserve">Project Title:Installation of Top-Pressure Recovery Turbine at Blast Furnace-4 </t>
  </si>
  <si>
    <t>Project Proponent: JSW Steel Ltd</t>
  </si>
  <si>
    <t>Project Location: Toranagallu, Bellary</t>
  </si>
  <si>
    <t>CALCULATION OF EQUITTY BETA</t>
  </si>
  <si>
    <t>CALCULATION OF WACC</t>
  </si>
  <si>
    <t>Equity beta</t>
  </si>
  <si>
    <t>CALCULATION OF RE-LEVERED BETA</t>
  </si>
  <si>
    <t>Company Name</t>
  </si>
  <si>
    <t>Capital</t>
  </si>
  <si>
    <t xml:space="preserve">Reserves </t>
  </si>
  <si>
    <t>Total equity</t>
  </si>
  <si>
    <t>Secured Loans</t>
  </si>
  <si>
    <t>Unsecured Loans</t>
  </si>
  <si>
    <t>D/E</t>
  </si>
  <si>
    <t>MUSCO</t>
  </si>
  <si>
    <t>Kalyani Steel Ltd</t>
  </si>
  <si>
    <t>Rs in Cr</t>
  </si>
  <si>
    <t xml:space="preserve">http://www.moneycontrol.com/financials/tatasteel/balance-sheet/TIS#TIS </t>
  </si>
  <si>
    <t>Tax</t>
  </si>
  <si>
    <t>Tax Rate</t>
  </si>
  <si>
    <t xml:space="preserve">http://www.moneycontrol.com/financials/tatasteel/profit-loss/TIS#TIS </t>
  </si>
  <si>
    <t xml:space="preserve">http://www.moneycontrol.com/financials/steelauthorityindia/balance-sheet/SAI# </t>
  </si>
  <si>
    <t xml:space="preserve">http://www.moneycontrol.com/financials/steelauthorityindia/profit-loss/SAI#SAI </t>
  </si>
  <si>
    <t xml:space="preserve">http://www.moneycontrol.com/financials/mahindrauginesteelcompany/balance-sheet/MUS#MUS </t>
  </si>
  <si>
    <t xml:space="preserve">http://www.moneycontrol.com/financials/mahindrauginesteelcompany/profit-loss/MUS#MUS </t>
  </si>
  <si>
    <t xml:space="preserve">http://www.moneycontrol.com/financials/kalyanisteels/balance-sheet/KS01#KS01 </t>
  </si>
  <si>
    <t xml:space="preserve">http://www.moneycontrol.com/financials/kalyanisteels/profit-loss/KS01#KS01 </t>
  </si>
  <si>
    <t>Equity Beta (Levered)</t>
  </si>
  <si>
    <t>Asset Beta (Unlevered)</t>
  </si>
  <si>
    <t>D</t>
  </si>
  <si>
    <t>E</t>
  </si>
  <si>
    <t>Re-lev beta</t>
  </si>
  <si>
    <t>CALCULATION OF IT DEPRECIATION-WDV</t>
  </si>
  <si>
    <t>CALCULATION OF BOOK DEPRECIATION-SLM</t>
  </si>
  <si>
    <t>1. Apportioning of other than plant and machinery and building and civil works for book and IT dep</t>
  </si>
  <si>
    <t xml:space="preserve">http://www.caclubindia.com/forum/depreciation-rate-chart-52539.asp </t>
  </si>
  <si>
    <t xml:space="preserve"> </t>
  </si>
  <si>
    <t xml:space="preserve"> Source</t>
  </si>
  <si>
    <t>ASSUMPTIONS FOR FINANCIAL MODEL</t>
  </si>
  <si>
    <t>Parameters (Operations)</t>
  </si>
  <si>
    <t>The nameplate capacity</t>
  </si>
  <si>
    <t>Project Report dated Feb 2007, 08.4</t>
  </si>
  <si>
    <t>Parameters (Sales Realization)</t>
  </si>
  <si>
    <t>Financial model appraised by SBI Cap</t>
  </si>
  <si>
    <t>Project Report dated Feb 2007, 08.02</t>
  </si>
  <si>
    <t>Parameter (Means of Finance)</t>
  </si>
  <si>
    <t xml:space="preserve">Value </t>
  </si>
  <si>
    <t>Project Report dated Feb 2007</t>
  </si>
  <si>
    <t xml:space="preserve">http://asa-india.com/asa/Depreciation%20Rates%20Companies%20Act.pdf </t>
  </si>
  <si>
    <t>Parameter (Loan Repayment Schedule)</t>
  </si>
  <si>
    <t>Parameter (Operating Cost)</t>
  </si>
  <si>
    <t>Project Report dated Feb 2007, 08.04</t>
  </si>
  <si>
    <t>Parameter (Taxes)</t>
  </si>
  <si>
    <t>Annual escalation on O&amp;M</t>
  </si>
  <si>
    <t>Unit tariff rate (Rs/kWh)</t>
  </si>
  <si>
    <t>2</t>
  </si>
  <si>
    <t>Year Count</t>
  </si>
  <si>
    <t>80IA applicable</t>
  </si>
  <si>
    <t>MAT</t>
  </si>
  <si>
    <t>Corporate Tax</t>
  </si>
  <si>
    <t>Surcharge</t>
  </si>
  <si>
    <t>Cess</t>
  </si>
  <si>
    <t xml:space="preserve">http://indiabudget.nic.in/ub2005-06/bh/bh1.pdf </t>
  </si>
  <si>
    <t xml:space="preserve">http://indiabudget.nic.in/ub2006-07/bh/bh1.pdf </t>
  </si>
  <si>
    <t xml:space="preserve">MAT </t>
  </si>
  <si>
    <t>Tax Payable</t>
  </si>
  <si>
    <t>Tax benefit</t>
  </si>
  <si>
    <t>Profitability Statement</t>
  </si>
  <si>
    <t xml:space="preserve">                                                                                                                                                                                                                                                                                                                                                                                                                                                                                                                                                                                                                                                                                                                                                                                                                                                                                                                                                                                                                                                                                                                                                                                                                                                                                                                                                                                                                                                                                                                                                                                                                                                                                                                                                                                                                                                                                                                                                                                                                                                                                                                                                                                                                                                                                                                                                                                                                                                                                                                                                                                                                                                                                                                                                                                                                                                                                                                                                                                                                                                                                                                                                                   </t>
  </si>
  <si>
    <t>Exempted Income U/s 80IA</t>
  </si>
  <si>
    <t>80 IA calculations</t>
  </si>
  <si>
    <t>Income Tax Calculations (Without CDM)</t>
  </si>
  <si>
    <t>CER price in Euros</t>
  </si>
  <si>
    <t>Market price</t>
  </si>
  <si>
    <t xml:space="preserve">http://www.rbi.org.in/scripts/referenceratearchive.aspx </t>
  </si>
  <si>
    <t>Calculated as per methodology</t>
  </si>
  <si>
    <t>Project Cash Flow (Without CDM)</t>
  </si>
  <si>
    <t>Project Cash Flow (With CDM)</t>
  </si>
  <si>
    <t>CDM benefits</t>
  </si>
  <si>
    <t>Kalyani steel Ltd</t>
  </si>
  <si>
    <t>PLF</t>
  </si>
  <si>
    <t>O&amp;M</t>
  </si>
  <si>
    <t xml:space="preserve">Variation </t>
  </si>
  <si>
    <t>Tariff Rate</t>
  </si>
  <si>
    <t>SUMMARY OF SENSITIVITY ANALYSIS</t>
  </si>
  <si>
    <t>IRR without CDM</t>
  </si>
  <si>
    <t>IRR with CDM</t>
  </si>
  <si>
    <t>Project Report dated Feb 2007, Chapter 7</t>
  </si>
  <si>
    <t>BSE 100 Worksheet</t>
  </si>
  <si>
    <t>JSW Steel and power</t>
  </si>
  <si>
    <t>BSE - 100</t>
  </si>
  <si>
    <t>JSW steel and power</t>
  </si>
  <si>
    <t>Average</t>
  </si>
  <si>
    <t>http://www.bseindia.com/about/abindices/bse100.asp</t>
  </si>
  <si>
    <t>http://www.bseindia.com/stockinfo/indices_main.aspx?indi=BSE100%20&amp;fromDate=01/1/2007&amp;toDate=09/01/2012&amp;DMY=M</t>
  </si>
  <si>
    <t>http://www.moneycontrol.com/financials/jindalsteelpower/profit-loss/JSP#JSP</t>
  </si>
  <si>
    <t xml:space="preserve">http://www.moneycontrol.com/financials/jindalsteelpower/balance-sheet/JSP#JSP </t>
  </si>
  <si>
    <t>BSE 100 as on 31 Jan 2007</t>
  </si>
  <si>
    <t>BSE 100 as on 01 April 1984</t>
  </si>
  <si>
    <t>http://indiabudget.nic.in/ub2007-08/bh/bh1.pdf</t>
  </si>
  <si>
    <t>Project Report dated Feb 2007, 08.01</t>
  </si>
  <si>
    <t>Rs Mn</t>
  </si>
  <si>
    <t>Rs.Mn</t>
  </si>
  <si>
    <t>Jindal Steel and Power</t>
  </si>
  <si>
    <t>Working Capital</t>
  </si>
  <si>
    <t>Unit</t>
  </si>
  <si>
    <t>Remark/Reference</t>
  </si>
  <si>
    <t>O &amp; M expenses</t>
  </si>
  <si>
    <t>months</t>
  </si>
  <si>
    <t>%</t>
  </si>
  <si>
    <t>Escalation on Maintenance Spares</t>
  </si>
  <si>
    <t>Rate of Interest on Working Capital (WC)</t>
  </si>
  <si>
    <t>Working Capital Margin</t>
  </si>
  <si>
    <t>Working Capital Loan</t>
  </si>
  <si>
    <t>Maintenance spares O&amp;M</t>
  </si>
  <si>
    <t>Working capital</t>
  </si>
  <si>
    <t>O &amp; M expenses for one month</t>
  </si>
  <si>
    <t>Total Working Capital requirement</t>
  </si>
  <si>
    <t>WC Margin</t>
  </si>
  <si>
    <t>WC Loan</t>
  </si>
  <si>
    <t>Interest on WC</t>
  </si>
  <si>
    <t xml:space="preserve"> Site development</t>
  </si>
  <si>
    <t>Net increase / Decrease in WC</t>
  </si>
  <si>
    <t>Total (A+B+C)</t>
  </si>
  <si>
    <t>Total Cash Inflow</t>
  </si>
  <si>
    <t>Net Cash Inflow</t>
  </si>
  <si>
    <t>DPR</t>
  </si>
  <si>
    <t>Tandon,Chore,Kannan and certain other committees recommendation Report ,Pg no 22 (Report done by RBI Committee)</t>
  </si>
  <si>
    <t>http://rbidocs.rbi.org.in/rdocs/Bulletin/PDFs/76735.pdf</t>
  </si>
  <si>
    <t>http://cercind.gov.in/28032004/finalregulations_terms&amp;condition.pdf, page No 20</t>
  </si>
  <si>
    <t>Moratorium for principal re payment (months)</t>
  </si>
  <si>
    <t>Repayment (years)</t>
  </si>
  <si>
    <t>Repayment for 1st quarter</t>
  </si>
  <si>
    <t>Opening Balance 2nd quarter</t>
  </si>
  <si>
    <t>Repayment for 2nd quarter</t>
  </si>
  <si>
    <t>Opening Balance 3rd quarter</t>
  </si>
  <si>
    <t>Repayment for 3rd quarter</t>
  </si>
  <si>
    <t>Opening Balance 4th quarter</t>
  </si>
  <si>
    <t>Repayment for 4th quarter</t>
  </si>
  <si>
    <t>Total Loan Closing Balance</t>
  </si>
  <si>
    <t>Total Annual Principal Repayment</t>
  </si>
  <si>
    <t>Total Annual Interest paid</t>
  </si>
  <si>
    <t>Considered last five year inflation from decision time on conservative basis compared to actual inflation of next 5 yr from decision period</t>
  </si>
  <si>
    <t>Inflation</t>
  </si>
  <si>
    <t>Default value of sector 01 (on conservative basis)</t>
  </si>
  <si>
    <t>Deafult ROE</t>
  </si>
  <si>
    <t>Sector 04</t>
  </si>
  <si>
    <t>Sector 01</t>
  </si>
  <si>
    <t>Default Expected Return on equity (India)</t>
  </si>
  <si>
    <t>01 &amp; 04</t>
  </si>
  <si>
    <t>Sectoral Scope</t>
  </si>
  <si>
    <t>ACM0012</t>
  </si>
  <si>
    <t>Methodology</t>
  </si>
  <si>
    <t>The forecasted inflation rate for next five year from the decision date is not available with PP. So PP considered the average inflation of 5 years backward from the decision date from Internation Monetary Fund (IMF) and considered the same as forecaseted inflation for next five year. In actual the inflation rate is drastically higher than the assumed inflation in this approach.Hence its conservative</t>
  </si>
  <si>
    <t>http://www.imf.org/external/pubs/ft/weo/2012/01/weodata/weorept.aspx?sy=2008&amp;ey=2012&amp;scsm=1&amp;ssd=1&amp;sort=country&amp;ds=.&amp;br=1&amp;c=534&amp;s=PCPIPCH&amp;grp=0&amp;a=&amp;pr.x=46&amp;pr.y=12</t>
  </si>
  <si>
    <t>http://www.imf.org/external/pubs/ft/weo/2006/01/data/dbcoutm.cfm?SD=2002&amp;ED=2006&amp;R1=1&amp;R2=1&amp;CS=3&amp;SS=2&amp;OS=C&amp;DD=0&amp;OUT=1&amp;C=534&amp;S=PCPIPCH&amp;CMP=0&amp;x=83&amp;y=6</t>
  </si>
  <si>
    <r>
      <t>Inflation</t>
    </r>
    <r>
      <rPr>
        <b/>
        <sz val="6"/>
        <rFont val="Arial"/>
        <family val="2"/>
      </rPr>
      <t xml:space="preserve"> (2)</t>
    </r>
  </si>
  <si>
    <t>Year</t>
  </si>
  <si>
    <r>
      <t>Inflation</t>
    </r>
    <r>
      <rPr>
        <b/>
        <sz val="6"/>
        <rFont val="Arial"/>
        <family val="2"/>
      </rPr>
      <t xml:space="preserve"> (1)</t>
    </r>
  </si>
  <si>
    <t>Decision Year</t>
  </si>
  <si>
    <t>Post Decision Scenario</t>
  </si>
  <si>
    <t>Pre Decision Scenario</t>
  </si>
  <si>
    <t>CALCULATION OF WACC based on Default ROE as per EB 62 , Annex 5 appendix</t>
  </si>
  <si>
    <t xml:space="preserve">                    Year Ending</t>
  </si>
  <si>
    <t>Fixed Cost</t>
  </si>
  <si>
    <t>Rs. Million</t>
  </si>
  <si>
    <t>Total Fixed Cost</t>
  </si>
  <si>
    <t>Variable Cost</t>
  </si>
  <si>
    <t>Fuel Expenses</t>
  </si>
  <si>
    <t>O&amp;M Expenses</t>
  </si>
  <si>
    <t>Rs.Million</t>
  </si>
  <si>
    <t>Interest on Working Capital</t>
  </si>
  <si>
    <t>Interest on Term Loan</t>
  </si>
  <si>
    <t>Total Variable cost</t>
  </si>
  <si>
    <t>CDM Revenue</t>
  </si>
  <si>
    <t>Tax Shield</t>
  </si>
  <si>
    <t>Total Cost</t>
  </si>
  <si>
    <t>Total Cost (Fixed +Variable)</t>
  </si>
  <si>
    <t>Total Cost Excluding revenue</t>
  </si>
  <si>
    <t>Levelised cost of Energy Generation</t>
  </si>
  <si>
    <t>Gross Energy Generation Per Annum</t>
  </si>
  <si>
    <t>MWh/Annum</t>
  </si>
  <si>
    <t>Cost/MWh of Energy Generation</t>
  </si>
  <si>
    <t>Rs./MWh</t>
  </si>
  <si>
    <t>Discount Factor @ WACC</t>
  </si>
  <si>
    <t>Discounted cost /MWh of energy generation</t>
  </si>
  <si>
    <t>Levelised Cost (Rs./MWh of energy generation)</t>
  </si>
  <si>
    <t>Company :  JSW Steel Ltd</t>
  </si>
  <si>
    <t>Location  :  Toranagallu,Karnataka</t>
  </si>
  <si>
    <t>Project     :  12.4 MW TRT Plant</t>
  </si>
  <si>
    <t>-</t>
  </si>
  <si>
    <t>Units generated (MWh)</t>
  </si>
  <si>
    <t>Discount rate @ WACC</t>
  </si>
  <si>
    <t>Levelised Cost (Rs./KWh of energy generation)</t>
  </si>
  <si>
    <t>Baseline Coal based CPP-4 300 MW</t>
  </si>
  <si>
    <t>Cost/MWh of Energy Generation as appraised by SBI CAP</t>
  </si>
  <si>
    <t>http://cercind.gov.in/26102006/Finalised_Notification.pdf</t>
  </si>
  <si>
    <t>Return on Equity</t>
  </si>
  <si>
    <t>www.cercind.gov.in/draft_reg_tctariff.doc</t>
  </si>
  <si>
    <t>Project Activity -TRT 4 without CDM</t>
  </si>
  <si>
    <t xml:space="preserve">Project Activity -TRT 4 with CDM </t>
  </si>
  <si>
    <t>Base unit tariff rate on import of power (Rs/kWh) in the first year</t>
  </si>
</sst>
</file>

<file path=xl/styles.xml><?xml version="1.0" encoding="utf-8"?>
<styleSheet xmlns="http://schemas.openxmlformats.org/spreadsheetml/2006/main">
  <numFmts count="18">
    <numFmt numFmtId="43" formatCode="_ * #,##0.00_ ;_ * \-#,##0.00_ ;_ * &quot;-&quot;??_ ;_ @_ "/>
    <numFmt numFmtId="164" formatCode="&quot;$&quot;#,##0.00_);[Red]\(&quot;$&quot;#,##0.00\)"/>
    <numFmt numFmtId="165" formatCode="_(* #,##0.00_);_(* \(#,##0.00\);_(* &quot;-&quot;??_);_(@_)"/>
    <numFmt numFmtId="166" formatCode="0.000"/>
    <numFmt numFmtId="167" formatCode="0.0%"/>
    <numFmt numFmtId="168" formatCode="[$-409]d\-mmm\-yy;@"/>
    <numFmt numFmtId="169" formatCode="[$-409]mmm\-yy;@"/>
    <numFmt numFmtId="170" formatCode="0.0000"/>
    <numFmt numFmtId="171" formatCode="_ * #,##0_ ;_ * \-#,##0_ ;_ * &quot;-&quot;??_ ;_ @_ "/>
    <numFmt numFmtId="172" formatCode="0.00_)"/>
    <numFmt numFmtId="173" formatCode="#,##0.00_%_);\(#,##0.00\)_%;#,##0.00_%_);@_%_)"/>
    <numFmt numFmtId="174" formatCode="0.00000000000000000%"/>
    <numFmt numFmtId="175" formatCode="0.0"/>
    <numFmt numFmtId="176" formatCode="[$-409]dd\-mmm\-yy;@"/>
    <numFmt numFmtId="177" formatCode="&quot;\&quot;#,##0;\-&quot;\&quot;#,##0"/>
    <numFmt numFmtId="178" formatCode="0.000%"/>
    <numFmt numFmtId="179" formatCode="_(* #,##0_);_(* \(#,##0\);_(* &quot;-&quot;??_);_(@_)"/>
    <numFmt numFmtId="180" formatCode="_(* #,##0.0_);_(* \(#,##0.0\);_(* &quot;-&quot;??_);_(@_)"/>
  </numFmts>
  <fonts count="72">
    <font>
      <sz val="11"/>
      <color theme="1"/>
      <name val="Calibri"/>
      <family val="2"/>
      <scheme val="minor"/>
    </font>
    <font>
      <sz val="11"/>
      <color indexed="8"/>
      <name val="Calibri"/>
      <family val="2"/>
    </font>
    <font>
      <sz val="11"/>
      <color indexed="8"/>
      <name val="Calibri"/>
      <family val="2"/>
    </font>
    <font>
      <sz val="10"/>
      <name val="Arial"/>
      <family val="2"/>
    </font>
    <font>
      <sz val="10"/>
      <name val="Arial"/>
      <family val="2"/>
    </font>
    <font>
      <u/>
      <sz val="10"/>
      <color indexed="12"/>
      <name val="Arial"/>
      <family val="2"/>
    </font>
    <font>
      <sz val="11"/>
      <color indexed="17"/>
      <name val="Calibri"/>
      <family val="2"/>
    </font>
    <font>
      <sz val="8"/>
      <name val="Arial"/>
      <family val="2"/>
    </font>
    <font>
      <sz val="10"/>
      <name val="Courier"/>
      <family val="3"/>
    </font>
    <font>
      <b/>
      <sz val="11"/>
      <name val="Microsoft Sans Serif"/>
      <family val="2"/>
    </font>
    <font>
      <sz val="11"/>
      <name val="Microsoft Sans Serif"/>
      <family val="2"/>
    </font>
    <font>
      <sz val="11"/>
      <color indexed="8"/>
      <name val="Microsoft Sans Serif"/>
      <family val="2"/>
    </font>
    <font>
      <b/>
      <sz val="11"/>
      <color indexed="8"/>
      <name val="Microsoft Sans Serif"/>
      <family val="2"/>
    </font>
    <font>
      <b/>
      <u/>
      <sz val="11"/>
      <color indexed="8"/>
      <name val="Microsoft Sans Serif"/>
      <family val="2"/>
    </font>
    <font>
      <b/>
      <u/>
      <sz val="11"/>
      <name val="Microsoft Sans Serif"/>
      <family val="2"/>
    </font>
    <font>
      <u/>
      <sz val="11"/>
      <color indexed="12"/>
      <name val="Microsoft Sans Serif"/>
      <family val="2"/>
    </font>
    <font>
      <sz val="9"/>
      <color indexed="81"/>
      <name val="Tahoma"/>
      <family val="2"/>
    </font>
    <font>
      <b/>
      <sz val="9"/>
      <color indexed="81"/>
      <name val="Tahoma"/>
      <family val="2"/>
    </font>
    <font>
      <sz val="11"/>
      <color indexed="10"/>
      <name val="Microsoft Sans Serif"/>
      <family val="2"/>
    </font>
    <font>
      <i/>
      <sz val="11"/>
      <color indexed="8"/>
      <name val="Microsoft Sans Serif"/>
      <family val="2"/>
    </font>
    <font>
      <i/>
      <sz val="11"/>
      <name val="Microsoft Sans Serif"/>
      <family val="2"/>
    </font>
    <font>
      <sz val="11"/>
      <color theme="1"/>
      <name val="Microsoft Sans Serif"/>
      <family val="2"/>
    </font>
    <font>
      <b/>
      <sz val="11"/>
      <color theme="1"/>
      <name val="Microsoft Sans Serif"/>
      <family val="2"/>
    </font>
    <font>
      <b/>
      <u/>
      <sz val="11"/>
      <color theme="1"/>
      <name val="Microsoft Sans Serif"/>
      <family val="2"/>
    </font>
    <font>
      <sz val="11"/>
      <color theme="1"/>
      <name val="Calibri"/>
      <family val="2"/>
      <scheme val="minor"/>
    </font>
    <font>
      <sz val="10"/>
      <name val="Arial"/>
      <family val="2"/>
    </font>
    <font>
      <b/>
      <sz val="10"/>
      <name val="Times New Roman"/>
      <family val="1"/>
    </font>
    <font>
      <sz val="12"/>
      <name val="Times New Roman"/>
      <family val="1"/>
    </font>
    <font>
      <sz val="10"/>
      <name val="Helv"/>
    </font>
    <font>
      <sz val="6"/>
      <name val="Helv"/>
    </font>
    <font>
      <b/>
      <sz val="12"/>
      <name val="Arial"/>
      <family val="2"/>
    </font>
    <font>
      <u/>
      <sz val="9"/>
      <color indexed="12"/>
      <name val="Arial"/>
      <family val="2"/>
    </font>
    <font>
      <b/>
      <i/>
      <sz val="8"/>
      <name val="Arial"/>
      <family val="2"/>
    </font>
    <font>
      <sz val="7"/>
      <name val="Small Fonts"/>
      <family val="2"/>
    </font>
    <font>
      <b/>
      <i/>
      <sz val="16"/>
      <name val="Helv"/>
    </font>
    <font>
      <b/>
      <sz val="10"/>
      <name val="Arial CE"/>
      <family val="2"/>
      <charset val="238"/>
    </font>
    <font>
      <u/>
      <sz val="9"/>
      <color indexed="36"/>
      <name val="Arial"/>
      <family val="2"/>
    </font>
    <font>
      <sz val="12"/>
      <name val="Arial Narrow"/>
      <family val="2"/>
    </font>
    <font>
      <b/>
      <sz val="12"/>
      <name val="Arial Narrow"/>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Times New Roman"/>
      <family val="2"/>
    </font>
    <font>
      <u/>
      <sz val="10"/>
      <color theme="10"/>
      <name val="Arial"/>
      <family val="2"/>
    </font>
    <font>
      <u/>
      <sz val="11"/>
      <color theme="10"/>
      <name val="Microsoft Sans Serif"/>
      <family val="2"/>
    </font>
    <font>
      <sz val="10"/>
      <name val="Arial"/>
    </font>
    <font>
      <b/>
      <sz val="11"/>
      <color theme="1"/>
      <name val="Calibri"/>
      <family val="2"/>
      <scheme val="minor"/>
    </font>
    <font>
      <sz val="8"/>
      <name val="Microsoft Sans Serif"/>
      <family val="2"/>
    </font>
    <font>
      <sz val="12"/>
      <name val="Microsoft Sans Serif"/>
      <family val="2"/>
    </font>
    <font>
      <sz val="10"/>
      <color theme="1"/>
      <name val="Microsoft Sans Serif"/>
      <family val="2"/>
    </font>
    <font>
      <b/>
      <sz val="10"/>
      <color theme="1"/>
      <name val="Microsoft Sans Serif"/>
      <family val="2"/>
    </font>
    <font>
      <b/>
      <sz val="10"/>
      <name val="Arial"/>
      <family val="2"/>
    </font>
    <font>
      <b/>
      <sz val="6"/>
      <name val="Arial"/>
      <family val="2"/>
    </font>
    <font>
      <b/>
      <sz val="11"/>
      <color rgb="FF00B050"/>
      <name val="Microsoft Sans Serif"/>
      <family val="2"/>
    </font>
    <font>
      <b/>
      <u/>
      <sz val="11"/>
      <color rgb="FF00B050"/>
      <name val="Microsoft Sans Serif"/>
      <family val="2"/>
    </font>
    <font>
      <sz val="11"/>
      <name val="Times New Roman"/>
      <family val="1"/>
    </font>
    <font>
      <b/>
      <sz val="11"/>
      <name val="Times New Roman"/>
      <family val="1"/>
    </font>
    <font>
      <b/>
      <sz val="11"/>
      <color theme="0"/>
      <name val="Times New Roman"/>
      <family val="1"/>
    </font>
    <font>
      <sz val="11"/>
      <color theme="1"/>
      <name val="Times New Roman"/>
      <family val="1"/>
    </font>
    <font>
      <sz val="11"/>
      <color rgb="FF0070C0"/>
      <name val="Times New Roman"/>
      <family val="1"/>
    </font>
  </fonts>
  <fills count="43">
    <fill>
      <patternFill patternType="none"/>
    </fill>
    <fill>
      <patternFill patternType="gray125"/>
    </fill>
    <fill>
      <patternFill patternType="solid">
        <fgColor indexed="42"/>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5"/>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rgb="FF92D050"/>
        <bgColor indexed="64"/>
      </patternFill>
    </fill>
    <fill>
      <patternFill patternType="solid">
        <fgColor indexed="11"/>
        <bgColor indexed="64"/>
      </patternFill>
    </fill>
    <fill>
      <patternFill patternType="solid">
        <fgColor indexed="65"/>
        <bgColor indexed="64"/>
      </patternFill>
    </fill>
    <fill>
      <patternFill patternType="solid">
        <fgColor rgb="FF0070C0"/>
        <bgColor indexed="64"/>
      </patternFill>
    </fill>
    <fill>
      <patternFill patternType="solid">
        <fgColor theme="0"/>
        <bgColor indexed="64"/>
      </patternFill>
    </fill>
    <fill>
      <patternFill patternType="solid">
        <fgColor rgb="FF00CC00"/>
        <bgColor indexed="64"/>
      </patternFill>
    </fill>
  </fills>
  <borders count="55">
    <border>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59">
    <xf numFmtId="0" fontId="0" fillId="0" borderId="0"/>
    <xf numFmtId="0" fontId="3" fillId="0" borderId="0"/>
    <xf numFmtId="43" fontId="2"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0" fontId="6" fillId="2" borderId="0" applyNumberFormat="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9" fontId="2"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7" fillId="0" borderId="0">
      <alignment vertical="center"/>
    </xf>
    <xf numFmtId="172" fontId="8" fillId="0" borderId="0"/>
    <xf numFmtId="0" fontId="25"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0"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1" fillId="28" borderId="36" applyNumberFormat="0" applyAlignment="0" applyProtection="0"/>
    <xf numFmtId="0" fontId="41" fillId="28" borderId="36" applyNumberFormat="0" applyAlignment="0" applyProtection="0"/>
    <xf numFmtId="0" fontId="41" fillId="28" borderId="36" applyNumberFormat="0" applyAlignment="0" applyProtection="0"/>
    <xf numFmtId="0" fontId="41" fillId="28" borderId="36" applyNumberFormat="0" applyAlignment="0" applyProtection="0"/>
    <xf numFmtId="0" fontId="48" fillId="0" borderId="37" applyNumberFormat="0" applyFill="0" applyAlignment="0" applyProtection="0"/>
    <xf numFmtId="0" fontId="42" fillId="29" borderId="38" applyNumberFormat="0" applyAlignment="0" applyProtection="0"/>
    <xf numFmtId="0" fontId="42" fillId="29" borderId="38" applyNumberFormat="0" applyAlignment="0" applyProtection="0"/>
    <xf numFmtId="0" fontId="42" fillId="29" borderId="38" applyNumberFormat="0" applyAlignment="0" applyProtection="0"/>
    <xf numFmtId="0" fontId="42" fillId="29" borderId="38" applyNumberFormat="0" applyAlignment="0" applyProtection="0"/>
    <xf numFmtId="0" fontId="39"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7" borderId="0" applyNumberFormat="0" applyBorder="0" applyAlignment="0" applyProtection="0"/>
    <xf numFmtId="177" fontId="3" fillId="0" borderId="0"/>
    <xf numFmtId="177" fontId="3" fillId="0" borderId="0"/>
    <xf numFmtId="177" fontId="3" fillId="0" borderId="0"/>
    <xf numFmtId="177" fontId="3" fillId="0" borderId="0"/>
    <xf numFmtId="177" fontId="3" fillId="0" borderId="0"/>
    <xf numFmtId="177" fontId="3" fillId="0" borderId="0"/>
    <xf numFmtId="177" fontId="3" fillId="0" borderId="0"/>
    <xf numFmtId="177" fontId="3" fillId="0" borderId="0"/>
    <xf numFmtId="165" fontId="3" fillId="0" borderId="0" applyFont="0" applyFill="0" applyBorder="0" applyAlignment="0" applyProtection="0"/>
    <xf numFmtId="176" fontId="27" fillId="0" borderId="0" applyFont="0" applyFill="0" applyBorder="0" applyAlignment="0" applyProtection="0"/>
    <xf numFmtId="165" fontId="3" fillId="0" borderId="0" applyFont="0" applyFill="0" applyBorder="0" applyAlignment="0" applyProtection="0"/>
    <xf numFmtId="165" fontId="5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27" fillId="0" borderId="0" applyFont="0" applyFill="0" applyBorder="0" applyAlignment="0" applyProtection="0"/>
    <xf numFmtId="176" fontId="28" fillId="0" borderId="0"/>
    <xf numFmtId="176" fontId="28" fillId="0" borderId="0"/>
    <xf numFmtId="176" fontId="29" fillId="0" borderId="0"/>
    <xf numFmtId="176" fontId="28" fillId="0" borderId="0"/>
    <xf numFmtId="176" fontId="28" fillId="0" borderId="0"/>
    <xf numFmtId="176" fontId="28" fillId="0" borderId="0"/>
    <xf numFmtId="176" fontId="28" fillId="0" borderId="0"/>
    <xf numFmtId="176" fontId="28" fillId="0" borderId="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176" fontId="28" fillId="0" borderId="0"/>
    <xf numFmtId="0" fontId="6" fillId="2" borderId="0" applyNumberFormat="0" applyBorder="0" applyAlignment="0" applyProtection="0"/>
    <xf numFmtId="0" fontId="6" fillId="2" borderId="0" applyNumberFormat="0" applyBorder="0" applyAlignment="0" applyProtection="0"/>
    <xf numFmtId="176" fontId="30" fillId="0" borderId="7" applyNumberFormat="0" applyAlignment="0" applyProtection="0">
      <alignment horizontal="left" vertical="center"/>
    </xf>
    <xf numFmtId="176" fontId="30" fillId="0" borderId="33">
      <alignment horizontal="left" vertical="center"/>
    </xf>
    <xf numFmtId="0" fontId="44" fillId="0" borderId="39" applyNumberFormat="0" applyFill="0" applyAlignment="0" applyProtection="0"/>
    <xf numFmtId="0" fontId="44" fillId="0" borderId="39" applyNumberFormat="0" applyFill="0" applyAlignment="0" applyProtection="0"/>
    <xf numFmtId="0" fontId="44" fillId="0" borderId="39" applyNumberFormat="0" applyFill="0" applyAlignment="0" applyProtection="0"/>
    <xf numFmtId="0" fontId="45" fillId="0" borderId="40" applyNumberFormat="0" applyFill="0" applyAlignment="0" applyProtection="0"/>
    <xf numFmtId="0" fontId="45" fillId="0" borderId="40" applyNumberFormat="0" applyFill="0" applyAlignment="0" applyProtection="0"/>
    <xf numFmtId="0" fontId="45" fillId="0" borderId="40" applyNumberFormat="0" applyFill="0" applyAlignment="0" applyProtection="0"/>
    <xf numFmtId="0" fontId="46" fillId="0" borderId="41" applyNumberFormat="0" applyFill="0" applyAlignment="0" applyProtection="0"/>
    <xf numFmtId="0" fontId="46" fillId="0" borderId="41" applyNumberFormat="0" applyFill="0" applyAlignment="0" applyProtection="0"/>
    <xf numFmtId="0" fontId="46" fillId="0" borderId="41"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55" fillId="0" borderId="0" applyNumberFormat="0" applyFill="0" applyBorder="0" applyAlignment="0" applyProtection="0">
      <alignment vertical="top"/>
      <protection locked="0"/>
    </xf>
    <xf numFmtId="176"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76" fontId="31" fillId="0" borderId="0" applyNumberFormat="0" applyFill="0" applyBorder="0" applyAlignment="0" applyProtection="0">
      <alignment vertical="top"/>
      <protection locked="0"/>
    </xf>
    <xf numFmtId="0" fontId="47" fillId="15" borderId="36" applyNumberFormat="0" applyAlignment="0" applyProtection="0"/>
    <xf numFmtId="0" fontId="47" fillId="15" borderId="36" applyNumberFormat="0" applyAlignment="0" applyProtection="0"/>
    <xf numFmtId="0" fontId="47" fillId="15" borderId="36" applyNumberFormat="0" applyAlignment="0" applyProtection="0"/>
    <xf numFmtId="0" fontId="47" fillId="15" borderId="36" applyNumberFormat="0" applyAlignment="0" applyProtection="0"/>
    <xf numFmtId="0" fontId="48" fillId="0" borderId="37" applyNumberFormat="0" applyFill="0" applyAlignment="0" applyProtection="0"/>
    <xf numFmtId="0" fontId="48" fillId="0" borderId="37" applyNumberFormat="0" applyFill="0" applyAlignment="0" applyProtection="0"/>
    <xf numFmtId="0" fontId="48" fillId="0" borderId="37" applyNumberFormat="0" applyFill="0" applyAlignment="0" applyProtection="0"/>
    <xf numFmtId="176" fontId="7" fillId="30" borderId="0" applyNumberFormat="0" applyFont="0" applyAlignment="0" applyProtection="0"/>
    <xf numFmtId="176" fontId="32" fillId="31" borderId="0" applyNumberFormat="0" applyFont="0" applyAlignment="0">
      <alignment horizontal="right"/>
    </xf>
    <xf numFmtId="176" fontId="7" fillId="0" borderId="0" applyNumberFormat="0" applyFont="0" applyAlignment="0" applyProtection="0"/>
    <xf numFmtId="0" fontId="49"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37" fontId="33" fillId="0" borderId="0"/>
    <xf numFmtId="172" fontId="34" fillId="0" borderId="0"/>
    <xf numFmtId="176" fontId="24" fillId="0" borderId="0"/>
    <xf numFmtId="0" fontId="3" fillId="0" borderId="0"/>
    <xf numFmtId="176" fontId="3" fillId="0" borderId="0"/>
    <xf numFmtId="0" fontId="3" fillId="0" borderId="0"/>
    <xf numFmtId="0" fontId="24" fillId="0" borderId="0"/>
    <xf numFmtId="0" fontId="25" fillId="0" borderId="0"/>
    <xf numFmtId="0" fontId="24" fillId="0" borderId="0"/>
    <xf numFmtId="0" fontId="3" fillId="0" borderId="0"/>
    <xf numFmtId="0" fontId="3" fillId="0" borderId="0"/>
    <xf numFmtId="0" fontId="3" fillId="0" borderId="0"/>
    <xf numFmtId="0" fontId="54" fillId="0" borderId="0"/>
    <xf numFmtId="0" fontId="25" fillId="33" borderId="42" applyNumberFormat="0" applyFont="0" applyAlignment="0" applyProtection="0"/>
    <xf numFmtId="0" fontId="3" fillId="33" borderId="42" applyNumberFormat="0" applyFont="0" applyAlignment="0" applyProtection="0"/>
    <xf numFmtId="0" fontId="3" fillId="33" borderId="42" applyNumberFormat="0" applyFont="0" applyAlignment="0" applyProtection="0"/>
    <xf numFmtId="0" fontId="3" fillId="33" borderId="42" applyNumberFormat="0" applyFont="0" applyAlignment="0" applyProtection="0"/>
    <xf numFmtId="0" fontId="50" fillId="28" borderId="43" applyNumberFormat="0" applyAlignment="0" applyProtection="0"/>
    <xf numFmtId="0" fontId="50" fillId="28" borderId="43" applyNumberFormat="0" applyAlignment="0" applyProtection="0"/>
    <xf numFmtId="0" fontId="50" fillId="28" borderId="43" applyNumberFormat="0" applyAlignment="0" applyProtection="0"/>
    <xf numFmtId="0" fontId="50" fillId="28" borderId="43" applyNumberFormat="0" applyAlignment="0" applyProtection="0"/>
    <xf numFmtId="176" fontId="28"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176" fontId="35" fillId="0" borderId="0" applyFont="0"/>
    <xf numFmtId="176" fontId="36" fillId="0" borderId="0" applyNumberFormat="0" applyFill="0" applyBorder="0" applyAlignment="0" applyProtection="0">
      <alignment vertical="top"/>
      <protection locked="0"/>
    </xf>
    <xf numFmtId="0" fontId="3" fillId="0" borderId="0"/>
    <xf numFmtId="0" fontId="53" fillId="0" borderId="0" applyNumberFormat="0" applyFill="0" applyBorder="0" applyAlignment="0" applyProtection="0"/>
    <xf numFmtId="0" fontId="43"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4" fillId="0" borderId="39" applyNumberFormat="0" applyFill="0" applyAlignment="0" applyProtection="0"/>
    <xf numFmtId="0" fontId="45" fillId="0" borderId="40" applyNumberFormat="0" applyFill="0" applyAlignment="0" applyProtection="0"/>
    <xf numFmtId="0" fontId="46" fillId="0" borderId="41" applyNumberFormat="0" applyFill="0" applyAlignment="0" applyProtection="0"/>
    <xf numFmtId="0" fontId="46" fillId="0" borderId="0" applyNumberFormat="0" applyFill="0" applyBorder="0" applyAlignment="0" applyProtection="0"/>
    <xf numFmtId="0" fontId="52" fillId="0" borderId="44" applyNumberFormat="0" applyFill="0" applyAlignment="0" applyProtection="0"/>
    <xf numFmtId="0" fontId="52" fillId="0" borderId="44" applyNumberFormat="0" applyFill="0" applyAlignment="0" applyProtection="0"/>
    <xf numFmtId="0" fontId="52" fillId="0" borderId="44" applyNumberFormat="0" applyFill="0" applyAlignment="0" applyProtection="0"/>
    <xf numFmtId="0" fontId="52" fillId="0" borderId="44" applyNumberFormat="0" applyFill="0" applyAlignment="0" applyProtection="0"/>
    <xf numFmtId="0" fontId="40" fillId="12" borderId="0" applyNumberFormat="0" applyBorder="0" applyAlignment="0" applyProtection="0"/>
    <xf numFmtId="0" fontId="6" fillId="2" borderId="0" applyNumberFormat="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3" fillId="0" borderId="0"/>
    <xf numFmtId="0" fontId="3" fillId="0" borderId="0"/>
    <xf numFmtId="0" fontId="3" fillId="33" borderId="42" applyNumberFormat="0" applyFont="0" applyAlignment="0" applyProtection="0"/>
    <xf numFmtId="9" fontId="3" fillId="0" borderId="0" applyFont="0" applyFill="0" applyBorder="0" applyAlignment="0" applyProtection="0"/>
    <xf numFmtId="0" fontId="57" fillId="0" borderId="0"/>
    <xf numFmtId="165" fontId="57" fillId="0" borderId="0" applyFont="0" applyFill="0" applyBorder="0" applyAlignment="0" applyProtection="0"/>
    <xf numFmtId="165" fontId="57" fillId="0" borderId="0" applyFont="0" applyFill="0" applyBorder="0" applyAlignment="0" applyProtection="0"/>
    <xf numFmtId="165" fontId="57" fillId="0" borderId="0" applyFont="0" applyFill="0" applyBorder="0" applyAlignment="0" applyProtection="0"/>
    <xf numFmtId="0" fontId="24" fillId="0" borderId="0"/>
    <xf numFmtId="9" fontId="57" fillId="0" borderId="0" applyFont="0" applyFill="0" applyBorder="0" applyAlignment="0" applyProtection="0"/>
    <xf numFmtId="0" fontId="57" fillId="0" borderId="0"/>
    <xf numFmtId="9" fontId="24" fillId="0" borderId="0" applyFont="0" applyFill="0" applyBorder="0" applyAlignment="0" applyProtection="0"/>
    <xf numFmtId="9" fontId="57" fillId="0" borderId="0" applyFont="0" applyFill="0" applyBorder="0" applyAlignment="0" applyProtection="0"/>
    <xf numFmtId="165" fontId="24" fillId="0" borderId="0" applyFont="0" applyFill="0" applyBorder="0" applyAlignment="0" applyProtection="0"/>
    <xf numFmtId="165" fontId="1" fillId="0" borderId="0" applyFont="0" applyFill="0" applyBorder="0" applyAlignment="0" applyProtection="0"/>
  </cellStyleXfs>
  <cellXfs count="528">
    <xf numFmtId="0" fontId="0" fillId="0" borderId="0" xfId="0"/>
    <xf numFmtId="0" fontId="21" fillId="0" borderId="0" xfId="0" applyFont="1"/>
    <xf numFmtId="0" fontId="9" fillId="6" borderId="1" xfId="12" applyFont="1" applyFill="1" applyBorder="1"/>
    <xf numFmtId="0" fontId="21" fillId="0" borderId="1" xfId="0" applyFont="1" applyBorder="1"/>
    <xf numFmtId="0" fontId="22" fillId="0" borderId="1" xfId="0" applyFont="1" applyBorder="1"/>
    <xf numFmtId="0" fontId="9" fillId="0" borderId="1" xfId="12" applyFont="1" applyFill="1" applyBorder="1"/>
    <xf numFmtId="0" fontId="10" fillId="0" borderId="1" xfId="0" applyFont="1" applyBorder="1"/>
    <xf numFmtId="166" fontId="21" fillId="0" borderId="0" xfId="0" applyNumberFormat="1" applyFont="1"/>
    <xf numFmtId="2" fontId="21" fillId="0" borderId="0" xfId="0" applyNumberFormat="1" applyFont="1"/>
    <xf numFmtId="0" fontId="9" fillId="6" borderId="2" xfId="12" applyFont="1" applyFill="1" applyBorder="1"/>
    <xf numFmtId="17" fontId="10" fillId="0" borderId="2" xfId="0" applyNumberFormat="1" applyFont="1" applyBorder="1"/>
    <xf numFmtId="0" fontId="21" fillId="0" borderId="0" xfId="0" applyFont="1" applyBorder="1"/>
    <xf numFmtId="0" fontId="22" fillId="0" borderId="3" xfId="0" applyFont="1" applyBorder="1"/>
    <xf numFmtId="2" fontId="21" fillId="0" borderId="4" xfId="0" applyNumberFormat="1" applyFont="1" applyBorder="1"/>
    <xf numFmtId="0" fontId="21" fillId="0" borderId="5" xfId="0" applyFont="1" applyBorder="1"/>
    <xf numFmtId="0" fontId="22" fillId="0" borderId="5" xfId="0" applyFont="1" applyBorder="1"/>
    <xf numFmtId="17" fontId="9" fillId="0" borderId="6" xfId="0" applyNumberFormat="1" applyFont="1" applyBorder="1"/>
    <xf numFmtId="0" fontId="22" fillId="0" borderId="7" xfId="0" applyFont="1" applyBorder="1"/>
    <xf numFmtId="2" fontId="22" fillId="0" borderId="7" xfId="0" applyNumberFormat="1" applyFont="1" applyBorder="1"/>
    <xf numFmtId="2" fontId="22" fillId="0" borderId="4" xfId="0" applyNumberFormat="1" applyFont="1" applyBorder="1"/>
    <xf numFmtId="0" fontId="22" fillId="0" borderId="0" xfId="0" applyFont="1"/>
    <xf numFmtId="0" fontId="21" fillId="0" borderId="8" xfId="0" applyFont="1" applyBorder="1"/>
    <xf numFmtId="0" fontId="21" fillId="0" borderId="9" xfId="0" applyFont="1" applyBorder="1"/>
    <xf numFmtId="0" fontId="21" fillId="0" borderId="10" xfId="0" applyFont="1" applyBorder="1"/>
    <xf numFmtId="0" fontId="21" fillId="0" borderId="11" xfId="0" applyFont="1" applyBorder="1"/>
    <xf numFmtId="0" fontId="21" fillId="0" borderId="12" xfId="0" applyFont="1" applyBorder="1"/>
    <xf numFmtId="0" fontId="21" fillId="0" borderId="13" xfId="0" applyFont="1" applyBorder="1"/>
    <xf numFmtId="0" fontId="21" fillId="0" borderId="14" xfId="0" applyFont="1" applyBorder="1"/>
    <xf numFmtId="0" fontId="21" fillId="0" borderId="15" xfId="0" applyFont="1" applyBorder="1"/>
    <xf numFmtId="0" fontId="23" fillId="0" borderId="0" xfId="0" applyFont="1"/>
    <xf numFmtId="0" fontId="21" fillId="0" borderId="16" xfId="0" applyFont="1" applyBorder="1"/>
    <xf numFmtId="0" fontId="21" fillId="0" borderId="17" xfId="0" applyFont="1" applyBorder="1"/>
    <xf numFmtId="0" fontId="21" fillId="0" borderId="18" xfId="0" applyFont="1" applyBorder="1"/>
    <xf numFmtId="0" fontId="21" fillId="0" borderId="19" xfId="0" applyFont="1" applyBorder="1"/>
    <xf numFmtId="0" fontId="21" fillId="0" borderId="20" xfId="0" applyFont="1" applyBorder="1"/>
    <xf numFmtId="0" fontId="21" fillId="0" borderId="21" xfId="0" applyFont="1" applyBorder="1"/>
    <xf numFmtId="15" fontId="21" fillId="0" borderId="22" xfId="0" applyNumberFormat="1" applyFont="1" applyBorder="1"/>
    <xf numFmtId="2" fontId="21" fillId="0" borderId="23" xfId="0" applyNumberFormat="1" applyFont="1" applyBorder="1"/>
    <xf numFmtId="15" fontId="21" fillId="0" borderId="24" xfId="0" applyNumberFormat="1" applyFont="1" applyBorder="1"/>
    <xf numFmtId="0" fontId="14" fillId="0" borderId="0" xfId="0" applyNumberFormat="1" applyFont="1" applyBorder="1"/>
    <xf numFmtId="0" fontId="9" fillId="0" borderId="0" xfId="0" applyNumberFormat="1" applyFont="1" applyBorder="1"/>
    <xf numFmtId="0" fontId="10" fillId="0" borderId="0" xfId="0" applyNumberFormat="1" applyFont="1" applyBorder="1"/>
    <xf numFmtId="0" fontId="10" fillId="0" borderId="0" xfId="0" applyFont="1"/>
    <xf numFmtId="0" fontId="9" fillId="0" borderId="16" xfId="0" applyNumberFormat="1" applyFont="1" applyBorder="1"/>
    <xf numFmtId="0" fontId="10" fillId="0" borderId="16" xfId="0" applyNumberFormat="1" applyFont="1" applyBorder="1" applyAlignment="1">
      <alignment horizontal="left" wrapText="1"/>
    </xf>
    <xf numFmtId="0" fontId="10" fillId="0" borderId="16" xfId="0" applyFont="1" applyFill="1" applyBorder="1"/>
    <xf numFmtId="15" fontId="21" fillId="0" borderId="0" xfId="0" applyNumberFormat="1" applyFont="1"/>
    <xf numFmtId="0" fontId="10" fillId="0" borderId="16" xfId="0" applyNumberFormat="1" applyFont="1" applyBorder="1"/>
    <xf numFmtId="10" fontId="10" fillId="0" borderId="16" xfId="20" applyNumberFormat="1" applyFont="1" applyFill="1" applyBorder="1" applyAlignment="1">
      <alignment horizontal="right"/>
    </xf>
    <xf numFmtId="0" fontId="10" fillId="0" borderId="16" xfId="0" applyFont="1" applyBorder="1"/>
    <xf numFmtId="0" fontId="10" fillId="0" borderId="16" xfId="0" applyNumberFormat="1" applyFont="1" applyFill="1" applyBorder="1"/>
    <xf numFmtId="10" fontId="10" fillId="0" borderId="16" xfId="20" applyNumberFormat="1" applyFont="1" applyBorder="1"/>
    <xf numFmtId="2" fontId="10" fillId="0" borderId="16" xfId="0" applyNumberFormat="1" applyFont="1" applyBorder="1"/>
    <xf numFmtId="10" fontId="10" fillId="0" borderId="16" xfId="20" applyNumberFormat="1" applyFont="1" applyFill="1" applyBorder="1"/>
    <xf numFmtId="10" fontId="21" fillId="0" borderId="0" xfId="18" applyNumberFormat="1" applyFont="1"/>
    <xf numFmtId="10" fontId="10" fillId="0" borderId="0" xfId="20" applyNumberFormat="1" applyFont="1" applyFill="1" applyBorder="1" applyAlignment="1">
      <alignment horizontal="right"/>
    </xf>
    <xf numFmtId="0" fontId="9" fillId="0" borderId="16" xfId="0" applyFont="1" applyBorder="1"/>
    <xf numFmtId="10" fontId="10" fillId="0" borderId="16" xfId="0" applyNumberFormat="1" applyFont="1" applyBorder="1"/>
    <xf numFmtId="2" fontId="15" fillId="0" borderId="16" xfId="8" applyNumberFormat="1" applyFont="1" applyBorder="1" applyAlignment="1" applyProtection="1">
      <alignment wrapText="1"/>
    </xf>
    <xf numFmtId="10" fontId="10" fillId="0" borderId="0" xfId="0" applyNumberFormat="1" applyFont="1"/>
    <xf numFmtId="0" fontId="15" fillId="0" borderId="0" xfId="8" applyFont="1" applyAlignment="1" applyProtection="1"/>
    <xf numFmtId="0" fontId="9" fillId="0" borderId="0" xfId="0" applyNumberFormat="1" applyFont="1" applyFill="1" applyBorder="1" applyAlignment="1">
      <alignment vertical="center"/>
    </xf>
    <xf numFmtId="0" fontId="9" fillId="0" borderId="0" xfId="0" applyFont="1"/>
    <xf numFmtId="0" fontId="10" fillId="0" borderId="0" xfId="0" applyNumberFormat="1" applyFont="1" applyFill="1" applyBorder="1" applyAlignment="1">
      <alignment vertical="center"/>
    </xf>
    <xf numFmtId="174" fontId="10" fillId="0" borderId="0" xfId="0" applyNumberFormat="1" applyFont="1"/>
    <xf numFmtId="0" fontId="9" fillId="0" borderId="25" xfId="0" applyNumberFormat="1" applyFont="1" applyBorder="1" applyAlignment="1">
      <alignment vertical="center"/>
    </xf>
    <xf numFmtId="0" fontId="9" fillId="0" borderId="25" xfId="0" applyNumberFormat="1" applyFont="1" applyBorder="1" applyAlignment="1">
      <alignment horizontal="right" vertical="center"/>
    </xf>
    <xf numFmtId="0" fontId="10" fillId="0" borderId="26" xfId="0" applyNumberFormat="1" applyFont="1" applyBorder="1" applyAlignment="1">
      <alignment vertical="center"/>
    </xf>
    <xf numFmtId="0" fontId="10" fillId="0" borderId="27" xfId="0" applyNumberFormat="1" applyFont="1" applyBorder="1" applyAlignment="1">
      <alignment vertical="center"/>
    </xf>
    <xf numFmtId="0" fontId="9" fillId="0" borderId="28" xfId="0" applyNumberFormat="1" applyFont="1" applyFill="1" applyBorder="1" applyAlignment="1">
      <alignment vertical="center"/>
    </xf>
    <xf numFmtId="10" fontId="9" fillId="0" borderId="4" xfId="20" applyNumberFormat="1" applyFont="1" applyBorder="1"/>
    <xf numFmtId="0" fontId="22" fillId="0" borderId="0" xfId="0" applyFont="1" applyBorder="1"/>
    <xf numFmtId="2" fontId="22" fillId="0" borderId="0" xfId="0" applyNumberFormat="1" applyFont="1" applyBorder="1"/>
    <xf numFmtId="0" fontId="11" fillId="0" borderId="0" xfId="0" applyFont="1"/>
    <xf numFmtId="0" fontId="11" fillId="0" borderId="0" xfId="14" applyFont="1" applyFill="1" applyBorder="1" applyAlignment="1">
      <alignment vertical="center"/>
    </xf>
    <xf numFmtId="168" fontId="10" fillId="0" borderId="0" xfId="14" applyNumberFormat="1" applyFont="1" applyFill="1" applyBorder="1" applyAlignment="1">
      <alignment horizontal="right"/>
    </xf>
    <xf numFmtId="1" fontId="11" fillId="0" borderId="0" xfId="18" applyNumberFormat="1" applyFont="1" applyFill="1" applyBorder="1" applyAlignment="1">
      <alignment horizontal="right"/>
    </xf>
    <xf numFmtId="0" fontId="11" fillId="0" borderId="0" xfId="17" applyFont="1" applyFill="1" applyBorder="1" applyAlignment="1">
      <alignment horizontal="left" vertical="center"/>
    </xf>
    <xf numFmtId="9" fontId="11" fillId="0" borderId="0" xfId="6" applyNumberFormat="1" applyFont="1" applyFill="1" applyBorder="1" applyAlignment="1">
      <alignment horizontal="right"/>
    </xf>
    <xf numFmtId="0" fontId="10" fillId="0" borderId="0" xfId="17" applyFont="1" applyFill="1" applyBorder="1"/>
    <xf numFmtId="0" fontId="11" fillId="0" borderId="0" xfId="0" applyFont="1" applyFill="1" applyBorder="1"/>
    <xf numFmtId="9" fontId="11" fillId="0" borderId="0" xfId="0" applyNumberFormat="1" applyFont="1" applyFill="1" applyBorder="1"/>
    <xf numFmtId="0" fontId="9" fillId="0" borderId="25" xfId="16" applyFont="1" applyFill="1" applyBorder="1"/>
    <xf numFmtId="0" fontId="9" fillId="0" borderId="25" xfId="16" applyFont="1" applyFill="1" applyBorder="1" applyAlignment="1">
      <alignment horizontal="center"/>
    </xf>
    <xf numFmtId="0" fontId="9" fillId="0" borderId="28" xfId="16" applyFont="1" applyFill="1" applyBorder="1"/>
    <xf numFmtId="0" fontId="9" fillId="0" borderId="11" xfId="16" applyFont="1" applyFill="1" applyBorder="1"/>
    <xf numFmtId="0" fontId="9" fillId="0" borderId="29" xfId="16" applyFont="1" applyFill="1" applyBorder="1" applyAlignment="1">
      <alignment horizontal="center"/>
    </xf>
    <xf numFmtId="0" fontId="9" fillId="0" borderId="12" xfId="16" applyFont="1" applyFill="1" applyBorder="1"/>
    <xf numFmtId="17" fontId="11" fillId="0" borderId="0" xfId="17" applyNumberFormat="1" applyFont="1" applyFill="1" applyBorder="1" applyAlignment="1">
      <alignment horizontal="right"/>
    </xf>
    <xf numFmtId="2" fontId="11" fillId="0" borderId="0" xfId="0" applyNumberFormat="1" applyFont="1" applyFill="1" applyBorder="1"/>
    <xf numFmtId="0" fontId="10" fillId="0" borderId="25" xfId="16" applyFont="1" applyFill="1" applyBorder="1" applyAlignment="1">
      <alignment wrapText="1"/>
    </xf>
    <xf numFmtId="2" fontId="11" fillId="0" borderId="0" xfId="0" applyNumberFormat="1" applyFont="1"/>
    <xf numFmtId="0" fontId="11" fillId="0" borderId="0" xfId="0" applyFont="1" applyFill="1"/>
    <xf numFmtId="0" fontId="9" fillId="0" borderId="0" xfId="16" applyFont="1" applyFill="1" applyBorder="1"/>
    <xf numFmtId="2" fontId="9" fillId="0" borderId="0" xfId="16" applyNumberFormat="1" applyFont="1" applyFill="1" applyBorder="1" applyAlignment="1">
      <alignment horizontal="right"/>
    </xf>
    <xf numFmtId="2" fontId="11" fillId="0" borderId="0" xfId="0" applyNumberFormat="1" applyFont="1" applyFill="1"/>
    <xf numFmtId="2" fontId="11" fillId="0" borderId="16" xfId="0" applyNumberFormat="1" applyFont="1" applyFill="1" applyBorder="1"/>
    <xf numFmtId="2" fontId="11" fillId="0" borderId="0" xfId="0" applyNumberFormat="1" applyFont="1" applyFill="1" applyBorder="1" applyAlignment="1">
      <alignment horizontal="center"/>
    </xf>
    <xf numFmtId="0" fontId="12" fillId="0" borderId="25" xfId="0" applyFont="1" applyBorder="1"/>
    <xf numFmtId="0" fontId="10" fillId="0" borderId="4" xfId="16" applyFont="1" applyFill="1" applyBorder="1"/>
    <xf numFmtId="0" fontId="10" fillId="0" borderId="29" xfId="10" applyFont="1" applyFill="1" applyBorder="1" applyAlignment="1">
      <alignment horizontal="left" indent="1"/>
    </xf>
    <xf numFmtId="0" fontId="10" fillId="0" borderId="0" xfId="10" applyFont="1"/>
    <xf numFmtId="0" fontId="10" fillId="0" borderId="0" xfId="10" applyFont="1" applyFill="1"/>
    <xf numFmtId="0" fontId="10" fillId="0" borderId="17" xfId="0" applyFont="1" applyFill="1" applyBorder="1"/>
    <xf numFmtId="0" fontId="11" fillId="0" borderId="28" xfId="0" applyFont="1" applyBorder="1"/>
    <xf numFmtId="9" fontId="11" fillId="0" borderId="0" xfId="18" applyFont="1" applyFill="1"/>
    <xf numFmtId="10" fontId="11" fillId="0" borderId="0" xfId="18" applyNumberFormat="1" applyFont="1" applyFill="1"/>
    <xf numFmtId="1" fontId="11" fillId="0" borderId="0" xfId="0" applyNumberFormat="1" applyFont="1" applyFill="1"/>
    <xf numFmtId="2" fontId="10" fillId="0" borderId="0" xfId="11" applyNumberFormat="1" applyFont="1" applyFill="1" applyBorder="1"/>
    <xf numFmtId="170" fontId="11" fillId="0" borderId="0" xfId="0" applyNumberFormat="1" applyFont="1" applyFill="1" applyBorder="1"/>
    <xf numFmtId="1" fontId="10" fillId="0" borderId="16" xfId="0" applyNumberFormat="1" applyFont="1" applyFill="1" applyBorder="1"/>
    <xf numFmtId="0" fontId="10" fillId="0" borderId="22" xfId="0" applyFont="1" applyFill="1" applyBorder="1"/>
    <xf numFmtId="0" fontId="10" fillId="0" borderId="10" xfId="0" applyFont="1" applyFill="1" applyBorder="1"/>
    <xf numFmtId="0" fontId="10" fillId="0" borderId="0" xfId="0" applyFont="1" applyFill="1" applyBorder="1"/>
    <xf numFmtId="0" fontId="10" fillId="0" borderId="24" xfId="0" applyFont="1" applyFill="1" applyBorder="1"/>
    <xf numFmtId="10" fontId="9" fillId="0" borderId="0" xfId="0" applyNumberFormat="1" applyFont="1" applyFill="1" applyBorder="1"/>
    <xf numFmtId="10" fontId="9" fillId="0" borderId="16" xfId="0" applyNumberFormat="1" applyFont="1" applyFill="1" applyBorder="1"/>
    <xf numFmtId="10" fontId="9" fillId="0" borderId="16" xfId="0" applyNumberFormat="1" applyFont="1" applyFill="1" applyBorder="1" applyAlignment="1">
      <alignment wrapText="1"/>
    </xf>
    <xf numFmtId="2" fontId="10" fillId="0" borderId="16" xfId="0" applyNumberFormat="1" applyFont="1" applyFill="1" applyBorder="1"/>
    <xf numFmtId="166" fontId="10" fillId="0" borderId="16" xfId="0" applyNumberFormat="1" applyFont="1" applyFill="1" applyBorder="1"/>
    <xf numFmtId="166" fontId="11" fillId="0" borderId="16" xfId="0" applyNumberFormat="1" applyFont="1" applyFill="1" applyBorder="1"/>
    <xf numFmtId="0" fontId="9" fillId="0" borderId="26" xfId="0" applyFont="1" applyFill="1" applyBorder="1"/>
    <xf numFmtId="169" fontId="9" fillId="0" borderId="18" xfId="0" applyNumberFormat="1" applyFont="1" applyFill="1" applyBorder="1"/>
    <xf numFmtId="1" fontId="10" fillId="0" borderId="20" xfId="0" applyNumberFormat="1" applyFont="1" applyFill="1" applyBorder="1"/>
    <xf numFmtId="0" fontId="9" fillId="0" borderId="8" xfId="0" applyFont="1" applyFill="1" applyBorder="1"/>
    <xf numFmtId="0" fontId="13" fillId="0" borderId="0" xfId="0" applyFont="1" applyFill="1"/>
    <xf numFmtId="0" fontId="9" fillId="0" borderId="0" xfId="0" applyFont="1" applyFill="1" applyBorder="1"/>
    <xf numFmtId="10" fontId="10" fillId="0" borderId="16" xfId="0" applyNumberFormat="1" applyFont="1" applyFill="1" applyBorder="1"/>
    <xf numFmtId="0" fontId="10" fillId="0" borderId="16" xfId="0" applyFont="1" applyFill="1" applyBorder="1" applyAlignment="1">
      <alignment wrapText="1"/>
    </xf>
    <xf numFmtId="2" fontId="11" fillId="0" borderId="16" xfId="0" applyNumberFormat="1" applyFont="1" applyFill="1" applyBorder="1" applyAlignment="1">
      <alignment wrapText="1"/>
    </xf>
    <xf numFmtId="0" fontId="11" fillId="0" borderId="16" xfId="0" applyFont="1" applyFill="1" applyBorder="1" applyAlignment="1">
      <alignment wrapText="1"/>
    </xf>
    <xf numFmtId="1" fontId="10" fillId="0" borderId="0" xfId="0" applyNumberFormat="1" applyFont="1" applyFill="1" applyBorder="1"/>
    <xf numFmtId="0" fontId="19" fillId="0" borderId="0" xfId="0" applyFont="1"/>
    <xf numFmtId="0" fontId="9" fillId="0" borderId="0" xfId="13" applyFont="1" applyFill="1" applyBorder="1" applyAlignment="1">
      <alignment horizontal="left" vertical="center"/>
    </xf>
    <xf numFmtId="0" fontId="9" fillId="0" borderId="0" xfId="15" applyFont="1" applyFill="1" applyBorder="1" applyAlignment="1">
      <alignment vertical="center" wrapText="1"/>
    </xf>
    <xf numFmtId="0" fontId="9" fillId="0" borderId="28" xfId="17" applyFont="1" applyFill="1" applyBorder="1" applyAlignment="1">
      <alignment horizontal="center" vertical="center"/>
    </xf>
    <xf numFmtId="0" fontId="9" fillId="0" borderId="25" xfId="17" applyFont="1" applyFill="1" applyBorder="1" applyAlignment="1">
      <alignment horizontal="center" vertical="center"/>
    </xf>
    <xf numFmtId="0" fontId="9" fillId="0" borderId="25" xfId="17" applyFont="1" applyFill="1" applyBorder="1" applyAlignment="1">
      <alignment horizontal="center"/>
    </xf>
    <xf numFmtId="0" fontId="11" fillId="0" borderId="29" xfId="17" applyFont="1" applyFill="1" applyBorder="1" applyAlignment="1">
      <alignment horizontal="left" vertical="center" indent="1"/>
    </xf>
    <xf numFmtId="0" fontId="11" fillId="0" borderId="27" xfId="17" applyFont="1" applyFill="1" applyBorder="1" applyAlignment="1">
      <alignment horizontal="left" vertical="center" indent="1"/>
    </xf>
    <xf numFmtId="0" fontId="11" fillId="0" borderId="27" xfId="14" applyFont="1" applyFill="1" applyBorder="1" applyAlignment="1">
      <alignment vertical="center"/>
    </xf>
    <xf numFmtId="0" fontId="10" fillId="0" borderId="29" xfId="14" applyFont="1" applyFill="1" applyBorder="1" applyAlignment="1">
      <alignment vertical="center"/>
    </xf>
    <xf numFmtId="0" fontId="12" fillId="0" borderId="28" xfId="0" applyFont="1" applyBorder="1" applyAlignment="1">
      <alignment horizontal="center"/>
    </xf>
    <xf numFmtId="0" fontId="12" fillId="0" borderId="4" xfId="0" applyFont="1" applyBorder="1" applyAlignment="1">
      <alignment horizontal="center"/>
    </xf>
    <xf numFmtId="0" fontId="12" fillId="0" borderId="25" xfId="0" applyFont="1" applyBorder="1" applyAlignment="1">
      <alignment horizontal="center"/>
    </xf>
    <xf numFmtId="0" fontId="11" fillId="0" borderId="0" xfId="0" applyFont="1" applyBorder="1" applyAlignment="1">
      <alignment wrapText="1"/>
    </xf>
    <xf numFmtId="0" fontId="11" fillId="0" borderId="0" xfId="17" applyFont="1" applyFill="1" applyBorder="1" applyAlignment="1">
      <alignment horizontal="left" vertical="center" indent="1"/>
    </xf>
    <xf numFmtId="0" fontId="10" fillId="0" borderId="0" xfId="17" applyFont="1" applyFill="1" applyBorder="1" applyAlignment="1">
      <alignment vertical="center"/>
    </xf>
    <xf numFmtId="9" fontId="11" fillId="0" borderId="0" xfId="18" applyFont="1" applyFill="1" applyBorder="1" applyAlignment="1">
      <alignment horizontal="right"/>
    </xf>
    <xf numFmtId="0" fontId="10" fillId="0" borderId="0" xfId="17" applyFont="1" applyFill="1" applyBorder="1" applyAlignment="1">
      <alignment horizontal="center" wrapText="1"/>
    </xf>
    <xf numFmtId="0" fontId="12" fillId="0" borderId="28" xfId="17" applyFont="1" applyFill="1" applyBorder="1" applyAlignment="1">
      <alignment horizontal="center" vertical="center"/>
    </xf>
    <xf numFmtId="2" fontId="12" fillId="0" borderId="25" xfId="6" applyNumberFormat="1" applyFont="1" applyFill="1" applyBorder="1" applyAlignment="1">
      <alignment horizontal="center"/>
    </xf>
    <xf numFmtId="0" fontId="9" fillId="0" borderId="4" xfId="17" applyFont="1" applyFill="1" applyBorder="1" applyAlignment="1">
      <alignment horizontal="center" wrapText="1"/>
    </xf>
    <xf numFmtId="0" fontId="10" fillId="0" borderId="11" xfId="16" applyFont="1" applyFill="1" applyBorder="1" applyAlignment="1">
      <alignment horizontal="left" indent="1"/>
    </xf>
    <xf numFmtId="0" fontId="10" fillId="0" borderId="11" xfId="16" applyFont="1" applyFill="1" applyBorder="1" applyAlignment="1">
      <alignment horizontal="left" wrapText="1" indent="1"/>
    </xf>
    <xf numFmtId="0" fontId="10" fillId="0" borderId="13" xfId="16" applyFont="1" applyFill="1" applyBorder="1" applyAlignment="1">
      <alignment horizontal="left" indent="1"/>
    </xf>
    <xf numFmtId="0" fontId="11" fillId="0" borderId="4" xfId="0" applyFont="1" applyBorder="1" applyAlignment="1">
      <alignment horizontal="center"/>
    </xf>
    <xf numFmtId="0" fontId="11" fillId="0" borderId="29" xfId="0" applyFont="1" applyBorder="1" applyAlignment="1">
      <alignment horizontal="center" wrapText="1"/>
    </xf>
    <xf numFmtId="0" fontId="11" fillId="0" borderId="27" xfId="0" applyFont="1" applyBorder="1" applyAlignment="1">
      <alignment horizontal="center" wrapText="1"/>
    </xf>
    <xf numFmtId="0" fontId="11" fillId="0" borderId="0" xfId="0" applyFont="1" applyFill="1" applyBorder="1" applyAlignment="1">
      <alignment horizontal="center"/>
    </xf>
    <xf numFmtId="9" fontId="10" fillId="0" borderId="0" xfId="18" applyFont="1" applyFill="1" applyBorder="1" applyAlignment="1">
      <alignment horizontal="center"/>
    </xf>
    <xf numFmtId="0" fontId="9" fillId="0" borderId="13" xfId="16" applyFont="1" applyFill="1" applyBorder="1"/>
    <xf numFmtId="2" fontId="9" fillId="0" borderId="14" xfId="16" applyNumberFormat="1" applyFont="1" applyFill="1" applyBorder="1" applyAlignment="1">
      <alignment horizontal="right"/>
    </xf>
    <xf numFmtId="2" fontId="11" fillId="0" borderId="15" xfId="0" applyNumberFormat="1" applyFont="1" applyFill="1" applyBorder="1" applyAlignment="1">
      <alignment horizontal="center"/>
    </xf>
    <xf numFmtId="9" fontId="10" fillId="0" borderId="14" xfId="18" applyFont="1" applyFill="1" applyBorder="1" applyAlignment="1">
      <alignment horizontal="center"/>
    </xf>
    <xf numFmtId="0" fontId="10" fillId="0" borderId="29" xfId="16" applyFont="1" applyFill="1" applyBorder="1" applyAlignment="1">
      <alignment horizontal="left" indent="1"/>
    </xf>
    <xf numFmtId="0" fontId="10" fillId="0" borderId="27" xfId="16" applyFont="1" applyFill="1" applyBorder="1" applyAlignment="1">
      <alignment horizontal="left" indent="1"/>
    </xf>
    <xf numFmtId="2" fontId="11" fillId="0" borderId="29" xfId="0" applyNumberFormat="1" applyFont="1" applyFill="1" applyBorder="1" applyAlignment="1">
      <alignment horizontal="center"/>
    </xf>
    <xf numFmtId="2" fontId="11" fillId="0" borderId="27" xfId="0" applyNumberFormat="1" applyFont="1" applyFill="1" applyBorder="1" applyAlignment="1">
      <alignment horizontal="center"/>
    </xf>
    <xf numFmtId="2" fontId="9" fillId="0" borderId="7" xfId="16" applyNumberFormat="1" applyFont="1" applyFill="1" applyBorder="1" applyAlignment="1">
      <alignment horizontal="center"/>
    </xf>
    <xf numFmtId="0" fontId="12" fillId="0" borderId="25" xfId="0" applyFont="1" applyFill="1" applyBorder="1" applyAlignment="1">
      <alignment horizontal="center"/>
    </xf>
    <xf numFmtId="2" fontId="12" fillId="0" borderId="4" xfId="0" applyNumberFormat="1" applyFont="1" applyFill="1" applyBorder="1" applyAlignment="1">
      <alignment horizontal="center"/>
    </xf>
    <xf numFmtId="0" fontId="9" fillId="0" borderId="28" xfId="13" applyFont="1" applyFill="1" applyBorder="1" applyAlignment="1">
      <alignment horizontal="center" vertical="center"/>
    </xf>
    <xf numFmtId="2" fontId="9" fillId="0" borderId="25" xfId="16" applyNumberFormat="1" applyFont="1" applyFill="1" applyBorder="1" applyAlignment="1">
      <alignment horizontal="center"/>
    </xf>
    <xf numFmtId="0" fontId="10" fillId="0" borderId="11" xfId="0" applyFont="1" applyFill="1" applyBorder="1" applyAlignment="1">
      <alignment horizontal="left" indent="1"/>
    </xf>
    <xf numFmtId="2" fontId="10" fillId="0" borderId="13" xfId="0" applyNumberFormat="1" applyFont="1" applyFill="1" applyBorder="1" applyAlignment="1">
      <alignment horizontal="left" indent="1"/>
    </xf>
    <xf numFmtId="0" fontId="10" fillId="0" borderId="29" xfId="16" applyFont="1" applyFill="1" applyBorder="1" applyAlignment="1">
      <alignment horizontal="center"/>
    </xf>
    <xf numFmtId="2" fontId="10" fillId="0" borderId="29" xfId="16" applyNumberFormat="1" applyFont="1" applyFill="1" applyBorder="1" applyAlignment="1">
      <alignment horizontal="center"/>
    </xf>
    <xf numFmtId="2" fontId="10" fillId="0" borderId="27" xfId="16" applyNumberFormat="1" applyFont="1" applyFill="1" applyBorder="1" applyAlignment="1">
      <alignment horizontal="center"/>
    </xf>
    <xf numFmtId="2" fontId="9" fillId="3" borderId="25" xfId="16" applyNumberFormat="1" applyFont="1" applyFill="1" applyBorder="1" applyAlignment="1">
      <alignment horizontal="center"/>
    </xf>
    <xf numFmtId="10" fontId="11" fillId="3" borderId="0" xfId="17" applyNumberFormat="1" applyFont="1" applyFill="1" applyBorder="1" applyAlignment="1">
      <alignment horizontal="center"/>
    </xf>
    <xf numFmtId="1" fontId="11" fillId="0" borderId="0" xfId="18" applyNumberFormat="1" applyFont="1" applyFill="1" applyBorder="1" applyAlignment="1">
      <alignment horizontal="center"/>
    </xf>
    <xf numFmtId="1" fontId="11" fillId="0" borderId="14" xfId="18" applyNumberFormat="1" applyFont="1" applyFill="1" applyBorder="1" applyAlignment="1">
      <alignment horizontal="center"/>
    </xf>
    <xf numFmtId="2" fontId="10" fillId="0" borderId="0" xfId="5" applyNumberFormat="1" applyFont="1" applyFill="1" applyBorder="1" applyAlignment="1">
      <alignment horizontal="center" vertical="center"/>
    </xf>
    <xf numFmtId="168" fontId="10" fillId="0" borderId="14" xfId="14" applyNumberFormat="1" applyFont="1" applyFill="1" applyBorder="1" applyAlignment="1">
      <alignment horizontal="center"/>
    </xf>
    <xf numFmtId="2" fontId="5" fillId="0" borderId="12" xfId="8" applyNumberFormat="1" applyFill="1" applyBorder="1" applyAlignment="1" applyProtection="1">
      <alignment horizontal="center" wrapText="1"/>
    </xf>
    <xf numFmtId="10" fontId="10" fillId="0" borderId="29" xfId="18" applyNumberFormat="1" applyFont="1" applyFill="1" applyBorder="1" applyAlignment="1">
      <alignment horizontal="center"/>
    </xf>
    <xf numFmtId="1" fontId="10" fillId="0" borderId="29" xfId="16" applyNumberFormat="1" applyFont="1" applyFill="1" applyBorder="1" applyAlignment="1">
      <alignment horizontal="center"/>
    </xf>
    <xf numFmtId="1" fontId="10" fillId="0" borderId="27" xfId="16" applyNumberFormat="1" applyFont="1" applyFill="1" applyBorder="1" applyAlignment="1">
      <alignment horizontal="center"/>
    </xf>
    <xf numFmtId="0" fontId="10" fillId="0" borderId="0" xfId="16" applyFont="1" applyFill="1" applyBorder="1"/>
    <xf numFmtId="0" fontId="9" fillId="0" borderId="25" xfId="10" applyFont="1" applyFill="1" applyBorder="1" applyAlignment="1">
      <alignment horizontal="center"/>
    </xf>
    <xf numFmtId="0" fontId="9" fillId="0" borderId="25" xfId="10" applyFont="1" applyFill="1" applyBorder="1" applyAlignment="1">
      <alignment horizontal="center" vertical="center"/>
    </xf>
    <xf numFmtId="166" fontId="10" fillId="0" borderId="29" xfId="16" applyNumberFormat="1" applyFont="1" applyFill="1" applyBorder="1" applyAlignment="1">
      <alignment horizontal="center"/>
    </xf>
    <xf numFmtId="0" fontId="10" fillId="0" borderId="0" xfId="10" applyFont="1" applyFill="1" applyBorder="1" applyAlignment="1">
      <alignment vertical="center"/>
    </xf>
    <xf numFmtId="0" fontId="11" fillId="0" borderId="0" xfId="0" applyFont="1" applyBorder="1"/>
    <xf numFmtId="9" fontId="10" fillId="0" borderId="0" xfId="10" applyNumberFormat="1" applyFont="1" applyFill="1" applyBorder="1" applyAlignment="1">
      <alignment horizontal="center"/>
    </xf>
    <xf numFmtId="10" fontId="10" fillId="0" borderId="0" xfId="10" applyNumberFormat="1" applyFont="1" applyFill="1" applyBorder="1" applyAlignment="1">
      <alignment horizontal="center"/>
    </xf>
    <xf numFmtId="10" fontId="10" fillId="0" borderId="14" xfId="10" applyNumberFormat="1" applyFont="1" applyFill="1" applyBorder="1" applyAlignment="1">
      <alignment horizontal="center"/>
    </xf>
    <xf numFmtId="2" fontId="9" fillId="0" borderId="7" xfId="10" applyNumberFormat="1" applyFont="1" applyFill="1" applyBorder="1" applyAlignment="1">
      <alignment horizontal="center"/>
    </xf>
    <xf numFmtId="0" fontId="9" fillId="0" borderId="28" xfId="10" applyFont="1" applyFill="1" applyBorder="1" applyAlignment="1">
      <alignment horizontal="center" vertical="center"/>
    </xf>
    <xf numFmtId="0" fontId="10" fillId="0" borderId="27" xfId="10" applyFont="1" applyFill="1" applyBorder="1" applyAlignment="1">
      <alignment horizontal="left" indent="1"/>
    </xf>
    <xf numFmtId="0" fontId="11" fillId="0" borderId="29" xfId="0" applyFont="1" applyBorder="1" applyAlignment="1">
      <alignment horizontal="left" indent="1"/>
    </xf>
    <xf numFmtId="10" fontId="11" fillId="0" borderId="0" xfId="10" applyNumberFormat="1" applyFont="1" applyFill="1" applyBorder="1" applyAlignment="1">
      <alignment vertical="center"/>
    </xf>
    <xf numFmtId="0" fontId="11" fillId="0" borderId="0" xfId="0" applyFont="1" applyBorder="1" applyAlignment="1">
      <alignment horizontal="left" indent="1"/>
    </xf>
    <xf numFmtId="0" fontId="11" fillId="0" borderId="25" xfId="0" applyFont="1" applyBorder="1" applyAlignment="1">
      <alignment horizontal="left" indent="1"/>
    </xf>
    <xf numFmtId="9" fontId="10" fillId="0" borderId="7" xfId="18" applyFont="1" applyFill="1" applyBorder="1" applyAlignment="1">
      <alignment horizontal="center"/>
    </xf>
    <xf numFmtId="0" fontId="5" fillId="0" borderId="25" xfId="8" applyFill="1" applyBorder="1" applyAlignment="1" applyProtection="1">
      <alignment wrapText="1"/>
    </xf>
    <xf numFmtId="0" fontId="9" fillId="0" borderId="0" xfId="12" applyFont="1" applyFill="1" applyBorder="1" applyAlignment="1">
      <alignment horizontal="center"/>
    </xf>
    <xf numFmtId="0" fontId="9" fillId="0" borderId="0" xfId="12" applyFont="1" applyFill="1" applyBorder="1" applyAlignment="1">
      <alignment horizontal="left"/>
    </xf>
    <xf numFmtId="0" fontId="10" fillId="0" borderId="0" xfId="12" applyFont="1" applyFill="1" applyBorder="1"/>
    <xf numFmtId="171" fontId="11" fillId="0" borderId="0" xfId="2" applyNumberFormat="1" applyFont="1" applyFill="1" applyBorder="1"/>
    <xf numFmtId="0" fontId="9" fillId="0" borderId="0" xfId="12" applyFont="1" applyFill="1" applyBorder="1"/>
    <xf numFmtId="2" fontId="9" fillId="0" borderId="0" xfId="12" applyNumberFormat="1" applyFont="1" applyFill="1" applyBorder="1"/>
    <xf numFmtId="164" fontId="9" fillId="0" borderId="0" xfId="12" applyNumberFormat="1" applyFont="1" applyFill="1" applyBorder="1"/>
    <xf numFmtId="0" fontId="11" fillId="0" borderId="12" xfId="0" applyFont="1" applyFill="1" applyBorder="1"/>
    <xf numFmtId="171" fontId="11" fillId="0" borderId="12" xfId="2" applyNumberFormat="1" applyFont="1" applyFill="1" applyBorder="1"/>
    <xf numFmtId="2" fontId="11" fillId="0" borderId="12" xfId="0" applyNumberFormat="1" applyFont="1" applyFill="1" applyBorder="1"/>
    <xf numFmtId="2" fontId="11" fillId="0" borderId="14" xfId="0" applyNumberFormat="1" applyFont="1" applyFill="1" applyBorder="1"/>
    <xf numFmtId="0" fontId="9" fillId="0" borderId="7" xfId="12" applyFont="1" applyFill="1" applyBorder="1" applyAlignment="1">
      <alignment horizontal="center"/>
    </xf>
    <xf numFmtId="0" fontId="9" fillId="0" borderId="29" xfId="12" applyFont="1" applyFill="1" applyBorder="1" applyAlignment="1">
      <alignment horizontal="left"/>
    </xf>
    <xf numFmtId="0" fontId="10" fillId="0" borderId="29" xfId="12" applyFont="1" applyFill="1" applyBorder="1"/>
    <xf numFmtId="0" fontId="9" fillId="0" borderId="29" xfId="12" applyFont="1" applyFill="1" applyBorder="1"/>
    <xf numFmtId="17" fontId="12" fillId="0" borderId="25" xfId="0" applyNumberFormat="1" applyFont="1" applyFill="1" applyBorder="1"/>
    <xf numFmtId="0" fontId="11" fillId="0" borderId="29" xfId="0" applyFont="1" applyFill="1" applyBorder="1"/>
    <xf numFmtId="171" fontId="11" fillId="0" borderId="29" xfId="2" applyNumberFormat="1" applyFont="1" applyFill="1" applyBorder="1"/>
    <xf numFmtId="14" fontId="11" fillId="0" borderId="29" xfId="0" applyNumberFormat="1" applyFont="1" applyFill="1" applyBorder="1"/>
    <xf numFmtId="2" fontId="11" fillId="0" borderId="29" xfId="0" applyNumberFormat="1" applyFont="1" applyFill="1" applyBorder="1"/>
    <xf numFmtId="2" fontId="11" fillId="0" borderId="27" xfId="0" applyNumberFormat="1" applyFont="1" applyFill="1" applyBorder="1"/>
    <xf numFmtId="0" fontId="11" fillId="0" borderId="11" xfId="0" applyFont="1" applyFill="1" applyBorder="1"/>
    <xf numFmtId="171" fontId="11" fillId="0" borderId="11" xfId="2" applyNumberFormat="1" applyFont="1" applyFill="1" applyBorder="1"/>
    <xf numFmtId="2" fontId="11" fillId="0" borderId="11" xfId="0" applyNumberFormat="1" applyFont="1" applyFill="1" applyBorder="1"/>
    <xf numFmtId="0" fontId="9" fillId="0" borderId="25" xfId="12" applyFont="1" applyFill="1" applyBorder="1"/>
    <xf numFmtId="0" fontId="9" fillId="0" borderId="7" xfId="12" applyFont="1" applyFill="1" applyBorder="1"/>
    <xf numFmtId="1" fontId="11" fillId="0" borderId="25" xfId="0" applyNumberFormat="1" applyFont="1" applyFill="1" applyBorder="1"/>
    <xf numFmtId="0" fontId="11" fillId="0" borderId="0" xfId="0" applyFont="1" applyFill="1" applyAlignment="1">
      <alignment horizontal="center"/>
    </xf>
    <xf numFmtId="0" fontId="12" fillId="0" borderId="0" xfId="0" applyFont="1" applyFill="1" applyAlignment="1">
      <alignment horizontal="center"/>
    </xf>
    <xf numFmtId="0" fontId="10" fillId="0" borderId="29" xfId="12" applyFont="1" applyFill="1" applyBorder="1" applyAlignment="1">
      <alignment horizontal="left" indent="1"/>
    </xf>
    <xf numFmtId="0" fontId="10" fillId="0" borderId="0" xfId="0" applyFont="1" applyFill="1"/>
    <xf numFmtId="0" fontId="11" fillId="0" borderId="0" xfId="10" applyFont="1" applyFill="1" applyBorder="1" applyAlignment="1">
      <alignment horizontal="left" vertical="center"/>
    </xf>
    <xf numFmtId="0" fontId="5" fillId="0" borderId="12" xfId="8" applyBorder="1" applyAlignment="1" applyProtection="1">
      <alignment horizontal="center" wrapText="1"/>
    </xf>
    <xf numFmtId="0" fontId="12" fillId="0" borderId="25" xfId="10" applyFont="1" applyFill="1" applyBorder="1" applyAlignment="1">
      <alignment horizontal="center" vertical="center"/>
    </xf>
    <xf numFmtId="9" fontId="11" fillId="0" borderId="29" xfId="10" applyNumberFormat="1" applyFont="1" applyFill="1" applyBorder="1" applyAlignment="1">
      <alignment horizontal="center" vertical="center"/>
    </xf>
    <xf numFmtId="10" fontId="11" fillId="0" borderId="29" xfId="10" applyNumberFormat="1" applyFont="1" applyFill="1" applyBorder="1" applyAlignment="1">
      <alignment vertical="center"/>
    </xf>
    <xf numFmtId="0" fontId="11" fillId="0" borderId="12" xfId="0" applyFont="1" applyBorder="1" applyAlignment="1">
      <alignment horizontal="center" wrapText="1"/>
    </xf>
    <xf numFmtId="0" fontId="11" fillId="0" borderId="15" xfId="0" applyFont="1" applyBorder="1" applyAlignment="1">
      <alignment horizontal="center" wrapText="1"/>
    </xf>
    <xf numFmtId="2" fontId="9" fillId="0" borderId="25" xfId="12" applyNumberFormat="1" applyFont="1" applyFill="1" applyBorder="1"/>
    <xf numFmtId="2" fontId="11" fillId="0" borderId="25" xfId="0" applyNumberFormat="1" applyFont="1" applyFill="1" applyBorder="1"/>
    <xf numFmtId="2" fontId="11" fillId="0" borderId="28" xfId="0" applyNumberFormat="1" applyFont="1" applyFill="1" applyBorder="1"/>
    <xf numFmtId="2" fontId="11" fillId="0" borderId="4" xfId="0" applyNumberFormat="1" applyFont="1" applyFill="1" applyBorder="1"/>
    <xf numFmtId="2" fontId="11" fillId="0" borderId="7" xfId="0" applyNumberFormat="1" applyFont="1" applyFill="1" applyBorder="1"/>
    <xf numFmtId="2" fontId="10" fillId="0" borderId="29" xfId="0" applyNumberFormat="1" applyFont="1" applyFill="1" applyBorder="1"/>
    <xf numFmtId="2" fontId="18" fillId="0" borderId="29" xfId="0" applyNumberFormat="1" applyFont="1" applyFill="1" applyBorder="1"/>
    <xf numFmtId="2" fontId="9" fillId="0" borderId="29" xfId="12" applyNumberFormat="1" applyFont="1" applyFill="1" applyBorder="1"/>
    <xf numFmtId="0" fontId="9" fillId="7" borderId="25" xfId="12" applyFont="1" applyFill="1" applyBorder="1" applyAlignment="1">
      <alignment horizontal="center"/>
    </xf>
    <xf numFmtId="169" fontId="12" fillId="0" borderId="25" xfId="0" applyNumberFormat="1" applyFont="1" applyFill="1" applyBorder="1"/>
    <xf numFmtId="0" fontId="11" fillId="0" borderId="11" xfId="0" applyFont="1" applyFill="1" applyBorder="1" applyAlignment="1">
      <alignment horizontal="left" indent="1"/>
    </xf>
    <xf numFmtId="2" fontId="11" fillId="0" borderId="15" xfId="0" applyNumberFormat="1" applyFont="1" applyFill="1" applyBorder="1"/>
    <xf numFmtId="164" fontId="9" fillId="0" borderId="25" xfId="12" applyNumberFormat="1" applyFont="1" applyFill="1" applyBorder="1"/>
    <xf numFmtId="165" fontId="10" fillId="0" borderId="29" xfId="4" applyFont="1" applyFill="1" applyBorder="1"/>
    <xf numFmtId="2" fontId="11" fillId="0" borderId="13" xfId="0" applyNumberFormat="1" applyFont="1" applyFill="1" applyBorder="1"/>
    <xf numFmtId="169" fontId="12" fillId="0" borderId="28" xfId="0" applyNumberFormat="1" applyFont="1" applyFill="1" applyBorder="1"/>
    <xf numFmtId="2" fontId="10" fillId="0" borderId="11" xfId="4" applyNumberFormat="1" applyFont="1" applyFill="1" applyBorder="1"/>
    <xf numFmtId="2" fontId="10" fillId="0" borderId="29" xfId="4" applyNumberFormat="1" applyFont="1" applyFill="1" applyBorder="1"/>
    <xf numFmtId="169" fontId="12" fillId="0" borderId="7" xfId="0" applyNumberFormat="1" applyFont="1" applyFill="1" applyBorder="1"/>
    <xf numFmtId="2" fontId="10" fillId="0" borderId="0" xfId="4" applyNumberFormat="1" applyFont="1" applyFill="1" applyBorder="1"/>
    <xf numFmtId="0" fontId="10" fillId="0" borderId="11" xfId="12" applyFont="1" applyFill="1" applyBorder="1" applyAlignment="1">
      <alignment horizontal="left" indent="1"/>
    </xf>
    <xf numFmtId="0" fontId="10" fillId="0" borderId="11" xfId="0" applyFont="1" applyFill="1" applyBorder="1" applyAlignment="1">
      <alignment horizontal="left" wrapText="1" indent="1"/>
    </xf>
    <xf numFmtId="0" fontId="9" fillId="0" borderId="27" xfId="12" applyFont="1" applyFill="1" applyBorder="1" applyAlignment="1">
      <alignment horizontal="left"/>
    </xf>
    <xf numFmtId="10" fontId="9" fillId="3" borderId="14" xfId="12" applyNumberFormat="1" applyFont="1" applyFill="1" applyBorder="1"/>
    <xf numFmtId="1" fontId="11" fillId="0" borderId="0" xfId="0" applyNumberFormat="1" applyFont="1" applyFill="1" applyBorder="1" applyAlignment="1">
      <alignment horizontal="center"/>
    </xf>
    <xf numFmtId="49" fontId="11" fillId="0" borderId="0" xfId="0" applyNumberFormat="1" applyFont="1" applyFill="1" applyAlignment="1">
      <alignment horizontal="center"/>
    </xf>
    <xf numFmtId="1" fontId="11" fillId="0" borderId="0" xfId="0" applyNumberFormat="1" applyFont="1" applyFill="1" applyAlignment="1">
      <alignment horizontal="center"/>
    </xf>
    <xf numFmtId="0" fontId="9" fillId="0" borderId="28" xfId="12" applyFont="1" applyFill="1" applyBorder="1" applyAlignment="1">
      <alignment horizontal="left" indent="1"/>
    </xf>
    <xf numFmtId="2" fontId="12" fillId="0" borderId="28" xfId="0" applyNumberFormat="1" applyFont="1" applyFill="1" applyBorder="1"/>
    <xf numFmtId="2" fontId="12" fillId="0" borderId="25" xfId="0" applyNumberFormat="1" applyFont="1" applyFill="1" applyBorder="1"/>
    <xf numFmtId="2" fontId="12" fillId="0" borderId="7" xfId="0" applyNumberFormat="1" applyFont="1" applyFill="1" applyBorder="1"/>
    <xf numFmtId="0" fontId="12" fillId="0" borderId="28" xfId="0" applyFont="1" applyFill="1" applyBorder="1" applyAlignment="1">
      <alignment horizontal="left" indent="1"/>
    </xf>
    <xf numFmtId="0" fontId="12" fillId="0" borderId="25" xfId="0" applyFont="1" applyFill="1" applyBorder="1"/>
    <xf numFmtId="0" fontId="9" fillId="7" borderId="28" xfId="12" applyFont="1" applyFill="1" applyBorder="1" applyAlignment="1">
      <alignment horizontal="center"/>
    </xf>
    <xf numFmtId="0" fontId="10" fillId="7" borderId="11" xfId="0" applyFont="1" applyFill="1" applyBorder="1" applyAlignment="1">
      <alignment horizontal="center" wrapText="1"/>
    </xf>
    <xf numFmtId="0" fontId="10" fillId="0" borderId="10" xfId="0" applyFont="1" applyBorder="1" applyAlignment="1">
      <alignment horizontal="center"/>
    </xf>
    <xf numFmtId="171" fontId="10" fillId="0" borderId="15" xfId="2" applyNumberFormat="1" applyFont="1" applyBorder="1" applyAlignment="1">
      <alignment horizontal="center" wrapText="1"/>
    </xf>
    <xf numFmtId="0" fontId="10" fillId="0" borderId="8" xfId="0" applyFont="1" applyFill="1" applyBorder="1" applyAlignment="1">
      <alignment horizontal="left" indent="1"/>
    </xf>
    <xf numFmtId="0" fontId="10" fillId="0" borderId="11" xfId="0" applyFont="1" applyBorder="1" applyAlignment="1">
      <alignment horizontal="left" indent="1"/>
    </xf>
    <xf numFmtId="0" fontId="10" fillId="0" borderId="13" xfId="0" applyFont="1" applyBorder="1" applyAlignment="1">
      <alignment horizontal="left" indent="1"/>
    </xf>
    <xf numFmtId="0" fontId="10" fillId="0" borderId="11" xfId="10" applyFont="1" applyFill="1" applyBorder="1" applyAlignment="1">
      <alignment horizontal="left" vertical="center" indent="1"/>
    </xf>
    <xf numFmtId="0" fontId="11" fillId="0" borderId="11" xfId="10" applyFont="1" applyFill="1" applyBorder="1" applyAlignment="1">
      <alignment horizontal="left" vertical="center" indent="1"/>
    </xf>
    <xf numFmtId="0" fontId="11" fillId="0" borderId="13" xfId="10" applyFont="1" applyFill="1" applyBorder="1" applyAlignment="1">
      <alignment horizontal="left" vertical="center" indent="1"/>
    </xf>
    <xf numFmtId="0" fontId="22" fillId="0" borderId="10" xfId="0" applyFont="1" applyBorder="1"/>
    <xf numFmtId="0" fontId="22" fillId="0" borderId="8" xfId="0" applyFont="1" applyBorder="1"/>
    <xf numFmtId="0" fontId="9" fillId="6" borderId="30" xfId="12" applyFont="1" applyFill="1" applyBorder="1"/>
    <xf numFmtId="0" fontId="9" fillId="6" borderId="31" xfId="12" applyFont="1" applyFill="1" applyBorder="1"/>
    <xf numFmtId="0" fontId="22" fillId="0" borderId="28" xfId="0" applyFont="1" applyBorder="1"/>
    <xf numFmtId="0" fontId="12" fillId="4" borderId="6"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12" fillId="8" borderId="5" xfId="0" applyFont="1" applyFill="1" applyBorder="1" applyAlignment="1">
      <alignment horizontal="center" vertical="center" wrapText="1"/>
    </xf>
    <xf numFmtId="10" fontId="21" fillId="0" borderId="0" xfId="18" applyNumberFormat="1" applyFont="1" applyBorder="1"/>
    <xf numFmtId="2" fontId="21" fillId="0" borderId="0" xfId="0" applyNumberFormat="1" applyFont="1" applyBorder="1"/>
    <xf numFmtId="10" fontId="21" fillId="0" borderId="0" xfId="0" applyNumberFormat="1" applyFont="1" applyBorder="1"/>
    <xf numFmtId="2" fontId="10" fillId="5" borderId="12" xfId="0" applyNumberFormat="1" applyFont="1" applyFill="1" applyBorder="1" applyAlignment="1">
      <alignment horizontal="center" vertical="center" wrapText="1"/>
    </xf>
    <xf numFmtId="0" fontId="12" fillId="4" borderId="28" xfId="0" applyFont="1" applyFill="1" applyBorder="1" applyAlignment="1">
      <alignment horizontal="left" vertical="center" wrapText="1"/>
    </xf>
    <xf numFmtId="0" fontId="9" fillId="8" borderId="7"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21" fillId="0" borderId="28" xfId="0" applyFont="1" applyBorder="1"/>
    <xf numFmtId="0" fontId="21" fillId="0" borderId="7" xfId="0" applyFont="1" applyBorder="1"/>
    <xf numFmtId="0" fontId="22" fillId="7" borderId="0" xfId="0" applyFont="1" applyFill="1"/>
    <xf numFmtId="2" fontId="22" fillId="7" borderId="0" xfId="0" applyNumberFormat="1" applyFont="1" applyFill="1"/>
    <xf numFmtId="9" fontId="21" fillId="0" borderId="26" xfId="0" applyNumberFormat="1" applyFont="1" applyBorder="1"/>
    <xf numFmtId="9" fontId="21" fillId="0" borderId="27" xfId="0" applyNumberFormat="1" applyFont="1" applyBorder="1"/>
    <xf numFmtId="0" fontId="10" fillId="0" borderId="26" xfId="0" applyFont="1" applyBorder="1" applyAlignment="1">
      <alignment horizontal="center"/>
    </xf>
    <xf numFmtId="0" fontId="10" fillId="0" borderId="29" xfId="0" applyFont="1" applyBorder="1" applyAlignment="1">
      <alignment horizontal="center"/>
    </xf>
    <xf numFmtId="0" fontId="10" fillId="0" borderId="27" xfId="0" applyFont="1" applyBorder="1" applyAlignment="1">
      <alignment horizontal="center"/>
    </xf>
    <xf numFmtId="0" fontId="12" fillId="0" borderId="8" xfId="0" applyFont="1" applyBorder="1"/>
    <xf numFmtId="0" fontId="11" fillId="0" borderId="11" xfId="0" applyFont="1" applyBorder="1"/>
    <xf numFmtId="0" fontId="11" fillId="0" borderId="13" xfId="0" applyFont="1" applyBorder="1"/>
    <xf numFmtId="0" fontId="12" fillId="0" borderId="26" xfId="0" applyFont="1" applyBorder="1"/>
    <xf numFmtId="9" fontId="11" fillId="0" borderId="29" xfId="0" applyNumberFormat="1" applyFont="1" applyBorder="1"/>
    <xf numFmtId="9" fontId="11" fillId="0" borderId="27" xfId="0" applyNumberFormat="1" applyFont="1" applyBorder="1"/>
    <xf numFmtId="2" fontId="9" fillId="9" borderId="25" xfId="16" applyNumberFormat="1" applyFont="1" applyFill="1" applyBorder="1" applyAlignment="1">
      <alignment horizontal="center"/>
    </xf>
    <xf numFmtId="10" fontId="11" fillId="0" borderId="0" xfId="0" applyNumberFormat="1" applyFont="1"/>
    <xf numFmtId="9" fontId="21" fillId="0" borderId="4" xfId="0" applyNumberFormat="1" applyFont="1" applyBorder="1"/>
    <xf numFmtId="9" fontId="21" fillId="0" borderId="25" xfId="0" applyNumberFormat="1" applyFont="1" applyBorder="1"/>
    <xf numFmtId="0" fontId="11" fillId="0" borderId="9" xfId="0" applyFont="1" applyBorder="1"/>
    <xf numFmtId="0" fontId="11" fillId="0" borderId="10" xfId="0" applyFont="1" applyBorder="1"/>
    <xf numFmtId="0" fontId="11" fillId="0" borderId="12" xfId="0" applyFont="1" applyBorder="1"/>
    <xf numFmtId="0" fontId="11" fillId="0" borderId="14" xfId="0" applyFont="1" applyBorder="1"/>
    <xf numFmtId="0" fontId="11" fillId="0" borderId="15" xfId="0" applyFont="1" applyBorder="1"/>
    <xf numFmtId="10" fontId="11" fillId="9" borderId="25" xfId="0" applyNumberFormat="1" applyFont="1" applyFill="1" applyBorder="1"/>
    <xf numFmtId="9" fontId="10" fillId="0" borderId="8" xfId="20" applyNumberFormat="1" applyFont="1" applyBorder="1" applyAlignment="1">
      <alignment vertical="center"/>
    </xf>
    <xf numFmtId="9" fontId="10" fillId="0" borderId="13" xfId="20" applyNumberFormat="1" applyFont="1" applyBorder="1" applyAlignment="1">
      <alignment vertical="center"/>
    </xf>
    <xf numFmtId="10" fontId="10" fillId="0" borderId="10" xfId="0" applyNumberFormat="1" applyFont="1" applyBorder="1" applyAlignment="1">
      <alignment vertical="center"/>
    </xf>
    <xf numFmtId="10" fontId="10" fillId="0" borderId="15" xfId="20" applyNumberFormat="1" applyFont="1" applyBorder="1" applyAlignment="1">
      <alignment vertical="center"/>
    </xf>
    <xf numFmtId="0" fontId="9" fillId="0" borderId="28" xfId="0" applyNumberFormat="1" applyFont="1" applyBorder="1" applyAlignment="1">
      <alignment horizontal="right" vertical="center"/>
    </xf>
    <xf numFmtId="0" fontId="9" fillId="0" borderId="4" xfId="0" applyNumberFormat="1" applyFont="1" applyBorder="1" applyAlignment="1">
      <alignment horizontal="right" vertical="center" wrapText="1"/>
    </xf>
    <xf numFmtId="2" fontId="10" fillId="0" borderId="29" xfId="0" applyNumberFormat="1" applyFont="1" applyBorder="1" applyAlignment="1">
      <alignment vertical="center"/>
    </xf>
    <xf numFmtId="2" fontId="10" fillId="0" borderId="27" xfId="0" applyNumberFormat="1" applyFont="1" applyBorder="1" applyAlignment="1">
      <alignment vertical="center"/>
    </xf>
    <xf numFmtId="10" fontId="21" fillId="0" borderId="9" xfId="18" applyNumberFormat="1" applyFont="1" applyBorder="1"/>
    <xf numFmtId="0" fontId="5" fillId="0" borderId="9" xfId="8" applyBorder="1" applyAlignment="1" applyProtection="1"/>
    <xf numFmtId="167" fontId="21" fillId="0" borderId="14" xfId="18" applyNumberFormat="1" applyFont="1" applyBorder="1"/>
    <xf numFmtId="0" fontId="5" fillId="0" borderId="14" xfId="8" applyBorder="1" applyAlignment="1" applyProtection="1"/>
    <xf numFmtId="0" fontId="21" fillId="0" borderId="4" xfId="0" applyFont="1" applyBorder="1"/>
    <xf numFmtId="0" fontId="22" fillId="10" borderId="0" xfId="0" applyFont="1" applyFill="1"/>
    <xf numFmtId="0" fontId="11" fillId="0" borderId="28" xfId="17" applyFont="1" applyFill="1" applyBorder="1" applyAlignment="1">
      <alignment horizontal="left" vertical="center" indent="1"/>
    </xf>
    <xf numFmtId="2" fontId="11" fillId="9" borderId="25" xfId="6" applyNumberFormat="1" applyFont="1" applyFill="1" applyBorder="1" applyAlignment="1">
      <alignment horizontal="center"/>
    </xf>
    <xf numFmtId="0" fontId="10" fillId="0" borderId="25" xfId="17" applyFont="1" applyFill="1" applyBorder="1" applyAlignment="1">
      <alignment horizontal="center" wrapText="1"/>
    </xf>
    <xf numFmtId="173" fontId="10" fillId="0" borderId="0" xfId="2" applyNumberFormat="1" applyFont="1" applyFill="1" applyAlignment="1">
      <alignment horizontal="right"/>
    </xf>
    <xf numFmtId="165" fontId="11" fillId="0" borderId="0" xfId="0" applyNumberFormat="1" applyFont="1" applyFill="1"/>
    <xf numFmtId="10" fontId="11" fillId="0" borderId="27" xfId="10" applyNumberFormat="1" applyFont="1" applyFill="1" applyBorder="1" applyAlignment="1">
      <alignment vertical="center"/>
    </xf>
    <xf numFmtId="169" fontId="9" fillId="0" borderId="19" xfId="0" applyNumberFormat="1" applyFont="1" applyFill="1" applyBorder="1"/>
    <xf numFmtId="1" fontId="10" fillId="0" borderId="21" xfId="0" applyNumberFormat="1" applyFont="1" applyFill="1" applyBorder="1"/>
    <xf numFmtId="1" fontId="10" fillId="0" borderId="23" xfId="0" applyNumberFormat="1" applyFont="1" applyFill="1" applyBorder="1"/>
    <xf numFmtId="178" fontId="11" fillId="0" borderId="0" xfId="18" applyNumberFormat="1" applyFont="1"/>
    <xf numFmtId="2" fontId="10" fillId="0" borderId="16" xfId="18" applyNumberFormat="1" applyFont="1" applyFill="1" applyBorder="1" applyAlignment="1">
      <alignment horizontal="right" vertical="center" wrapText="1"/>
    </xf>
    <xf numFmtId="10" fontId="10" fillId="0" borderId="16" xfId="202" applyNumberFormat="1" applyFont="1" applyFill="1" applyBorder="1" applyAlignment="1">
      <alignment horizontal="right" vertical="center" wrapText="1"/>
    </xf>
    <xf numFmtId="0" fontId="56" fillId="0" borderId="16" xfId="177" applyFont="1" applyFill="1" applyBorder="1" applyAlignment="1" applyProtection="1">
      <alignment vertical="center" wrapText="1"/>
    </xf>
    <xf numFmtId="9" fontId="10" fillId="0" borderId="16" xfId="202" applyNumberFormat="1" applyFont="1" applyFill="1" applyBorder="1" applyAlignment="1">
      <alignment horizontal="right" vertical="center" wrapText="1"/>
    </xf>
    <xf numFmtId="0" fontId="10" fillId="0" borderId="16" xfId="202" applyFont="1" applyFill="1" applyBorder="1" applyAlignment="1">
      <alignment vertical="center" wrapText="1"/>
    </xf>
    <xf numFmtId="1" fontId="10" fillId="0" borderId="16" xfId="202" applyNumberFormat="1" applyFont="1" applyFill="1" applyBorder="1" applyAlignment="1">
      <alignment horizontal="right" vertical="center" wrapText="1"/>
    </xf>
    <xf numFmtId="0" fontId="10" fillId="5" borderId="16" xfId="202" applyFont="1" applyFill="1" applyBorder="1" applyAlignment="1">
      <alignment vertical="center" wrapText="1"/>
    </xf>
    <xf numFmtId="0" fontId="10" fillId="5" borderId="16" xfId="202" applyFont="1" applyFill="1" applyBorder="1" applyAlignment="1">
      <alignment horizontal="left" vertical="center" wrapText="1"/>
    </xf>
    <xf numFmtId="1" fontId="10" fillId="34" borderId="16" xfId="202" applyNumberFormat="1" applyFont="1" applyFill="1" applyBorder="1" applyAlignment="1">
      <alignment horizontal="right" vertical="center" wrapText="1"/>
    </xf>
    <xf numFmtId="0" fontId="10" fillId="34" borderId="16" xfId="202" applyFont="1" applyFill="1" applyBorder="1" applyAlignment="1">
      <alignment vertical="center" wrapText="1"/>
    </xf>
    <xf numFmtId="0" fontId="9" fillId="34" borderId="16" xfId="202" applyFont="1" applyFill="1" applyBorder="1" applyAlignment="1">
      <alignment horizontal="left" vertical="center" wrapText="1"/>
    </xf>
    <xf numFmtId="0" fontId="38" fillId="35" borderId="16" xfId="245" applyFont="1" applyFill="1" applyBorder="1"/>
    <xf numFmtId="17" fontId="26" fillId="35" borderId="16" xfId="245" applyNumberFormat="1" applyFont="1" applyFill="1" applyBorder="1" applyAlignment="1">
      <alignment horizontal="center" vertical="center"/>
    </xf>
    <xf numFmtId="2" fontId="0" fillId="0" borderId="0" xfId="0" applyNumberFormat="1"/>
    <xf numFmtId="0" fontId="37" fillId="5" borderId="0" xfId="245" applyFont="1" applyFill="1" applyBorder="1"/>
    <xf numFmtId="175" fontId="0" fillId="0" borderId="0" xfId="0" applyNumberFormat="1"/>
    <xf numFmtId="0" fontId="3" fillId="0" borderId="0" xfId="245"/>
    <xf numFmtId="0" fontId="37" fillId="5" borderId="16" xfId="245" applyFont="1" applyFill="1" applyBorder="1"/>
    <xf numFmtId="175" fontId="37" fillId="5" borderId="16" xfId="245" applyNumberFormat="1" applyFont="1" applyFill="1" applyBorder="1"/>
    <xf numFmtId="0" fontId="37" fillId="5" borderId="0" xfId="245" applyFont="1" applyFill="1" applyAlignment="1">
      <alignment horizontal="center" vertical="center" wrapText="1"/>
    </xf>
    <xf numFmtId="0" fontId="37" fillId="5" borderId="16" xfId="245" applyFont="1" applyFill="1" applyBorder="1" applyAlignment="1">
      <alignment horizontal="left"/>
    </xf>
    <xf numFmtId="9" fontId="21" fillId="0" borderId="0" xfId="0" applyNumberFormat="1" applyFont="1"/>
    <xf numFmtId="10" fontId="21" fillId="0" borderId="29" xfId="0" applyNumberFormat="1" applyFont="1" applyBorder="1"/>
    <xf numFmtId="10" fontId="21" fillId="0" borderId="12" xfId="0" applyNumberFormat="1" applyFont="1" applyBorder="1"/>
    <xf numFmtId="10" fontId="21" fillId="0" borderId="15" xfId="0" applyNumberFormat="1" applyFont="1" applyBorder="1"/>
    <xf numFmtId="10" fontId="21" fillId="0" borderId="27" xfId="0" applyNumberFormat="1" applyFont="1" applyBorder="1"/>
    <xf numFmtId="9" fontId="22" fillId="0" borderId="0" xfId="0" applyNumberFormat="1" applyFont="1" applyBorder="1"/>
    <xf numFmtId="9" fontId="21" fillId="0" borderId="0" xfId="18" applyFont="1" applyBorder="1"/>
    <xf numFmtId="178" fontId="21" fillId="0" borderId="0" xfId="0" applyNumberFormat="1" applyFont="1" applyBorder="1"/>
    <xf numFmtId="175" fontId="0" fillId="0" borderId="16" xfId="0" applyNumberFormat="1" applyBorder="1"/>
    <xf numFmtId="0" fontId="5" fillId="0" borderId="16" xfId="8" applyBorder="1" applyAlignment="1" applyProtection="1">
      <alignment wrapText="1"/>
    </xf>
    <xf numFmtId="0" fontId="57" fillId="0" borderId="0" xfId="254"/>
    <xf numFmtId="165" fontId="10" fillId="0" borderId="0" xfId="251" applyFont="1" applyFill="1" applyBorder="1"/>
    <xf numFmtId="0" fontId="9" fillId="0" borderId="25" xfId="254" applyFont="1" applyFill="1" applyBorder="1"/>
    <xf numFmtId="2" fontId="10" fillId="0" borderId="29" xfId="254" applyNumberFormat="1" applyFont="1" applyFill="1" applyBorder="1" applyAlignment="1">
      <alignment horizontal="center"/>
    </xf>
    <xf numFmtId="165" fontId="10" fillId="0" borderId="1" xfId="251" applyFont="1" applyFill="1" applyBorder="1"/>
    <xf numFmtId="0" fontId="10" fillId="0" borderId="11" xfId="254" applyFont="1" applyFill="1" applyBorder="1" applyAlignment="1">
      <alignment horizontal="left" indent="1"/>
    </xf>
    <xf numFmtId="2" fontId="10" fillId="0" borderId="0" xfId="254" applyNumberFormat="1" applyFont="1"/>
    <xf numFmtId="0" fontId="9" fillId="0" borderId="26" xfId="254" applyFont="1" applyFill="1" applyBorder="1"/>
    <xf numFmtId="17" fontId="9" fillId="0" borderId="0" xfId="254" applyNumberFormat="1" applyFont="1" applyFill="1" applyBorder="1" applyAlignment="1">
      <alignment horizontal="center"/>
    </xf>
    <xf numFmtId="2" fontId="10" fillId="0" borderId="8" xfId="254" applyNumberFormat="1" applyFont="1" applyBorder="1"/>
    <xf numFmtId="10" fontId="10" fillId="0" borderId="26" xfId="256" applyNumberFormat="1" applyFont="1" applyBorder="1" applyAlignment="1">
      <alignment horizontal="center"/>
    </xf>
    <xf numFmtId="2" fontId="10" fillId="0" borderId="0" xfId="254" applyNumberFormat="1" applyFont="1" applyFill="1" applyBorder="1" applyAlignment="1">
      <alignment horizontal="center"/>
    </xf>
    <xf numFmtId="2" fontId="9" fillId="0" borderId="0" xfId="254" applyNumberFormat="1" applyFont="1" applyBorder="1" applyAlignment="1">
      <alignment horizontal="center"/>
    </xf>
    <xf numFmtId="2" fontId="10" fillId="0" borderId="11" xfId="254" applyNumberFormat="1" applyFont="1" applyBorder="1"/>
    <xf numFmtId="2" fontId="10" fillId="0" borderId="29" xfId="254" applyNumberFormat="1" applyFont="1" applyBorder="1" applyAlignment="1">
      <alignment horizontal="center"/>
    </xf>
    <xf numFmtId="2" fontId="10" fillId="0" borderId="13" xfId="254" applyNumberFormat="1" applyFont="1" applyBorder="1"/>
    <xf numFmtId="0" fontId="20" fillId="0" borderId="8" xfId="254" applyFont="1" applyFill="1" applyBorder="1"/>
    <xf numFmtId="169" fontId="9" fillId="0" borderId="8" xfId="254" applyNumberFormat="1" applyFont="1" applyBorder="1" applyAlignment="1">
      <alignment horizontal="center"/>
    </xf>
    <xf numFmtId="165" fontId="10" fillId="0" borderId="28" xfId="251" applyFont="1" applyFill="1" applyBorder="1"/>
    <xf numFmtId="165" fontId="10" fillId="0" borderId="7" xfId="251" applyFont="1" applyFill="1" applyBorder="1"/>
    <xf numFmtId="165" fontId="10" fillId="0" borderId="11" xfId="251" applyFont="1" applyFill="1" applyBorder="1"/>
    <xf numFmtId="165" fontId="20" fillId="0" borderId="11" xfId="251" applyFont="1" applyFill="1" applyBorder="1"/>
    <xf numFmtId="165" fontId="20" fillId="0" borderId="0" xfId="251" applyFont="1" applyFill="1" applyBorder="1"/>
    <xf numFmtId="165" fontId="10" fillId="0" borderId="13" xfId="251" applyFont="1" applyFill="1" applyBorder="1"/>
    <xf numFmtId="165" fontId="10" fillId="0" borderId="25" xfId="251" applyFont="1" applyFill="1" applyBorder="1"/>
    <xf numFmtId="2" fontId="9" fillId="0" borderId="25" xfId="254" applyNumberFormat="1" applyFont="1" applyFill="1" applyBorder="1"/>
    <xf numFmtId="165" fontId="10" fillId="0" borderId="46" xfId="251" applyFont="1" applyFill="1" applyBorder="1"/>
    <xf numFmtId="0" fontId="9" fillId="0" borderId="28" xfId="254" applyFont="1" applyFill="1" applyBorder="1"/>
    <xf numFmtId="165" fontId="10" fillId="9" borderId="0" xfId="251" applyFont="1" applyFill="1" applyBorder="1"/>
    <xf numFmtId="10" fontId="21" fillId="0" borderId="0" xfId="19" applyNumberFormat="1" applyFont="1"/>
    <xf numFmtId="10" fontId="9" fillId="36" borderId="16" xfId="20" applyNumberFormat="1" applyFont="1" applyFill="1" applyBorder="1"/>
    <xf numFmtId="0" fontId="9" fillId="36" borderId="16" xfId="0" applyNumberFormat="1" applyFont="1" applyFill="1" applyBorder="1"/>
    <xf numFmtId="0" fontId="21" fillId="0" borderId="0" xfId="0" applyNumberFormat="1" applyFont="1"/>
    <xf numFmtId="0" fontId="10" fillId="0" borderId="16" xfId="0" applyFont="1" applyBorder="1" applyAlignment="1">
      <alignment wrapText="1"/>
    </xf>
    <xf numFmtId="10" fontId="10" fillId="0" borderId="16" xfId="19" applyNumberFormat="1" applyFont="1" applyBorder="1"/>
    <xf numFmtId="0" fontId="59" fillId="0" borderId="0" xfId="0" applyNumberFormat="1" applyFont="1" applyBorder="1"/>
    <xf numFmtId="0" fontId="60" fillId="0" borderId="0" xfId="0" applyNumberFormat="1" applyFont="1" applyBorder="1"/>
    <xf numFmtId="0" fontId="21" fillId="0" borderId="0" xfId="0" applyNumberFormat="1" applyFont="1" applyAlignment="1">
      <alignment horizontal="center" wrapText="1"/>
    </xf>
    <xf numFmtId="0" fontId="58" fillId="0" borderId="0" xfId="0" applyFont="1"/>
    <xf numFmtId="9" fontId="63" fillId="0" borderId="0" xfId="20" applyFont="1" applyBorder="1"/>
    <xf numFmtId="0" fontId="63" fillId="0" borderId="0" xfId="12" applyFont="1" applyBorder="1"/>
    <xf numFmtId="9" fontId="63" fillId="0" borderId="0" xfId="12" applyNumberFormat="1" applyFont="1" applyBorder="1"/>
    <xf numFmtId="0" fontId="3" fillId="0" borderId="0" xfId="12" applyBorder="1"/>
    <xf numFmtId="9" fontId="63" fillId="0" borderId="16" xfId="20" applyFont="1" applyBorder="1"/>
    <xf numFmtId="0" fontId="63" fillId="0" borderId="16" xfId="12" applyFont="1" applyBorder="1"/>
    <xf numFmtId="10" fontId="63" fillId="37" borderId="16" xfId="12" applyNumberFormat="1" applyFont="1" applyFill="1" applyBorder="1"/>
    <xf numFmtId="0" fontId="3" fillId="0" borderId="16" xfId="12" applyBorder="1"/>
    <xf numFmtId="10" fontId="3" fillId="0" borderId="16" xfId="12" applyNumberFormat="1" applyBorder="1"/>
    <xf numFmtId="9" fontId="3" fillId="0" borderId="16" xfId="12" applyNumberFormat="1" applyBorder="1"/>
    <xf numFmtId="15" fontId="3" fillId="0" borderId="16" xfId="12" applyNumberFormat="1" applyBorder="1"/>
    <xf numFmtId="0" fontId="65" fillId="0" borderId="0" xfId="0" applyFont="1" applyFill="1"/>
    <xf numFmtId="0" fontId="66" fillId="0" borderId="0" xfId="0" applyFont="1" applyFill="1"/>
    <xf numFmtId="0" fontId="0" fillId="0" borderId="0" xfId="0"/>
    <xf numFmtId="0" fontId="71" fillId="40" borderId="16" xfId="0" applyFont="1" applyFill="1" applyBorder="1"/>
    <xf numFmtId="0" fontId="67" fillId="40" borderId="0" xfId="0" applyFont="1" applyFill="1"/>
    <xf numFmtId="0" fontId="68" fillId="39" borderId="0" xfId="0" applyFont="1" applyFill="1"/>
    <xf numFmtId="0" fontId="67" fillId="39" borderId="0" xfId="0" applyFont="1" applyFill="1"/>
    <xf numFmtId="0" fontId="0" fillId="39" borderId="0" xfId="0" applyFill="1"/>
    <xf numFmtId="0" fontId="67" fillId="39" borderId="16" xfId="0" applyFont="1" applyFill="1" applyBorder="1"/>
    <xf numFmtId="0" fontId="68" fillId="39" borderId="16" xfId="0" applyFont="1" applyFill="1" applyBorder="1"/>
    <xf numFmtId="179" fontId="67" fillId="39" borderId="16" xfId="0" applyNumberFormat="1" applyFont="1" applyFill="1" applyBorder="1"/>
    <xf numFmtId="165" fontId="67" fillId="39" borderId="16" xfId="0" applyNumberFormat="1" applyFont="1" applyFill="1" applyBorder="1"/>
    <xf numFmtId="180" fontId="67" fillId="39" borderId="16" xfId="0" applyNumberFormat="1" applyFont="1" applyFill="1" applyBorder="1"/>
    <xf numFmtId="0" fontId="68" fillId="39" borderId="32" xfId="0" applyFont="1" applyFill="1" applyBorder="1"/>
    <xf numFmtId="0" fontId="68" fillId="39" borderId="32" xfId="0" applyFont="1" applyFill="1" applyBorder="1" applyAlignment="1">
      <alignment horizontal="center"/>
    </xf>
    <xf numFmtId="0" fontId="68" fillId="39" borderId="1" xfId="0" applyFont="1" applyFill="1" applyBorder="1"/>
    <xf numFmtId="17" fontId="68" fillId="39" borderId="1" xfId="0" applyNumberFormat="1" applyFont="1" applyFill="1" applyBorder="1" applyAlignment="1">
      <alignment horizontal="center"/>
    </xf>
    <xf numFmtId="165" fontId="68" fillId="39" borderId="16" xfId="0" applyNumberFormat="1" applyFont="1" applyFill="1" applyBorder="1"/>
    <xf numFmtId="2" fontId="67" fillId="41" borderId="16" xfId="0" applyNumberFormat="1" applyFont="1" applyFill="1" applyBorder="1"/>
    <xf numFmtId="0" fontId="67" fillId="0" borderId="16" xfId="0" applyFont="1" applyFill="1" applyBorder="1"/>
    <xf numFmtId="165" fontId="70" fillId="0" borderId="16" xfId="0" applyNumberFormat="1" applyFont="1" applyFill="1" applyBorder="1"/>
    <xf numFmtId="2" fontId="67" fillId="0" borderId="16" xfId="0" applyNumberFormat="1" applyFont="1" applyFill="1" applyBorder="1"/>
    <xf numFmtId="0" fontId="68" fillId="0" borderId="16" xfId="0" applyFont="1" applyFill="1" applyBorder="1"/>
    <xf numFmtId="165" fontId="67" fillId="0" borderId="16" xfId="0" applyNumberFormat="1" applyFont="1" applyFill="1" applyBorder="1"/>
    <xf numFmtId="0" fontId="68" fillId="38" borderId="53" xfId="0" applyFont="1" applyFill="1" applyBorder="1" applyAlignment="1">
      <alignment horizontal="left" wrapText="1"/>
    </xf>
    <xf numFmtId="43" fontId="68" fillId="0" borderId="16" xfId="0" applyNumberFormat="1" applyFont="1" applyFill="1" applyBorder="1"/>
    <xf numFmtId="165" fontId="67" fillId="0" borderId="16" xfId="257" applyNumberFormat="1" applyFont="1" applyFill="1" applyBorder="1"/>
    <xf numFmtId="0" fontId="67" fillId="40" borderId="16" xfId="0" applyFont="1" applyFill="1" applyBorder="1"/>
    <xf numFmtId="1" fontId="68" fillId="38" borderId="16" xfId="258" applyNumberFormat="1" applyFont="1" applyFill="1" applyBorder="1" applyAlignment="1">
      <alignment horizontal="right"/>
    </xf>
    <xf numFmtId="0" fontId="69" fillId="40" borderId="16" xfId="0" applyFont="1" applyFill="1" applyBorder="1" applyAlignment="1">
      <alignment horizontal="left"/>
    </xf>
    <xf numFmtId="0" fontId="68" fillId="38" borderId="16" xfId="0" applyFont="1" applyFill="1" applyBorder="1" applyAlignment="1">
      <alignment horizontal="left" wrapText="1"/>
    </xf>
    <xf numFmtId="166" fontId="0" fillId="42" borderId="16" xfId="0" applyNumberFormat="1" applyFill="1" applyBorder="1"/>
    <xf numFmtId="0" fontId="0" fillId="0" borderId="0" xfId="0" applyFill="1" applyBorder="1"/>
    <xf numFmtId="0" fontId="67" fillId="0" borderId="0" xfId="0" applyFont="1" applyFill="1" applyBorder="1"/>
    <xf numFmtId="179" fontId="67" fillId="0" borderId="0" xfId="0" applyNumberFormat="1" applyFont="1" applyFill="1" applyBorder="1"/>
    <xf numFmtId="165" fontId="67" fillId="0" borderId="0" xfId="0" applyNumberFormat="1" applyFont="1" applyFill="1" applyBorder="1"/>
    <xf numFmtId="2" fontId="68" fillId="38" borderId="16" xfId="258" applyNumberFormat="1" applyFont="1" applyFill="1" applyBorder="1" applyAlignment="1">
      <alignment horizontal="right"/>
    </xf>
    <xf numFmtId="2" fontId="0" fillId="42" borderId="16" xfId="0" applyNumberFormat="1" applyFill="1" applyBorder="1"/>
    <xf numFmtId="0" fontId="67" fillId="39" borderId="16" xfId="0" applyFont="1" applyFill="1" applyBorder="1" applyAlignment="1">
      <alignment wrapText="1"/>
    </xf>
    <xf numFmtId="17" fontId="69" fillId="40" borderId="16" xfId="0" applyNumberFormat="1" applyFont="1" applyFill="1" applyBorder="1" applyAlignment="1">
      <alignment horizontal="left"/>
    </xf>
    <xf numFmtId="10" fontId="11" fillId="0" borderId="29" xfId="10" applyNumberFormat="1" applyFont="1" applyFill="1" applyBorder="1" applyAlignment="1">
      <alignment horizontal="center" vertical="center"/>
    </xf>
    <xf numFmtId="0" fontId="5" fillId="0" borderId="12" xfId="8" applyFill="1" applyBorder="1" applyAlignment="1" applyProtection="1">
      <alignment horizontal="center" wrapText="1"/>
    </xf>
    <xf numFmtId="0" fontId="11" fillId="0" borderId="16" xfId="0" applyFont="1" applyBorder="1"/>
    <xf numFmtId="9" fontId="11" fillId="0" borderId="16" xfId="0" applyNumberFormat="1" applyFont="1" applyBorder="1"/>
    <xf numFmtId="0" fontId="5" fillId="0" borderId="16" xfId="8" applyBorder="1" applyAlignment="1" applyProtection="1"/>
    <xf numFmtId="166" fontId="0" fillId="0" borderId="0" xfId="0" applyNumberFormat="1"/>
    <xf numFmtId="0" fontId="0" fillId="0" borderId="0" xfId="0" applyBorder="1"/>
    <xf numFmtId="0" fontId="68" fillId="0" borderId="0" xfId="0" applyFont="1" applyFill="1" applyBorder="1"/>
    <xf numFmtId="1" fontId="10" fillId="5" borderId="32" xfId="202" applyNumberFormat="1" applyFont="1" applyFill="1" applyBorder="1" applyAlignment="1">
      <alignment horizontal="center" vertical="center" wrapText="1"/>
    </xf>
    <xf numFmtId="1" fontId="10" fillId="5" borderId="45" xfId="202" applyNumberFormat="1" applyFont="1" applyFill="1" applyBorder="1" applyAlignment="1">
      <alignment horizontal="center" vertical="center" wrapText="1"/>
    </xf>
    <xf numFmtId="0" fontId="5" fillId="0" borderId="29" xfId="8" applyBorder="1" applyAlignment="1" applyProtection="1">
      <alignment horizontal="center" wrapText="1"/>
    </xf>
    <xf numFmtId="0" fontId="11" fillId="0" borderId="29" xfId="0" applyFont="1" applyBorder="1" applyAlignment="1">
      <alignment horizontal="center" wrapText="1"/>
    </xf>
    <xf numFmtId="0" fontId="11" fillId="0" borderId="27" xfId="0" applyFont="1" applyBorder="1" applyAlignment="1">
      <alignment horizontal="center" wrapText="1"/>
    </xf>
    <xf numFmtId="0" fontId="11" fillId="0" borderId="0" xfId="0" applyFont="1" applyAlignment="1">
      <alignment horizontal="left" wrapText="1"/>
    </xf>
    <xf numFmtId="0" fontId="10" fillId="0" borderId="26" xfId="16" applyFont="1" applyFill="1" applyBorder="1" applyAlignment="1">
      <alignment horizontal="center" vertical="center" wrapText="1"/>
    </xf>
    <xf numFmtId="0" fontId="10" fillId="0" borderId="29" xfId="16" applyFont="1" applyFill="1" applyBorder="1" applyAlignment="1">
      <alignment horizontal="center" vertical="center" wrapText="1"/>
    </xf>
    <xf numFmtId="0" fontId="10" fillId="0" borderId="27" xfId="16" applyFont="1" applyFill="1" applyBorder="1" applyAlignment="1">
      <alignment horizontal="center" vertical="center" wrapText="1"/>
    </xf>
    <xf numFmtId="0" fontId="10" fillId="0" borderId="26" xfId="17" applyFont="1" applyFill="1" applyBorder="1" applyAlignment="1">
      <alignment horizontal="center" vertical="center" wrapText="1"/>
    </xf>
    <xf numFmtId="0" fontId="10" fillId="0" borderId="29" xfId="17" applyFont="1" applyFill="1" applyBorder="1" applyAlignment="1">
      <alignment horizontal="center" vertical="center" wrapText="1"/>
    </xf>
    <xf numFmtId="0" fontId="10" fillId="0" borderId="27" xfId="17" applyFont="1" applyFill="1" applyBorder="1" applyAlignment="1">
      <alignment horizontal="center" vertical="center" wrapText="1"/>
    </xf>
    <xf numFmtId="2" fontId="11" fillId="0" borderId="12" xfId="0" applyNumberFormat="1" applyFont="1" applyFill="1" applyBorder="1" applyAlignment="1">
      <alignment horizontal="center" wrapText="1"/>
    </xf>
    <xf numFmtId="2" fontId="11" fillId="0" borderId="15" xfId="0" applyNumberFormat="1" applyFont="1" applyFill="1" applyBorder="1" applyAlignment="1">
      <alignment horizontal="center" wrapText="1"/>
    </xf>
    <xf numFmtId="2" fontId="11" fillId="0" borderId="29" xfId="0" applyNumberFormat="1" applyFont="1" applyFill="1" applyBorder="1" applyAlignment="1">
      <alignment horizontal="center" vertical="center" wrapText="1"/>
    </xf>
    <xf numFmtId="2" fontId="11" fillId="0" borderId="27" xfId="0" applyNumberFormat="1" applyFont="1" applyFill="1" applyBorder="1" applyAlignment="1">
      <alignment horizontal="center" vertical="center" wrapText="1"/>
    </xf>
    <xf numFmtId="0" fontId="22" fillId="0" borderId="5" xfId="0" applyFont="1" applyBorder="1" applyAlignment="1">
      <alignment horizontal="center" wrapText="1"/>
    </xf>
    <xf numFmtId="0" fontId="22" fillId="0" borderId="30" xfId="0" applyFont="1" applyBorder="1" applyAlignment="1">
      <alignment horizontal="center" wrapText="1"/>
    </xf>
    <xf numFmtId="0" fontId="9" fillId="0" borderId="28" xfId="12" applyFont="1" applyFill="1" applyBorder="1" applyAlignment="1">
      <alignment horizontal="center" vertical="center"/>
    </xf>
    <xf numFmtId="0" fontId="9" fillId="0" borderId="7" xfId="12" applyFont="1" applyFill="1" applyBorder="1" applyAlignment="1">
      <alignment horizontal="center" vertical="center"/>
    </xf>
    <xf numFmtId="0" fontId="9" fillId="0" borderId="34" xfId="12" applyFont="1" applyFill="1" applyBorder="1" applyAlignment="1">
      <alignment horizontal="center" vertical="center"/>
    </xf>
    <xf numFmtId="0" fontId="22" fillId="0" borderId="35" xfId="0" applyFont="1" applyBorder="1" applyAlignment="1">
      <alignment horizontal="center"/>
    </xf>
    <xf numFmtId="0" fontId="22" fillId="0" borderId="34" xfId="0" applyFont="1" applyBorder="1" applyAlignment="1">
      <alignment horizontal="center"/>
    </xf>
    <xf numFmtId="0" fontId="22" fillId="0" borderId="28" xfId="0" applyFont="1" applyBorder="1" applyAlignment="1">
      <alignment horizontal="left" wrapText="1"/>
    </xf>
    <xf numFmtId="0" fontId="22" fillId="0" borderId="4" xfId="0" applyFont="1" applyBorder="1" applyAlignment="1">
      <alignment horizontal="left" wrapText="1"/>
    </xf>
    <xf numFmtId="0" fontId="5" fillId="0" borderId="0" xfId="8" applyBorder="1" applyAlignment="1" applyProtection="1">
      <alignment horizontal="left" wrapText="1"/>
    </xf>
    <xf numFmtId="0" fontId="5" fillId="0" borderId="12" xfId="8" applyBorder="1" applyAlignment="1" applyProtection="1">
      <alignment horizontal="left" wrapText="1"/>
    </xf>
    <xf numFmtId="0" fontId="12" fillId="4" borderId="35" xfId="0" applyFont="1" applyFill="1" applyBorder="1" applyAlignment="1">
      <alignment horizontal="left" vertical="center" wrapText="1"/>
    </xf>
    <xf numFmtId="0" fontId="12" fillId="4" borderId="7"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5" fillId="0" borderId="9" xfId="8" applyBorder="1" applyAlignment="1" applyProtection="1">
      <alignment horizontal="left"/>
    </xf>
    <xf numFmtId="0" fontId="5" fillId="0" borderId="10" xfId="8" applyBorder="1" applyAlignment="1" applyProtection="1">
      <alignment horizontal="left"/>
    </xf>
    <xf numFmtId="0" fontId="63" fillId="0" borderId="16" xfId="12" applyFont="1" applyBorder="1" applyAlignment="1">
      <alignment horizontal="center"/>
    </xf>
    <xf numFmtId="0" fontId="62" fillId="34" borderId="52" xfId="0" applyNumberFormat="1" applyFont="1" applyFill="1" applyBorder="1" applyAlignment="1">
      <alignment horizontal="center" vertical="center" wrapText="1"/>
    </xf>
    <xf numFmtId="0" fontId="61" fillId="34" borderId="51" xfId="0" applyNumberFormat="1" applyFont="1" applyFill="1" applyBorder="1" applyAlignment="1">
      <alignment horizontal="center" vertical="center" wrapText="1"/>
    </xf>
    <xf numFmtId="0" fontId="61" fillId="34" borderId="50" xfId="0" applyNumberFormat="1" applyFont="1" applyFill="1" applyBorder="1" applyAlignment="1">
      <alignment horizontal="center" vertical="center" wrapText="1"/>
    </xf>
    <xf numFmtId="0" fontId="61" fillId="34" borderId="49" xfId="0" applyNumberFormat="1" applyFont="1" applyFill="1" applyBorder="1" applyAlignment="1">
      <alignment horizontal="center" vertical="center" wrapText="1"/>
    </xf>
    <xf numFmtId="0" fontId="61" fillId="34" borderId="48" xfId="0" applyNumberFormat="1" applyFont="1" applyFill="1" applyBorder="1" applyAlignment="1">
      <alignment horizontal="center" vertical="center" wrapText="1"/>
    </xf>
    <xf numFmtId="0" fontId="61" fillId="34" borderId="47" xfId="0" applyNumberFormat="1" applyFont="1" applyFill="1" applyBorder="1" applyAlignment="1">
      <alignment horizontal="center" vertical="center" wrapText="1"/>
    </xf>
    <xf numFmtId="0" fontId="69" fillId="40" borderId="53" xfId="0" applyFont="1" applyFill="1" applyBorder="1" applyAlignment="1">
      <alignment horizontal="left"/>
    </xf>
    <xf numFmtId="0" fontId="69" fillId="40" borderId="33" xfId="0" applyFont="1" applyFill="1" applyBorder="1" applyAlignment="1">
      <alignment horizontal="left"/>
    </xf>
    <xf numFmtId="0" fontId="69" fillId="40" borderId="54" xfId="0" applyFont="1" applyFill="1" applyBorder="1" applyAlignment="1">
      <alignment horizontal="left"/>
    </xf>
    <xf numFmtId="0" fontId="69" fillId="40" borderId="0" xfId="0" applyFont="1" applyFill="1" applyAlignment="1">
      <alignment horizontal="left"/>
    </xf>
    <xf numFmtId="0" fontId="69" fillId="40" borderId="16" xfId="0" applyFont="1" applyFill="1" applyBorder="1" applyAlignment="1">
      <alignment horizontal="left"/>
    </xf>
    <xf numFmtId="0" fontId="69" fillId="0" borderId="0" xfId="0" applyFont="1" applyFill="1" applyBorder="1" applyAlignment="1">
      <alignment horizontal="left"/>
    </xf>
  </cellXfs>
  <cellStyles count="259">
    <cellStyle name="=C:\WINNT35\SYSTEM32\COMMAND.COM" xfId="1"/>
    <cellStyle name="=C:\WINNT35\SYSTEM32\COMMAND.COM 2" xfId="24"/>
    <cellStyle name="20% - Accent1 2" xfId="25"/>
    <cellStyle name="20% - Accent1 3" xfId="26"/>
    <cellStyle name="20% - Accent1 4" xfId="27"/>
    <cellStyle name="20% - Accent2 2" xfId="28"/>
    <cellStyle name="20% - Accent2 3" xfId="29"/>
    <cellStyle name="20% - Accent2 4" xfId="30"/>
    <cellStyle name="20% - Accent3 2" xfId="31"/>
    <cellStyle name="20% - Accent3 3" xfId="32"/>
    <cellStyle name="20% - Accent3 4" xfId="33"/>
    <cellStyle name="20% - Accent4 2" xfId="34"/>
    <cellStyle name="20% - Accent4 3" xfId="35"/>
    <cellStyle name="20% - Accent4 4" xfId="36"/>
    <cellStyle name="20% - Accent5 2" xfId="37"/>
    <cellStyle name="20% - Accent5 3" xfId="38"/>
    <cellStyle name="20% - Accent5 4" xfId="39"/>
    <cellStyle name="20% - Accent6 2" xfId="40"/>
    <cellStyle name="20% - Accent6 3" xfId="41"/>
    <cellStyle name="20% - Accent6 4" xfId="42"/>
    <cellStyle name="20% - Colore 1" xfId="43"/>
    <cellStyle name="20% - Colore 2" xfId="44"/>
    <cellStyle name="20% - Colore 3" xfId="45"/>
    <cellStyle name="20% - Colore 4" xfId="46"/>
    <cellStyle name="20% - Colore 5" xfId="47"/>
    <cellStyle name="20% - Colore 6" xfId="48"/>
    <cellStyle name="40% - Accent1 2" xfId="49"/>
    <cellStyle name="40% - Accent1 3" xfId="50"/>
    <cellStyle name="40% - Accent1 4" xfId="51"/>
    <cellStyle name="40% - Accent2 2" xfId="52"/>
    <cellStyle name="40% - Accent2 3" xfId="53"/>
    <cellStyle name="40% - Accent2 4" xfId="54"/>
    <cellStyle name="40% - Accent3 2" xfId="55"/>
    <cellStyle name="40% - Accent3 3" xfId="56"/>
    <cellStyle name="40% - Accent3 4" xfId="57"/>
    <cellStyle name="40% - Accent4 2" xfId="58"/>
    <cellStyle name="40% - Accent4 3" xfId="59"/>
    <cellStyle name="40% - Accent4 4" xfId="60"/>
    <cellStyle name="40% - Accent5 2" xfId="61"/>
    <cellStyle name="40% - Accent5 3" xfId="62"/>
    <cellStyle name="40% - Accent5 4" xfId="63"/>
    <cellStyle name="40% - Accent6 2" xfId="64"/>
    <cellStyle name="40% - Accent6 3" xfId="65"/>
    <cellStyle name="40% - Accent6 4" xfId="66"/>
    <cellStyle name="40% - Colore 1" xfId="67"/>
    <cellStyle name="40% - Colore 2" xfId="68"/>
    <cellStyle name="40% - Colore 3" xfId="69"/>
    <cellStyle name="40% - Colore 4" xfId="70"/>
    <cellStyle name="40% - Colore 5" xfId="71"/>
    <cellStyle name="40% - Colore 6" xfId="72"/>
    <cellStyle name="60% - Accent1 2" xfId="73"/>
    <cellStyle name="60% - Accent1 3" xfId="74"/>
    <cellStyle name="60% - Accent1 4" xfId="75"/>
    <cellStyle name="60% - Accent2 2" xfId="76"/>
    <cellStyle name="60% - Accent2 3" xfId="77"/>
    <cellStyle name="60% - Accent2 4" xfId="78"/>
    <cellStyle name="60% - Accent3 2" xfId="79"/>
    <cellStyle name="60% - Accent3 3" xfId="80"/>
    <cellStyle name="60% - Accent3 4" xfId="81"/>
    <cellStyle name="60% - Accent4 2" xfId="82"/>
    <cellStyle name="60% - Accent4 3" xfId="83"/>
    <cellStyle name="60% - Accent4 4" xfId="84"/>
    <cellStyle name="60% - Accent5 2" xfId="85"/>
    <cellStyle name="60% - Accent5 3" xfId="86"/>
    <cellStyle name="60% - Accent5 4" xfId="87"/>
    <cellStyle name="60% - Accent6 2" xfId="88"/>
    <cellStyle name="60% - Accent6 3" xfId="89"/>
    <cellStyle name="60% - Accent6 4" xfId="90"/>
    <cellStyle name="60% - Colore 1" xfId="91"/>
    <cellStyle name="60% - Colore 2" xfId="92"/>
    <cellStyle name="60% - Colore 3" xfId="93"/>
    <cellStyle name="60% - Colore 4" xfId="94"/>
    <cellStyle name="60% - Colore 5" xfId="95"/>
    <cellStyle name="60% - Colore 6" xfId="96"/>
    <cellStyle name="Accent1 2" xfId="97"/>
    <cellStyle name="Accent1 3" xfId="98"/>
    <cellStyle name="Accent1 4" xfId="99"/>
    <cellStyle name="Accent2 2" xfId="100"/>
    <cellStyle name="Accent2 3" xfId="101"/>
    <cellStyle name="Accent2 4" xfId="102"/>
    <cellStyle name="Accent3 2" xfId="103"/>
    <cellStyle name="Accent3 3" xfId="104"/>
    <cellStyle name="Accent3 4" xfId="105"/>
    <cellStyle name="Accent4 2" xfId="106"/>
    <cellStyle name="Accent4 3" xfId="107"/>
    <cellStyle name="Accent4 4" xfId="108"/>
    <cellStyle name="Accent5 2" xfId="109"/>
    <cellStyle name="Accent5 3" xfId="110"/>
    <cellStyle name="Accent5 4" xfId="111"/>
    <cellStyle name="Accent6 2" xfId="112"/>
    <cellStyle name="Accent6 3" xfId="113"/>
    <cellStyle name="Accent6 4" xfId="114"/>
    <cellStyle name="Bad 2" xfId="115"/>
    <cellStyle name="Bad 3" xfId="116"/>
    <cellStyle name="Bad 4" xfId="117"/>
    <cellStyle name="Calcolo" xfId="118"/>
    <cellStyle name="Calculation 2" xfId="119"/>
    <cellStyle name="Calculation 3" xfId="120"/>
    <cellStyle name="Calculation 4" xfId="121"/>
    <cellStyle name="Cella collegata" xfId="122"/>
    <cellStyle name="Cella da controllare" xfId="123"/>
    <cellStyle name="Check Cell 2" xfId="124"/>
    <cellStyle name="Check Cell 3" xfId="125"/>
    <cellStyle name="Check Cell 4" xfId="126"/>
    <cellStyle name="Colore 1" xfId="127"/>
    <cellStyle name="Colore 2" xfId="128"/>
    <cellStyle name="Colore 3" xfId="129"/>
    <cellStyle name="Colore 4" xfId="130"/>
    <cellStyle name="Colore 5" xfId="131"/>
    <cellStyle name="Colore 6" xfId="132"/>
    <cellStyle name="Comma" xfId="2" builtinId="3"/>
    <cellStyle name="Comma  - Style1" xfId="133"/>
    <cellStyle name="Comma  - Style2" xfId="134"/>
    <cellStyle name="Comma  - Style3" xfId="135"/>
    <cellStyle name="Comma  - Style4" xfId="136"/>
    <cellStyle name="Comma  - Style5" xfId="137"/>
    <cellStyle name="Comma  - Style6" xfId="138"/>
    <cellStyle name="Comma  - Style7" xfId="139"/>
    <cellStyle name="Comma  - Style8" xfId="140"/>
    <cellStyle name="Comma 10" xfId="251"/>
    <cellStyle name="Comma 11" xfId="257"/>
    <cellStyle name="Comma 13" xfId="3"/>
    <cellStyle name="Comma 2" xfId="4"/>
    <cellStyle name="Comma 2 2" xfId="141"/>
    <cellStyle name="Comma 2 3" xfId="142"/>
    <cellStyle name="Comma 3" xfId="143"/>
    <cellStyle name="Comma 3 2" xfId="144"/>
    <cellStyle name="Comma 3 3" xfId="250"/>
    <cellStyle name="Comma 3 4" xfId="258"/>
    <cellStyle name="Comma 4" xfId="5"/>
    <cellStyle name="Comma 5" xfId="145"/>
    <cellStyle name="Comma 5 2" xfId="146"/>
    <cellStyle name="Comma 6" xfId="147"/>
    <cellStyle name="Comma 7" xfId="148"/>
    <cellStyle name="Comma 8" xfId="249"/>
    <cellStyle name="Comma 9" xfId="6"/>
    <cellStyle name="Comma0 - Style4" xfId="149"/>
    <cellStyle name="Comma0 - Style5" xfId="150"/>
    <cellStyle name="Comma1 - Style1" xfId="151"/>
    <cellStyle name="Curren - Style1" xfId="152"/>
    <cellStyle name="Curren - Style5" xfId="153"/>
    <cellStyle name="Curren - Style6" xfId="154"/>
    <cellStyle name="Date - Style3" xfId="155"/>
    <cellStyle name="Date - Style4" xfId="156"/>
    <cellStyle name="Explanatory Text 2" xfId="157"/>
    <cellStyle name="Explanatory Text 3" xfId="158"/>
    <cellStyle name="Explanatory Text 4" xfId="159"/>
    <cellStyle name="Fixed3 - Style3" xfId="160"/>
    <cellStyle name="Good 2" xfId="7"/>
    <cellStyle name="Good 3" xfId="161"/>
    <cellStyle name="Good 4" xfId="162"/>
    <cellStyle name="Header1" xfId="163"/>
    <cellStyle name="Header2" xfId="164"/>
    <cellStyle name="Heading 1 2" xfId="165"/>
    <cellStyle name="Heading 1 3" xfId="166"/>
    <cellStyle name="Heading 1 4" xfId="167"/>
    <cellStyle name="Heading 2 2" xfId="168"/>
    <cellStyle name="Heading 2 3" xfId="169"/>
    <cellStyle name="Heading 2 4" xfId="170"/>
    <cellStyle name="Heading 3 2" xfId="171"/>
    <cellStyle name="Heading 3 3" xfId="172"/>
    <cellStyle name="Heading 3 4" xfId="173"/>
    <cellStyle name="Heading 4 2" xfId="174"/>
    <cellStyle name="Heading 4 3" xfId="175"/>
    <cellStyle name="Heading 4 4" xfId="176"/>
    <cellStyle name="Hyperlink" xfId="8" builtinId="8"/>
    <cellStyle name="Hyperlink 2" xfId="9"/>
    <cellStyle name="Hyperlink 2 2" xfId="179"/>
    <cellStyle name="Hyperlink 2 3" xfId="178"/>
    <cellStyle name="Hyperlink 3" xfId="177"/>
    <cellStyle name="Hypertextový odkaz" xfId="180"/>
    <cellStyle name="Input 2" xfId="181"/>
    <cellStyle name="Input 3" xfId="182"/>
    <cellStyle name="Input 4" xfId="183"/>
    <cellStyle name="Input 5" xfId="184"/>
    <cellStyle name="Linked Cell 2" xfId="185"/>
    <cellStyle name="Linked Cell 3" xfId="186"/>
    <cellStyle name="Linked Cell 4" xfId="187"/>
    <cellStyle name="mike" xfId="188"/>
    <cellStyle name="mike1" xfId="189"/>
    <cellStyle name="mike2" xfId="190"/>
    <cellStyle name="Neutral 2" xfId="191"/>
    <cellStyle name="Neutral 3" xfId="192"/>
    <cellStyle name="Neutral 4" xfId="193"/>
    <cellStyle name="Neutrale" xfId="194"/>
    <cellStyle name="no dec" xfId="195"/>
    <cellStyle name="Normal" xfId="0" builtinId="0"/>
    <cellStyle name="Normal - Style1" xfId="196"/>
    <cellStyle name="Normal 10" xfId="10"/>
    <cellStyle name="Normal 11" xfId="23"/>
    <cellStyle name="Normal 12" xfId="11"/>
    <cellStyle name="Normal 13" xfId="202"/>
    <cellStyle name="Normal 14" xfId="245"/>
    <cellStyle name="Normal 15" xfId="248"/>
    <cellStyle name="Normal 16" xfId="254"/>
    <cellStyle name="Normal 2" xfId="12"/>
    <cellStyle name="Normal 2 2" xfId="197"/>
    <cellStyle name="Normal 2 2 2" xfId="198"/>
    <cellStyle name="Normal 2 3" xfId="199"/>
    <cellStyle name="Normal 3" xfId="13"/>
    <cellStyle name="Normal 3 2" xfId="200"/>
    <cellStyle name="Normal 3 3" xfId="201"/>
    <cellStyle name="Normal 4" xfId="14"/>
    <cellStyle name="Normal 4 2" xfId="252"/>
    <cellStyle name="Normal 5" xfId="15"/>
    <cellStyle name="Normal 5 2" xfId="204"/>
    <cellStyle name="Normal 5 3" xfId="203"/>
    <cellStyle name="Normal 6" xfId="205"/>
    <cellStyle name="Normal 7" xfId="206"/>
    <cellStyle name="Normal 7 2" xfId="207"/>
    <cellStyle name="Normal 8" xfId="16"/>
    <cellStyle name="Normal 9" xfId="17"/>
    <cellStyle name="Nota" xfId="208"/>
    <cellStyle name="Nota 2" xfId="246"/>
    <cellStyle name="Note 2" xfId="209"/>
    <cellStyle name="Note 3" xfId="210"/>
    <cellStyle name="Note 4" xfId="211"/>
    <cellStyle name="Output 2" xfId="212"/>
    <cellStyle name="Output 3" xfId="213"/>
    <cellStyle name="Output 4" xfId="214"/>
    <cellStyle name="Output 5" xfId="215"/>
    <cellStyle name="Percen - Style2" xfId="216"/>
    <cellStyle name="Percent" xfId="18" builtinId="5"/>
    <cellStyle name="Percent 11" xfId="19"/>
    <cellStyle name="Percent 2" xfId="20"/>
    <cellStyle name="Percent 3" xfId="217"/>
    <cellStyle name="Percent 3 2" xfId="255"/>
    <cellStyle name="Percent 4" xfId="218"/>
    <cellStyle name="Percent 4 2" xfId="256"/>
    <cellStyle name="Percent 5" xfId="219"/>
    <cellStyle name="Percent 6" xfId="220"/>
    <cellStyle name="Percent 7" xfId="221"/>
    <cellStyle name="Percent 7 2" xfId="247"/>
    <cellStyle name="Percent 8" xfId="253"/>
    <cellStyle name="Popis" xfId="222"/>
    <cellStyle name="Row head" xfId="21"/>
    <cellStyle name="Sledovaný hypertextový odkaz" xfId="223"/>
    <cellStyle name="Style 1" xfId="22"/>
    <cellStyle name="Style 1 2" xfId="224"/>
    <cellStyle name="Testo avviso" xfId="225"/>
    <cellStyle name="Testo descrittivo" xfId="226"/>
    <cellStyle name="Title 2" xfId="227"/>
    <cellStyle name="Title 3" xfId="228"/>
    <cellStyle name="Title 4" xfId="229"/>
    <cellStyle name="Titolo" xfId="230"/>
    <cellStyle name="Titolo 1" xfId="231"/>
    <cellStyle name="Titolo 2" xfId="232"/>
    <cellStyle name="Titolo 3" xfId="233"/>
    <cellStyle name="Titolo 4" xfId="234"/>
    <cellStyle name="Total 2" xfId="235"/>
    <cellStyle name="Total 3" xfId="236"/>
    <cellStyle name="Total 4" xfId="237"/>
    <cellStyle name="Totale" xfId="238"/>
    <cellStyle name="Valore non valido" xfId="239"/>
    <cellStyle name="Valore valido" xfId="240"/>
    <cellStyle name="Warning Text 2" xfId="241"/>
    <cellStyle name="Warning Text 3" xfId="242"/>
    <cellStyle name="Warning Text 4" xfId="243"/>
    <cellStyle name="표준_Brief Performance Data Log Sheets on 05-04-08" xfId="244"/>
  </cellStyles>
  <dxfs count="0"/>
  <tableStyles count="0" defaultTableStyle="TableStyleMedium9" defaultPivotStyle="PivotStyleLight16"/>
  <colors>
    <mruColors>
      <color rgb="FF00CC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7</xdr:row>
      <xdr:rowOff>0</xdr:rowOff>
    </xdr:from>
    <xdr:to>
      <xdr:col>4</xdr:col>
      <xdr:colOff>45244</xdr:colOff>
      <xdr:row>11</xdr:row>
      <xdr:rowOff>85725</xdr:rowOff>
    </xdr:to>
    <xdr:pic>
      <xdr:nvPicPr>
        <xdr:cNvPr id="1240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219200" y="1285875"/>
          <a:ext cx="1419225" cy="809625"/>
        </a:xfrm>
        <a:prstGeom prst="rect">
          <a:avLst/>
        </a:prstGeom>
        <a:noFill/>
        <a:ln w="1">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HRUTI/8.3MW%20Parakah%20Agro%20Documents/DVR%201/8.3MW%20wind%20by%20Parakh%20Agro_IRR_Version%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eneral%20Carbon/0.CDM/0.Projects/1.JSW/JSW-TRT%204%20documents/z.Elamathi/1.July%2025th%202012%20-%20office%20discussion/TRT4%20IRR%20Version%2003_March%2023%202012_INR%20Million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ssumptions"/>
      <sheetName val="Profit &amp; Loss"/>
      <sheetName val="Depreciation"/>
      <sheetName val="Cash Flow"/>
      <sheetName val="Loan Schedule"/>
      <sheetName val="Balance Sheet"/>
      <sheetName val="WACC "/>
      <sheetName val="Snapshot Beta"/>
      <sheetName val="Re-lev"/>
      <sheetName val="Sens Anly"/>
      <sheetName val="BSE 30"/>
      <sheetName val="Beta calculation"/>
      <sheetName val="Sheet1"/>
    </sheetNames>
    <sheetDataSet>
      <sheetData sheetId="0">
        <row r="31">
          <cell r="C31">
            <v>492.15111000000007</v>
          </cell>
        </row>
      </sheetData>
      <sheetData sheetId="1" refreshError="1"/>
      <sheetData sheetId="2" refreshError="1"/>
      <sheetData sheetId="3" refreshError="1"/>
      <sheetData sheetId="4" refreshError="1"/>
      <sheetData sheetId="5" refreshError="1"/>
      <sheetData sheetId="6"/>
      <sheetData sheetId="7" refreshError="1"/>
      <sheetData sheetId="8"/>
      <sheetData sheetId="9" refreshError="1"/>
      <sheetData sheetId="10"/>
      <sheetData sheetId="1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ssumption "/>
      <sheetName val="P &amp; L "/>
      <sheetName val="Book depreciation"/>
      <sheetName val="Loan Schedule"/>
      <sheetName val="Equity Beta "/>
      <sheetName val="Re-lev Beta"/>
      <sheetName val="BSE 100"/>
      <sheetName val="Sensitivity Analysi"/>
      <sheetName val="WACC"/>
    </sheetNames>
    <sheetDataSet>
      <sheetData sheetId="0">
        <row r="35">
          <cell r="C35">
            <v>583.19999999999993</v>
          </cell>
        </row>
        <row r="45">
          <cell r="D45" t="str">
            <v>http://www.rbi.org.in/scripts/BS_ViewBulletin_Test.aspx?Id=8261</v>
          </cell>
        </row>
        <row r="72">
          <cell r="C72">
            <v>0.33989999999999998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cercind.gov.in/28032004/finalregulations_terms&amp;condition.pdf,%20page%20No%2020" TargetMode="External"/><Relationship Id="rId3" Type="http://schemas.openxmlformats.org/officeDocument/2006/relationships/hyperlink" Target="http://asa-india.com/asa/Depreciation%20Rates%20Companies%20Act.pdf" TargetMode="External"/><Relationship Id="rId7" Type="http://schemas.openxmlformats.org/officeDocument/2006/relationships/hyperlink" Target="http://www.rbi.org.in/scripts/referenceratearchive.aspx" TargetMode="External"/><Relationship Id="rId12" Type="http://schemas.openxmlformats.org/officeDocument/2006/relationships/comments" Target="../comments1.xml"/><Relationship Id="rId2" Type="http://schemas.openxmlformats.org/officeDocument/2006/relationships/hyperlink" Target="http://www.caclubindia.com/forum/depreciation-rate-chart-52539.asp" TargetMode="External"/><Relationship Id="rId1" Type="http://schemas.openxmlformats.org/officeDocument/2006/relationships/hyperlink" Target="http://www.rbi.org.in/scripts/BS_ViewBulletin_Test.aspx?Id=8261" TargetMode="External"/><Relationship Id="rId6" Type="http://schemas.openxmlformats.org/officeDocument/2006/relationships/hyperlink" Target="http://indiabudget.nic.in/ub2005-06/bh/bh1.pdf" TargetMode="External"/><Relationship Id="rId11" Type="http://schemas.openxmlformats.org/officeDocument/2006/relationships/vmlDrawing" Target="../drawings/vmlDrawing1.vml"/><Relationship Id="rId5" Type="http://schemas.openxmlformats.org/officeDocument/2006/relationships/hyperlink" Target="http://indiabudget.nic.in/ub2006-07/bh/bh1.pdf" TargetMode="External"/><Relationship Id="rId10" Type="http://schemas.openxmlformats.org/officeDocument/2006/relationships/printerSettings" Target="../printerSettings/printerSettings1.bin"/><Relationship Id="rId4" Type="http://schemas.openxmlformats.org/officeDocument/2006/relationships/hyperlink" Target="http://indiabudget.nic.in/ub2005-06/bh/bh1.pdf" TargetMode="External"/><Relationship Id="rId9" Type="http://schemas.openxmlformats.org/officeDocument/2006/relationships/hyperlink" Target="http://www.cercind.gov.in/draft_reg_tctariff.do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rbi.org.in/scripts/BS_ViewBulletin_Test.aspx?Id=69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hyperlink" Target="http://www.moneycontrol.com/financials/kalyanisteels/profit-loss/KS01" TargetMode="External"/><Relationship Id="rId13" Type="http://schemas.openxmlformats.org/officeDocument/2006/relationships/comments" Target="../comments2.xml"/><Relationship Id="rId3" Type="http://schemas.openxmlformats.org/officeDocument/2006/relationships/hyperlink" Target="http://www.moneycontrol.com/financials/steelauthorityindia/balance-sheet/SAI" TargetMode="External"/><Relationship Id="rId7" Type="http://schemas.openxmlformats.org/officeDocument/2006/relationships/hyperlink" Target="http://www.moneycontrol.com/financials/kalyanisteels/balance-sheet/KS01" TargetMode="External"/><Relationship Id="rId12" Type="http://schemas.openxmlformats.org/officeDocument/2006/relationships/vmlDrawing" Target="../drawings/vmlDrawing2.vml"/><Relationship Id="rId2" Type="http://schemas.openxmlformats.org/officeDocument/2006/relationships/hyperlink" Target="http://www.moneycontrol.com/financials/tatasteel/profit-loss/TIS" TargetMode="External"/><Relationship Id="rId1" Type="http://schemas.openxmlformats.org/officeDocument/2006/relationships/hyperlink" Target="http://www.moneycontrol.com/financials/tatasteel/balance-sheet/TIS" TargetMode="External"/><Relationship Id="rId6" Type="http://schemas.openxmlformats.org/officeDocument/2006/relationships/hyperlink" Target="http://www.moneycontrol.com/financials/mahindrauginesteelcompany/profit-loss/MUS" TargetMode="External"/><Relationship Id="rId11" Type="http://schemas.openxmlformats.org/officeDocument/2006/relationships/printerSettings" Target="../printerSettings/printerSettings6.bin"/><Relationship Id="rId5" Type="http://schemas.openxmlformats.org/officeDocument/2006/relationships/hyperlink" Target="http://www.moneycontrol.com/financials/mahindrauginesteelcompany/balance-sheet/MUS" TargetMode="External"/><Relationship Id="rId10" Type="http://schemas.openxmlformats.org/officeDocument/2006/relationships/hyperlink" Target="http://www.moneycontrol.com/financials/jindalsteelpower/balance-sheet/JSP" TargetMode="External"/><Relationship Id="rId4" Type="http://schemas.openxmlformats.org/officeDocument/2006/relationships/hyperlink" Target="http://www.moneycontrol.com/financials/steelauthorityindia/profit-loss/SAI" TargetMode="External"/><Relationship Id="rId9" Type="http://schemas.openxmlformats.org/officeDocument/2006/relationships/hyperlink" Target="http://www.moneycontrol.com/financials/jindalsteelpower/profit-loss/JSP"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hyperlink" Target="http://www.bseindia.com/histdata/hindices2.asp" TargetMode="External"/><Relationship Id="rId2" Type="http://schemas.openxmlformats.org/officeDocument/2006/relationships/hyperlink" Target="http://www.rbi.org.in/scripts/BS_ViewBulletin_Test.aspx?Id=6996" TargetMode="External"/><Relationship Id="rId1" Type="http://schemas.openxmlformats.org/officeDocument/2006/relationships/hyperlink" Target="http://www.bseindia.com/histdata/hindices2.asp" TargetMode="Externa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AA99"/>
  <sheetViews>
    <sheetView view="pageBreakPreview" zoomScaleSheetLayoutView="100" workbookViewId="0">
      <pane ySplit="7" topLeftCell="A13" activePane="bottomLeft" state="frozen"/>
      <selection pane="bottomLeft" activeCell="B21" sqref="B21"/>
    </sheetView>
  </sheetViews>
  <sheetFormatPr defaultColWidth="9.109375" defaultRowHeight="13.8"/>
  <cols>
    <col min="1" max="1" width="9.109375" style="73"/>
    <col min="2" max="2" width="60.88671875" style="73" customWidth="1"/>
    <col min="3" max="3" width="12.109375" style="73" customWidth="1"/>
    <col min="4" max="4" width="26.44140625" style="73" customWidth="1"/>
    <col min="5" max="5" width="17.6640625" style="73" customWidth="1"/>
    <col min="6" max="6" width="15.6640625" style="73" bestFit="1" customWidth="1"/>
    <col min="7" max="26" width="10.5546875" style="73" bestFit="1" customWidth="1"/>
    <col min="27" max="16384" width="9.109375" style="73"/>
  </cols>
  <sheetData>
    <row r="1" spans="2:9" ht="14.4" thickBot="1"/>
    <row r="2" spans="2:9">
      <c r="B2" s="21" t="s">
        <v>105</v>
      </c>
      <c r="C2" s="23"/>
      <c r="D2" s="11"/>
      <c r="E2" s="11"/>
      <c r="F2" s="11"/>
      <c r="G2" s="11"/>
      <c r="H2" s="11"/>
      <c r="I2" s="11"/>
    </row>
    <row r="3" spans="2:9">
      <c r="B3" s="24" t="s">
        <v>106</v>
      </c>
      <c r="C3" s="25"/>
      <c r="D3" s="11"/>
      <c r="E3" s="11"/>
      <c r="F3" s="11"/>
      <c r="G3" s="11"/>
      <c r="H3" s="11"/>
      <c r="I3" s="11"/>
    </row>
    <row r="4" spans="2:9" ht="14.4" thickBot="1">
      <c r="B4" s="26" t="s">
        <v>107</v>
      </c>
      <c r="C4" s="28"/>
      <c r="D4" s="11"/>
      <c r="E4" s="300"/>
      <c r="F4" s="11"/>
      <c r="G4" s="11"/>
      <c r="H4" s="11"/>
      <c r="I4" s="11"/>
    </row>
    <row r="7" spans="2:9">
      <c r="B7" s="134" t="s">
        <v>143</v>
      </c>
    </row>
    <row r="8" spans="2:9" ht="15" customHeight="1" thickBot="1"/>
    <row r="9" spans="2:9" ht="15" customHeight="1" thickBot="1">
      <c r="B9" s="142" t="s">
        <v>80</v>
      </c>
      <c r="C9" s="144" t="s">
        <v>65</v>
      </c>
      <c r="D9" s="144" t="s">
        <v>13</v>
      </c>
    </row>
    <row r="10" spans="2:9" ht="19.5" customHeight="1">
      <c r="B10" s="141" t="s">
        <v>10</v>
      </c>
      <c r="C10" s="183">
        <v>12.4</v>
      </c>
      <c r="D10" s="157" t="s">
        <v>145</v>
      </c>
      <c r="G10" s="73" t="s">
        <v>141</v>
      </c>
    </row>
    <row r="11" spans="2:9" ht="28.2" thickBot="1">
      <c r="B11" s="140" t="s">
        <v>11</v>
      </c>
      <c r="C11" s="184">
        <v>40106</v>
      </c>
      <c r="D11" s="158" t="s">
        <v>192</v>
      </c>
    </row>
    <row r="12" spans="2:9">
      <c r="B12" s="74"/>
      <c r="C12" s="75"/>
      <c r="D12" s="145"/>
    </row>
    <row r="13" spans="2:9" ht="14.4" thickBot="1">
      <c r="B13" s="74"/>
      <c r="C13" s="75"/>
    </row>
    <row r="14" spans="2:9" ht="14.4" thickBot="1">
      <c r="B14" s="135" t="s">
        <v>144</v>
      </c>
      <c r="C14" s="136" t="s">
        <v>65</v>
      </c>
      <c r="D14" s="137" t="s">
        <v>142</v>
      </c>
    </row>
    <row r="15" spans="2:9">
      <c r="B15" s="138" t="s">
        <v>26</v>
      </c>
      <c r="C15" s="180">
        <f>60%*(1+C86)</f>
        <v>0.6</v>
      </c>
      <c r="D15" s="492" t="s">
        <v>146</v>
      </c>
    </row>
    <row r="16" spans="2:9">
      <c r="B16" s="138" t="s">
        <v>33</v>
      </c>
      <c r="C16" s="181">
        <v>365</v>
      </c>
      <c r="D16" s="493"/>
      <c r="G16" s="321"/>
    </row>
    <row r="17" spans="2:27" ht="14.4" thickBot="1">
      <c r="B17" s="139" t="s">
        <v>34</v>
      </c>
      <c r="C17" s="182">
        <v>24</v>
      </c>
      <c r="D17" s="494"/>
    </row>
    <row r="18" spans="2:27">
      <c r="B18" s="146"/>
      <c r="C18" s="76"/>
      <c r="D18" s="147"/>
    </row>
    <row r="19" spans="2:27" ht="14.4" thickBot="1">
      <c r="B19" s="77"/>
      <c r="C19" s="78"/>
      <c r="D19" s="79"/>
      <c r="F19" s="91"/>
    </row>
    <row r="20" spans="2:27" ht="14.4" thickBot="1">
      <c r="B20" s="150" t="s">
        <v>147</v>
      </c>
      <c r="C20" s="151" t="s">
        <v>65</v>
      </c>
      <c r="D20" s="152" t="s">
        <v>13</v>
      </c>
      <c r="E20" s="80"/>
    </row>
    <row r="21" spans="2:27" ht="31.5" customHeight="1" thickBot="1">
      <c r="B21" s="344" t="s">
        <v>306</v>
      </c>
      <c r="C21" s="345">
        <f>1.53</f>
        <v>1.53</v>
      </c>
      <c r="D21" s="346" t="s">
        <v>148</v>
      </c>
      <c r="E21" s="80"/>
    </row>
    <row r="22" spans="2:27">
      <c r="B22" s="77"/>
      <c r="C22" s="148"/>
      <c r="D22" s="149"/>
      <c r="E22" s="81"/>
    </row>
    <row r="23" spans="2:27" ht="14.4" thickBot="1">
      <c r="B23" s="74"/>
      <c r="C23" s="75"/>
      <c r="E23" s="81"/>
    </row>
    <row r="24" spans="2:27" ht="13.5" customHeight="1" thickBot="1">
      <c r="B24" s="83" t="s">
        <v>12</v>
      </c>
      <c r="C24" s="83" t="s">
        <v>206</v>
      </c>
      <c r="D24" s="83" t="s">
        <v>13</v>
      </c>
      <c r="E24" s="80"/>
      <c r="J24" s="80"/>
      <c r="K24" s="80"/>
      <c r="L24" s="80"/>
      <c r="M24" s="80"/>
      <c r="N24" s="80"/>
      <c r="O24" s="80"/>
      <c r="P24" s="80"/>
      <c r="Q24" s="80"/>
      <c r="R24" s="80"/>
      <c r="S24" s="80"/>
      <c r="T24" s="80"/>
      <c r="U24" s="80"/>
      <c r="V24" s="80"/>
      <c r="W24" s="80"/>
      <c r="X24" s="80"/>
      <c r="Y24" s="80"/>
      <c r="Z24" s="80"/>
      <c r="AA24" s="80"/>
    </row>
    <row r="25" spans="2:27" ht="15" customHeight="1">
      <c r="B25" s="85" t="s">
        <v>18</v>
      </c>
      <c r="C25" s="86"/>
      <c r="D25" s="87"/>
      <c r="J25" s="88"/>
      <c r="K25" s="88"/>
      <c r="L25" s="88"/>
      <c r="M25" s="88"/>
      <c r="N25" s="88"/>
      <c r="O25" s="88"/>
      <c r="P25" s="88"/>
      <c r="Q25" s="88"/>
      <c r="R25" s="88"/>
      <c r="S25" s="88"/>
      <c r="T25" s="88"/>
      <c r="U25" s="88"/>
      <c r="V25" s="88"/>
      <c r="W25" s="88"/>
      <c r="X25" s="88"/>
      <c r="Y25" s="88"/>
      <c r="Z25" s="88"/>
      <c r="AA25" s="80"/>
    </row>
    <row r="26" spans="2:27" ht="14.25" customHeight="1">
      <c r="B26" s="153" t="s">
        <v>226</v>
      </c>
      <c r="C26" s="176">
        <v>5</v>
      </c>
      <c r="D26" s="490" t="s">
        <v>149</v>
      </c>
      <c r="F26" s="89"/>
      <c r="G26" s="89"/>
      <c r="H26" s="89"/>
      <c r="I26" s="89"/>
      <c r="J26" s="89"/>
      <c r="K26" s="89"/>
      <c r="L26" s="89"/>
      <c r="M26" s="89"/>
      <c r="N26" s="89"/>
      <c r="O26" s="89"/>
      <c r="P26" s="89"/>
      <c r="Q26" s="89"/>
      <c r="R26" s="89"/>
      <c r="S26" s="89"/>
      <c r="T26" s="89"/>
      <c r="U26" s="89"/>
      <c r="V26" s="89"/>
      <c r="W26" s="89"/>
      <c r="X26" s="89"/>
      <c r="Y26" s="89"/>
      <c r="Z26" s="89"/>
      <c r="AA26" s="80"/>
    </row>
    <row r="27" spans="2:27">
      <c r="B27" s="153" t="s">
        <v>14</v>
      </c>
      <c r="C27" s="177">
        <v>125</v>
      </c>
      <c r="D27" s="490"/>
      <c r="F27" s="89"/>
      <c r="G27" s="89"/>
      <c r="H27" s="89"/>
      <c r="I27" s="89"/>
      <c r="J27" s="89"/>
      <c r="K27" s="89"/>
      <c r="L27" s="89"/>
      <c r="M27" s="89"/>
      <c r="N27" s="89"/>
      <c r="O27" s="89"/>
      <c r="P27" s="89"/>
      <c r="Q27" s="89"/>
      <c r="R27" s="89"/>
      <c r="S27" s="89"/>
      <c r="T27" s="89"/>
      <c r="U27" s="89"/>
      <c r="V27" s="89"/>
      <c r="W27" s="89"/>
      <c r="X27" s="89"/>
      <c r="Y27" s="89"/>
      <c r="Z27" s="89"/>
      <c r="AA27" s="80"/>
    </row>
    <row r="28" spans="2:27">
      <c r="B28" s="154" t="s">
        <v>15</v>
      </c>
      <c r="C28" s="177">
        <v>380</v>
      </c>
      <c r="D28" s="490"/>
      <c r="F28" s="80"/>
      <c r="G28" s="80"/>
      <c r="H28" s="80"/>
      <c r="I28" s="80"/>
      <c r="J28" s="80"/>
      <c r="K28" s="80"/>
      <c r="L28" s="80"/>
      <c r="M28" s="80"/>
      <c r="N28" s="80"/>
      <c r="O28" s="80"/>
      <c r="P28" s="80"/>
      <c r="Q28" s="80"/>
      <c r="R28" s="80"/>
      <c r="S28" s="80"/>
      <c r="T28" s="80"/>
      <c r="U28" s="80"/>
      <c r="V28" s="80"/>
      <c r="W28" s="80"/>
      <c r="X28" s="80"/>
      <c r="Y28" s="80"/>
      <c r="Z28" s="80"/>
      <c r="AA28" s="80"/>
    </row>
    <row r="29" spans="2:27">
      <c r="B29" s="153" t="s">
        <v>16</v>
      </c>
      <c r="C29" s="177">
        <v>10</v>
      </c>
      <c r="D29" s="490"/>
    </row>
    <row r="30" spans="2:27" ht="14.4" thickBot="1">
      <c r="B30" s="155" t="s">
        <v>17</v>
      </c>
      <c r="C30" s="178">
        <v>25.5</v>
      </c>
      <c r="D30" s="491"/>
    </row>
    <row r="31" spans="2:27" ht="14.4" thickBot="1">
      <c r="B31" s="82" t="s">
        <v>21</v>
      </c>
      <c r="C31" s="173">
        <v>545.5</v>
      </c>
      <c r="D31" s="90"/>
    </row>
    <row r="32" spans="2:27">
      <c r="B32" s="153" t="s">
        <v>19</v>
      </c>
      <c r="C32" s="177">
        <v>30.8</v>
      </c>
      <c r="D32" s="489" t="s">
        <v>149</v>
      </c>
    </row>
    <row r="33" spans="1:9">
      <c r="B33" s="153" t="s">
        <v>20</v>
      </c>
      <c r="C33" s="177">
        <v>5</v>
      </c>
      <c r="D33" s="490"/>
    </row>
    <row r="34" spans="1:9" ht="14.4" thickBot="1">
      <c r="B34" s="155"/>
      <c r="C34" s="178"/>
      <c r="D34" s="491"/>
    </row>
    <row r="35" spans="1:9" ht="14.4" thickBot="1">
      <c r="B35" s="84" t="s">
        <v>228</v>
      </c>
      <c r="C35" s="179">
        <f>(SUM(C31:C34)*(1+C88))</f>
        <v>581.29999999999995</v>
      </c>
      <c r="D35" s="156" t="s">
        <v>100</v>
      </c>
    </row>
    <row r="36" spans="1:9" s="92" customFormat="1">
      <c r="B36" s="93"/>
      <c r="C36" s="94"/>
      <c r="D36" s="159"/>
      <c r="E36" s="95"/>
    </row>
    <row r="37" spans="1:9" ht="14.4" thickBot="1">
      <c r="A37" s="92"/>
      <c r="B37" s="93"/>
      <c r="C37" s="94"/>
      <c r="D37" s="80"/>
      <c r="E37" s="95"/>
      <c r="F37" s="92"/>
      <c r="G37" s="92"/>
      <c r="H37" s="92"/>
    </row>
    <row r="38" spans="1:9" ht="14.4" thickBot="1">
      <c r="A38" s="92"/>
      <c r="B38" s="83" t="s">
        <v>150</v>
      </c>
      <c r="C38" s="169" t="s">
        <v>151</v>
      </c>
      <c r="D38" s="170" t="s">
        <v>207</v>
      </c>
      <c r="E38" s="171" t="s">
        <v>13</v>
      </c>
      <c r="F38" s="92"/>
      <c r="G38" s="92"/>
      <c r="H38" s="92"/>
    </row>
    <row r="39" spans="1:9">
      <c r="A39" s="92"/>
      <c r="B39" s="165" t="s">
        <v>54</v>
      </c>
      <c r="C39" s="160">
        <v>0.3</v>
      </c>
      <c r="D39" s="167">
        <f>C39*C35</f>
        <v>174.39</v>
      </c>
      <c r="E39" s="495" t="s">
        <v>205</v>
      </c>
      <c r="F39" s="92"/>
      <c r="G39" s="92"/>
      <c r="H39" s="92"/>
    </row>
    <row r="40" spans="1:9" ht="14.4" thickBot="1">
      <c r="A40" s="92"/>
      <c r="B40" s="166" t="s">
        <v>55</v>
      </c>
      <c r="C40" s="164">
        <v>0.7</v>
      </c>
      <c r="D40" s="168">
        <f>C40*C35</f>
        <v>406.90999999999997</v>
      </c>
      <c r="E40" s="496"/>
      <c r="F40" s="92"/>
      <c r="G40" s="92"/>
      <c r="H40" s="92"/>
    </row>
    <row r="41" spans="1:9" s="92" customFormat="1" ht="14.4" thickBot="1">
      <c r="B41" s="161" t="s">
        <v>25</v>
      </c>
      <c r="C41" s="162"/>
      <c r="D41" s="163">
        <f>D39+D40</f>
        <v>581.29999999999995</v>
      </c>
      <c r="E41" s="89"/>
      <c r="I41" s="89"/>
    </row>
    <row r="42" spans="1:9" s="92" customFormat="1">
      <c r="B42" s="93"/>
      <c r="C42" s="94"/>
      <c r="D42" s="97"/>
      <c r="E42" s="89"/>
      <c r="I42" s="89"/>
    </row>
    <row r="43" spans="1:9" s="92" customFormat="1" ht="14.4" thickBot="1">
      <c r="B43" s="93"/>
      <c r="C43" s="94"/>
      <c r="D43" s="97"/>
      <c r="E43" s="95"/>
      <c r="G43" s="89"/>
      <c r="H43" s="89"/>
      <c r="I43" s="89"/>
    </row>
    <row r="44" spans="1:9" s="92" customFormat="1" ht="47.25" customHeight="1" thickBot="1">
      <c r="B44" s="172" t="s">
        <v>154</v>
      </c>
      <c r="C44" s="173" t="s">
        <v>65</v>
      </c>
      <c r="D44" s="171" t="s">
        <v>13</v>
      </c>
      <c r="E44" s="95"/>
      <c r="G44" s="89"/>
      <c r="H44" s="89"/>
      <c r="I44" s="89"/>
    </row>
    <row r="45" spans="1:9" s="92" customFormat="1" ht="39.6">
      <c r="B45" s="174" t="s">
        <v>56</v>
      </c>
      <c r="C45" s="186">
        <v>0.115</v>
      </c>
      <c r="D45" s="185" t="s">
        <v>66</v>
      </c>
      <c r="E45" s="95"/>
      <c r="G45" s="89"/>
      <c r="H45" s="89"/>
      <c r="I45" s="89"/>
    </row>
    <row r="46" spans="1:9" s="92" customFormat="1">
      <c r="B46" s="174" t="s">
        <v>57</v>
      </c>
      <c r="C46" s="187">
        <v>8</v>
      </c>
      <c r="D46" s="497" t="s">
        <v>152</v>
      </c>
      <c r="E46" s="95"/>
      <c r="G46" s="89"/>
      <c r="H46" s="89"/>
      <c r="I46" s="89"/>
    </row>
    <row r="47" spans="1:9" s="92" customFormat="1">
      <c r="B47" s="174" t="s">
        <v>58</v>
      </c>
      <c r="C47" s="187">
        <v>1</v>
      </c>
      <c r="D47" s="497"/>
      <c r="E47" s="95"/>
      <c r="F47" s="106"/>
      <c r="G47" s="89"/>
      <c r="H47" s="89"/>
      <c r="I47" s="89"/>
    </row>
    <row r="48" spans="1:9" s="92" customFormat="1" ht="14.4" thickBot="1">
      <c r="B48" s="175" t="s">
        <v>59</v>
      </c>
      <c r="C48" s="188">
        <v>14</v>
      </c>
      <c r="D48" s="498"/>
      <c r="E48" s="95"/>
      <c r="G48" s="89"/>
      <c r="H48" s="89"/>
      <c r="I48" s="89"/>
    </row>
    <row r="49" spans="1:9" s="92" customFormat="1" ht="14.4" thickBot="1">
      <c r="A49" s="73"/>
      <c r="B49" s="73"/>
      <c r="C49" s="73"/>
      <c r="D49" s="73"/>
      <c r="E49" s="73"/>
      <c r="G49" s="89"/>
      <c r="H49" s="89"/>
      <c r="I49" s="89"/>
    </row>
    <row r="50" spans="1:9" s="92" customFormat="1" ht="14.4" thickBot="1">
      <c r="A50" s="73"/>
      <c r="B50" s="144" t="s">
        <v>155</v>
      </c>
      <c r="C50" s="83" t="s">
        <v>206</v>
      </c>
      <c r="D50" s="83" t="s">
        <v>13</v>
      </c>
      <c r="E50" s="73"/>
      <c r="G50" s="89"/>
      <c r="H50" s="89"/>
      <c r="I50" s="89"/>
    </row>
    <row r="51" spans="1:9" s="92" customFormat="1">
      <c r="A51" s="73"/>
      <c r="B51" s="201" t="s">
        <v>22</v>
      </c>
      <c r="C51" s="176">
        <v>9.9700000000000006</v>
      </c>
      <c r="D51" s="489" t="s">
        <v>156</v>
      </c>
      <c r="E51" s="73"/>
      <c r="G51" s="89"/>
      <c r="H51" s="89"/>
      <c r="I51" s="89"/>
    </row>
    <row r="52" spans="1:9" s="92" customFormat="1">
      <c r="A52" s="73"/>
      <c r="B52" s="201" t="s">
        <v>23</v>
      </c>
      <c r="C52" s="192">
        <v>34.24</v>
      </c>
      <c r="D52" s="490"/>
      <c r="E52" s="73"/>
      <c r="G52" s="89"/>
      <c r="H52" s="89"/>
      <c r="I52" s="89"/>
    </row>
    <row r="53" spans="1:9">
      <c r="B53" s="201" t="s">
        <v>24</v>
      </c>
      <c r="C53" s="192">
        <v>1.6500000000000001</v>
      </c>
      <c r="D53" s="490"/>
    </row>
    <row r="54" spans="1:9" ht="14.4" thickBot="1">
      <c r="B54" s="201" t="s">
        <v>49</v>
      </c>
      <c r="C54" s="192">
        <v>3.06</v>
      </c>
      <c r="D54" s="491"/>
    </row>
    <row r="55" spans="1:9" ht="14.4" thickBot="1">
      <c r="B55" s="98" t="s">
        <v>25</v>
      </c>
      <c r="C55" s="320">
        <f>(SUM(C51:C54)*(1+C89))</f>
        <v>48.92</v>
      </c>
      <c r="D55" s="99"/>
    </row>
    <row r="56" spans="1:9" ht="40.200000000000003" thickBot="1">
      <c r="B56" s="204" t="s">
        <v>158</v>
      </c>
      <c r="C56" s="205">
        <v>0.04</v>
      </c>
      <c r="D56" s="206" t="s">
        <v>234</v>
      </c>
    </row>
    <row r="57" spans="1:9">
      <c r="B57" s="203"/>
      <c r="C57" s="94"/>
      <c r="D57" s="189"/>
    </row>
    <row r="58" spans="1:9" ht="14.4" thickBot="1"/>
    <row r="59" spans="1:9" ht="14.4" thickBot="1">
      <c r="B59" s="190" t="s">
        <v>53</v>
      </c>
      <c r="C59" s="198" t="s">
        <v>65</v>
      </c>
      <c r="D59" s="144" t="s">
        <v>13</v>
      </c>
    </row>
    <row r="60" spans="1:9">
      <c r="B60" s="100" t="s">
        <v>27</v>
      </c>
      <c r="C60" s="195">
        <v>0.15</v>
      </c>
      <c r="D60" s="485" t="s">
        <v>140</v>
      </c>
    </row>
    <row r="61" spans="1:9" ht="27" customHeight="1" thickBot="1">
      <c r="B61" s="100" t="s">
        <v>28</v>
      </c>
      <c r="C61" s="195">
        <v>0.1</v>
      </c>
      <c r="D61" s="486"/>
    </row>
    <row r="62" spans="1:9" ht="14.4" thickBot="1">
      <c r="B62" s="191" t="s">
        <v>29</v>
      </c>
      <c r="C62" s="198" t="s">
        <v>65</v>
      </c>
      <c r="D62" s="144" t="s">
        <v>13</v>
      </c>
    </row>
    <row r="63" spans="1:9">
      <c r="B63" s="100" t="s">
        <v>30</v>
      </c>
      <c r="C63" s="196">
        <v>5.28E-2</v>
      </c>
      <c r="D63" s="485" t="s">
        <v>153</v>
      </c>
    </row>
    <row r="64" spans="1:9" ht="38.25" customHeight="1" thickBot="1">
      <c r="B64" s="200" t="s">
        <v>31</v>
      </c>
      <c r="C64" s="197">
        <v>3.3399999999999999E-2</v>
      </c>
      <c r="D64" s="487"/>
    </row>
    <row r="65" spans="2:6">
      <c r="B65" s="193"/>
      <c r="C65" s="193"/>
      <c r="D65" s="194"/>
    </row>
    <row r="66" spans="2:6" ht="14.4" thickBot="1">
      <c r="B66" s="101"/>
      <c r="C66" s="102"/>
    </row>
    <row r="67" spans="2:6" ht="14.4" thickBot="1">
      <c r="B67" s="199" t="s">
        <v>157</v>
      </c>
      <c r="C67" s="240" t="s">
        <v>65</v>
      </c>
      <c r="D67" s="143" t="s">
        <v>13</v>
      </c>
    </row>
    <row r="68" spans="2:6" ht="26.4">
      <c r="B68" s="285" t="s">
        <v>164</v>
      </c>
      <c r="C68" s="241">
        <v>0.3</v>
      </c>
      <c r="D68" s="239" t="s">
        <v>167</v>
      </c>
    </row>
    <row r="69" spans="2:6" ht="26.4">
      <c r="B69" s="285" t="s">
        <v>163</v>
      </c>
      <c r="C69" s="241">
        <v>0.1</v>
      </c>
      <c r="D69" s="239" t="s">
        <v>168</v>
      </c>
    </row>
    <row r="70" spans="2:6" ht="26.4">
      <c r="B70" s="285" t="s">
        <v>165</v>
      </c>
      <c r="C70" s="241">
        <v>0.1</v>
      </c>
      <c r="D70" s="239" t="s">
        <v>167</v>
      </c>
    </row>
    <row r="71" spans="2:6" ht="27.75" customHeight="1">
      <c r="B71" s="285" t="s">
        <v>166</v>
      </c>
      <c r="C71" s="241">
        <v>0.03</v>
      </c>
      <c r="D71" s="239" t="s">
        <v>204</v>
      </c>
    </row>
    <row r="72" spans="2:6" ht="27.75" customHeight="1">
      <c r="B72" s="285" t="s">
        <v>297</v>
      </c>
      <c r="C72" s="475">
        <v>0.106</v>
      </c>
      <c r="D72" s="476" t="s">
        <v>301</v>
      </c>
    </row>
    <row r="73" spans="2:6">
      <c r="B73" s="286" t="s">
        <v>32</v>
      </c>
      <c r="C73" s="242">
        <f>C68+(C68*C70)+((C68+(C68*C70))*C71)</f>
        <v>0.33989999999999998</v>
      </c>
      <c r="D73" s="243" t="s">
        <v>100</v>
      </c>
    </row>
    <row r="74" spans="2:6" ht="14.4" thickBot="1">
      <c r="B74" s="287" t="s">
        <v>163</v>
      </c>
      <c r="C74" s="349">
        <f>C69+(C69*C70)+((C69+(C69*C70))*C71)</f>
        <v>0.11330000000000001</v>
      </c>
      <c r="D74" s="244" t="s">
        <v>100</v>
      </c>
    </row>
    <row r="75" spans="2:6">
      <c r="B75" s="238"/>
      <c r="C75" s="202"/>
      <c r="D75" s="145"/>
    </row>
    <row r="76" spans="2:6" ht="14.4" thickBot="1">
      <c r="C76" s="92"/>
    </row>
    <row r="77" spans="2:6" ht="14.4" thickBot="1">
      <c r="B77" s="142" t="s">
        <v>80</v>
      </c>
      <c r="C77" s="170" t="s">
        <v>65</v>
      </c>
      <c r="D77" s="143" t="s">
        <v>13</v>
      </c>
    </row>
    <row r="78" spans="2:6">
      <c r="B78" s="282" t="s">
        <v>177</v>
      </c>
      <c r="C78" s="311">
        <v>15</v>
      </c>
      <c r="D78" s="280" t="s">
        <v>178</v>
      </c>
    </row>
    <row r="79" spans="2:6" ht="26.4">
      <c r="B79" s="283" t="s">
        <v>50</v>
      </c>
      <c r="C79" s="312">
        <v>57.64</v>
      </c>
      <c r="D79" s="239" t="s">
        <v>179</v>
      </c>
      <c r="F79" s="73" t="s">
        <v>141</v>
      </c>
    </row>
    <row r="80" spans="2:6" ht="35.25" customHeight="1" thickBot="1">
      <c r="B80" s="284" t="s">
        <v>51</v>
      </c>
      <c r="C80" s="313">
        <v>50381</v>
      </c>
      <c r="D80" s="281" t="s">
        <v>180</v>
      </c>
    </row>
    <row r="81" spans="2:9" ht="14.4" thickBot="1"/>
    <row r="82" spans="2:9" ht="14.4" thickBot="1">
      <c r="B82" s="104" t="s">
        <v>190</v>
      </c>
      <c r="C82" s="329">
        <f>'P &amp; L '!C58</f>
        <v>6.4541423537714818E-2</v>
      </c>
      <c r="D82" s="91"/>
    </row>
    <row r="83" spans="2:9" ht="14.4" thickBot="1">
      <c r="B83" s="104" t="s">
        <v>191</v>
      </c>
      <c r="C83" s="329">
        <f>'P &amp; L '!C70</f>
        <v>0.12768131868827121</v>
      </c>
      <c r="D83" s="91"/>
    </row>
    <row r="84" spans="2:9" ht="32.25" customHeight="1" thickBot="1">
      <c r="F84" s="488"/>
      <c r="G84" s="488"/>
      <c r="H84" s="488"/>
      <c r="I84" s="488"/>
    </row>
    <row r="85" spans="2:9">
      <c r="B85" s="314" t="s">
        <v>48</v>
      </c>
      <c r="C85" s="317" t="s">
        <v>187</v>
      </c>
    </row>
    <row r="86" spans="2:9">
      <c r="B86" s="315" t="s">
        <v>185</v>
      </c>
      <c r="C86" s="318">
        <v>0</v>
      </c>
    </row>
    <row r="87" spans="2:9">
      <c r="B87" s="315" t="s">
        <v>188</v>
      </c>
      <c r="C87" s="318">
        <v>0</v>
      </c>
    </row>
    <row r="88" spans="2:9">
      <c r="B88" s="315" t="s">
        <v>12</v>
      </c>
      <c r="C88" s="318">
        <v>0</v>
      </c>
    </row>
    <row r="89" spans="2:9" ht="14.4" thickBot="1">
      <c r="B89" s="316" t="s">
        <v>186</v>
      </c>
      <c r="C89" s="319">
        <v>0</v>
      </c>
    </row>
    <row r="90" spans="2:9">
      <c r="F90" s="353"/>
    </row>
    <row r="92" spans="2:9" ht="27.6">
      <c r="B92" s="364" t="s">
        <v>209</v>
      </c>
      <c r="C92" s="363" t="s">
        <v>210</v>
      </c>
      <c r="D92" s="362" t="s">
        <v>65</v>
      </c>
      <c r="E92" s="363" t="s">
        <v>211</v>
      </c>
    </row>
    <row r="93" spans="2:9">
      <c r="B93" s="361" t="s">
        <v>212</v>
      </c>
      <c r="C93" s="360" t="s">
        <v>213</v>
      </c>
      <c r="D93" s="359">
        <v>1</v>
      </c>
      <c r="E93" s="358"/>
    </row>
    <row r="94" spans="2:9">
      <c r="B94" s="361" t="s">
        <v>219</v>
      </c>
      <c r="C94" s="360" t="s">
        <v>206</v>
      </c>
      <c r="D94" s="354">
        <f>C55</f>
        <v>48.92</v>
      </c>
      <c r="E94" s="358" t="s">
        <v>231</v>
      </c>
    </row>
    <row r="95" spans="2:9">
      <c r="B95" s="361" t="s">
        <v>215</v>
      </c>
      <c r="C95" s="360" t="s">
        <v>214</v>
      </c>
      <c r="D95" s="357">
        <f>C56</f>
        <v>0.04</v>
      </c>
      <c r="E95" s="356" t="s">
        <v>231</v>
      </c>
    </row>
    <row r="96" spans="2:9" ht="55.2">
      <c r="B96" s="361" t="s">
        <v>216</v>
      </c>
      <c r="C96" s="360" t="s">
        <v>214</v>
      </c>
      <c r="D96" s="355">
        <f>C45</f>
        <v>0.115</v>
      </c>
      <c r="E96" s="358" t="s">
        <v>66</v>
      </c>
    </row>
    <row r="97" spans="2:5">
      <c r="B97" s="361" t="s">
        <v>217</v>
      </c>
      <c r="C97" s="360" t="s">
        <v>214</v>
      </c>
      <c r="D97" s="355">
        <v>0.25</v>
      </c>
      <c r="E97" s="483" t="s">
        <v>232</v>
      </c>
    </row>
    <row r="98" spans="2:5">
      <c r="B98" s="361" t="s">
        <v>218</v>
      </c>
      <c r="C98" s="360" t="s">
        <v>214</v>
      </c>
      <c r="D98" s="355">
        <v>0.75</v>
      </c>
      <c r="E98" s="484"/>
    </row>
    <row r="99" spans="2:5">
      <c r="B99" s="477" t="s">
        <v>302</v>
      </c>
      <c r="C99" s="477" t="s">
        <v>214</v>
      </c>
      <c r="D99" s="478">
        <v>0.14000000000000001</v>
      </c>
      <c r="E99" s="479" t="s">
        <v>303</v>
      </c>
    </row>
  </sheetData>
  <dataConsolidate/>
  <mergeCells count="10">
    <mergeCell ref="D15:D17"/>
    <mergeCell ref="D26:D30"/>
    <mergeCell ref="E39:E40"/>
    <mergeCell ref="D46:D48"/>
    <mergeCell ref="D51:D54"/>
    <mergeCell ref="E97:E98"/>
    <mergeCell ref="D60:D61"/>
    <mergeCell ref="D63:D64"/>
    <mergeCell ref="F84:I84"/>
    <mergeCell ref="D32:D34"/>
  </mergeCells>
  <phoneticPr fontId="0" type="noConversion"/>
  <dataValidations count="1">
    <dataValidation type="list" allowBlank="1" showInputMessage="1" showErrorMessage="1" sqref="C37">
      <formula1>$F$40:$H$40</formula1>
    </dataValidation>
  </dataValidations>
  <hyperlinks>
    <hyperlink ref="D45" r:id="rId1"/>
    <hyperlink ref="D60" r:id="rId2"/>
    <hyperlink ref="D63" r:id="rId3"/>
    <hyperlink ref="D68" r:id="rId4"/>
    <hyperlink ref="D69" r:id="rId5"/>
    <hyperlink ref="D70" r:id="rId6"/>
    <hyperlink ref="D79" r:id="rId7"/>
    <hyperlink ref="D56" r:id="rId8"/>
    <hyperlink ref="E99" r:id="rId9"/>
  </hyperlinks>
  <pageMargins left="0.7" right="0.7" top="0.75" bottom="0.75" header="0.3" footer="0.3"/>
  <pageSetup paperSize="9" orientation="portrait" r:id="rId10"/>
  <legacyDrawing r:id="rId11"/>
</worksheet>
</file>

<file path=xl/worksheets/sheet10.xml><?xml version="1.0" encoding="utf-8"?>
<worksheet xmlns="http://schemas.openxmlformats.org/spreadsheetml/2006/main" xmlns:r="http://schemas.openxmlformats.org/officeDocument/2006/relationships">
  <dimension ref="B1:M23"/>
  <sheetViews>
    <sheetView view="pageBreakPreview" zoomScale="80" zoomScaleSheetLayoutView="80" workbookViewId="0">
      <selection activeCell="G23" sqref="G23"/>
    </sheetView>
  </sheetViews>
  <sheetFormatPr defaultColWidth="9.109375" defaultRowHeight="13.8"/>
  <cols>
    <col min="1" max="1" width="9.109375" style="1"/>
    <col min="2" max="3" width="12.6640625" style="1" customWidth="1"/>
    <col min="4" max="16384" width="9.109375" style="1"/>
  </cols>
  <sheetData>
    <row r="1" spans="2:13" ht="14.4" thickBot="1"/>
    <row r="2" spans="2:13">
      <c r="B2" s="21" t="s">
        <v>105</v>
      </c>
      <c r="C2" s="22"/>
      <c r="D2" s="23"/>
      <c r="E2" s="22"/>
      <c r="F2" s="22"/>
      <c r="G2" s="22"/>
      <c r="H2" s="22"/>
      <c r="I2" s="23"/>
    </row>
    <row r="3" spans="2:13">
      <c r="B3" s="24" t="s">
        <v>106</v>
      </c>
      <c r="C3" s="11"/>
      <c r="D3" s="25"/>
      <c r="E3" s="11"/>
      <c r="F3" s="11"/>
      <c r="G3" s="11"/>
      <c r="H3" s="11"/>
      <c r="I3" s="25"/>
    </row>
    <row r="4" spans="2:13" ht="14.4" thickBot="1">
      <c r="B4" s="26" t="s">
        <v>107</v>
      </c>
      <c r="C4" s="27"/>
      <c r="D4" s="28"/>
      <c r="E4" s="27"/>
      <c r="F4" s="27"/>
      <c r="G4" s="27"/>
      <c r="H4" s="27"/>
      <c r="I4" s="28"/>
    </row>
    <row r="7" spans="2:13">
      <c r="B7" s="29" t="s">
        <v>189</v>
      </c>
    </row>
    <row r="9" spans="2:13" ht="14.4" thickBot="1"/>
    <row r="10" spans="2:13" ht="14.4" thickBot="1">
      <c r="B10" s="305" t="s">
        <v>80</v>
      </c>
      <c r="C10" s="323">
        <v>0.1</v>
      </c>
      <c r="D10" s="322">
        <v>-0.1</v>
      </c>
    </row>
    <row r="11" spans="2:13">
      <c r="B11" s="315" t="s">
        <v>185</v>
      </c>
      <c r="C11" s="376">
        <v>8.5699999999999998E-2</v>
      </c>
      <c r="D11" s="377">
        <v>4.0399999999999998E-2</v>
      </c>
      <c r="M11" s="375"/>
    </row>
    <row r="12" spans="2:13">
      <c r="B12" s="315" t="s">
        <v>188</v>
      </c>
      <c r="C12" s="376">
        <v>7.6300000000000007E-2</v>
      </c>
      <c r="D12" s="377">
        <v>5.2299999999999999E-2</v>
      </c>
    </row>
    <row r="13" spans="2:13">
      <c r="B13" s="315" t="s">
        <v>12</v>
      </c>
      <c r="C13" s="376">
        <v>5.3699999999999998E-2</v>
      </c>
      <c r="D13" s="377">
        <v>7.7299999999999994E-2</v>
      </c>
    </row>
    <row r="14" spans="2:13" ht="14.4" thickBot="1">
      <c r="B14" s="316" t="s">
        <v>186</v>
      </c>
      <c r="C14" s="379">
        <v>5.1299999999999998E-2</v>
      </c>
      <c r="D14" s="378">
        <v>7.6499999999999999E-2</v>
      </c>
    </row>
    <row r="18" spans="2:5">
      <c r="B18" s="71"/>
      <c r="C18" s="380"/>
      <c r="D18" s="380"/>
      <c r="E18" s="71"/>
    </row>
    <row r="19" spans="2:5">
      <c r="B19" s="11"/>
      <c r="C19" s="11"/>
      <c r="D19" s="11"/>
      <c r="E19" s="11"/>
    </row>
    <row r="20" spans="2:5">
      <c r="B20" s="11"/>
      <c r="C20" s="381"/>
      <c r="D20" s="382"/>
      <c r="E20" s="300"/>
    </row>
    <row r="21" spans="2:5">
      <c r="B21" s="11"/>
      <c r="C21" s="381"/>
      <c r="D21" s="11"/>
      <c r="E21" s="11"/>
    </row>
    <row r="22" spans="2:5">
      <c r="B22" s="11"/>
      <c r="C22" s="381"/>
      <c r="D22" s="11"/>
      <c r="E22" s="11"/>
    </row>
    <row r="23" spans="2:5">
      <c r="B23" s="11"/>
      <c r="C23" s="381"/>
      <c r="D23" s="11"/>
      <c r="E23" s="1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dimension ref="A1:V59"/>
  <sheetViews>
    <sheetView view="pageBreakPreview" topLeftCell="A38" zoomScaleSheetLayoutView="100" workbookViewId="0">
      <selection activeCell="D48" sqref="D48"/>
    </sheetView>
  </sheetViews>
  <sheetFormatPr defaultColWidth="9.109375" defaultRowHeight="13.8"/>
  <cols>
    <col min="1" max="1" width="9.109375" style="1"/>
    <col min="2" max="2" width="25.88671875" style="1" customWidth="1"/>
    <col min="3" max="3" width="21.109375" style="1" customWidth="1"/>
    <col min="4" max="4" width="30.88671875" style="1" customWidth="1"/>
    <col min="5" max="5" width="15.6640625" style="1" customWidth="1"/>
    <col min="6" max="6" width="12.5546875" style="1" customWidth="1"/>
    <col min="7" max="7" width="9.88671875" style="1" bestFit="1" customWidth="1"/>
    <col min="8" max="8" width="9.44140625" style="1" bestFit="1" customWidth="1"/>
    <col min="9" max="9" width="9.88671875" style="1" bestFit="1" customWidth="1"/>
    <col min="10" max="16384" width="9.109375" style="1"/>
  </cols>
  <sheetData>
    <row r="1" spans="2:22" ht="14.4" thickBot="1"/>
    <row r="2" spans="2:22">
      <c r="B2" s="21" t="s">
        <v>105</v>
      </c>
      <c r="C2" s="22"/>
      <c r="D2" s="23"/>
      <c r="E2" s="11"/>
      <c r="F2" s="11"/>
      <c r="G2" s="11"/>
      <c r="H2" s="11"/>
      <c r="I2" s="11"/>
    </row>
    <row r="3" spans="2:22">
      <c r="B3" s="24" t="s">
        <v>106</v>
      </c>
      <c r="C3" s="11"/>
      <c r="D3" s="25"/>
      <c r="E3" s="11"/>
      <c r="F3" s="11"/>
      <c r="G3" s="11"/>
      <c r="H3" s="11"/>
      <c r="I3" s="11"/>
    </row>
    <row r="4" spans="2:22" ht="14.4" thickBot="1">
      <c r="B4" s="26" t="s">
        <v>107</v>
      </c>
      <c r="C4" s="27"/>
      <c r="D4" s="28"/>
      <c r="E4" s="11"/>
      <c r="F4" s="11"/>
      <c r="G4" s="11"/>
      <c r="H4" s="11"/>
      <c r="I4" s="11"/>
    </row>
    <row r="6" spans="2:22">
      <c r="B6" s="29" t="s">
        <v>267</v>
      </c>
    </row>
    <row r="7" spans="2:22" ht="14.4">
      <c r="B7" s="29"/>
      <c r="F7"/>
      <c r="G7"/>
      <c r="H7"/>
      <c r="I7"/>
      <c r="J7"/>
      <c r="K7"/>
      <c r="L7"/>
      <c r="M7"/>
      <c r="N7"/>
      <c r="O7"/>
      <c r="P7"/>
      <c r="Q7"/>
      <c r="R7"/>
      <c r="S7"/>
      <c r="T7"/>
      <c r="U7"/>
      <c r="V7"/>
    </row>
    <row r="8" spans="2:22" ht="14.4">
      <c r="B8" s="429"/>
      <c r="C8" s="515" t="s">
        <v>266</v>
      </c>
      <c r="D8" s="515"/>
      <c r="E8" s="515" t="s">
        <v>265</v>
      </c>
      <c r="F8" s="515"/>
      <c r="L8"/>
      <c r="M8"/>
      <c r="N8"/>
      <c r="O8"/>
      <c r="P8"/>
      <c r="Q8"/>
      <c r="R8"/>
      <c r="S8"/>
      <c r="T8"/>
      <c r="U8"/>
      <c r="V8"/>
    </row>
    <row r="9" spans="2:22" ht="14.4">
      <c r="B9" s="429" t="s">
        <v>264</v>
      </c>
      <c r="C9" s="429" t="s">
        <v>262</v>
      </c>
      <c r="D9" s="429" t="s">
        <v>263</v>
      </c>
      <c r="E9" s="429" t="s">
        <v>262</v>
      </c>
      <c r="F9" s="429" t="s">
        <v>261</v>
      </c>
      <c r="L9"/>
      <c r="M9"/>
      <c r="N9"/>
      <c r="O9"/>
      <c r="P9"/>
      <c r="Q9"/>
      <c r="R9"/>
      <c r="S9"/>
      <c r="T9"/>
      <c r="U9"/>
      <c r="V9"/>
    </row>
    <row r="10" spans="2:22" ht="14.4">
      <c r="B10" s="431"/>
      <c r="C10" s="431"/>
      <c r="D10" s="431"/>
      <c r="E10" s="431"/>
      <c r="F10" s="431"/>
      <c r="L10"/>
      <c r="M10"/>
      <c r="N10"/>
      <c r="O10"/>
      <c r="P10"/>
      <c r="Q10"/>
      <c r="R10"/>
      <c r="S10"/>
      <c r="T10"/>
      <c r="U10"/>
      <c r="V10"/>
    </row>
    <row r="11" spans="2:22" ht="14.4">
      <c r="B11" s="434">
        <v>39175</v>
      </c>
      <c r="C11" s="431">
        <v>2002</v>
      </c>
      <c r="D11" s="433">
        <v>4.2999999999999997E-2</v>
      </c>
      <c r="E11" s="431">
        <v>2008</v>
      </c>
      <c r="F11" s="432">
        <v>8.3489999999999995E-2</v>
      </c>
      <c r="L11"/>
      <c r="M11"/>
      <c r="N11"/>
      <c r="O11"/>
      <c r="P11"/>
      <c r="Q11"/>
      <c r="R11"/>
      <c r="S11"/>
      <c r="T11"/>
      <c r="U11"/>
      <c r="V11"/>
    </row>
    <row r="12" spans="2:22" ht="14.4">
      <c r="B12" s="431"/>
      <c r="C12" s="431">
        <v>2003</v>
      </c>
      <c r="D12" s="432">
        <v>3.7999999999999999E-2</v>
      </c>
      <c r="E12" s="431">
        <v>2009</v>
      </c>
      <c r="F12" s="432">
        <v>0.10882</v>
      </c>
      <c r="L12"/>
      <c r="M12"/>
      <c r="N12"/>
      <c r="O12"/>
      <c r="P12"/>
      <c r="Q12"/>
      <c r="R12"/>
      <c r="S12"/>
      <c r="T12"/>
      <c r="U12"/>
      <c r="V12"/>
    </row>
    <row r="13" spans="2:22" ht="14.4">
      <c r="B13" s="431"/>
      <c r="C13" s="431">
        <v>2004</v>
      </c>
      <c r="D13" s="432">
        <v>3.7999999999999999E-2</v>
      </c>
      <c r="E13" s="431">
        <v>2010</v>
      </c>
      <c r="F13" s="432">
        <v>0.11989</v>
      </c>
      <c r="L13"/>
      <c r="M13"/>
      <c r="N13"/>
      <c r="O13"/>
      <c r="P13"/>
      <c r="Q13"/>
      <c r="R13"/>
      <c r="S13"/>
      <c r="T13"/>
      <c r="U13"/>
      <c r="V13"/>
    </row>
    <row r="14" spans="2:22" ht="14.4">
      <c r="B14" s="431"/>
      <c r="C14" s="431">
        <v>2005</v>
      </c>
      <c r="D14" s="432">
        <v>4.2000000000000003E-2</v>
      </c>
      <c r="E14" s="431">
        <v>2011</v>
      </c>
      <c r="F14" s="432">
        <v>8.6279999999999996E-2</v>
      </c>
      <c r="L14"/>
      <c r="M14"/>
      <c r="N14"/>
      <c r="O14"/>
      <c r="P14"/>
      <c r="Q14"/>
      <c r="R14"/>
      <c r="S14"/>
      <c r="T14"/>
      <c r="U14"/>
      <c r="V14"/>
    </row>
    <row r="15" spans="2:22" ht="14.4">
      <c r="B15" s="431"/>
      <c r="C15" s="431">
        <v>2006</v>
      </c>
      <c r="D15" s="432">
        <v>4.8000000000000001E-2</v>
      </c>
      <c r="E15" s="431">
        <v>2012</v>
      </c>
      <c r="F15" s="432">
        <v>8.1559999999999994E-2</v>
      </c>
      <c r="L15"/>
      <c r="M15"/>
      <c r="N15"/>
      <c r="O15"/>
      <c r="P15"/>
      <c r="Q15"/>
      <c r="R15"/>
      <c r="S15"/>
      <c r="T15"/>
      <c r="U15"/>
      <c r="V15"/>
    </row>
    <row r="16" spans="2:22" ht="14.4">
      <c r="B16" s="431"/>
      <c r="C16" s="431"/>
      <c r="D16" s="432"/>
      <c r="E16" s="431"/>
      <c r="F16" s="432"/>
      <c r="L16"/>
      <c r="M16"/>
      <c r="N16"/>
      <c r="O16"/>
      <c r="P16"/>
      <c r="Q16"/>
      <c r="R16"/>
      <c r="S16"/>
      <c r="T16"/>
      <c r="U16"/>
      <c r="V16"/>
    </row>
    <row r="17" spans="1:22" ht="14.4">
      <c r="B17" s="431"/>
      <c r="C17" s="429" t="s">
        <v>197</v>
      </c>
      <c r="D17" s="430">
        <f>AVERAGE(D11:D15)</f>
        <v>4.1800000000000004E-2</v>
      </c>
      <c r="E17" s="429"/>
      <c r="F17" s="428">
        <f>AVERAGE(F11:F15)</f>
        <v>9.6007999999999982E-2</v>
      </c>
      <c r="L17"/>
      <c r="M17"/>
      <c r="N17"/>
      <c r="O17"/>
      <c r="P17"/>
      <c r="Q17"/>
      <c r="R17"/>
      <c r="S17"/>
      <c r="T17"/>
      <c r="U17"/>
      <c r="V17"/>
    </row>
    <row r="18" spans="1:22" ht="14.4">
      <c r="B18" s="29"/>
      <c r="F18"/>
      <c r="G18" s="427"/>
      <c r="H18" s="425"/>
      <c r="I18" s="426"/>
      <c r="J18" s="425"/>
      <c r="K18" s="424"/>
      <c r="L18"/>
      <c r="M18"/>
      <c r="N18"/>
      <c r="O18"/>
      <c r="P18"/>
      <c r="Q18"/>
      <c r="R18"/>
      <c r="S18"/>
      <c r="T18"/>
      <c r="U18"/>
      <c r="V18"/>
    </row>
    <row r="19" spans="1:22" ht="14.4">
      <c r="A19"/>
      <c r="B19" s="423" t="s">
        <v>13</v>
      </c>
      <c r="C19"/>
      <c r="D19"/>
      <c r="E19"/>
      <c r="F19"/>
      <c r="G19"/>
      <c r="H19"/>
      <c r="I19"/>
      <c r="J19"/>
      <c r="K19"/>
      <c r="L19"/>
      <c r="M19"/>
      <c r="N19"/>
      <c r="O19"/>
      <c r="P19"/>
      <c r="Q19"/>
    </row>
    <row r="20" spans="1:22" ht="14.4">
      <c r="A20">
        <v>1</v>
      </c>
      <c r="B20" t="s">
        <v>260</v>
      </c>
      <c r="C20"/>
      <c r="D20"/>
      <c r="E20"/>
      <c r="F20"/>
      <c r="G20"/>
      <c r="H20"/>
      <c r="I20"/>
      <c r="J20"/>
      <c r="K20"/>
      <c r="L20"/>
      <c r="M20"/>
      <c r="N20"/>
      <c r="O20"/>
      <c r="P20"/>
      <c r="Q20"/>
    </row>
    <row r="21" spans="1:22" ht="14.4">
      <c r="A21">
        <v>2</v>
      </c>
      <c r="B21" t="s">
        <v>259</v>
      </c>
      <c r="C21"/>
      <c r="D21"/>
      <c r="E21"/>
      <c r="F21"/>
      <c r="G21"/>
      <c r="H21"/>
      <c r="I21"/>
      <c r="J21"/>
      <c r="K21"/>
      <c r="L21"/>
      <c r="M21"/>
      <c r="N21"/>
      <c r="O21"/>
      <c r="P21"/>
      <c r="Q21"/>
    </row>
    <row r="22" spans="1:22" ht="14.4">
      <c r="B22" s="29"/>
      <c r="F22"/>
      <c r="G22"/>
      <c r="H22"/>
      <c r="I22"/>
      <c r="J22"/>
      <c r="K22"/>
      <c r="L22"/>
      <c r="M22"/>
      <c r="N22"/>
      <c r="O22"/>
      <c r="P22"/>
      <c r="Q22"/>
      <c r="R22"/>
      <c r="S22"/>
      <c r="T22"/>
      <c r="U22"/>
      <c r="V22"/>
    </row>
    <row r="23" spans="1:22" ht="14.4">
      <c r="B23" s="516" t="s">
        <v>258</v>
      </c>
      <c r="C23" s="517"/>
      <c r="D23" s="517"/>
      <c r="E23" s="517"/>
      <c r="F23" s="517"/>
      <c r="G23" s="517"/>
      <c r="H23" s="517"/>
      <c r="I23" s="517"/>
      <c r="J23" s="518"/>
      <c r="K23"/>
      <c r="L23"/>
      <c r="M23"/>
      <c r="N23"/>
      <c r="O23"/>
      <c r="P23"/>
      <c r="Q23"/>
      <c r="R23"/>
      <c r="S23"/>
      <c r="T23"/>
      <c r="U23"/>
      <c r="V23"/>
    </row>
    <row r="24" spans="1:22" ht="50.25" customHeight="1">
      <c r="B24" s="519"/>
      <c r="C24" s="520"/>
      <c r="D24" s="520"/>
      <c r="E24" s="520"/>
      <c r="F24" s="520"/>
      <c r="G24" s="520"/>
      <c r="H24" s="520"/>
      <c r="I24" s="520"/>
      <c r="J24" s="521"/>
      <c r="K24"/>
      <c r="L24"/>
      <c r="M24"/>
      <c r="N24"/>
      <c r="O24"/>
      <c r="P24"/>
      <c r="Q24"/>
      <c r="R24"/>
      <c r="S24"/>
      <c r="T24"/>
      <c r="U24"/>
      <c r="V24"/>
    </row>
    <row r="25" spans="1:22" ht="14.4">
      <c r="B25" s="422"/>
      <c r="C25" s="422"/>
      <c r="D25" s="422"/>
      <c r="E25" s="422"/>
      <c r="F25" s="422"/>
      <c r="G25" s="422"/>
      <c r="H25" s="422"/>
      <c r="I25" s="422"/>
      <c r="J25" s="422"/>
      <c r="K25"/>
      <c r="L25"/>
      <c r="M25"/>
      <c r="N25"/>
      <c r="O25"/>
      <c r="P25"/>
      <c r="Q25"/>
      <c r="R25"/>
      <c r="S25"/>
      <c r="T25"/>
      <c r="U25"/>
      <c r="V25"/>
    </row>
    <row r="26" spans="1:22">
      <c r="B26" s="39" t="s">
        <v>79</v>
      </c>
      <c r="C26" s="40"/>
      <c r="D26" s="41"/>
      <c r="E26" s="41"/>
    </row>
    <row r="27" spans="1:22" ht="15.6">
      <c r="B27" s="421" t="s">
        <v>257</v>
      </c>
      <c r="C27" s="421" t="s">
        <v>256</v>
      </c>
      <c r="D27" s="41"/>
      <c r="E27" s="41"/>
    </row>
    <row r="28" spans="1:22" ht="15.6">
      <c r="B28" s="421" t="s">
        <v>255</v>
      </c>
      <c r="C28" s="421" t="s">
        <v>254</v>
      </c>
      <c r="D28" s="41"/>
      <c r="E28" s="41"/>
    </row>
    <row r="29" spans="1:22" ht="15.6">
      <c r="B29" s="421" t="s">
        <v>253</v>
      </c>
      <c r="C29" s="421"/>
      <c r="D29" s="42"/>
      <c r="E29" s="42"/>
    </row>
    <row r="30" spans="1:22" ht="15.6">
      <c r="B30" s="421" t="s">
        <v>252</v>
      </c>
      <c r="C30" s="421">
        <v>11.75</v>
      </c>
      <c r="D30" s="42"/>
      <c r="E30" s="42"/>
    </row>
    <row r="31" spans="1:22" ht="15.6">
      <c r="B31" s="421" t="s">
        <v>251</v>
      </c>
      <c r="C31" s="421">
        <v>12.75</v>
      </c>
      <c r="D31" s="42"/>
      <c r="E31" s="42"/>
    </row>
    <row r="32" spans="1:22">
      <c r="B32" s="420"/>
      <c r="C32" s="420"/>
      <c r="D32" s="42"/>
      <c r="E32" s="42"/>
    </row>
    <row r="33" spans="2:9">
      <c r="B33" s="43" t="s">
        <v>80</v>
      </c>
      <c r="C33" s="43" t="s">
        <v>65</v>
      </c>
      <c r="D33" s="43" t="s">
        <v>13</v>
      </c>
      <c r="E33" s="42"/>
    </row>
    <row r="34" spans="2:9" ht="27.6">
      <c r="B34" s="47" t="s">
        <v>250</v>
      </c>
      <c r="C34" s="419">
        <v>0.11749999999999999</v>
      </c>
      <c r="D34" s="418" t="s">
        <v>249</v>
      </c>
      <c r="E34" s="42"/>
    </row>
    <row r="35" spans="2:9" ht="69">
      <c r="B35" s="47" t="s">
        <v>248</v>
      </c>
      <c r="C35" s="419">
        <f>D17</f>
        <v>4.1800000000000004E-2</v>
      </c>
      <c r="D35" s="418" t="s">
        <v>247</v>
      </c>
      <c r="E35" s="42"/>
      <c r="F35" s="417"/>
    </row>
    <row r="36" spans="2:9">
      <c r="B36" s="416" t="s">
        <v>83</v>
      </c>
      <c r="C36" s="415">
        <f>SUM(C34:C35)</f>
        <v>0.1593</v>
      </c>
      <c r="D36" s="49" t="s">
        <v>100</v>
      </c>
      <c r="E36" s="42"/>
      <c r="G36" s="46"/>
      <c r="I36" s="414"/>
    </row>
    <row r="37" spans="2:9">
      <c r="B37" s="42"/>
      <c r="C37" s="42"/>
      <c r="D37" s="42"/>
      <c r="E37" s="42"/>
    </row>
    <row r="38" spans="2:9">
      <c r="B38" s="42"/>
      <c r="C38" s="42"/>
      <c r="D38" s="42"/>
      <c r="E38" s="55"/>
    </row>
    <row r="39" spans="2:9">
      <c r="B39" s="39" t="s">
        <v>84</v>
      </c>
      <c r="C39" s="42"/>
      <c r="D39" s="42"/>
      <c r="E39" s="42"/>
    </row>
    <row r="40" spans="2:9">
      <c r="B40" s="42"/>
      <c r="C40" s="42"/>
      <c r="D40" s="42"/>
      <c r="E40" s="42"/>
    </row>
    <row r="41" spans="2:9">
      <c r="B41" s="56" t="s">
        <v>80</v>
      </c>
      <c r="C41" s="56" t="s">
        <v>65</v>
      </c>
      <c r="D41" s="56" t="s">
        <v>13</v>
      </c>
      <c r="E41" s="42"/>
    </row>
    <row r="42" spans="2:9" ht="46.5" customHeight="1">
      <c r="B42" s="49" t="s">
        <v>85</v>
      </c>
      <c r="C42" s="57">
        <v>0.11749999999999999</v>
      </c>
      <c r="D42" s="58" t="str">
        <f>'[2]Assumption '!D45</f>
        <v>http://www.rbi.org.in/scripts/BS_ViewBulletin_Test.aspx?Id=8261</v>
      </c>
      <c r="E42" s="42"/>
    </row>
    <row r="43" spans="2:9">
      <c r="B43" s="42"/>
      <c r="C43" s="59"/>
      <c r="D43" s="60"/>
      <c r="E43" s="42"/>
    </row>
    <row r="44" spans="2:9">
      <c r="B44" s="42"/>
      <c r="C44" s="59"/>
      <c r="D44" s="60"/>
      <c r="E44" s="42"/>
    </row>
    <row r="45" spans="2:9">
      <c r="B45" s="39" t="s">
        <v>86</v>
      </c>
      <c r="C45" s="59"/>
      <c r="D45" s="60"/>
      <c r="E45" s="42"/>
    </row>
    <row r="46" spans="2:9">
      <c r="B46" s="42"/>
      <c r="C46" s="42"/>
      <c r="D46" s="42"/>
      <c r="E46" s="42"/>
    </row>
    <row r="47" spans="2:9">
      <c r="B47" s="61" t="s">
        <v>87</v>
      </c>
      <c r="C47" s="62" t="s">
        <v>88</v>
      </c>
      <c r="D47" s="42"/>
      <c r="E47" s="42"/>
    </row>
    <row r="48" spans="2:9">
      <c r="B48" s="63" t="s">
        <v>89</v>
      </c>
      <c r="C48" s="64"/>
      <c r="D48" s="42"/>
      <c r="E48" s="42"/>
    </row>
    <row r="49" spans="2:5">
      <c r="B49" s="63" t="s">
        <v>90</v>
      </c>
      <c r="C49" s="42"/>
      <c r="D49" s="42"/>
      <c r="E49" s="42"/>
    </row>
    <row r="50" spans="2:5">
      <c r="B50" s="63" t="s">
        <v>91</v>
      </c>
      <c r="C50" s="42"/>
      <c r="D50" s="42"/>
      <c r="E50" s="42"/>
    </row>
    <row r="51" spans="2:5">
      <c r="B51" s="63" t="s">
        <v>92</v>
      </c>
      <c r="C51" s="42"/>
      <c r="D51" s="42"/>
      <c r="E51" s="42"/>
    </row>
    <row r="52" spans="2:5">
      <c r="B52" s="63" t="s">
        <v>93</v>
      </c>
      <c r="C52" s="42"/>
      <c r="D52" s="42"/>
      <c r="E52" s="42"/>
    </row>
    <row r="53" spans="2:5">
      <c r="B53" s="63" t="s">
        <v>94</v>
      </c>
      <c r="C53" s="42"/>
      <c r="D53" s="42"/>
      <c r="E53" s="42"/>
    </row>
    <row r="54" spans="2:5" ht="14.4" thickBot="1">
      <c r="B54" s="63"/>
      <c r="C54" s="42"/>
      <c r="D54" s="42"/>
      <c r="E54" s="42"/>
    </row>
    <row r="55" spans="2:5" ht="14.4" thickBot="1">
      <c r="B55" s="65" t="s">
        <v>13</v>
      </c>
      <c r="C55" s="334" t="s">
        <v>95</v>
      </c>
      <c r="D55" s="66" t="s">
        <v>96</v>
      </c>
      <c r="E55" s="335" t="s">
        <v>97</v>
      </c>
    </row>
    <row r="56" spans="2:5">
      <c r="B56" s="67" t="s">
        <v>54</v>
      </c>
      <c r="C56" s="330">
        <v>0.3</v>
      </c>
      <c r="D56" s="336">
        <f>'[2]Assumption '!C35*'Default ROE in WACC(Crosscheck)'!C56</f>
        <v>174.95999999999998</v>
      </c>
      <c r="E56" s="332">
        <f>C36</f>
        <v>0.1593</v>
      </c>
    </row>
    <row r="57" spans="2:5" ht="14.4" thickBot="1">
      <c r="B57" s="68" t="s">
        <v>78</v>
      </c>
      <c r="C57" s="331">
        <v>0.7</v>
      </c>
      <c r="D57" s="337">
        <f>'[2]Assumption '!C35*'Default ROE in WACC(Crosscheck)'!C57</f>
        <v>408.23999999999995</v>
      </c>
      <c r="E57" s="333">
        <f>C42</f>
        <v>0.11749999999999999</v>
      </c>
    </row>
    <row r="58" spans="2:5" ht="14.4" thickBot="1">
      <c r="B58" s="42"/>
      <c r="C58" s="42"/>
      <c r="D58" s="42"/>
      <c r="E58" s="42"/>
    </row>
    <row r="59" spans="2:5" ht="14.4" thickBot="1">
      <c r="B59" s="69" t="s">
        <v>98</v>
      </c>
      <c r="C59" s="70">
        <f>D56/(D56+D57)*E56+D57/(D56+D57)*E57*(1-'[2]Assumption '!C72)</f>
        <v>0.102083225</v>
      </c>
      <c r="D59" s="42"/>
      <c r="E59" s="42"/>
    </row>
  </sheetData>
  <mergeCells count="3">
    <mergeCell ref="C8:D8"/>
    <mergeCell ref="E8:F8"/>
    <mergeCell ref="B23:J24"/>
  </mergeCells>
  <hyperlinks>
    <hyperlink ref="D42" r:id="rId1" display="http://www.rbi.org.in/scripts/BS_ViewBulletin_Test.aspx?Id=6996"/>
  </hyperlinks>
  <pageMargins left="0.7" right="0.7" top="0.75" bottom="0.75" header="0.3" footer="0.3"/>
  <pageSetup scale="89" orientation="portrait" r:id="rId2"/>
</worksheet>
</file>

<file path=xl/worksheets/sheet12.xml><?xml version="1.0" encoding="utf-8"?>
<worksheet xmlns="http://schemas.openxmlformats.org/spreadsheetml/2006/main" xmlns:r="http://schemas.openxmlformats.org/officeDocument/2006/relationships">
  <dimension ref="A1:X73"/>
  <sheetViews>
    <sheetView tabSelected="1" topLeftCell="B28" zoomScale="80" zoomScaleNormal="80" workbookViewId="0">
      <selection activeCell="E34" sqref="E34"/>
    </sheetView>
  </sheetViews>
  <sheetFormatPr defaultRowHeight="14.4"/>
  <cols>
    <col min="1" max="1" width="9.109375" style="437"/>
    <col min="2" max="2" width="37.6640625" customWidth="1"/>
    <col min="3" max="3" width="21" customWidth="1"/>
    <col min="4" max="4" width="9.44140625" bestFit="1" customWidth="1"/>
    <col min="21" max="21" width="12" customWidth="1"/>
    <col min="22" max="22" width="12.6640625" customWidth="1"/>
    <col min="23" max="23" width="10.44140625" bestFit="1" customWidth="1"/>
  </cols>
  <sheetData>
    <row r="1" spans="2:24">
      <c r="B1" s="440" t="s">
        <v>292</v>
      </c>
      <c r="C1" s="440"/>
      <c r="D1" s="440"/>
      <c r="E1" s="440"/>
      <c r="F1" s="440"/>
      <c r="G1" s="441"/>
      <c r="H1" s="441"/>
      <c r="I1" s="441"/>
      <c r="J1" s="441"/>
      <c r="K1" s="441"/>
      <c r="L1" s="441"/>
      <c r="M1" s="441"/>
      <c r="N1" s="441"/>
      <c r="O1" s="441"/>
      <c r="P1" s="441"/>
      <c r="Q1" s="441"/>
      <c r="R1" s="441"/>
      <c r="S1" s="441"/>
      <c r="T1" s="441"/>
      <c r="U1" s="441"/>
      <c r="V1" s="441"/>
      <c r="W1" s="441"/>
      <c r="X1" s="441"/>
    </row>
    <row r="2" spans="2:24">
      <c r="B2" s="440" t="s">
        <v>293</v>
      </c>
      <c r="C2" s="440"/>
      <c r="D2" s="440"/>
      <c r="E2" s="440"/>
      <c r="F2" s="440"/>
      <c r="G2" s="441"/>
      <c r="H2" s="441"/>
      <c r="I2" s="441"/>
      <c r="J2" s="441"/>
      <c r="K2" s="441"/>
      <c r="L2" s="441"/>
      <c r="M2" s="441"/>
      <c r="N2" s="441"/>
      <c r="O2" s="441"/>
      <c r="P2" s="441"/>
      <c r="Q2" s="441"/>
      <c r="R2" s="441"/>
      <c r="S2" s="441"/>
      <c r="T2" s="441"/>
      <c r="U2" s="441"/>
      <c r="V2" s="441"/>
      <c r="W2" s="441"/>
      <c r="X2" s="441"/>
    </row>
    <row r="3" spans="2:24">
      <c r="B3" s="440" t="s">
        <v>294</v>
      </c>
      <c r="C3" s="440"/>
      <c r="D3" s="440"/>
      <c r="E3" s="440"/>
      <c r="F3" s="440"/>
      <c r="G3" s="441"/>
      <c r="H3" s="441"/>
      <c r="I3" s="441"/>
      <c r="J3" s="441"/>
      <c r="K3" s="441"/>
      <c r="L3" s="441"/>
      <c r="M3" s="441"/>
      <c r="N3" s="441"/>
      <c r="O3" s="441"/>
      <c r="P3" s="441"/>
      <c r="Q3" s="441"/>
      <c r="R3" s="441"/>
      <c r="S3" s="441"/>
      <c r="T3" s="441"/>
      <c r="U3" s="441"/>
      <c r="V3" s="441"/>
      <c r="W3" s="441"/>
      <c r="X3" s="441"/>
    </row>
    <row r="4" spans="2:24" s="437" customFormat="1">
      <c r="B4" s="440"/>
      <c r="C4" s="440"/>
      <c r="D4" s="440"/>
      <c r="E4" s="440"/>
      <c r="F4" s="440"/>
      <c r="G4" s="441"/>
      <c r="H4" s="441"/>
      <c r="I4" s="441"/>
      <c r="J4" s="441"/>
      <c r="K4" s="441"/>
      <c r="L4" s="441"/>
      <c r="M4" s="441"/>
      <c r="N4" s="441"/>
      <c r="O4" s="441"/>
      <c r="P4" s="441"/>
      <c r="Q4" s="441"/>
      <c r="R4" s="441"/>
      <c r="S4" s="441"/>
      <c r="T4" s="441"/>
      <c r="U4" s="441"/>
      <c r="V4" s="441"/>
      <c r="W4" s="441"/>
      <c r="X4" s="441"/>
    </row>
    <row r="5" spans="2:24">
      <c r="B5" s="444" t="s">
        <v>304</v>
      </c>
    </row>
    <row r="6" spans="2:24">
      <c r="B6" s="448"/>
      <c r="C6" s="448"/>
      <c r="D6" s="449">
        <v>1</v>
      </c>
      <c r="E6" s="449">
        <v>2</v>
      </c>
      <c r="F6" s="449">
        <v>3</v>
      </c>
      <c r="G6" s="449">
        <v>4</v>
      </c>
      <c r="H6" s="449">
        <v>5</v>
      </c>
      <c r="I6" s="449">
        <v>6</v>
      </c>
      <c r="J6" s="449">
        <v>7</v>
      </c>
      <c r="K6" s="449">
        <v>8</v>
      </c>
      <c r="L6" s="449">
        <v>9</v>
      </c>
      <c r="M6" s="449">
        <v>10</v>
      </c>
      <c r="N6" s="449">
        <v>11</v>
      </c>
      <c r="O6" s="449">
        <v>12</v>
      </c>
      <c r="P6" s="449">
        <v>13</v>
      </c>
      <c r="Q6" s="449">
        <v>14</v>
      </c>
      <c r="R6" s="449">
        <v>15</v>
      </c>
      <c r="S6" s="449">
        <v>16</v>
      </c>
      <c r="T6" s="449">
        <v>17</v>
      </c>
      <c r="U6" s="449">
        <v>18</v>
      </c>
      <c r="V6" s="449">
        <v>19</v>
      </c>
      <c r="W6" s="449">
        <v>20</v>
      </c>
      <c r="X6" s="449"/>
    </row>
    <row r="7" spans="2:24">
      <c r="B7" s="450" t="s">
        <v>268</v>
      </c>
      <c r="C7" s="450" t="s">
        <v>210</v>
      </c>
      <c r="D7" s="451">
        <f>'P &amp; L '!D9</f>
        <v>40268</v>
      </c>
      <c r="E7" s="451">
        <f>'P &amp; L '!E9</f>
        <v>40633</v>
      </c>
      <c r="F7" s="451">
        <f>'P &amp; L '!F9</f>
        <v>40999</v>
      </c>
      <c r="G7" s="451">
        <f>'P &amp; L '!G9</f>
        <v>41364</v>
      </c>
      <c r="H7" s="451">
        <f>'P &amp; L '!H9</f>
        <v>41729</v>
      </c>
      <c r="I7" s="451">
        <f>'P &amp; L '!I9</f>
        <v>42094</v>
      </c>
      <c r="J7" s="451">
        <f>'P &amp; L '!J9</f>
        <v>42460</v>
      </c>
      <c r="K7" s="451">
        <f>'P &amp; L '!K9</f>
        <v>42825</v>
      </c>
      <c r="L7" s="451">
        <f>'P &amp; L '!L9</f>
        <v>43190</v>
      </c>
      <c r="M7" s="451">
        <f>'P &amp; L '!M9</f>
        <v>43555</v>
      </c>
      <c r="N7" s="451">
        <f>'P &amp; L '!N9</f>
        <v>43921</v>
      </c>
      <c r="O7" s="451">
        <f>'P &amp; L '!O9</f>
        <v>44286</v>
      </c>
      <c r="P7" s="451">
        <f>'P &amp; L '!P9</f>
        <v>44651</v>
      </c>
      <c r="Q7" s="451">
        <f>'P &amp; L '!Q9</f>
        <v>45016</v>
      </c>
      <c r="R7" s="451">
        <f>'P &amp; L '!R9</f>
        <v>45382</v>
      </c>
      <c r="S7" s="451">
        <f>'P &amp; L '!S9</f>
        <v>45747</v>
      </c>
      <c r="T7" s="451">
        <f>'P &amp; L '!T9</f>
        <v>46112</v>
      </c>
      <c r="U7" s="451">
        <f>'P &amp; L '!U9</f>
        <v>46477</v>
      </c>
      <c r="V7" s="451">
        <f>'P &amp; L '!V9</f>
        <v>46843</v>
      </c>
      <c r="W7" s="451">
        <f>'P &amp; L '!W9</f>
        <v>47208</v>
      </c>
      <c r="X7" s="451"/>
    </row>
    <row r="8" spans="2:24">
      <c r="B8" s="522" t="s">
        <v>269</v>
      </c>
      <c r="C8" s="523"/>
      <c r="D8" s="523"/>
      <c r="E8" s="523"/>
      <c r="F8" s="523"/>
      <c r="G8" s="523"/>
      <c r="H8" s="523"/>
      <c r="I8" s="523"/>
      <c r="J8" s="523"/>
      <c r="K8" s="523"/>
      <c r="L8" s="523"/>
      <c r="M8" s="523"/>
      <c r="N8" s="523"/>
      <c r="O8" s="523"/>
      <c r="P8" s="523"/>
      <c r="Q8" s="523"/>
      <c r="R8" s="523"/>
      <c r="S8" s="523"/>
      <c r="T8" s="523"/>
      <c r="U8" s="523"/>
      <c r="V8" s="523"/>
      <c r="W8" s="524"/>
      <c r="X8" s="438"/>
    </row>
    <row r="9" spans="2:24">
      <c r="B9" s="443" t="s">
        <v>39</v>
      </c>
      <c r="C9" s="443" t="s">
        <v>270</v>
      </c>
      <c r="D9" s="461">
        <f>'P &amp; L '!D17</f>
        <v>12.277051856232198</v>
      </c>
      <c r="E9" s="461">
        <f>'P &amp; L '!E17</f>
        <v>27.66125881188119</v>
      </c>
      <c r="F9" s="461">
        <f>'P &amp; L '!F17</f>
        <v>27.66125881188119</v>
      </c>
      <c r="G9" s="461">
        <f>'P &amp; L '!G17</f>
        <v>27.66125881188119</v>
      </c>
      <c r="H9" s="461">
        <f>'P &amp; L '!H17</f>
        <v>27.66125881188119</v>
      </c>
      <c r="I9" s="461">
        <f>'P &amp; L '!I17</f>
        <v>27.66125881188119</v>
      </c>
      <c r="J9" s="461">
        <f>'P &amp; L '!J17</f>
        <v>27.66125881188119</v>
      </c>
      <c r="K9" s="461">
        <f>'P &amp; L '!K17</f>
        <v>27.66125881188119</v>
      </c>
      <c r="L9" s="461">
        <f>'P &amp; L '!L17</f>
        <v>27.66125881188119</v>
      </c>
      <c r="M9" s="461">
        <f>'P &amp; L '!M17</f>
        <v>27.66125881188119</v>
      </c>
      <c r="N9" s="461">
        <f>'P &amp; L '!N17</f>
        <v>27.66125881188119</v>
      </c>
      <c r="O9" s="461">
        <f>'P &amp; L '!O17</f>
        <v>27.66125881188119</v>
      </c>
      <c r="P9" s="461">
        <f>'P &amp; L '!P17</f>
        <v>27.66125881188119</v>
      </c>
      <c r="Q9" s="461">
        <f>'P &amp; L '!Q17</f>
        <v>27.66125881188119</v>
      </c>
      <c r="R9" s="461">
        <f>'P &amp; L '!R17</f>
        <v>27.66125881188119</v>
      </c>
      <c r="S9" s="461">
        <f>'P &amp; L '!S17</f>
        <v>27.66125881188119</v>
      </c>
      <c r="T9" s="461">
        <f>'P &amp; L '!T17</f>
        <v>27.66125881188119</v>
      </c>
      <c r="U9" s="461">
        <f>'P &amp; L '!U17</f>
        <v>18.539607736877748</v>
      </c>
      <c r="V9" s="461">
        <f>'P &amp; L '!V17</f>
        <v>4.7644603960396044</v>
      </c>
      <c r="W9" s="461">
        <f>'P &amp; L '!W17</f>
        <v>4.7644603960396044</v>
      </c>
      <c r="X9" s="461"/>
    </row>
    <row r="10" spans="2:24" s="437" customFormat="1">
      <c r="B10" s="443" t="s">
        <v>302</v>
      </c>
      <c r="C10" s="443" t="s">
        <v>275</v>
      </c>
      <c r="D10" s="461">
        <f>'Assumption '!$D$39*'Assumption '!$D$99</f>
        <v>24.4146</v>
      </c>
      <c r="E10" s="461">
        <f>'Assumption '!$D$39*'Assumption '!$D$99</f>
        <v>24.4146</v>
      </c>
      <c r="F10" s="461">
        <f>'Assumption '!$D$39*'Assumption '!$D$99</f>
        <v>24.4146</v>
      </c>
      <c r="G10" s="461">
        <f>'Assumption '!$D$39*'Assumption '!$D$99</f>
        <v>24.4146</v>
      </c>
      <c r="H10" s="461">
        <f>'Assumption '!$D$39*'Assumption '!$D$99</f>
        <v>24.4146</v>
      </c>
      <c r="I10" s="461">
        <f>'Assumption '!$D$39*'Assumption '!$D$99</f>
        <v>24.4146</v>
      </c>
      <c r="J10" s="461">
        <f>'Assumption '!$D$39*'Assumption '!$D$99</f>
        <v>24.4146</v>
      </c>
      <c r="K10" s="461">
        <f>'Assumption '!$D$39*'Assumption '!$D$99</f>
        <v>24.4146</v>
      </c>
      <c r="L10" s="461">
        <f>'Assumption '!$D$39*'Assumption '!$D$99</f>
        <v>24.4146</v>
      </c>
      <c r="M10" s="461">
        <f>'Assumption '!$D$39*'Assumption '!$D$99</f>
        <v>24.4146</v>
      </c>
      <c r="N10" s="461">
        <f>'Assumption '!$D$39*'Assumption '!$D$99</f>
        <v>24.4146</v>
      </c>
      <c r="O10" s="461">
        <f>'Assumption '!$D$39*'Assumption '!$D$99</f>
        <v>24.4146</v>
      </c>
      <c r="P10" s="461">
        <f>'Assumption '!$D$39*'Assumption '!$D$99</f>
        <v>24.4146</v>
      </c>
      <c r="Q10" s="461">
        <f>'Assumption '!$D$39*'Assumption '!$D$99</f>
        <v>24.4146</v>
      </c>
      <c r="R10" s="461">
        <f>'Assumption '!$D$39*'Assumption '!$D$99</f>
        <v>24.4146</v>
      </c>
      <c r="S10" s="461">
        <f>'Assumption '!$D$39*'Assumption '!$D$99</f>
        <v>24.4146</v>
      </c>
      <c r="T10" s="461">
        <f>'Assumption '!$D$39*'Assumption '!$D$99</f>
        <v>24.4146</v>
      </c>
      <c r="U10" s="461">
        <f>'Assumption '!$D$39*'Assumption '!$D$99</f>
        <v>24.4146</v>
      </c>
      <c r="V10" s="461">
        <f>'Assumption '!$D$39*'Assumption '!$D$99</f>
        <v>24.4146</v>
      </c>
      <c r="W10" s="461">
        <f>'Assumption '!$D$39*'Assumption '!$D$99</f>
        <v>24.4146</v>
      </c>
      <c r="X10" s="461"/>
    </row>
    <row r="11" spans="2:24">
      <c r="B11" s="444" t="s">
        <v>271</v>
      </c>
      <c r="C11" s="443" t="s">
        <v>270</v>
      </c>
      <c r="D11" s="452">
        <f>SUM(D9:D10)</f>
        <v>36.691651856232198</v>
      </c>
      <c r="E11" s="452">
        <f t="shared" ref="E11:W11" si="0">SUM(E9:E10)</f>
        <v>52.07585881188119</v>
      </c>
      <c r="F11" s="452">
        <f t="shared" si="0"/>
        <v>52.07585881188119</v>
      </c>
      <c r="G11" s="452">
        <f t="shared" si="0"/>
        <v>52.07585881188119</v>
      </c>
      <c r="H11" s="452">
        <f t="shared" si="0"/>
        <v>52.07585881188119</v>
      </c>
      <c r="I11" s="452">
        <f t="shared" si="0"/>
        <v>52.07585881188119</v>
      </c>
      <c r="J11" s="452">
        <f t="shared" si="0"/>
        <v>52.07585881188119</v>
      </c>
      <c r="K11" s="452">
        <f t="shared" si="0"/>
        <v>52.07585881188119</v>
      </c>
      <c r="L11" s="452">
        <f t="shared" si="0"/>
        <v>52.07585881188119</v>
      </c>
      <c r="M11" s="452">
        <f t="shared" si="0"/>
        <v>52.07585881188119</v>
      </c>
      <c r="N11" s="452">
        <f t="shared" si="0"/>
        <v>52.07585881188119</v>
      </c>
      <c r="O11" s="452">
        <f t="shared" si="0"/>
        <v>52.07585881188119</v>
      </c>
      <c r="P11" s="452">
        <f t="shared" si="0"/>
        <v>52.07585881188119</v>
      </c>
      <c r="Q11" s="452">
        <f t="shared" si="0"/>
        <v>52.07585881188119</v>
      </c>
      <c r="R11" s="452">
        <f t="shared" si="0"/>
        <v>52.07585881188119</v>
      </c>
      <c r="S11" s="452">
        <f t="shared" si="0"/>
        <v>52.07585881188119</v>
      </c>
      <c r="T11" s="452">
        <f t="shared" si="0"/>
        <v>52.07585881188119</v>
      </c>
      <c r="U11" s="452">
        <f t="shared" si="0"/>
        <v>42.954207736877748</v>
      </c>
      <c r="V11" s="452">
        <f t="shared" si="0"/>
        <v>29.179060396039603</v>
      </c>
      <c r="W11" s="452">
        <f t="shared" si="0"/>
        <v>29.179060396039603</v>
      </c>
      <c r="X11" s="452"/>
    </row>
    <row r="12" spans="2:24">
      <c r="B12" s="525" t="s">
        <v>272</v>
      </c>
      <c r="C12" s="525"/>
      <c r="D12" s="525"/>
      <c r="E12" s="525"/>
      <c r="F12" s="525"/>
      <c r="G12" s="525"/>
      <c r="H12" s="525"/>
      <c r="I12" s="525"/>
      <c r="J12" s="525"/>
      <c r="K12" s="525"/>
      <c r="L12" s="525"/>
      <c r="M12" s="525"/>
      <c r="N12" s="525"/>
      <c r="O12" s="525"/>
      <c r="P12" s="525"/>
      <c r="Q12" s="525"/>
      <c r="R12" s="525"/>
      <c r="S12" s="525"/>
      <c r="T12" s="525"/>
      <c r="U12" s="525"/>
      <c r="V12" s="525"/>
      <c r="W12" s="525"/>
      <c r="X12" s="439"/>
    </row>
    <row r="13" spans="2:24">
      <c r="B13" s="454" t="s">
        <v>273</v>
      </c>
      <c r="C13" s="454" t="s">
        <v>270</v>
      </c>
      <c r="D13" s="455" t="s">
        <v>295</v>
      </c>
      <c r="E13" s="455" t="s">
        <v>295</v>
      </c>
      <c r="F13" s="455" t="s">
        <v>295</v>
      </c>
      <c r="G13" s="455" t="s">
        <v>295</v>
      </c>
      <c r="H13" s="455" t="s">
        <v>295</v>
      </c>
      <c r="I13" s="455" t="s">
        <v>295</v>
      </c>
      <c r="J13" s="455" t="s">
        <v>295</v>
      </c>
      <c r="K13" s="455" t="s">
        <v>295</v>
      </c>
      <c r="L13" s="455" t="s">
        <v>295</v>
      </c>
      <c r="M13" s="455" t="s">
        <v>295</v>
      </c>
      <c r="N13" s="455" t="s">
        <v>295</v>
      </c>
      <c r="O13" s="455" t="s">
        <v>295</v>
      </c>
      <c r="P13" s="455" t="s">
        <v>295</v>
      </c>
      <c r="Q13" s="455" t="s">
        <v>295</v>
      </c>
      <c r="R13" s="455" t="s">
        <v>295</v>
      </c>
      <c r="S13" s="455" t="s">
        <v>295</v>
      </c>
      <c r="T13" s="455" t="s">
        <v>295</v>
      </c>
      <c r="U13" s="455" t="s">
        <v>295</v>
      </c>
      <c r="V13" s="455" t="s">
        <v>295</v>
      </c>
      <c r="W13" s="455" t="s">
        <v>295</v>
      </c>
      <c r="X13" s="455"/>
    </row>
    <row r="14" spans="2:24">
      <c r="B14" s="443" t="s">
        <v>274</v>
      </c>
      <c r="C14" s="443" t="s">
        <v>275</v>
      </c>
      <c r="D14" s="453">
        <f>'P &amp; L '!D15</f>
        <v>21.712438356164387</v>
      </c>
      <c r="E14" s="453">
        <f>'P &amp; L '!E15</f>
        <v>49.96</v>
      </c>
      <c r="F14" s="453">
        <f>'P &amp; L '!F15</f>
        <v>51.958400000000005</v>
      </c>
      <c r="G14" s="453">
        <f>'P &amp; L '!G15</f>
        <v>54.036736000000005</v>
      </c>
      <c r="H14" s="453">
        <f>'P &amp; L '!H15</f>
        <v>56.19820544000001</v>
      </c>
      <c r="I14" s="453">
        <f>'P &amp; L '!I15</f>
        <v>58.446133657600015</v>
      </c>
      <c r="J14" s="453">
        <f>'P &amp; L '!J15</f>
        <v>60.783979003904015</v>
      </c>
      <c r="K14" s="453">
        <f>'P &amp; L '!K15</f>
        <v>63.215338164060178</v>
      </c>
      <c r="L14" s="453">
        <f>'P &amp; L '!L15</f>
        <v>65.74395169062258</v>
      </c>
      <c r="M14" s="453">
        <f>'P &amp; L '!M15</f>
        <v>68.373709758247486</v>
      </c>
      <c r="N14" s="453">
        <f>'P &amp; L '!N15</f>
        <v>71.108658148577391</v>
      </c>
      <c r="O14" s="453">
        <f>'P &amp; L '!O15</f>
        <v>73.953004474520483</v>
      </c>
      <c r="P14" s="453">
        <f>'P &amp; L '!P15</f>
        <v>76.911124653501304</v>
      </c>
      <c r="Q14" s="453">
        <f>'P &amp; L '!Q15</f>
        <v>79.987569639641364</v>
      </c>
      <c r="R14" s="453">
        <f>'P &amp; L '!R15</f>
        <v>83.187072425227015</v>
      </c>
      <c r="S14" s="453">
        <f>'P &amp; L '!S15</f>
        <v>86.514555322236092</v>
      </c>
      <c r="T14" s="453">
        <f>'P &amp; L '!T15</f>
        <v>89.97513753512554</v>
      </c>
      <c r="U14" s="453">
        <f>'P &amp; L '!U15</f>
        <v>93.574143036530572</v>
      </c>
      <c r="V14" s="453">
        <f>'P &amp; L '!V15</f>
        <v>97.317108757991804</v>
      </c>
      <c r="W14" s="453">
        <f>'P &amp; L '!W15</f>
        <v>101.20979310831147</v>
      </c>
      <c r="X14" s="453"/>
    </row>
    <row r="15" spans="2:24">
      <c r="B15" s="443" t="s">
        <v>276</v>
      </c>
      <c r="C15" s="443" t="s">
        <v>275</v>
      </c>
      <c r="D15" s="453">
        <f>'P &amp; L '!D18</f>
        <v>0.15392036779883658</v>
      </c>
      <c r="E15" s="453">
        <f>'P &amp; L '!E18</f>
        <v>0.35416849315068494</v>
      </c>
      <c r="F15" s="453">
        <f>'P &amp; L '!F18</f>
        <v>0.36833523287671233</v>
      </c>
      <c r="G15" s="453">
        <f>'P &amp; L '!G18</f>
        <v>0.38306864219178088</v>
      </c>
      <c r="H15" s="453">
        <f>'P &amp; L '!H18</f>
        <v>0.39839138787945211</v>
      </c>
      <c r="I15" s="453">
        <f>'P &amp; L '!I18</f>
        <v>0.41432704339463022</v>
      </c>
      <c r="J15" s="453">
        <f>'P &amp; L '!J18</f>
        <v>0.43090012513041548</v>
      </c>
      <c r="K15" s="453">
        <f>'P &amp; L '!K18</f>
        <v>0.44813613013563208</v>
      </c>
      <c r="L15" s="453">
        <f>'P &amp; L '!L18</f>
        <v>0.46606157534105735</v>
      </c>
      <c r="M15" s="453">
        <f>'P &amp; L '!M18</f>
        <v>0.48470403835469966</v>
      </c>
      <c r="N15" s="453">
        <f>'P &amp; L '!N18</f>
        <v>0.50409219988888765</v>
      </c>
      <c r="O15" s="453">
        <f>'P &amp; L '!O18</f>
        <v>0.52425588788444322</v>
      </c>
      <c r="P15" s="453">
        <f>'P &amp; L '!P18</f>
        <v>0.54522612339982102</v>
      </c>
      <c r="Q15" s="453">
        <f>'P &amp; L '!Q18</f>
        <v>0.5670351683358138</v>
      </c>
      <c r="R15" s="453">
        <f>'P &amp; L '!R18</f>
        <v>0.58971657506924635</v>
      </c>
      <c r="S15" s="453">
        <f>'P &amp; L '!S18</f>
        <v>0.6133052380720162</v>
      </c>
      <c r="T15" s="453">
        <f>'P &amp; L '!T18</f>
        <v>0.6378374475948968</v>
      </c>
      <c r="U15" s="453">
        <f>'P &amp; L '!U18</f>
        <v>0.66335094549869278</v>
      </c>
      <c r="V15" s="453">
        <f>'P &amp; L '!V18</f>
        <v>0.68988498331864057</v>
      </c>
      <c r="W15" s="453">
        <f>'P &amp; L '!W18</f>
        <v>0.71748038265138614</v>
      </c>
      <c r="X15" s="453"/>
    </row>
    <row r="16" spans="2:24">
      <c r="B16" s="454" t="s">
        <v>277</v>
      </c>
      <c r="C16" s="443" t="s">
        <v>275</v>
      </c>
      <c r="D16" s="456">
        <f>'P &amp; L '!D16</f>
        <v>20.769132328767125</v>
      </c>
      <c r="E16" s="456">
        <f>'P &amp; L '!E16</f>
        <v>45.846109797297302</v>
      </c>
      <c r="F16" s="456">
        <f>'P &amp; L '!F16</f>
        <v>41.103408783783784</v>
      </c>
      <c r="G16" s="456">
        <f>'P &amp; L '!G16</f>
        <v>36.044527702702709</v>
      </c>
      <c r="H16" s="456">
        <f>'P &amp; L '!H16</f>
        <v>30.985646621621633</v>
      </c>
      <c r="I16" s="456">
        <f>'P &amp; L '!I16</f>
        <v>25.926765540540558</v>
      </c>
      <c r="J16" s="456">
        <f>'P &amp; L '!J16</f>
        <v>20.867884459459482</v>
      </c>
      <c r="K16" s="456">
        <f>'P &amp; L '!K16</f>
        <v>15.809003378378403</v>
      </c>
      <c r="L16" s="456">
        <f>'P &amp; L '!L16</f>
        <v>10.750122297297324</v>
      </c>
      <c r="M16" s="456">
        <f>'P &amp; L '!M16</f>
        <v>5.6912412162162394</v>
      </c>
      <c r="N16" s="456">
        <f>'P &amp; L '!N16</f>
        <v>0.94854020270272665</v>
      </c>
      <c r="O16" s="456">
        <f>'P &amp; L '!O16</f>
        <v>0</v>
      </c>
      <c r="P16" s="456">
        <f>'P &amp; L '!P16</f>
        <v>0</v>
      </c>
      <c r="Q16" s="456">
        <f>'P &amp; L '!Q16</f>
        <v>0</v>
      </c>
      <c r="R16" s="456">
        <f>'P &amp; L '!R16</f>
        <v>0</v>
      </c>
      <c r="S16" s="456">
        <f>'P &amp; L '!S16</f>
        <v>0</v>
      </c>
      <c r="T16" s="456">
        <f>'P &amp; L '!T16</f>
        <v>0</v>
      </c>
      <c r="U16" s="456">
        <f>'P &amp; L '!U16</f>
        <v>0</v>
      </c>
      <c r="V16" s="456">
        <f>'P &amp; L '!V16</f>
        <v>0</v>
      </c>
      <c r="W16" s="456">
        <f>'P &amp; L '!W16</f>
        <v>0</v>
      </c>
      <c r="X16" s="456"/>
    </row>
    <row r="17" spans="1:24">
      <c r="B17" s="457" t="s">
        <v>278</v>
      </c>
      <c r="C17" s="457" t="s">
        <v>275</v>
      </c>
      <c r="D17" s="460">
        <f>SUM(D13:D16)</f>
        <v>42.635491052730345</v>
      </c>
      <c r="E17" s="460">
        <f t="shared" ref="E17:W17" si="1">SUM(E13:E16)</f>
        <v>96.160278290447991</v>
      </c>
      <c r="F17" s="460">
        <f t="shared" si="1"/>
        <v>93.430144016660506</v>
      </c>
      <c r="G17" s="460">
        <f t="shared" si="1"/>
        <v>90.464332344894501</v>
      </c>
      <c r="H17" s="460">
        <f t="shared" si="1"/>
        <v>87.582243449501092</v>
      </c>
      <c r="I17" s="460">
        <f t="shared" si="1"/>
        <v>84.787226241535194</v>
      </c>
      <c r="J17" s="460">
        <f t="shared" si="1"/>
        <v>82.082763588493918</v>
      </c>
      <c r="K17" s="460">
        <f t="shared" si="1"/>
        <v>79.472477672574215</v>
      </c>
      <c r="L17" s="460">
        <f t="shared" si="1"/>
        <v>76.960135563260962</v>
      </c>
      <c r="M17" s="460">
        <f t="shared" si="1"/>
        <v>74.54965501281842</v>
      </c>
      <c r="N17" s="460">
        <f t="shared" si="1"/>
        <v>72.561290551169009</v>
      </c>
      <c r="O17" s="460">
        <f t="shared" si="1"/>
        <v>74.47726036240492</v>
      </c>
      <c r="P17" s="460">
        <f t="shared" si="1"/>
        <v>77.456350776901118</v>
      </c>
      <c r="Q17" s="460">
        <f t="shared" si="1"/>
        <v>80.554604807977185</v>
      </c>
      <c r="R17" s="460">
        <f t="shared" si="1"/>
        <v>83.776789000296262</v>
      </c>
      <c r="S17" s="460">
        <f t="shared" si="1"/>
        <v>87.127860560308108</v>
      </c>
      <c r="T17" s="460">
        <f t="shared" si="1"/>
        <v>90.612974982720431</v>
      </c>
      <c r="U17" s="460">
        <f t="shared" si="1"/>
        <v>94.237493982029264</v>
      </c>
      <c r="V17" s="460">
        <f t="shared" si="1"/>
        <v>98.006993741310438</v>
      </c>
      <c r="W17" s="460">
        <f t="shared" si="1"/>
        <v>101.92727349096286</v>
      </c>
      <c r="X17" s="460"/>
    </row>
    <row r="18" spans="1:24">
      <c r="B18" s="454" t="s">
        <v>63</v>
      </c>
      <c r="C18" s="454" t="s">
        <v>275</v>
      </c>
      <c r="D18" s="458">
        <f>'P &amp; L '!D51</f>
        <v>0</v>
      </c>
      <c r="E18" s="458">
        <f>'P &amp; L '!E51</f>
        <v>0</v>
      </c>
      <c r="F18" s="458">
        <f>'P &amp; L '!F51</f>
        <v>0</v>
      </c>
      <c r="G18" s="458">
        <f>'P &amp; L '!G51</f>
        <v>0</v>
      </c>
      <c r="H18" s="458">
        <f>'P &amp; L '!H51</f>
        <v>0</v>
      </c>
      <c r="I18" s="458">
        <f>'P &amp; L '!I51</f>
        <v>0</v>
      </c>
      <c r="J18" s="458">
        <f>'P &amp; L '!J51</f>
        <v>0</v>
      </c>
      <c r="K18" s="458">
        <f>'P &amp; L '!K51</f>
        <v>0</v>
      </c>
      <c r="L18" s="458">
        <f>'P &amp; L '!L51</f>
        <v>0</v>
      </c>
      <c r="M18" s="458">
        <f>'P &amp; L '!M51</f>
        <v>0</v>
      </c>
      <c r="N18" s="458">
        <f>'P &amp; L '!N51</f>
        <v>0</v>
      </c>
      <c r="O18" s="458">
        <f>'P &amp; L '!O51</f>
        <v>0</v>
      </c>
      <c r="P18" s="458">
        <f>'P &amp; L '!P51</f>
        <v>0</v>
      </c>
      <c r="Q18" s="458">
        <f>'P &amp; L '!Q51</f>
        <v>0</v>
      </c>
      <c r="R18" s="458">
        <f>'P &amp; L '!R51</f>
        <v>0</v>
      </c>
      <c r="S18" s="458">
        <f>'P &amp; L '!S51</f>
        <v>0</v>
      </c>
      <c r="T18" s="458">
        <f>'P &amp; L '!T51</f>
        <v>0</v>
      </c>
      <c r="U18" s="458">
        <f>'P &amp; L '!U51</f>
        <v>0</v>
      </c>
      <c r="V18" s="458">
        <f>'P &amp; L '!V51</f>
        <v>0</v>
      </c>
      <c r="W18" s="458">
        <f>'P &amp; L '!W51</f>
        <v>93.362797026447879</v>
      </c>
      <c r="X18" s="458"/>
    </row>
    <row r="19" spans="1:24">
      <c r="B19" s="454" t="s">
        <v>280</v>
      </c>
      <c r="C19" s="454" t="s">
        <v>275</v>
      </c>
      <c r="D19" s="458">
        <f>'P &amp; L '!D53</f>
        <v>11.430318851297617</v>
      </c>
      <c r="E19" s="458">
        <f>'P &amp; L '!E53</f>
        <v>21.951937884855585</v>
      </c>
      <c r="F19" s="458">
        <f>'P &amp; L '!F53</f>
        <v>15.145129827546187</v>
      </c>
      <c r="G19" s="458">
        <f>'P &amp; L '!G53</f>
        <v>10.91001528563379</v>
      </c>
      <c r="H19" s="458">
        <f>'P &amp; L '!H53</f>
        <v>7.1326075549835055</v>
      </c>
      <c r="I19" s="458">
        <f>'P &amp; L '!I53</f>
        <v>3.7503843382143116</v>
      </c>
      <c r="J19" s="458">
        <f>'P &amp; L '!J53</f>
        <v>0.71015512582132734</v>
      </c>
      <c r="K19" s="458">
        <f>'P &amp; L '!K53</f>
        <v>0</v>
      </c>
      <c r="L19" s="458">
        <f>'P &amp; L '!L53</f>
        <v>0</v>
      </c>
      <c r="M19" s="458">
        <f>'P &amp; L '!M53</f>
        <v>0</v>
      </c>
      <c r="N19" s="458">
        <f>'P &amp; L '!N53</f>
        <v>0</v>
      </c>
      <c r="O19" s="458">
        <f>'P &amp; L '!O53</f>
        <v>0</v>
      </c>
      <c r="P19" s="458">
        <f>'P &amp; L '!P53</f>
        <v>0</v>
      </c>
      <c r="Q19" s="458">
        <f>'P &amp; L '!Q53</f>
        <v>0</v>
      </c>
      <c r="R19" s="458">
        <f>'P &amp; L '!R53</f>
        <v>0</v>
      </c>
      <c r="S19" s="458">
        <f>'P &amp; L '!S53</f>
        <v>0</v>
      </c>
      <c r="T19" s="458">
        <f>'P &amp; L '!T53</f>
        <v>0</v>
      </c>
      <c r="U19" s="458">
        <f>'P &amp; L '!U53</f>
        <v>0</v>
      </c>
      <c r="V19" s="458">
        <f>'P &amp; L '!V53</f>
        <v>0</v>
      </c>
      <c r="W19" s="458">
        <f>'P &amp; L '!W53</f>
        <v>0</v>
      </c>
      <c r="X19" s="458"/>
    </row>
    <row r="20" spans="1:24">
      <c r="B20" s="525" t="s">
        <v>281</v>
      </c>
      <c r="C20" s="525"/>
      <c r="D20" s="525"/>
      <c r="E20" s="525"/>
      <c r="F20" s="525"/>
      <c r="G20" s="525"/>
      <c r="H20" s="525"/>
      <c r="I20" s="525"/>
      <c r="J20" s="525"/>
      <c r="K20" s="525"/>
      <c r="L20" s="525"/>
      <c r="M20" s="525"/>
      <c r="N20" s="525"/>
      <c r="O20" s="525"/>
      <c r="P20" s="525"/>
      <c r="Q20" s="525"/>
      <c r="R20" s="525"/>
      <c r="S20" s="525"/>
      <c r="T20" s="525"/>
      <c r="U20" s="525"/>
      <c r="V20" s="525"/>
      <c r="W20" s="525"/>
      <c r="X20" s="439"/>
    </row>
    <row r="21" spans="1:24">
      <c r="B21" s="443" t="s">
        <v>282</v>
      </c>
      <c r="C21" s="443" t="s">
        <v>270</v>
      </c>
      <c r="D21" s="446">
        <f t="shared" ref="D21:W21" si="2">D11+D17</f>
        <v>79.327142908962543</v>
      </c>
      <c r="E21" s="446">
        <f t="shared" si="2"/>
        <v>148.23613710232917</v>
      </c>
      <c r="F21" s="446">
        <f t="shared" si="2"/>
        <v>145.50600282854168</v>
      </c>
      <c r="G21" s="446">
        <f t="shared" si="2"/>
        <v>142.54019115677568</v>
      </c>
      <c r="H21" s="446">
        <f t="shared" si="2"/>
        <v>139.65810226138228</v>
      </c>
      <c r="I21" s="446">
        <f t="shared" si="2"/>
        <v>136.8630850534164</v>
      </c>
      <c r="J21" s="446">
        <f t="shared" si="2"/>
        <v>134.15862240037512</v>
      </c>
      <c r="K21" s="446">
        <f t="shared" si="2"/>
        <v>131.5483364844554</v>
      </c>
      <c r="L21" s="446">
        <f t="shared" si="2"/>
        <v>129.03599437514214</v>
      </c>
      <c r="M21" s="446">
        <f t="shared" si="2"/>
        <v>126.62551382469961</v>
      </c>
      <c r="N21" s="446">
        <f t="shared" si="2"/>
        <v>124.6371493630502</v>
      </c>
      <c r="O21" s="446">
        <f t="shared" si="2"/>
        <v>126.55311917428611</v>
      </c>
      <c r="P21" s="446">
        <f t="shared" si="2"/>
        <v>129.53220958878231</v>
      </c>
      <c r="Q21" s="446">
        <f t="shared" si="2"/>
        <v>132.63046361985838</v>
      </c>
      <c r="R21" s="446">
        <f t="shared" si="2"/>
        <v>135.85264781217745</v>
      </c>
      <c r="S21" s="446">
        <f t="shared" si="2"/>
        <v>139.20371937218931</v>
      </c>
      <c r="T21" s="446">
        <f t="shared" si="2"/>
        <v>142.68883379460163</v>
      </c>
      <c r="U21" s="446">
        <f t="shared" si="2"/>
        <v>137.19170171890701</v>
      </c>
      <c r="V21" s="446">
        <f t="shared" si="2"/>
        <v>127.18605413735004</v>
      </c>
      <c r="W21" s="446">
        <f t="shared" si="2"/>
        <v>131.10633388700245</v>
      </c>
      <c r="X21" s="446"/>
    </row>
    <row r="22" spans="1:24">
      <c r="B22" s="443" t="s">
        <v>1</v>
      </c>
      <c r="C22" s="443" t="s">
        <v>270</v>
      </c>
      <c r="D22" s="446">
        <f t="shared" ref="D22:W22" si="3">SUM(D18:D19)</f>
        <v>11.430318851297617</v>
      </c>
      <c r="E22" s="446">
        <f t="shared" si="3"/>
        <v>21.951937884855585</v>
      </c>
      <c r="F22" s="446">
        <f t="shared" si="3"/>
        <v>15.145129827546187</v>
      </c>
      <c r="G22" s="446">
        <f t="shared" si="3"/>
        <v>10.91001528563379</v>
      </c>
      <c r="H22" s="446">
        <f t="shared" si="3"/>
        <v>7.1326075549835055</v>
      </c>
      <c r="I22" s="446">
        <f t="shared" si="3"/>
        <v>3.7503843382143116</v>
      </c>
      <c r="J22" s="446">
        <f t="shared" si="3"/>
        <v>0.71015512582132734</v>
      </c>
      <c r="K22" s="446">
        <f t="shared" si="3"/>
        <v>0</v>
      </c>
      <c r="L22" s="446">
        <f t="shared" si="3"/>
        <v>0</v>
      </c>
      <c r="M22" s="446">
        <f t="shared" si="3"/>
        <v>0</v>
      </c>
      <c r="N22" s="446">
        <f t="shared" si="3"/>
        <v>0</v>
      </c>
      <c r="O22" s="446">
        <f t="shared" si="3"/>
        <v>0</v>
      </c>
      <c r="P22" s="446">
        <f t="shared" si="3"/>
        <v>0</v>
      </c>
      <c r="Q22" s="446">
        <f t="shared" si="3"/>
        <v>0</v>
      </c>
      <c r="R22" s="446">
        <f t="shared" si="3"/>
        <v>0</v>
      </c>
      <c r="S22" s="446">
        <f t="shared" si="3"/>
        <v>0</v>
      </c>
      <c r="T22" s="446">
        <f t="shared" si="3"/>
        <v>0</v>
      </c>
      <c r="U22" s="446">
        <f t="shared" si="3"/>
        <v>0</v>
      </c>
      <c r="V22" s="446">
        <f t="shared" si="3"/>
        <v>0</v>
      </c>
      <c r="W22" s="446">
        <f t="shared" si="3"/>
        <v>93.362797026447879</v>
      </c>
      <c r="X22" s="446"/>
    </row>
    <row r="23" spans="1:24">
      <c r="B23" s="444" t="s">
        <v>283</v>
      </c>
      <c r="C23" s="444" t="s">
        <v>270</v>
      </c>
      <c r="D23" s="452">
        <f>D21-D22</f>
        <v>67.896824057664929</v>
      </c>
      <c r="E23" s="452">
        <f t="shared" ref="E23:W23" si="4">E21-E22</f>
        <v>126.28419921747359</v>
      </c>
      <c r="F23" s="452">
        <f t="shared" si="4"/>
        <v>130.3608730009955</v>
      </c>
      <c r="G23" s="452">
        <f t="shared" si="4"/>
        <v>131.63017587114189</v>
      </c>
      <c r="H23" s="452">
        <f t="shared" si="4"/>
        <v>132.52549470639877</v>
      </c>
      <c r="I23" s="452">
        <f t="shared" si="4"/>
        <v>133.1127007152021</v>
      </c>
      <c r="J23" s="452">
        <f t="shared" si="4"/>
        <v>133.44846727455379</v>
      </c>
      <c r="K23" s="452">
        <f t="shared" si="4"/>
        <v>131.5483364844554</v>
      </c>
      <c r="L23" s="452">
        <f t="shared" si="4"/>
        <v>129.03599437514214</v>
      </c>
      <c r="M23" s="452">
        <f t="shared" si="4"/>
        <v>126.62551382469961</v>
      </c>
      <c r="N23" s="452">
        <f t="shared" si="4"/>
        <v>124.6371493630502</v>
      </c>
      <c r="O23" s="452">
        <f t="shared" si="4"/>
        <v>126.55311917428611</v>
      </c>
      <c r="P23" s="452">
        <f t="shared" si="4"/>
        <v>129.53220958878231</v>
      </c>
      <c r="Q23" s="452">
        <f t="shared" si="4"/>
        <v>132.63046361985838</v>
      </c>
      <c r="R23" s="452">
        <f t="shared" si="4"/>
        <v>135.85264781217745</v>
      </c>
      <c r="S23" s="452">
        <f t="shared" si="4"/>
        <v>139.20371937218931</v>
      </c>
      <c r="T23" s="452">
        <f t="shared" si="4"/>
        <v>142.68883379460163</v>
      </c>
      <c r="U23" s="452">
        <f t="shared" si="4"/>
        <v>137.19170171890701</v>
      </c>
      <c r="V23" s="452">
        <f t="shared" si="4"/>
        <v>127.18605413735004</v>
      </c>
      <c r="W23" s="452">
        <f t="shared" si="4"/>
        <v>37.74353686055457</v>
      </c>
      <c r="X23" s="452"/>
    </row>
    <row r="24" spans="1:24">
      <c r="B24" s="526" t="s">
        <v>284</v>
      </c>
      <c r="C24" s="526"/>
      <c r="D24" s="526"/>
      <c r="E24" s="526"/>
      <c r="F24" s="526"/>
      <c r="G24" s="526"/>
      <c r="H24" s="526"/>
      <c r="I24" s="526"/>
      <c r="J24" s="526"/>
      <c r="K24" s="526"/>
      <c r="L24" s="526"/>
      <c r="M24" s="526"/>
      <c r="N24" s="526"/>
      <c r="O24" s="526"/>
      <c r="P24" s="526"/>
      <c r="Q24" s="526"/>
      <c r="R24" s="526"/>
      <c r="S24" s="526"/>
      <c r="T24" s="526"/>
      <c r="U24" s="526"/>
      <c r="V24" s="526"/>
      <c r="W24" s="526"/>
      <c r="X24" s="462"/>
    </row>
    <row r="25" spans="1:24">
      <c r="B25" s="443" t="s">
        <v>285</v>
      </c>
      <c r="C25" s="443" t="s">
        <v>286</v>
      </c>
      <c r="D25" s="445">
        <f>'P &amp; L '!D11</f>
        <v>28926.720000000001</v>
      </c>
      <c r="E25" s="445">
        <f>'P &amp; L '!E11</f>
        <v>65174.400000000001</v>
      </c>
      <c r="F25" s="445">
        <f>'P &amp; L '!F11</f>
        <v>65174.400000000001</v>
      </c>
      <c r="G25" s="445">
        <f>'P &amp; L '!G11</f>
        <v>65174.400000000001</v>
      </c>
      <c r="H25" s="445">
        <f>'P &amp; L '!H11</f>
        <v>65174.400000000001</v>
      </c>
      <c r="I25" s="445">
        <f>'P &amp; L '!I11</f>
        <v>65174.400000000001</v>
      </c>
      <c r="J25" s="445">
        <f>'P &amp; L '!J11</f>
        <v>65174.400000000001</v>
      </c>
      <c r="K25" s="445">
        <f>'P &amp; L '!K11</f>
        <v>65174.400000000001</v>
      </c>
      <c r="L25" s="445">
        <f>'P &amp; L '!L11</f>
        <v>65174.400000000001</v>
      </c>
      <c r="M25" s="445">
        <f>'P &amp; L '!M11</f>
        <v>65174.400000000001</v>
      </c>
      <c r="N25" s="445">
        <f>'P &amp; L '!N11</f>
        <v>65174.400000000001</v>
      </c>
      <c r="O25" s="445">
        <f>'P &amp; L '!O11</f>
        <v>65174.400000000001</v>
      </c>
      <c r="P25" s="445">
        <f>'P &amp; L '!P11</f>
        <v>65174.400000000001</v>
      </c>
      <c r="Q25" s="445">
        <f>'P &amp; L '!Q11</f>
        <v>65174.400000000001</v>
      </c>
      <c r="R25" s="445">
        <f>'P &amp; L '!R11</f>
        <v>65174.400000000001</v>
      </c>
      <c r="S25" s="445">
        <f>'P &amp; L '!S11</f>
        <v>65174.400000000001</v>
      </c>
      <c r="T25" s="445">
        <f>'P &amp; L '!T11</f>
        <v>65174.400000000001</v>
      </c>
      <c r="U25" s="445">
        <f>'P &amp; L '!U11</f>
        <v>65174.400000000001</v>
      </c>
      <c r="V25" s="445">
        <f>'P &amp; L '!V11</f>
        <v>65174.400000000001</v>
      </c>
      <c r="W25" s="445">
        <f>'P &amp; L '!W11</f>
        <v>65174.400000000001</v>
      </c>
      <c r="X25" s="445"/>
    </row>
    <row r="26" spans="1:24">
      <c r="B26" s="443" t="s">
        <v>287</v>
      </c>
      <c r="C26" s="443" t="s">
        <v>288</v>
      </c>
      <c r="D26" s="447">
        <f>(D23*10^6)/D25</f>
        <v>2347.2009290256528</v>
      </c>
      <c r="E26" s="447">
        <f t="shared" ref="E26:W26" si="5">(E23*10^6)/E25</f>
        <v>1937.6350103334066</v>
      </c>
      <c r="F26" s="447">
        <f t="shared" si="5"/>
        <v>2000.1852414597679</v>
      </c>
      <c r="G26" s="447">
        <f t="shared" si="5"/>
        <v>2019.6607237065762</v>
      </c>
      <c r="H26" s="447">
        <f t="shared" si="5"/>
        <v>2033.3980014606773</v>
      </c>
      <c r="I26" s="447">
        <f t="shared" si="5"/>
        <v>2042.4077661658887</v>
      </c>
      <c r="J26" s="447">
        <f t="shared" si="5"/>
        <v>2047.5595828201531</v>
      </c>
      <c r="K26" s="447">
        <f t="shared" si="5"/>
        <v>2018.405025354363</v>
      </c>
      <c r="L26" s="447">
        <f t="shared" si="5"/>
        <v>1979.8570355099876</v>
      </c>
      <c r="M26" s="447">
        <f t="shared" si="5"/>
        <v>1942.8719531702573</v>
      </c>
      <c r="N26" s="447">
        <f t="shared" si="5"/>
        <v>1912.3635869766379</v>
      </c>
      <c r="O26" s="447">
        <f t="shared" si="5"/>
        <v>1941.7611696354106</v>
      </c>
      <c r="P26" s="447">
        <f t="shared" si="5"/>
        <v>1987.4706877053306</v>
      </c>
      <c r="Q26" s="447">
        <f t="shared" si="5"/>
        <v>2035.0085864980479</v>
      </c>
      <c r="R26" s="447">
        <f t="shared" si="5"/>
        <v>2084.4480012424733</v>
      </c>
      <c r="S26" s="447">
        <f t="shared" si="5"/>
        <v>2135.8649925766758</v>
      </c>
      <c r="T26" s="447">
        <f t="shared" si="5"/>
        <v>2189.3386635642469</v>
      </c>
      <c r="U26" s="447">
        <f t="shared" si="5"/>
        <v>2104.9937048734932</v>
      </c>
      <c r="V26" s="447">
        <f t="shared" si="5"/>
        <v>1951.4725741602535</v>
      </c>
      <c r="W26" s="447">
        <f t="shared" si="5"/>
        <v>579.11598511922728</v>
      </c>
      <c r="X26" s="447"/>
    </row>
    <row r="27" spans="1:24">
      <c r="B27" s="443" t="s">
        <v>289</v>
      </c>
      <c r="C27" s="443" t="s">
        <v>214</v>
      </c>
      <c r="D27" s="446">
        <v>1</v>
      </c>
      <c r="E27" s="446">
        <f>1/(1+'Assumption '!$C$72)*'Levelized cost'!D27</f>
        <v>0.90415913200723319</v>
      </c>
      <c r="F27" s="446">
        <f>1/(1+'Assumption '!$C$72)*'Levelized cost'!E27</f>
        <v>0.81750373599207338</v>
      </c>
      <c r="G27" s="446">
        <f>1/(1+'Assumption '!$C$72)*'Levelized cost'!F27</f>
        <v>0.73915346834726336</v>
      </c>
      <c r="H27" s="446">
        <f>1/(1+'Assumption '!$C$72)*'Levelized cost'!G27</f>
        <v>0.66831235836099756</v>
      </c>
      <c r="I27" s="446">
        <f>1/(1+'Assumption '!$C$72)*'Levelized cost'!H27</f>
        <v>0.60426072184538648</v>
      </c>
      <c r="J27" s="446">
        <f>1/(1+'Assumption '!$C$72)*'Levelized cost'!I27</f>
        <v>0.54634784976978878</v>
      </c>
      <c r="K27" s="446">
        <f>1/(1+'Assumption '!$C$72)*'Levelized cost'!J27</f>
        <v>0.49398539762187049</v>
      </c>
      <c r="L27" s="446">
        <f>1/(1+'Assumption '!$C$72)*'Levelized cost'!K27</f>
        <v>0.44664140833803839</v>
      </c>
      <c r="M27" s="446">
        <f>1/(1+'Assumption '!$C$72)*'Levelized cost'!L27</f>
        <v>0.40383490808140898</v>
      </c>
      <c r="N27" s="446">
        <f>1/(1+'Assumption '!$C$72)*'Levelized cost'!M27</f>
        <v>0.36513101996510755</v>
      </c>
      <c r="O27" s="446">
        <f>1/(1+'Assumption '!$C$72)*'Levelized cost'!N27</f>
        <v>0.33013654608056736</v>
      </c>
      <c r="P27" s="446">
        <f>1/(1+'Assumption '!$C$72)*'Levelized cost'!O27</f>
        <v>0.29849597294807173</v>
      </c>
      <c r="Q27" s="446">
        <f>1/(1+'Assumption '!$C$72)*'Levelized cost'!P27</f>
        <v>0.26988785980838309</v>
      </c>
      <c r="R27" s="446">
        <f>1/(1+'Assumption '!$C$72)*'Levelized cost'!Q27</f>
        <v>0.2440215730636375</v>
      </c>
      <c r="S27" s="446">
        <f>1/(1+'Assumption '!$C$72)*'Levelized cost'!R27</f>
        <v>0.22063433369225813</v>
      </c>
      <c r="T27" s="446">
        <f>1/(1+'Assumption '!$C$72)*'Levelized cost'!S27</f>
        <v>0.19948854764218635</v>
      </c>
      <c r="U27" s="446">
        <f>1/(1+'Assumption '!$C$72)*'Levelized cost'!T27</f>
        <v>0.18036939208154279</v>
      </c>
      <c r="V27" s="446">
        <f>1/(1+'Assumption '!$C$72)*'Levelized cost'!U27</f>
        <v>0.16308263298512005</v>
      </c>
      <c r="W27" s="446">
        <f>1/(1+'Assumption '!$C$72)*'Levelized cost'!V27</f>
        <v>0.14745265188528031</v>
      </c>
      <c r="X27" s="446"/>
    </row>
    <row r="28" spans="1:24">
      <c r="B28" s="443" t="s">
        <v>290</v>
      </c>
      <c r="C28" s="443" t="s">
        <v>288</v>
      </c>
      <c r="D28" s="446">
        <f>D26*D27</f>
        <v>2347.2009290256528</v>
      </c>
      <c r="E28" s="446">
        <f t="shared" ref="E28:W28" si="6">E26*E27</f>
        <v>1751.9303890898793</v>
      </c>
      <c r="F28" s="446">
        <f t="shared" si="6"/>
        <v>1635.1589075695676</v>
      </c>
      <c r="G28" s="446">
        <f t="shared" si="6"/>
        <v>1492.8392288124599</v>
      </c>
      <c r="H28" s="446">
        <f t="shared" si="6"/>
        <v>1358.9450138427244</v>
      </c>
      <c r="I28" s="446">
        <f t="shared" si="6"/>
        <v>1234.1467910860233</v>
      </c>
      <c r="J28" s="446">
        <f t="shared" si="6"/>
        <v>1118.6797753493163</v>
      </c>
      <c r="K28" s="446">
        <f t="shared" si="6"/>
        <v>997.0626090116566</v>
      </c>
      <c r="L28" s="446">
        <f t="shared" si="6"/>
        <v>884.28613464815453</v>
      </c>
      <c r="M28" s="446">
        <f t="shared" si="6"/>
        <v>784.5995166224584</v>
      </c>
      <c r="N28" s="446">
        <f t="shared" si="6"/>
        <v>698.26326705691145</v>
      </c>
      <c r="O28" s="446">
        <f t="shared" si="6"/>
        <v>641.04632585679713</v>
      </c>
      <c r="P28" s="446">
        <f t="shared" si="6"/>
        <v>593.25199663237595</v>
      </c>
      <c r="Q28" s="446">
        <f t="shared" si="6"/>
        <v>549.22411210164103</v>
      </c>
      <c r="R28" s="446">
        <f t="shared" si="6"/>
        <v>508.65028023254337</v>
      </c>
      <c r="S28" s="446">
        <f t="shared" si="6"/>
        <v>471.2451494937747</v>
      </c>
      <c r="T28" s="446">
        <f t="shared" si="6"/>
        <v>436.74799029131685</v>
      </c>
      <c r="U28" s="446">
        <f t="shared" si="6"/>
        <v>379.67643488350649</v>
      </c>
      <c r="V28" s="446">
        <f t="shared" si="6"/>
        <v>318.2512855923041</v>
      </c>
      <c r="W28" s="446">
        <f t="shared" si="6"/>
        <v>85.392187754986594</v>
      </c>
      <c r="X28" s="446"/>
    </row>
    <row r="29" spans="1:24" ht="28.2">
      <c r="B29" s="459" t="s">
        <v>291</v>
      </c>
      <c r="C29" s="463">
        <f>SUM(D28:W28)/SUM(D27:W27)</f>
        <v>2022.205190236617</v>
      </c>
      <c r="D29" s="437"/>
      <c r="E29" s="437"/>
      <c r="F29" s="437"/>
      <c r="G29" s="437"/>
      <c r="H29" s="437"/>
      <c r="I29" s="437"/>
      <c r="J29" s="437"/>
      <c r="K29" s="437"/>
      <c r="L29" s="437"/>
      <c r="M29" s="437"/>
      <c r="N29" s="437"/>
      <c r="O29" s="437"/>
      <c r="P29" s="437"/>
      <c r="Q29" s="437"/>
      <c r="R29" s="437"/>
      <c r="S29" s="437"/>
      <c r="T29" s="437"/>
      <c r="U29" s="437"/>
      <c r="V29" s="437"/>
      <c r="W29" s="437"/>
      <c r="X29" s="437"/>
    </row>
    <row r="30" spans="1:24" ht="28.2">
      <c r="B30" s="465" t="s">
        <v>298</v>
      </c>
      <c r="C30" s="472">
        <f>C29/1000</f>
        <v>2.0222051902366172</v>
      </c>
    </row>
    <row r="31" spans="1:24">
      <c r="A31" s="467"/>
      <c r="B31" s="467"/>
      <c r="C31" s="467"/>
      <c r="D31" s="467"/>
      <c r="E31" s="467"/>
      <c r="F31" s="467"/>
      <c r="G31" s="467"/>
      <c r="H31" s="467"/>
      <c r="I31" s="467"/>
      <c r="J31" s="467"/>
      <c r="K31" s="467"/>
      <c r="L31" s="467"/>
      <c r="M31" s="467"/>
      <c r="N31" s="467"/>
      <c r="O31" s="467"/>
      <c r="P31" s="467"/>
      <c r="Q31" s="467"/>
      <c r="R31" s="467"/>
      <c r="S31" s="467"/>
      <c r="T31" s="467"/>
      <c r="U31" s="467"/>
      <c r="V31" s="467"/>
      <c r="W31" s="467"/>
      <c r="X31" s="442"/>
    </row>
    <row r="32" spans="1:24">
      <c r="A32" s="467"/>
      <c r="B32" s="527"/>
      <c r="C32" s="527"/>
      <c r="D32" s="527"/>
      <c r="E32" s="527"/>
      <c r="F32" s="527"/>
      <c r="G32" s="527"/>
      <c r="H32" s="527"/>
      <c r="I32" s="527"/>
      <c r="J32" s="527"/>
      <c r="K32" s="527"/>
      <c r="L32" s="527"/>
      <c r="M32" s="527"/>
      <c r="N32" s="527"/>
      <c r="O32" s="527"/>
      <c r="P32" s="527"/>
      <c r="Q32" s="527"/>
      <c r="R32" s="527"/>
      <c r="S32" s="527"/>
      <c r="T32" s="527"/>
      <c r="U32" s="527"/>
      <c r="V32" s="527"/>
      <c r="W32" s="527"/>
      <c r="X32" s="468"/>
    </row>
    <row r="33" spans="1:24">
      <c r="A33" s="467"/>
      <c r="B33" s="468"/>
      <c r="C33" s="468"/>
      <c r="D33" s="469"/>
      <c r="E33" s="469"/>
      <c r="F33" s="469"/>
      <c r="G33" s="469"/>
      <c r="H33" s="469"/>
      <c r="I33" s="469"/>
      <c r="J33" s="469"/>
      <c r="K33" s="469"/>
      <c r="L33" s="469"/>
      <c r="M33" s="469"/>
      <c r="N33" s="469"/>
      <c r="O33" s="469"/>
      <c r="P33" s="469"/>
      <c r="Q33" s="469"/>
      <c r="R33" s="469"/>
      <c r="S33" s="469"/>
      <c r="T33" s="469"/>
      <c r="U33" s="469"/>
      <c r="V33" s="469"/>
      <c r="W33" s="469"/>
      <c r="X33" s="469"/>
    </row>
    <row r="34" spans="1:24">
      <c r="A34" s="467"/>
      <c r="B34" s="468"/>
      <c r="C34" s="468"/>
      <c r="D34" s="469"/>
      <c r="E34" s="469"/>
      <c r="F34" s="469"/>
      <c r="G34" s="469"/>
      <c r="H34" s="469"/>
      <c r="I34" s="469"/>
      <c r="J34" s="469"/>
      <c r="K34" s="469"/>
      <c r="L34" s="469"/>
      <c r="M34" s="469"/>
      <c r="N34" s="469"/>
      <c r="O34" s="469"/>
      <c r="P34" s="469"/>
      <c r="Q34" s="469"/>
      <c r="R34" s="469"/>
      <c r="S34" s="469"/>
      <c r="T34" s="469"/>
      <c r="U34" s="469"/>
      <c r="V34" s="469"/>
      <c r="W34" s="469"/>
      <c r="X34" s="469"/>
    </row>
    <row r="35" spans="1:24">
      <c r="A35" s="467"/>
      <c r="B35" s="482" t="s">
        <v>299</v>
      </c>
      <c r="C35" s="468"/>
      <c r="D35" s="470"/>
      <c r="E35" s="470"/>
      <c r="F35" s="470"/>
      <c r="G35" s="470"/>
      <c r="H35" s="470"/>
      <c r="I35" s="470"/>
      <c r="J35" s="470"/>
      <c r="K35" s="470"/>
      <c r="L35" s="470"/>
      <c r="M35" s="470"/>
      <c r="N35" s="470"/>
      <c r="O35" s="470"/>
      <c r="P35" s="470"/>
      <c r="Q35" s="470"/>
      <c r="R35" s="470"/>
      <c r="S35" s="470"/>
      <c r="T35" s="470"/>
      <c r="U35" s="470"/>
      <c r="V35" s="470"/>
      <c r="W35" s="470"/>
      <c r="X35" s="470"/>
    </row>
    <row r="36" spans="1:24">
      <c r="A36" s="467"/>
      <c r="B36" s="468"/>
      <c r="C36" s="468"/>
      <c r="D36" s="469"/>
      <c r="E36" s="469"/>
      <c r="F36" s="469"/>
      <c r="G36" s="469"/>
      <c r="H36" s="469"/>
      <c r="I36" s="469"/>
      <c r="J36" s="469"/>
      <c r="K36" s="469"/>
      <c r="L36" s="469"/>
      <c r="M36" s="469"/>
      <c r="N36" s="469"/>
      <c r="O36" s="469"/>
      <c r="P36" s="469"/>
      <c r="Q36" s="469"/>
      <c r="R36" s="469"/>
      <c r="S36" s="469"/>
      <c r="T36" s="469"/>
      <c r="U36" s="469"/>
      <c r="V36" s="469"/>
      <c r="W36" s="469"/>
      <c r="X36" s="469"/>
    </row>
    <row r="37" spans="1:24">
      <c r="A37" s="467"/>
      <c r="B37" s="526" t="s">
        <v>284</v>
      </c>
      <c r="C37" s="526"/>
      <c r="D37" s="526"/>
      <c r="E37" s="526"/>
      <c r="F37" s="526"/>
      <c r="G37" s="526"/>
      <c r="H37" s="526"/>
      <c r="I37" s="526"/>
      <c r="J37" s="526"/>
      <c r="K37" s="526"/>
      <c r="L37" s="526"/>
      <c r="M37" s="526"/>
      <c r="N37" s="526"/>
      <c r="O37" s="526"/>
      <c r="P37" s="526"/>
      <c r="Q37" s="526"/>
      <c r="R37" s="526"/>
      <c r="S37" s="526"/>
      <c r="T37" s="526"/>
      <c r="U37" s="526"/>
      <c r="V37" s="526"/>
      <c r="W37" s="526"/>
      <c r="X37" s="442"/>
    </row>
    <row r="38" spans="1:24" s="437" customFormat="1">
      <c r="A38" s="467"/>
      <c r="B38" s="464"/>
      <c r="C38" s="464"/>
      <c r="D38" s="474">
        <f>D7</f>
        <v>40268</v>
      </c>
      <c r="E38" s="474">
        <f t="shared" ref="E38:W38" si="7">E7</f>
        <v>40633</v>
      </c>
      <c r="F38" s="474">
        <f t="shared" si="7"/>
        <v>40999</v>
      </c>
      <c r="G38" s="474">
        <f t="shared" si="7"/>
        <v>41364</v>
      </c>
      <c r="H38" s="474">
        <f t="shared" si="7"/>
        <v>41729</v>
      </c>
      <c r="I38" s="474">
        <f t="shared" si="7"/>
        <v>42094</v>
      </c>
      <c r="J38" s="474">
        <f t="shared" si="7"/>
        <v>42460</v>
      </c>
      <c r="K38" s="474">
        <f t="shared" si="7"/>
        <v>42825</v>
      </c>
      <c r="L38" s="474">
        <f t="shared" si="7"/>
        <v>43190</v>
      </c>
      <c r="M38" s="474">
        <f t="shared" si="7"/>
        <v>43555</v>
      </c>
      <c r="N38" s="474">
        <f t="shared" si="7"/>
        <v>43921</v>
      </c>
      <c r="O38" s="474">
        <f t="shared" si="7"/>
        <v>44286</v>
      </c>
      <c r="P38" s="474">
        <f t="shared" si="7"/>
        <v>44651</v>
      </c>
      <c r="Q38" s="474">
        <f t="shared" si="7"/>
        <v>45016</v>
      </c>
      <c r="R38" s="474">
        <f t="shared" si="7"/>
        <v>45382</v>
      </c>
      <c r="S38" s="474">
        <f t="shared" si="7"/>
        <v>45747</v>
      </c>
      <c r="T38" s="474">
        <f t="shared" si="7"/>
        <v>46112</v>
      </c>
      <c r="U38" s="474">
        <f t="shared" si="7"/>
        <v>46477</v>
      </c>
      <c r="V38" s="474">
        <f t="shared" si="7"/>
        <v>46843</v>
      </c>
      <c r="W38" s="474">
        <f t="shared" si="7"/>
        <v>47208</v>
      </c>
      <c r="X38" s="442"/>
    </row>
    <row r="39" spans="1:24" ht="28.2">
      <c r="B39" s="473" t="s">
        <v>300</v>
      </c>
      <c r="C39" s="443" t="s">
        <v>288</v>
      </c>
      <c r="D39" s="446">
        <f>'P &amp; L '!D12*1000</f>
        <v>1528.30188679245</v>
      </c>
      <c r="E39" s="446">
        <f>'P &amp; L '!E12*1000</f>
        <v>1625.26444231562</v>
      </c>
      <c r="F39" s="446">
        <f>'P &amp; L '!F12*1000</f>
        <v>1729.98400228065</v>
      </c>
      <c r="G39" s="446">
        <f>'P &amp; L '!G12*1000</f>
        <v>1738.05128690018</v>
      </c>
      <c r="H39" s="446">
        <f>'P &amp; L '!H12*1000</f>
        <v>1746.44126290449</v>
      </c>
      <c r="I39" s="446">
        <f>'P &amp; L '!I12*1000</f>
        <v>1755.1668379489699</v>
      </c>
      <c r="J39" s="446">
        <f>'P &amp; L '!J12*1000</f>
        <v>1764.2414359952302</v>
      </c>
      <c r="K39" s="446">
        <f>'P &amp; L '!K12*1000</f>
        <v>1773.6790179633399</v>
      </c>
      <c r="L39" s="446">
        <f>'P &amp; L '!L12*1000</f>
        <v>1783.4941032101701</v>
      </c>
      <c r="M39" s="446">
        <f>'P &amp; L '!M12*1000</f>
        <v>1793.7017918668801</v>
      </c>
      <c r="N39" s="446">
        <f>'P &amp; L '!N12*1000</f>
        <v>1804.3177880698599</v>
      </c>
      <c r="O39" s="446">
        <f>'P &amp; L '!O12*1000</f>
        <v>1815.3584241209599</v>
      </c>
      <c r="P39" s="446">
        <f>'P &amp; L '!P12*1000</f>
        <v>1826.8406856141</v>
      </c>
      <c r="Q39" s="446">
        <f>'P &amp; L '!Q12*1000</f>
        <v>1838.78223756696</v>
      </c>
      <c r="R39" s="446">
        <f>'P &amp; L '!R12*1000</f>
        <v>1851.2014515979399</v>
      </c>
      <c r="S39" s="446">
        <f>'P &amp; L '!S12*1000</f>
        <v>1864.1174341901601</v>
      </c>
      <c r="T39" s="446">
        <f>'P &amp; L '!T12*1000</f>
        <v>1877.5500560860701</v>
      </c>
      <c r="U39" s="446">
        <f>'P &amp; L '!U12*1000</f>
        <v>1891.51998285781</v>
      </c>
      <c r="V39" s="446">
        <f>'P &amp; L '!V12*1000</f>
        <v>1906.0487067004299</v>
      </c>
      <c r="W39" s="446">
        <f>'P &amp; L '!W12*1000</f>
        <v>1921.15857949675</v>
      </c>
      <c r="X39" s="447"/>
    </row>
    <row r="40" spans="1:24">
      <c r="B40" s="443" t="s">
        <v>289</v>
      </c>
      <c r="C40" s="443" t="s">
        <v>214</v>
      </c>
      <c r="D40" s="446">
        <f>D27</f>
        <v>1</v>
      </c>
      <c r="E40" s="446">
        <f t="shared" ref="E40:W40" si="8">E27</f>
        <v>0.90415913200723319</v>
      </c>
      <c r="F40" s="446">
        <f t="shared" si="8"/>
        <v>0.81750373599207338</v>
      </c>
      <c r="G40" s="446">
        <f t="shared" si="8"/>
        <v>0.73915346834726336</v>
      </c>
      <c r="H40" s="446">
        <f t="shared" si="8"/>
        <v>0.66831235836099756</v>
      </c>
      <c r="I40" s="446">
        <f t="shared" si="8"/>
        <v>0.60426072184538648</v>
      </c>
      <c r="J40" s="446">
        <f t="shared" si="8"/>
        <v>0.54634784976978878</v>
      </c>
      <c r="K40" s="446">
        <f t="shared" si="8"/>
        <v>0.49398539762187049</v>
      </c>
      <c r="L40" s="446">
        <f t="shared" si="8"/>
        <v>0.44664140833803839</v>
      </c>
      <c r="M40" s="446">
        <f t="shared" si="8"/>
        <v>0.40383490808140898</v>
      </c>
      <c r="N40" s="446">
        <f t="shared" si="8"/>
        <v>0.36513101996510755</v>
      </c>
      <c r="O40" s="446">
        <f t="shared" si="8"/>
        <v>0.33013654608056736</v>
      </c>
      <c r="P40" s="446">
        <f t="shared" si="8"/>
        <v>0.29849597294807173</v>
      </c>
      <c r="Q40" s="446">
        <f t="shared" si="8"/>
        <v>0.26988785980838309</v>
      </c>
      <c r="R40" s="446">
        <f t="shared" si="8"/>
        <v>0.2440215730636375</v>
      </c>
      <c r="S40" s="446">
        <f t="shared" si="8"/>
        <v>0.22063433369225813</v>
      </c>
      <c r="T40" s="446">
        <f t="shared" si="8"/>
        <v>0.19948854764218635</v>
      </c>
      <c r="U40" s="446">
        <f t="shared" si="8"/>
        <v>0.18036939208154279</v>
      </c>
      <c r="V40" s="446">
        <f t="shared" si="8"/>
        <v>0.16308263298512005</v>
      </c>
      <c r="W40" s="446">
        <f t="shared" si="8"/>
        <v>0.14745265188528031</v>
      </c>
    </row>
    <row r="41" spans="1:24">
      <c r="B41" s="443" t="s">
        <v>290</v>
      </c>
      <c r="C41" s="443" t="s">
        <v>288</v>
      </c>
      <c r="D41" s="446">
        <f>D39*D40</f>
        <v>1528.30188679245</v>
      </c>
      <c r="E41" s="446">
        <f t="shared" ref="E41:W41" si="9">E39*E40</f>
        <v>1469.4976874463109</v>
      </c>
      <c r="F41" s="446">
        <f t="shared" si="9"/>
        <v>1414.2683850709509</v>
      </c>
      <c r="G41" s="446">
        <f t="shared" si="9"/>
        <v>1284.6866368776925</v>
      </c>
      <c r="H41" s="446">
        <f t="shared" si="9"/>
        <v>1167.1682791506587</v>
      </c>
      <c r="I41" s="446">
        <f t="shared" si="9"/>
        <v>1060.578380458129</v>
      </c>
      <c r="J41" s="446">
        <f t="shared" si="9"/>
        <v>963.8895150307585</v>
      </c>
      <c r="K41" s="446">
        <f t="shared" si="9"/>
        <v>876.17153494218928</v>
      </c>
      <c r="L41" s="446">
        <f t="shared" si="9"/>
        <v>796.58231802037722</v>
      </c>
      <c r="M41" s="446">
        <f t="shared" si="9"/>
        <v>724.3593982440201</v>
      </c>
      <c r="N41" s="446">
        <f t="shared" si="9"/>
        <v>658.81239429913478</v>
      </c>
      <c r="O41" s="446">
        <f t="shared" si="9"/>
        <v>599.31616003755539</v>
      </c>
      <c r="P41" s="446">
        <f t="shared" si="9"/>
        <v>545.30458787350324</v>
      </c>
      <c r="Q41" s="446">
        <f t="shared" si="9"/>
        <v>496.2650027506167</v>
      </c>
      <c r="R41" s="446">
        <f t="shared" si="9"/>
        <v>451.7330902766185</v>
      </c>
      <c r="S41" s="446">
        <f t="shared" si="9"/>
        <v>411.28830801666783</v>
      </c>
      <c r="T41" s="446">
        <f t="shared" si="9"/>
        <v>374.54973381411565</v>
      </c>
      <c r="U41" s="446">
        <f t="shared" si="9"/>
        <v>341.17230941815342</v>
      </c>
      <c r="V41" s="446">
        <f t="shared" si="9"/>
        <v>310.8434416865889</v>
      </c>
      <c r="W41" s="446">
        <f t="shared" si="9"/>
        <v>283.27992723895392</v>
      </c>
    </row>
    <row r="42" spans="1:24" ht="28.2">
      <c r="B42" s="459" t="s">
        <v>291</v>
      </c>
      <c r="C42" s="471">
        <f>SUM(D41:W41)/SUM(D40:W40)</f>
        <v>1742.5903007237885</v>
      </c>
      <c r="D42" s="437"/>
      <c r="E42" s="437"/>
      <c r="F42" s="437"/>
      <c r="G42" s="437"/>
      <c r="H42" s="437"/>
      <c r="I42" s="437"/>
      <c r="J42" s="437"/>
      <c r="K42" s="437"/>
      <c r="L42" s="437"/>
      <c r="M42" s="437"/>
      <c r="N42" s="437"/>
      <c r="O42" s="437"/>
      <c r="P42" s="437"/>
      <c r="Q42" s="437"/>
      <c r="R42" s="437"/>
      <c r="S42" s="437"/>
      <c r="T42" s="437"/>
      <c r="U42" s="437"/>
      <c r="V42" s="437"/>
      <c r="W42" s="437"/>
    </row>
    <row r="43" spans="1:24" ht="28.2">
      <c r="B43" s="465" t="s">
        <v>298</v>
      </c>
      <c r="C43" s="472">
        <f>C42/1000</f>
        <v>1.7425903007237884</v>
      </c>
      <c r="D43" s="437"/>
      <c r="E43" s="437"/>
      <c r="F43" s="437"/>
      <c r="G43" s="437"/>
      <c r="H43" s="437"/>
      <c r="I43" s="437"/>
      <c r="J43" s="437"/>
      <c r="K43" s="437"/>
      <c r="L43" s="437"/>
      <c r="M43" s="437"/>
      <c r="N43" s="437"/>
      <c r="O43" s="437"/>
      <c r="P43" s="437"/>
      <c r="Q43" s="437"/>
      <c r="R43" s="437"/>
      <c r="S43" s="437"/>
      <c r="T43" s="437"/>
      <c r="U43" s="437"/>
      <c r="V43" s="437"/>
      <c r="W43" s="437"/>
    </row>
    <row r="45" spans="1:24">
      <c r="C45" s="480"/>
    </row>
    <row r="47" spans="1:24">
      <c r="B47" s="444" t="s">
        <v>305</v>
      </c>
      <c r="C47" s="437"/>
      <c r="D47" s="437"/>
      <c r="E47" s="437"/>
      <c r="F47" s="437"/>
      <c r="G47" s="437"/>
      <c r="H47" s="437"/>
      <c r="I47" s="437"/>
      <c r="J47" s="437"/>
      <c r="K47" s="437"/>
      <c r="L47" s="437"/>
      <c r="M47" s="437"/>
      <c r="N47" s="437"/>
      <c r="O47" s="437"/>
      <c r="P47" s="437"/>
      <c r="Q47" s="437"/>
      <c r="R47" s="437"/>
      <c r="S47" s="437"/>
      <c r="T47" s="437"/>
      <c r="U47" s="437"/>
      <c r="V47" s="437"/>
      <c r="W47" s="437"/>
      <c r="X47" s="437"/>
    </row>
    <row r="48" spans="1:24">
      <c r="A48" s="481"/>
      <c r="B48" s="448"/>
      <c r="C48" s="448"/>
      <c r="D48" s="449">
        <v>1</v>
      </c>
      <c r="E48" s="449">
        <v>2</v>
      </c>
      <c r="F48" s="449">
        <v>3</v>
      </c>
      <c r="G48" s="449">
        <v>4</v>
      </c>
      <c r="H48" s="449">
        <v>5</v>
      </c>
      <c r="I48" s="449">
        <v>6</v>
      </c>
      <c r="J48" s="449">
        <v>7</v>
      </c>
      <c r="K48" s="449">
        <v>8</v>
      </c>
      <c r="L48" s="449">
        <v>9</v>
      </c>
      <c r="M48" s="449">
        <v>10</v>
      </c>
      <c r="N48" s="449">
        <v>11</v>
      </c>
      <c r="O48" s="449">
        <v>12</v>
      </c>
      <c r="P48" s="449">
        <v>13</v>
      </c>
      <c r="Q48" s="449">
        <v>14</v>
      </c>
      <c r="R48" s="449">
        <v>15</v>
      </c>
      <c r="S48" s="449">
        <v>16</v>
      </c>
      <c r="T48" s="449">
        <v>17</v>
      </c>
      <c r="U48" s="449">
        <v>18</v>
      </c>
      <c r="V48" s="449">
        <v>19</v>
      </c>
      <c r="W48" s="449">
        <v>20</v>
      </c>
      <c r="X48" s="449"/>
    </row>
    <row r="49" spans="1:24">
      <c r="A49" s="481"/>
      <c r="B49" s="450" t="s">
        <v>268</v>
      </c>
      <c r="C49" s="450" t="s">
        <v>210</v>
      </c>
      <c r="D49" s="451">
        <f>D7</f>
        <v>40268</v>
      </c>
      <c r="E49" s="451">
        <f t="shared" ref="E49:W49" si="10">E7</f>
        <v>40633</v>
      </c>
      <c r="F49" s="451">
        <f t="shared" si="10"/>
        <v>40999</v>
      </c>
      <c r="G49" s="451">
        <f t="shared" si="10"/>
        <v>41364</v>
      </c>
      <c r="H49" s="451">
        <f t="shared" si="10"/>
        <v>41729</v>
      </c>
      <c r="I49" s="451">
        <f t="shared" si="10"/>
        <v>42094</v>
      </c>
      <c r="J49" s="451">
        <f t="shared" si="10"/>
        <v>42460</v>
      </c>
      <c r="K49" s="451">
        <f t="shared" si="10"/>
        <v>42825</v>
      </c>
      <c r="L49" s="451">
        <f t="shared" si="10"/>
        <v>43190</v>
      </c>
      <c r="M49" s="451">
        <f t="shared" si="10"/>
        <v>43555</v>
      </c>
      <c r="N49" s="451">
        <f t="shared" si="10"/>
        <v>43921</v>
      </c>
      <c r="O49" s="451">
        <f t="shared" si="10"/>
        <v>44286</v>
      </c>
      <c r="P49" s="451">
        <f t="shared" si="10"/>
        <v>44651</v>
      </c>
      <c r="Q49" s="451">
        <f t="shared" si="10"/>
        <v>45016</v>
      </c>
      <c r="R49" s="451">
        <f t="shared" si="10"/>
        <v>45382</v>
      </c>
      <c r="S49" s="451">
        <f t="shared" si="10"/>
        <v>45747</v>
      </c>
      <c r="T49" s="451">
        <f t="shared" si="10"/>
        <v>46112</v>
      </c>
      <c r="U49" s="451">
        <f t="shared" si="10"/>
        <v>46477</v>
      </c>
      <c r="V49" s="451">
        <f t="shared" si="10"/>
        <v>46843</v>
      </c>
      <c r="W49" s="451">
        <f t="shared" si="10"/>
        <v>47208</v>
      </c>
      <c r="X49" s="451"/>
    </row>
    <row r="50" spans="1:24">
      <c r="A50" s="481"/>
      <c r="B50" s="522" t="s">
        <v>269</v>
      </c>
      <c r="C50" s="523"/>
      <c r="D50" s="523"/>
      <c r="E50" s="523"/>
      <c r="F50" s="523"/>
      <c r="G50" s="523"/>
      <c r="H50" s="523"/>
      <c r="I50" s="523"/>
      <c r="J50" s="523"/>
      <c r="K50" s="523"/>
      <c r="L50" s="523"/>
      <c r="M50" s="523"/>
      <c r="N50" s="523"/>
      <c r="O50" s="523"/>
      <c r="P50" s="523"/>
      <c r="Q50" s="523"/>
      <c r="R50" s="523"/>
      <c r="S50" s="523"/>
      <c r="T50" s="523"/>
      <c r="U50" s="523"/>
      <c r="V50" s="523"/>
      <c r="W50" s="524"/>
      <c r="X50" s="438"/>
    </row>
    <row r="51" spans="1:24">
      <c r="A51" s="481"/>
      <c r="B51" s="443" t="s">
        <v>39</v>
      </c>
      <c r="C51" s="443" t="s">
        <v>270</v>
      </c>
      <c r="D51" s="461">
        <f>D9</f>
        <v>12.277051856232198</v>
      </c>
      <c r="E51" s="461">
        <f t="shared" ref="E51:W51" si="11">E9</f>
        <v>27.66125881188119</v>
      </c>
      <c r="F51" s="461">
        <f t="shared" si="11"/>
        <v>27.66125881188119</v>
      </c>
      <c r="G51" s="461">
        <f t="shared" si="11"/>
        <v>27.66125881188119</v>
      </c>
      <c r="H51" s="461">
        <f t="shared" si="11"/>
        <v>27.66125881188119</v>
      </c>
      <c r="I51" s="461">
        <f t="shared" si="11"/>
        <v>27.66125881188119</v>
      </c>
      <c r="J51" s="461">
        <f t="shared" si="11"/>
        <v>27.66125881188119</v>
      </c>
      <c r="K51" s="461">
        <f t="shared" si="11"/>
        <v>27.66125881188119</v>
      </c>
      <c r="L51" s="461">
        <f t="shared" si="11"/>
        <v>27.66125881188119</v>
      </c>
      <c r="M51" s="461">
        <f t="shared" si="11"/>
        <v>27.66125881188119</v>
      </c>
      <c r="N51" s="461">
        <f t="shared" si="11"/>
        <v>27.66125881188119</v>
      </c>
      <c r="O51" s="461">
        <f t="shared" si="11"/>
        <v>27.66125881188119</v>
      </c>
      <c r="P51" s="461">
        <f t="shared" si="11"/>
        <v>27.66125881188119</v>
      </c>
      <c r="Q51" s="461">
        <f t="shared" si="11"/>
        <v>27.66125881188119</v>
      </c>
      <c r="R51" s="461">
        <f t="shared" si="11"/>
        <v>27.66125881188119</v>
      </c>
      <c r="S51" s="461">
        <f t="shared" si="11"/>
        <v>27.66125881188119</v>
      </c>
      <c r="T51" s="461">
        <f t="shared" si="11"/>
        <v>27.66125881188119</v>
      </c>
      <c r="U51" s="461">
        <f t="shared" si="11"/>
        <v>18.539607736877748</v>
      </c>
      <c r="V51" s="461">
        <f t="shared" si="11"/>
        <v>4.7644603960396044</v>
      </c>
      <c r="W51" s="461">
        <f t="shared" si="11"/>
        <v>4.7644603960396044</v>
      </c>
      <c r="X51" s="461"/>
    </row>
    <row r="52" spans="1:24">
      <c r="A52" s="481"/>
      <c r="B52" s="443" t="s">
        <v>302</v>
      </c>
      <c r="C52" s="443" t="s">
        <v>275</v>
      </c>
      <c r="D52" s="461">
        <f>D10</f>
        <v>24.4146</v>
      </c>
      <c r="E52" s="461">
        <f>'Assumption '!$D$39*'Assumption '!$D$99</f>
        <v>24.4146</v>
      </c>
      <c r="F52" s="461">
        <f>'Assumption '!$D$39*'Assumption '!$D$99</f>
        <v>24.4146</v>
      </c>
      <c r="G52" s="461">
        <f>'Assumption '!$D$39*'Assumption '!$D$99</f>
        <v>24.4146</v>
      </c>
      <c r="H52" s="461">
        <f>'Assumption '!$D$39*'Assumption '!$D$99</f>
        <v>24.4146</v>
      </c>
      <c r="I52" s="461">
        <f>'Assumption '!$D$39*'Assumption '!$D$99</f>
        <v>24.4146</v>
      </c>
      <c r="J52" s="461">
        <f>'Assumption '!$D$39*'Assumption '!$D$99</f>
        <v>24.4146</v>
      </c>
      <c r="K52" s="461">
        <f>'Assumption '!$D$39*'Assumption '!$D$99</f>
        <v>24.4146</v>
      </c>
      <c r="L52" s="461">
        <f>'Assumption '!$D$39*'Assumption '!$D$99</f>
        <v>24.4146</v>
      </c>
      <c r="M52" s="461">
        <f>'Assumption '!$D$39*'Assumption '!$D$99</f>
        <v>24.4146</v>
      </c>
      <c r="N52" s="461">
        <f>'Assumption '!$D$39*'Assumption '!$D$99</f>
        <v>24.4146</v>
      </c>
      <c r="O52" s="461">
        <f>'Assumption '!$D$39*'Assumption '!$D$99</f>
        <v>24.4146</v>
      </c>
      <c r="P52" s="461">
        <f>'Assumption '!$D$39*'Assumption '!$D$99</f>
        <v>24.4146</v>
      </c>
      <c r="Q52" s="461">
        <f>'Assumption '!$D$39*'Assumption '!$D$99</f>
        <v>24.4146</v>
      </c>
      <c r="R52" s="461">
        <f>'Assumption '!$D$39*'Assumption '!$D$99</f>
        <v>24.4146</v>
      </c>
      <c r="S52" s="461">
        <f>'Assumption '!$D$39*'Assumption '!$D$99</f>
        <v>24.4146</v>
      </c>
      <c r="T52" s="461">
        <f>'Assumption '!$D$39*'Assumption '!$D$99</f>
        <v>24.4146</v>
      </c>
      <c r="U52" s="461">
        <f>'Assumption '!$D$39*'Assumption '!$D$99</f>
        <v>24.4146</v>
      </c>
      <c r="V52" s="461">
        <f>'Assumption '!$D$39*'Assumption '!$D$99</f>
        <v>24.4146</v>
      </c>
      <c r="W52" s="461">
        <f>'Assumption '!$D$39*'Assumption '!$D$99</f>
        <v>24.4146</v>
      </c>
      <c r="X52" s="461"/>
    </row>
    <row r="53" spans="1:24">
      <c r="A53" s="481"/>
      <c r="B53" s="444" t="s">
        <v>271</v>
      </c>
      <c r="C53" s="443" t="s">
        <v>270</v>
      </c>
      <c r="D53" s="452">
        <f>D11</f>
        <v>36.691651856232198</v>
      </c>
      <c r="E53" s="452">
        <f t="shared" ref="E53" si="12">SUM(E51:E52)</f>
        <v>52.07585881188119</v>
      </c>
      <c r="F53" s="452">
        <f t="shared" ref="F53" si="13">SUM(F51:F52)</f>
        <v>52.07585881188119</v>
      </c>
      <c r="G53" s="452">
        <f t="shared" ref="G53" si="14">SUM(G51:G52)</f>
        <v>52.07585881188119</v>
      </c>
      <c r="H53" s="452">
        <f t="shared" ref="H53" si="15">SUM(H51:H52)</f>
        <v>52.07585881188119</v>
      </c>
      <c r="I53" s="452">
        <f t="shared" ref="I53" si="16">SUM(I51:I52)</f>
        <v>52.07585881188119</v>
      </c>
      <c r="J53" s="452">
        <f t="shared" ref="J53" si="17">SUM(J51:J52)</f>
        <v>52.07585881188119</v>
      </c>
      <c r="K53" s="452">
        <f t="shared" ref="K53" si="18">SUM(K51:K52)</f>
        <v>52.07585881188119</v>
      </c>
      <c r="L53" s="452">
        <f t="shared" ref="L53" si="19">SUM(L51:L52)</f>
        <v>52.07585881188119</v>
      </c>
      <c r="M53" s="452">
        <f t="shared" ref="M53" si="20">SUM(M51:M52)</f>
        <v>52.07585881188119</v>
      </c>
      <c r="N53" s="452">
        <f t="shared" ref="N53" si="21">SUM(N51:N52)</f>
        <v>52.07585881188119</v>
      </c>
      <c r="O53" s="452">
        <f t="shared" ref="O53" si="22">SUM(O51:O52)</f>
        <v>52.07585881188119</v>
      </c>
      <c r="P53" s="452">
        <f t="shared" ref="P53" si="23">SUM(P51:P52)</f>
        <v>52.07585881188119</v>
      </c>
      <c r="Q53" s="452">
        <f t="shared" ref="Q53" si="24">SUM(Q51:Q52)</f>
        <v>52.07585881188119</v>
      </c>
      <c r="R53" s="452">
        <f t="shared" ref="R53" si="25">SUM(R51:R52)</f>
        <v>52.07585881188119</v>
      </c>
      <c r="S53" s="452">
        <f t="shared" ref="S53" si="26">SUM(S51:S52)</f>
        <v>52.07585881188119</v>
      </c>
      <c r="T53" s="452">
        <f t="shared" ref="T53" si="27">SUM(T51:T52)</f>
        <v>52.07585881188119</v>
      </c>
      <c r="U53" s="452">
        <f t="shared" ref="U53" si="28">SUM(U51:U52)</f>
        <v>42.954207736877748</v>
      </c>
      <c r="V53" s="452">
        <f t="shared" ref="V53" si="29">SUM(V51:V52)</f>
        <v>29.179060396039603</v>
      </c>
      <c r="W53" s="452">
        <f t="shared" ref="W53" si="30">SUM(W51:W52)</f>
        <v>29.179060396039603</v>
      </c>
      <c r="X53" s="452"/>
    </row>
    <row r="54" spans="1:24">
      <c r="A54" s="481"/>
      <c r="B54" s="525" t="s">
        <v>272</v>
      </c>
      <c r="C54" s="525"/>
      <c r="D54" s="525"/>
      <c r="E54" s="525"/>
      <c r="F54" s="525"/>
      <c r="G54" s="525"/>
      <c r="H54" s="525"/>
      <c r="I54" s="525"/>
      <c r="J54" s="525"/>
      <c r="K54" s="525"/>
      <c r="L54" s="525"/>
      <c r="M54" s="525"/>
      <c r="N54" s="525"/>
      <c r="O54" s="525"/>
      <c r="P54" s="525"/>
      <c r="Q54" s="525"/>
      <c r="R54" s="525"/>
      <c r="S54" s="525"/>
      <c r="T54" s="525"/>
      <c r="U54" s="525"/>
      <c r="V54" s="525"/>
      <c r="W54" s="525"/>
      <c r="X54" s="439"/>
    </row>
    <row r="55" spans="1:24">
      <c r="A55" s="481"/>
      <c r="B55" s="454" t="s">
        <v>273</v>
      </c>
      <c r="C55" s="454" t="s">
        <v>270</v>
      </c>
      <c r="D55" s="455" t="s">
        <v>295</v>
      </c>
      <c r="E55" s="455" t="s">
        <v>295</v>
      </c>
      <c r="F55" s="455" t="s">
        <v>295</v>
      </c>
      <c r="G55" s="455" t="s">
        <v>295</v>
      </c>
      <c r="H55" s="455" t="s">
        <v>295</v>
      </c>
      <c r="I55" s="455" t="s">
        <v>295</v>
      </c>
      <c r="J55" s="455" t="s">
        <v>295</v>
      </c>
      <c r="K55" s="455" t="s">
        <v>295</v>
      </c>
      <c r="L55" s="455" t="s">
        <v>295</v>
      </c>
      <c r="M55" s="455" t="s">
        <v>295</v>
      </c>
      <c r="N55" s="455" t="s">
        <v>295</v>
      </c>
      <c r="O55" s="455" t="s">
        <v>295</v>
      </c>
      <c r="P55" s="455" t="s">
        <v>295</v>
      </c>
      <c r="Q55" s="455" t="s">
        <v>295</v>
      </c>
      <c r="R55" s="455" t="s">
        <v>295</v>
      </c>
      <c r="S55" s="455" t="s">
        <v>295</v>
      </c>
      <c r="T55" s="455" t="s">
        <v>295</v>
      </c>
      <c r="U55" s="455" t="s">
        <v>295</v>
      </c>
      <c r="V55" s="455" t="s">
        <v>295</v>
      </c>
      <c r="W55" s="455" t="s">
        <v>295</v>
      </c>
      <c r="X55" s="455"/>
    </row>
    <row r="56" spans="1:24">
      <c r="B56" s="443" t="s">
        <v>274</v>
      </c>
      <c r="C56" s="443" t="s">
        <v>275</v>
      </c>
      <c r="D56" s="453">
        <f>D14</f>
        <v>21.712438356164387</v>
      </c>
      <c r="E56" s="453">
        <f t="shared" ref="E56:W56" si="31">E14</f>
        <v>49.96</v>
      </c>
      <c r="F56" s="453">
        <f t="shared" si="31"/>
        <v>51.958400000000005</v>
      </c>
      <c r="G56" s="453">
        <f t="shared" si="31"/>
        <v>54.036736000000005</v>
      </c>
      <c r="H56" s="453">
        <f t="shared" si="31"/>
        <v>56.19820544000001</v>
      </c>
      <c r="I56" s="453">
        <f t="shared" si="31"/>
        <v>58.446133657600015</v>
      </c>
      <c r="J56" s="453">
        <f t="shared" si="31"/>
        <v>60.783979003904015</v>
      </c>
      <c r="K56" s="453">
        <f t="shared" si="31"/>
        <v>63.215338164060178</v>
      </c>
      <c r="L56" s="453">
        <f t="shared" si="31"/>
        <v>65.74395169062258</v>
      </c>
      <c r="M56" s="453">
        <f t="shared" si="31"/>
        <v>68.373709758247486</v>
      </c>
      <c r="N56" s="453">
        <f t="shared" si="31"/>
        <v>71.108658148577391</v>
      </c>
      <c r="O56" s="453">
        <f t="shared" si="31"/>
        <v>73.953004474520483</v>
      </c>
      <c r="P56" s="453">
        <f t="shared" si="31"/>
        <v>76.911124653501304</v>
      </c>
      <c r="Q56" s="453">
        <f t="shared" si="31"/>
        <v>79.987569639641364</v>
      </c>
      <c r="R56" s="453">
        <f t="shared" si="31"/>
        <v>83.187072425227015</v>
      </c>
      <c r="S56" s="453">
        <f t="shared" si="31"/>
        <v>86.514555322236092</v>
      </c>
      <c r="T56" s="453">
        <f t="shared" si="31"/>
        <v>89.97513753512554</v>
      </c>
      <c r="U56" s="453">
        <f t="shared" si="31"/>
        <v>93.574143036530572</v>
      </c>
      <c r="V56" s="453">
        <f t="shared" si="31"/>
        <v>97.317108757991804</v>
      </c>
      <c r="W56" s="453">
        <f t="shared" si="31"/>
        <v>101.20979310831147</v>
      </c>
      <c r="X56" s="453"/>
    </row>
    <row r="57" spans="1:24">
      <c r="B57" s="443" t="s">
        <v>276</v>
      </c>
      <c r="C57" s="443" t="s">
        <v>275</v>
      </c>
      <c r="D57" s="453">
        <f>D15</f>
        <v>0.15392036779883658</v>
      </c>
      <c r="E57" s="453">
        <f t="shared" ref="E57:W57" si="32">E15</f>
        <v>0.35416849315068494</v>
      </c>
      <c r="F57" s="453">
        <f t="shared" si="32"/>
        <v>0.36833523287671233</v>
      </c>
      <c r="G57" s="453">
        <f t="shared" si="32"/>
        <v>0.38306864219178088</v>
      </c>
      <c r="H57" s="453">
        <f t="shared" si="32"/>
        <v>0.39839138787945211</v>
      </c>
      <c r="I57" s="453">
        <f t="shared" si="32"/>
        <v>0.41432704339463022</v>
      </c>
      <c r="J57" s="453">
        <f t="shared" si="32"/>
        <v>0.43090012513041548</v>
      </c>
      <c r="K57" s="453">
        <f t="shared" si="32"/>
        <v>0.44813613013563208</v>
      </c>
      <c r="L57" s="453">
        <f t="shared" si="32"/>
        <v>0.46606157534105735</v>
      </c>
      <c r="M57" s="453">
        <f t="shared" si="32"/>
        <v>0.48470403835469966</v>
      </c>
      <c r="N57" s="453">
        <f t="shared" si="32"/>
        <v>0.50409219988888765</v>
      </c>
      <c r="O57" s="453">
        <f t="shared" si="32"/>
        <v>0.52425588788444322</v>
      </c>
      <c r="P57" s="453">
        <f t="shared" si="32"/>
        <v>0.54522612339982102</v>
      </c>
      <c r="Q57" s="453">
        <f t="shared" si="32"/>
        <v>0.5670351683358138</v>
      </c>
      <c r="R57" s="453">
        <f t="shared" si="32"/>
        <v>0.58971657506924635</v>
      </c>
      <c r="S57" s="453">
        <f t="shared" si="32"/>
        <v>0.6133052380720162</v>
      </c>
      <c r="T57" s="453">
        <f t="shared" si="32"/>
        <v>0.6378374475948968</v>
      </c>
      <c r="U57" s="453">
        <f t="shared" si="32"/>
        <v>0.66335094549869278</v>
      </c>
      <c r="V57" s="453">
        <f t="shared" si="32"/>
        <v>0.68988498331864057</v>
      </c>
      <c r="W57" s="453">
        <f t="shared" si="32"/>
        <v>0.71748038265138614</v>
      </c>
      <c r="X57" s="453"/>
    </row>
    <row r="58" spans="1:24">
      <c r="B58" s="454" t="s">
        <v>277</v>
      </c>
      <c r="C58" s="443" t="s">
        <v>275</v>
      </c>
      <c r="D58" s="456">
        <f>D16</f>
        <v>20.769132328767125</v>
      </c>
      <c r="E58" s="456">
        <f t="shared" ref="E58:W58" si="33">E16</f>
        <v>45.846109797297302</v>
      </c>
      <c r="F58" s="456">
        <f t="shared" si="33"/>
        <v>41.103408783783784</v>
      </c>
      <c r="G58" s="456">
        <f t="shared" si="33"/>
        <v>36.044527702702709</v>
      </c>
      <c r="H58" s="456">
        <f t="shared" si="33"/>
        <v>30.985646621621633</v>
      </c>
      <c r="I58" s="456">
        <f t="shared" si="33"/>
        <v>25.926765540540558</v>
      </c>
      <c r="J58" s="456">
        <f t="shared" si="33"/>
        <v>20.867884459459482</v>
      </c>
      <c r="K58" s="456">
        <f t="shared" si="33"/>
        <v>15.809003378378403</v>
      </c>
      <c r="L58" s="456">
        <f t="shared" si="33"/>
        <v>10.750122297297324</v>
      </c>
      <c r="M58" s="456">
        <f t="shared" si="33"/>
        <v>5.6912412162162394</v>
      </c>
      <c r="N58" s="456">
        <f t="shared" si="33"/>
        <v>0.94854020270272665</v>
      </c>
      <c r="O58" s="456">
        <f t="shared" si="33"/>
        <v>0</v>
      </c>
      <c r="P58" s="456">
        <f t="shared" si="33"/>
        <v>0</v>
      </c>
      <c r="Q58" s="456">
        <f t="shared" si="33"/>
        <v>0</v>
      </c>
      <c r="R58" s="456">
        <f t="shared" si="33"/>
        <v>0</v>
      </c>
      <c r="S58" s="456">
        <f t="shared" si="33"/>
        <v>0</v>
      </c>
      <c r="T58" s="456">
        <f t="shared" si="33"/>
        <v>0</v>
      </c>
      <c r="U58" s="456">
        <f t="shared" si="33"/>
        <v>0</v>
      </c>
      <c r="V58" s="456">
        <f t="shared" si="33"/>
        <v>0</v>
      </c>
      <c r="W58" s="456">
        <f t="shared" si="33"/>
        <v>0</v>
      </c>
      <c r="X58" s="456"/>
    </row>
    <row r="59" spans="1:24">
      <c r="B59" s="457" t="s">
        <v>278</v>
      </c>
      <c r="C59" s="457" t="s">
        <v>275</v>
      </c>
      <c r="D59" s="460">
        <f>SUM(D55:D58)</f>
        <v>42.635491052730345</v>
      </c>
      <c r="E59" s="460">
        <f t="shared" ref="E59:W59" si="34">SUM(E55:E58)</f>
        <v>96.160278290447991</v>
      </c>
      <c r="F59" s="460">
        <f t="shared" si="34"/>
        <v>93.430144016660506</v>
      </c>
      <c r="G59" s="460">
        <f t="shared" si="34"/>
        <v>90.464332344894501</v>
      </c>
      <c r="H59" s="460">
        <f t="shared" si="34"/>
        <v>87.582243449501092</v>
      </c>
      <c r="I59" s="460">
        <f t="shared" si="34"/>
        <v>84.787226241535194</v>
      </c>
      <c r="J59" s="460">
        <f t="shared" si="34"/>
        <v>82.082763588493918</v>
      </c>
      <c r="K59" s="460">
        <f t="shared" si="34"/>
        <v>79.472477672574215</v>
      </c>
      <c r="L59" s="460">
        <f t="shared" si="34"/>
        <v>76.960135563260962</v>
      </c>
      <c r="M59" s="460">
        <f t="shared" si="34"/>
        <v>74.54965501281842</v>
      </c>
      <c r="N59" s="460">
        <f t="shared" si="34"/>
        <v>72.561290551169009</v>
      </c>
      <c r="O59" s="460">
        <f t="shared" si="34"/>
        <v>74.47726036240492</v>
      </c>
      <c r="P59" s="460">
        <f t="shared" si="34"/>
        <v>77.456350776901118</v>
      </c>
      <c r="Q59" s="460">
        <f t="shared" si="34"/>
        <v>80.554604807977185</v>
      </c>
      <c r="R59" s="460">
        <f t="shared" si="34"/>
        <v>83.776789000296262</v>
      </c>
      <c r="S59" s="460">
        <f t="shared" si="34"/>
        <v>87.127860560308108</v>
      </c>
      <c r="T59" s="460">
        <f t="shared" si="34"/>
        <v>90.612974982720431</v>
      </c>
      <c r="U59" s="460">
        <f t="shared" si="34"/>
        <v>94.237493982029264</v>
      </c>
      <c r="V59" s="460">
        <f t="shared" si="34"/>
        <v>98.006993741310438</v>
      </c>
      <c r="W59" s="460">
        <f t="shared" si="34"/>
        <v>101.92727349096286</v>
      </c>
      <c r="X59" s="460"/>
    </row>
    <row r="60" spans="1:24">
      <c r="B60" s="454" t="s">
        <v>63</v>
      </c>
      <c r="C60" s="454" t="s">
        <v>275</v>
      </c>
      <c r="D60" s="458">
        <f>D18</f>
        <v>0</v>
      </c>
      <c r="E60" s="458">
        <f t="shared" ref="E60:W60" si="35">E18</f>
        <v>0</v>
      </c>
      <c r="F60" s="458">
        <f t="shared" si="35"/>
        <v>0</v>
      </c>
      <c r="G60" s="458">
        <f t="shared" si="35"/>
        <v>0</v>
      </c>
      <c r="H60" s="458">
        <f t="shared" si="35"/>
        <v>0</v>
      </c>
      <c r="I60" s="458">
        <f t="shared" si="35"/>
        <v>0</v>
      </c>
      <c r="J60" s="458">
        <f t="shared" si="35"/>
        <v>0</v>
      </c>
      <c r="K60" s="458">
        <f t="shared" si="35"/>
        <v>0</v>
      </c>
      <c r="L60" s="458">
        <f t="shared" si="35"/>
        <v>0</v>
      </c>
      <c r="M60" s="458">
        <f t="shared" si="35"/>
        <v>0</v>
      </c>
      <c r="N60" s="458">
        <f t="shared" si="35"/>
        <v>0</v>
      </c>
      <c r="O60" s="458">
        <f t="shared" si="35"/>
        <v>0</v>
      </c>
      <c r="P60" s="458">
        <f t="shared" si="35"/>
        <v>0</v>
      </c>
      <c r="Q60" s="458">
        <f t="shared" si="35"/>
        <v>0</v>
      </c>
      <c r="R60" s="458">
        <f t="shared" si="35"/>
        <v>0</v>
      </c>
      <c r="S60" s="458">
        <f t="shared" si="35"/>
        <v>0</v>
      </c>
      <c r="T60" s="458">
        <f t="shared" si="35"/>
        <v>0</v>
      </c>
      <c r="U60" s="458">
        <f t="shared" si="35"/>
        <v>0</v>
      </c>
      <c r="V60" s="458">
        <f t="shared" si="35"/>
        <v>0</v>
      </c>
      <c r="W60" s="458">
        <f t="shared" si="35"/>
        <v>93.362797026447879</v>
      </c>
      <c r="X60" s="458"/>
    </row>
    <row r="61" spans="1:24">
      <c r="B61" s="454" t="s">
        <v>279</v>
      </c>
      <c r="C61" s="454" t="s">
        <v>275</v>
      </c>
      <c r="D61" s="458">
        <f>'P &amp; L '!D65</f>
        <v>43.559412599999995</v>
      </c>
      <c r="E61" s="458">
        <f>'P &amp; L '!E65</f>
        <v>43.559412599999995</v>
      </c>
      <c r="F61" s="458">
        <f>'P &amp; L '!F65</f>
        <v>43.559412599999995</v>
      </c>
      <c r="G61" s="458">
        <f>'P &amp; L '!G65</f>
        <v>43.559412599999995</v>
      </c>
      <c r="H61" s="458">
        <f>'P &amp; L '!H65</f>
        <v>43.559412599999995</v>
      </c>
      <c r="I61" s="458">
        <f>'P &amp; L '!I65</f>
        <v>43.559412599999995</v>
      </c>
      <c r="J61" s="458">
        <f>'P &amp; L '!J65</f>
        <v>43.559412599999995</v>
      </c>
      <c r="K61" s="458">
        <f>'P &amp; L '!K65</f>
        <v>43.559412599999995</v>
      </c>
      <c r="L61" s="458">
        <f>'P &amp; L '!L65</f>
        <v>43.559412599999995</v>
      </c>
      <c r="M61" s="458">
        <f>'P &amp; L '!M65</f>
        <v>43.559412599999995</v>
      </c>
      <c r="N61" s="458">
        <f>'P &amp; L '!N65</f>
        <v>0</v>
      </c>
      <c r="O61" s="458">
        <f>'P &amp; L '!O65</f>
        <v>0</v>
      </c>
      <c r="P61" s="458">
        <f>'P &amp; L '!P65</f>
        <v>0</v>
      </c>
      <c r="Q61" s="458">
        <f>'P &amp; L '!Q65</f>
        <v>0</v>
      </c>
      <c r="R61" s="458">
        <f>'P &amp; L '!R65</f>
        <v>0</v>
      </c>
      <c r="S61" s="458">
        <f>'P &amp; L '!S65</f>
        <v>0</v>
      </c>
      <c r="T61" s="458">
        <f>'P &amp; L '!T65</f>
        <v>0</v>
      </c>
      <c r="U61" s="458">
        <f>'P &amp; L '!U65</f>
        <v>0</v>
      </c>
      <c r="V61" s="458">
        <f>'P &amp; L '!V65</f>
        <v>0</v>
      </c>
      <c r="W61" s="458">
        <f>'P &amp; L '!W65</f>
        <v>0</v>
      </c>
      <c r="X61" s="458"/>
    </row>
    <row r="62" spans="1:24">
      <c r="B62" s="454" t="s">
        <v>280</v>
      </c>
      <c r="C62" s="454" t="s">
        <v>275</v>
      </c>
      <c r="D62" s="458">
        <f>D19</f>
        <v>11.430318851297617</v>
      </c>
      <c r="E62" s="458">
        <f t="shared" ref="E62:W62" si="36">E19</f>
        <v>21.951937884855585</v>
      </c>
      <c r="F62" s="458">
        <f t="shared" si="36"/>
        <v>15.145129827546187</v>
      </c>
      <c r="G62" s="458">
        <f t="shared" si="36"/>
        <v>10.91001528563379</v>
      </c>
      <c r="H62" s="458">
        <f t="shared" si="36"/>
        <v>7.1326075549835055</v>
      </c>
      <c r="I62" s="458">
        <f t="shared" si="36"/>
        <v>3.7503843382143116</v>
      </c>
      <c r="J62" s="458">
        <f t="shared" si="36"/>
        <v>0.71015512582132734</v>
      </c>
      <c r="K62" s="458">
        <f t="shared" si="36"/>
        <v>0</v>
      </c>
      <c r="L62" s="458">
        <f t="shared" si="36"/>
        <v>0</v>
      </c>
      <c r="M62" s="458">
        <f t="shared" si="36"/>
        <v>0</v>
      </c>
      <c r="N62" s="458">
        <f t="shared" si="36"/>
        <v>0</v>
      </c>
      <c r="O62" s="458">
        <f t="shared" si="36"/>
        <v>0</v>
      </c>
      <c r="P62" s="458">
        <f t="shared" si="36"/>
        <v>0</v>
      </c>
      <c r="Q62" s="458">
        <f t="shared" si="36"/>
        <v>0</v>
      </c>
      <c r="R62" s="458">
        <f t="shared" si="36"/>
        <v>0</v>
      </c>
      <c r="S62" s="458">
        <f t="shared" si="36"/>
        <v>0</v>
      </c>
      <c r="T62" s="458">
        <f t="shared" si="36"/>
        <v>0</v>
      </c>
      <c r="U62" s="458">
        <f t="shared" si="36"/>
        <v>0</v>
      </c>
      <c r="V62" s="458">
        <f t="shared" si="36"/>
        <v>0</v>
      </c>
      <c r="W62" s="458">
        <f t="shared" si="36"/>
        <v>0</v>
      </c>
      <c r="X62" s="458"/>
    </row>
    <row r="63" spans="1:24">
      <c r="B63" s="525" t="s">
        <v>281</v>
      </c>
      <c r="C63" s="525"/>
      <c r="D63" s="525"/>
      <c r="E63" s="525"/>
      <c r="F63" s="525"/>
      <c r="G63" s="525"/>
      <c r="H63" s="525"/>
      <c r="I63" s="525"/>
      <c r="J63" s="525"/>
      <c r="K63" s="525"/>
      <c r="L63" s="525"/>
      <c r="M63" s="525"/>
      <c r="N63" s="525"/>
      <c r="O63" s="525"/>
      <c r="P63" s="525"/>
      <c r="Q63" s="525"/>
      <c r="R63" s="525"/>
      <c r="S63" s="525"/>
      <c r="T63" s="525"/>
      <c r="U63" s="525"/>
      <c r="V63" s="525"/>
      <c r="W63" s="525"/>
      <c r="X63" s="439"/>
    </row>
    <row r="64" spans="1:24">
      <c r="B64" s="443" t="s">
        <v>282</v>
      </c>
      <c r="C64" s="443" t="s">
        <v>270</v>
      </c>
      <c r="D64" s="446">
        <f t="shared" ref="D64:W64" si="37">D53+D59</f>
        <v>79.327142908962543</v>
      </c>
      <c r="E64" s="446">
        <f t="shared" si="37"/>
        <v>148.23613710232917</v>
      </c>
      <c r="F64" s="446">
        <f t="shared" si="37"/>
        <v>145.50600282854168</v>
      </c>
      <c r="G64" s="446">
        <f t="shared" si="37"/>
        <v>142.54019115677568</v>
      </c>
      <c r="H64" s="446">
        <f t="shared" si="37"/>
        <v>139.65810226138228</v>
      </c>
      <c r="I64" s="446">
        <f t="shared" si="37"/>
        <v>136.8630850534164</v>
      </c>
      <c r="J64" s="446">
        <f t="shared" si="37"/>
        <v>134.15862240037512</v>
      </c>
      <c r="K64" s="446">
        <f t="shared" si="37"/>
        <v>131.5483364844554</v>
      </c>
      <c r="L64" s="446">
        <f t="shared" si="37"/>
        <v>129.03599437514214</v>
      </c>
      <c r="M64" s="446">
        <f t="shared" si="37"/>
        <v>126.62551382469961</v>
      </c>
      <c r="N64" s="446">
        <f t="shared" si="37"/>
        <v>124.6371493630502</v>
      </c>
      <c r="O64" s="446">
        <f t="shared" si="37"/>
        <v>126.55311917428611</v>
      </c>
      <c r="P64" s="446">
        <f t="shared" si="37"/>
        <v>129.53220958878231</v>
      </c>
      <c r="Q64" s="446">
        <f t="shared" si="37"/>
        <v>132.63046361985838</v>
      </c>
      <c r="R64" s="446">
        <f t="shared" si="37"/>
        <v>135.85264781217745</v>
      </c>
      <c r="S64" s="446">
        <f t="shared" si="37"/>
        <v>139.20371937218931</v>
      </c>
      <c r="T64" s="446">
        <f t="shared" si="37"/>
        <v>142.68883379460163</v>
      </c>
      <c r="U64" s="446">
        <f t="shared" si="37"/>
        <v>137.19170171890701</v>
      </c>
      <c r="V64" s="446">
        <f t="shared" si="37"/>
        <v>127.18605413735004</v>
      </c>
      <c r="W64" s="446">
        <f t="shared" si="37"/>
        <v>131.10633388700245</v>
      </c>
      <c r="X64" s="446"/>
    </row>
    <row r="65" spans="2:24">
      <c r="B65" s="443" t="s">
        <v>1</v>
      </c>
      <c r="C65" s="443" t="s">
        <v>270</v>
      </c>
      <c r="D65" s="446">
        <f>SUM(D60:D62)</f>
        <v>54.989731451297615</v>
      </c>
      <c r="E65" s="446">
        <f t="shared" ref="E65:W65" si="38">SUM(E60:E62)</f>
        <v>65.511350484855583</v>
      </c>
      <c r="F65" s="446">
        <f t="shared" si="38"/>
        <v>58.70454242754618</v>
      </c>
      <c r="G65" s="446">
        <f t="shared" si="38"/>
        <v>54.469427885633785</v>
      </c>
      <c r="H65" s="446">
        <f t="shared" si="38"/>
        <v>50.692020154983503</v>
      </c>
      <c r="I65" s="446">
        <f t="shared" si="38"/>
        <v>47.309796938214305</v>
      </c>
      <c r="J65" s="446">
        <f t="shared" si="38"/>
        <v>44.269567725821325</v>
      </c>
      <c r="K65" s="446">
        <f t="shared" si="38"/>
        <v>43.559412599999995</v>
      </c>
      <c r="L65" s="446">
        <f t="shared" si="38"/>
        <v>43.559412599999995</v>
      </c>
      <c r="M65" s="446">
        <f t="shared" si="38"/>
        <v>43.559412599999995</v>
      </c>
      <c r="N65" s="446">
        <f t="shared" si="38"/>
        <v>0</v>
      </c>
      <c r="O65" s="446">
        <f t="shared" si="38"/>
        <v>0</v>
      </c>
      <c r="P65" s="446">
        <f t="shared" si="38"/>
        <v>0</v>
      </c>
      <c r="Q65" s="446">
        <f t="shared" si="38"/>
        <v>0</v>
      </c>
      <c r="R65" s="446">
        <f t="shared" si="38"/>
        <v>0</v>
      </c>
      <c r="S65" s="446">
        <f t="shared" si="38"/>
        <v>0</v>
      </c>
      <c r="T65" s="446">
        <f t="shared" si="38"/>
        <v>0</v>
      </c>
      <c r="U65" s="446">
        <f t="shared" si="38"/>
        <v>0</v>
      </c>
      <c r="V65" s="446">
        <f t="shared" si="38"/>
        <v>0</v>
      </c>
      <c r="W65" s="446">
        <f t="shared" si="38"/>
        <v>93.362797026447879</v>
      </c>
      <c r="X65" s="446"/>
    </row>
    <row r="66" spans="2:24">
      <c r="B66" s="444" t="s">
        <v>283</v>
      </c>
      <c r="C66" s="444" t="s">
        <v>270</v>
      </c>
      <c r="D66" s="452">
        <f>D64-D65</f>
        <v>24.337411457664928</v>
      </c>
      <c r="E66" s="452">
        <f t="shared" ref="E66:W66" si="39">E64-E65</f>
        <v>82.724786617473583</v>
      </c>
      <c r="F66" s="452">
        <f t="shared" si="39"/>
        <v>86.801460400995495</v>
      </c>
      <c r="G66" s="452">
        <f t="shared" si="39"/>
        <v>88.070763271141885</v>
      </c>
      <c r="H66" s="452">
        <f t="shared" si="39"/>
        <v>88.966082106398773</v>
      </c>
      <c r="I66" s="452">
        <f t="shared" si="39"/>
        <v>89.553288115202093</v>
      </c>
      <c r="J66" s="452">
        <f t="shared" si="39"/>
        <v>89.88905467455379</v>
      </c>
      <c r="K66" s="452">
        <f t="shared" si="39"/>
        <v>87.988923884455403</v>
      </c>
      <c r="L66" s="452">
        <f t="shared" si="39"/>
        <v>85.476581775142137</v>
      </c>
      <c r="M66" s="452">
        <f t="shared" si="39"/>
        <v>83.066101224699622</v>
      </c>
      <c r="N66" s="452">
        <f t="shared" si="39"/>
        <v>124.6371493630502</v>
      </c>
      <c r="O66" s="452">
        <f t="shared" si="39"/>
        <v>126.55311917428611</v>
      </c>
      <c r="P66" s="452">
        <f t="shared" si="39"/>
        <v>129.53220958878231</v>
      </c>
      <c r="Q66" s="452">
        <f t="shared" si="39"/>
        <v>132.63046361985838</v>
      </c>
      <c r="R66" s="452">
        <f t="shared" si="39"/>
        <v>135.85264781217745</v>
      </c>
      <c r="S66" s="452">
        <f t="shared" si="39"/>
        <v>139.20371937218931</v>
      </c>
      <c r="T66" s="452">
        <f t="shared" si="39"/>
        <v>142.68883379460163</v>
      </c>
      <c r="U66" s="452">
        <f t="shared" si="39"/>
        <v>137.19170171890701</v>
      </c>
      <c r="V66" s="452">
        <f t="shared" si="39"/>
        <v>127.18605413735004</v>
      </c>
      <c r="W66" s="452">
        <f t="shared" si="39"/>
        <v>37.74353686055457</v>
      </c>
      <c r="X66" s="452"/>
    </row>
    <row r="67" spans="2:24">
      <c r="B67" s="526" t="s">
        <v>284</v>
      </c>
      <c r="C67" s="526"/>
      <c r="D67" s="526"/>
      <c r="E67" s="526"/>
      <c r="F67" s="526"/>
      <c r="G67" s="526"/>
      <c r="H67" s="526"/>
      <c r="I67" s="526"/>
      <c r="J67" s="526"/>
      <c r="K67" s="526"/>
      <c r="L67" s="526"/>
      <c r="M67" s="526"/>
      <c r="N67" s="526"/>
      <c r="O67" s="526"/>
      <c r="P67" s="526"/>
      <c r="Q67" s="526"/>
      <c r="R67" s="526"/>
      <c r="S67" s="526"/>
      <c r="T67" s="526"/>
      <c r="U67" s="526"/>
      <c r="V67" s="526"/>
      <c r="W67" s="526"/>
      <c r="X67" s="462"/>
    </row>
    <row r="68" spans="2:24">
      <c r="B68" s="443" t="s">
        <v>285</v>
      </c>
      <c r="C68" s="443" t="s">
        <v>286</v>
      </c>
      <c r="D68" s="445">
        <f>D25</f>
        <v>28926.720000000001</v>
      </c>
      <c r="E68" s="445">
        <f t="shared" ref="E68:W68" si="40">E25</f>
        <v>65174.400000000001</v>
      </c>
      <c r="F68" s="445">
        <f t="shared" si="40"/>
        <v>65174.400000000001</v>
      </c>
      <c r="G68" s="445">
        <f t="shared" si="40"/>
        <v>65174.400000000001</v>
      </c>
      <c r="H68" s="445">
        <f t="shared" si="40"/>
        <v>65174.400000000001</v>
      </c>
      <c r="I68" s="445">
        <f t="shared" si="40"/>
        <v>65174.400000000001</v>
      </c>
      <c r="J68" s="445">
        <f t="shared" si="40"/>
        <v>65174.400000000001</v>
      </c>
      <c r="K68" s="445">
        <f t="shared" si="40"/>
        <v>65174.400000000001</v>
      </c>
      <c r="L68" s="445">
        <f t="shared" si="40"/>
        <v>65174.400000000001</v>
      </c>
      <c r="M68" s="445">
        <f t="shared" si="40"/>
        <v>65174.400000000001</v>
      </c>
      <c r="N68" s="445">
        <f t="shared" si="40"/>
        <v>65174.400000000001</v>
      </c>
      <c r="O68" s="445">
        <f t="shared" si="40"/>
        <v>65174.400000000001</v>
      </c>
      <c r="P68" s="445">
        <f t="shared" si="40"/>
        <v>65174.400000000001</v>
      </c>
      <c r="Q68" s="445">
        <f t="shared" si="40"/>
        <v>65174.400000000001</v>
      </c>
      <c r="R68" s="445">
        <f t="shared" si="40"/>
        <v>65174.400000000001</v>
      </c>
      <c r="S68" s="445">
        <f t="shared" si="40"/>
        <v>65174.400000000001</v>
      </c>
      <c r="T68" s="445">
        <f t="shared" si="40"/>
        <v>65174.400000000001</v>
      </c>
      <c r="U68" s="445">
        <f t="shared" si="40"/>
        <v>65174.400000000001</v>
      </c>
      <c r="V68" s="445">
        <f t="shared" si="40"/>
        <v>65174.400000000001</v>
      </c>
      <c r="W68" s="445">
        <f t="shared" si="40"/>
        <v>65174.400000000001</v>
      </c>
      <c r="X68" s="445"/>
    </row>
    <row r="69" spans="2:24">
      <c r="B69" s="443" t="s">
        <v>287</v>
      </c>
      <c r="C69" s="443" t="s">
        <v>288</v>
      </c>
      <c r="D69" s="447">
        <f>(D66*10^6)/D68</f>
        <v>841.34708178683684</v>
      </c>
      <c r="E69" s="447">
        <f t="shared" ref="E69:W69" si="41">(E66*10^6)/E68</f>
        <v>1269.2834397780966</v>
      </c>
      <c r="F69" s="447">
        <f t="shared" si="41"/>
        <v>1331.8336709044577</v>
      </c>
      <c r="G69" s="447">
        <f t="shared" si="41"/>
        <v>1351.3091531512662</v>
      </c>
      <c r="H69" s="447">
        <f t="shared" si="41"/>
        <v>1365.0464309053673</v>
      </c>
      <c r="I69" s="447">
        <f t="shared" si="41"/>
        <v>1374.0561956105787</v>
      </c>
      <c r="J69" s="447">
        <f t="shared" si="41"/>
        <v>1379.2080122648431</v>
      </c>
      <c r="K69" s="447">
        <f t="shared" si="41"/>
        <v>1350.053454799053</v>
      </c>
      <c r="L69" s="447">
        <f t="shared" si="41"/>
        <v>1311.5054649546776</v>
      </c>
      <c r="M69" s="447">
        <f t="shared" si="41"/>
        <v>1274.5203826149473</v>
      </c>
      <c r="N69" s="447">
        <f t="shared" si="41"/>
        <v>1912.3635869766379</v>
      </c>
      <c r="O69" s="447">
        <f t="shared" si="41"/>
        <v>1941.7611696354106</v>
      </c>
      <c r="P69" s="447">
        <f t="shared" si="41"/>
        <v>1987.4706877053306</v>
      </c>
      <c r="Q69" s="447">
        <f t="shared" si="41"/>
        <v>2035.0085864980479</v>
      </c>
      <c r="R69" s="447">
        <f t="shared" si="41"/>
        <v>2084.4480012424733</v>
      </c>
      <c r="S69" s="447">
        <f t="shared" si="41"/>
        <v>2135.8649925766758</v>
      </c>
      <c r="T69" s="447">
        <f t="shared" si="41"/>
        <v>2189.3386635642469</v>
      </c>
      <c r="U69" s="447">
        <f t="shared" si="41"/>
        <v>2104.9937048734932</v>
      </c>
      <c r="V69" s="447">
        <f t="shared" si="41"/>
        <v>1951.4725741602535</v>
      </c>
      <c r="W69" s="447">
        <f t="shared" si="41"/>
        <v>579.11598511922728</v>
      </c>
      <c r="X69" s="447"/>
    </row>
    <row r="70" spans="2:24">
      <c r="B70" s="443" t="s">
        <v>289</v>
      </c>
      <c r="C70" s="443" t="s">
        <v>214</v>
      </c>
      <c r="D70" s="446">
        <v>1</v>
      </c>
      <c r="E70" s="446">
        <f>1/(1+'Assumption '!$C$72)*'Levelized cost'!D70</f>
        <v>0.90415913200723319</v>
      </c>
      <c r="F70" s="446">
        <f>1/(1+'Assumption '!$C$72)*'Levelized cost'!E70</f>
        <v>0.81750373599207338</v>
      </c>
      <c r="G70" s="446">
        <f>1/(1+'Assumption '!$C$72)*'Levelized cost'!F70</f>
        <v>0.73915346834726336</v>
      </c>
      <c r="H70" s="446">
        <f>1/(1+'Assumption '!$C$72)*'Levelized cost'!G70</f>
        <v>0.66831235836099756</v>
      </c>
      <c r="I70" s="446">
        <f>1/(1+'Assumption '!$C$72)*'Levelized cost'!H70</f>
        <v>0.60426072184538648</v>
      </c>
      <c r="J70" s="446">
        <f>1/(1+'Assumption '!$C$72)*'Levelized cost'!I70</f>
        <v>0.54634784976978878</v>
      </c>
      <c r="K70" s="446">
        <f>1/(1+'Assumption '!$C$72)*'Levelized cost'!J70</f>
        <v>0.49398539762187049</v>
      </c>
      <c r="L70" s="446">
        <f>1/(1+'Assumption '!$C$72)*'Levelized cost'!K70</f>
        <v>0.44664140833803839</v>
      </c>
      <c r="M70" s="446">
        <f>1/(1+'Assumption '!$C$72)*'Levelized cost'!L70</f>
        <v>0.40383490808140898</v>
      </c>
      <c r="N70" s="446">
        <f>1/(1+'Assumption '!$C$72)*'Levelized cost'!M70</f>
        <v>0.36513101996510755</v>
      </c>
      <c r="O70" s="446">
        <f>1/(1+'Assumption '!$C$72)*'Levelized cost'!N70</f>
        <v>0.33013654608056736</v>
      </c>
      <c r="P70" s="446">
        <f>1/(1+'Assumption '!$C$72)*'Levelized cost'!O70</f>
        <v>0.29849597294807173</v>
      </c>
      <c r="Q70" s="446">
        <f>1/(1+'Assumption '!$C$72)*'Levelized cost'!P70</f>
        <v>0.26988785980838309</v>
      </c>
      <c r="R70" s="446">
        <f>1/(1+'Assumption '!$C$72)*'Levelized cost'!Q70</f>
        <v>0.2440215730636375</v>
      </c>
      <c r="S70" s="446">
        <f>1/(1+'Assumption '!$C$72)*'Levelized cost'!R70</f>
        <v>0.22063433369225813</v>
      </c>
      <c r="T70" s="446">
        <f>1/(1+'Assumption '!$C$72)*'Levelized cost'!S70</f>
        <v>0.19948854764218635</v>
      </c>
      <c r="U70" s="446">
        <f>1/(1+'Assumption '!$C$72)*'Levelized cost'!T70</f>
        <v>0.18036939208154279</v>
      </c>
      <c r="V70" s="446">
        <f>1/(1+'Assumption '!$C$72)*'Levelized cost'!U70</f>
        <v>0.16308263298512005</v>
      </c>
      <c r="W70" s="446">
        <f>1/(1+'Assumption '!$C$72)*'Levelized cost'!V70</f>
        <v>0.14745265188528031</v>
      </c>
      <c r="X70" s="446"/>
    </row>
    <row r="71" spans="2:24">
      <c r="B71" s="443" t="s">
        <v>290</v>
      </c>
      <c r="C71" s="443" t="s">
        <v>288</v>
      </c>
      <c r="D71" s="446">
        <f>D69*D70</f>
        <v>841.34708178683684</v>
      </c>
      <c r="E71" s="446">
        <f t="shared" ref="E71:W71" si="42">E69*E70</f>
        <v>1147.634213180919</v>
      </c>
      <c r="F71" s="446">
        <f t="shared" si="42"/>
        <v>1088.7790016844317</v>
      </c>
      <c r="G71" s="446">
        <f t="shared" si="42"/>
        <v>998.82484736116169</v>
      </c>
      <c r="H71" s="446">
        <f t="shared" si="42"/>
        <v>912.27739951062847</v>
      </c>
      <c r="I71" s="446">
        <f t="shared" si="42"/>
        <v>830.28818861577383</v>
      </c>
      <c r="J71" s="446">
        <f t="shared" si="42"/>
        <v>753.52733188616151</v>
      </c>
      <c r="K71" s="446">
        <f t="shared" si="42"/>
        <v>666.9066926796902</v>
      </c>
      <c r="L71" s="446">
        <f t="shared" si="42"/>
        <v>585.77264791039102</v>
      </c>
      <c r="M71" s="446">
        <f t="shared" si="42"/>
        <v>514.6958215611894</v>
      </c>
      <c r="N71" s="446">
        <f t="shared" si="42"/>
        <v>698.26326705691145</v>
      </c>
      <c r="O71" s="446">
        <f t="shared" si="42"/>
        <v>641.04632585679713</v>
      </c>
      <c r="P71" s="446">
        <f t="shared" si="42"/>
        <v>593.25199663237595</v>
      </c>
      <c r="Q71" s="446">
        <f t="shared" si="42"/>
        <v>549.22411210164103</v>
      </c>
      <c r="R71" s="446">
        <f t="shared" si="42"/>
        <v>508.65028023254337</v>
      </c>
      <c r="S71" s="446">
        <f t="shared" si="42"/>
        <v>471.2451494937747</v>
      </c>
      <c r="T71" s="446">
        <f t="shared" si="42"/>
        <v>436.74799029131685</v>
      </c>
      <c r="U71" s="446">
        <f t="shared" si="42"/>
        <v>379.67643488350649</v>
      </c>
      <c r="V71" s="446">
        <f t="shared" si="42"/>
        <v>318.2512855923041</v>
      </c>
      <c r="W71" s="446">
        <f t="shared" si="42"/>
        <v>85.392187754986594</v>
      </c>
      <c r="X71" s="446"/>
    </row>
    <row r="72" spans="2:24" ht="28.2">
      <c r="B72" s="459" t="s">
        <v>291</v>
      </c>
      <c r="C72" s="463">
        <f>SUM(D71:W71)/SUM(D70:W70)</f>
        <v>1440.0029814474838</v>
      </c>
      <c r="D72" s="437"/>
      <c r="E72" s="437"/>
      <c r="F72" s="437"/>
      <c r="G72" s="437"/>
      <c r="H72" s="437"/>
      <c r="I72" s="437"/>
      <c r="J72" s="437"/>
      <c r="K72" s="437"/>
      <c r="L72" s="437"/>
      <c r="M72" s="437"/>
      <c r="N72" s="437"/>
      <c r="O72" s="437"/>
      <c r="P72" s="437"/>
      <c r="Q72" s="437"/>
      <c r="R72" s="437"/>
      <c r="S72" s="437"/>
      <c r="T72" s="437"/>
      <c r="U72" s="437"/>
      <c r="V72" s="437"/>
      <c r="W72" s="437"/>
      <c r="X72" s="437"/>
    </row>
    <row r="73" spans="2:24" ht="28.2">
      <c r="B73" s="465" t="s">
        <v>298</v>
      </c>
      <c r="C73" s="466">
        <f>C72/1000</f>
        <v>1.4400029814474837</v>
      </c>
      <c r="D73" s="437"/>
      <c r="E73" s="437"/>
      <c r="F73" s="437"/>
      <c r="G73" s="437"/>
      <c r="H73" s="437"/>
      <c r="I73" s="437"/>
      <c r="J73" s="437"/>
      <c r="K73" s="437"/>
      <c r="L73" s="437"/>
      <c r="M73" s="437"/>
      <c r="N73" s="437"/>
      <c r="O73" s="437"/>
      <c r="P73" s="437"/>
      <c r="Q73" s="437"/>
      <c r="R73" s="437"/>
      <c r="S73" s="437"/>
      <c r="T73" s="437"/>
      <c r="U73" s="437"/>
      <c r="V73" s="437"/>
      <c r="W73" s="437"/>
      <c r="X73" s="437"/>
    </row>
  </sheetData>
  <mergeCells count="10">
    <mergeCell ref="B50:W50"/>
    <mergeCell ref="B54:W54"/>
    <mergeCell ref="B63:W63"/>
    <mergeCell ref="B67:W67"/>
    <mergeCell ref="B37:W37"/>
    <mergeCell ref="B8:W8"/>
    <mergeCell ref="B12:W12"/>
    <mergeCell ref="B24:W24"/>
    <mergeCell ref="B20:W20"/>
    <mergeCell ref="B32:W3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T70"/>
  <sheetViews>
    <sheetView view="pageBreakPreview" topLeftCell="O1" zoomScale="80" zoomScaleSheetLayoutView="80" workbookViewId="0">
      <selection activeCell="W12" sqref="W12"/>
    </sheetView>
  </sheetViews>
  <sheetFormatPr defaultColWidth="9.109375" defaultRowHeight="13.8"/>
  <cols>
    <col min="1" max="1" width="9.109375" style="92"/>
    <col min="2" max="2" width="47.5546875" style="92" customWidth="1"/>
    <col min="3" max="3" width="12.109375" style="92" customWidth="1"/>
    <col min="4" max="4" width="14.6640625" style="92" customWidth="1"/>
    <col min="5" max="5" width="19.44140625" style="92" bestFit="1" customWidth="1"/>
    <col min="6" max="23" width="11.88671875" style="92" bestFit="1" customWidth="1"/>
    <col min="24" max="24" width="10.88671875" style="92" bestFit="1" customWidth="1"/>
    <col min="25" max="16384" width="9.109375" style="92"/>
  </cols>
  <sheetData>
    <row r="1" spans="2:46" ht="14.4" thickBot="1"/>
    <row r="2" spans="2:46">
      <c r="B2" s="21" t="s">
        <v>105</v>
      </c>
      <c r="C2" s="22"/>
      <c r="D2" s="23"/>
      <c r="E2" s="11"/>
      <c r="F2" s="348"/>
    </row>
    <row r="3" spans="2:46" ht="14.25" customHeight="1">
      <c r="B3" s="24" t="s">
        <v>106</v>
      </c>
      <c r="C3" s="11"/>
      <c r="D3" s="25"/>
      <c r="E3" s="11"/>
      <c r="G3" s="105"/>
    </row>
    <row r="4" spans="2:46" ht="14.4" thickBot="1">
      <c r="B4" s="26" t="s">
        <v>107</v>
      </c>
      <c r="C4" s="27"/>
      <c r="D4" s="28"/>
      <c r="E4" s="11"/>
      <c r="H4" s="106"/>
      <c r="I4" s="106"/>
      <c r="J4" s="106"/>
      <c r="K4" s="106"/>
      <c r="L4" s="106"/>
      <c r="M4" s="106"/>
      <c r="N4" s="106"/>
    </row>
    <row r="5" spans="2:46">
      <c r="B5" s="11"/>
      <c r="C5" s="11"/>
      <c r="D5" s="11"/>
      <c r="E5" s="11"/>
      <c r="H5" s="106"/>
      <c r="I5" s="106"/>
      <c r="J5" s="106"/>
      <c r="K5" s="106"/>
      <c r="L5" s="106"/>
      <c r="M5" s="106"/>
      <c r="N5" s="106"/>
    </row>
    <row r="6" spans="2:46">
      <c r="B6" s="11"/>
      <c r="C6" s="11"/>
      <c r="D6" s="11"/>
      <c r="E6" s="11"/>
      <c r="F6" s="11"/>
      <c r="H6" s="106"/>
      <c r="I6" s="106"/>
      <c r="J6" s="106"/>
      <c r="K6" s="106"/>
      <c r="L6" s="106"/>
      <c r="M6" s="106"/>
      <c r="N6" s="106"/>
    </row>
    <row r="7" spans="2:46">
      <c r="B7" s="11"/>
      <c r="C7" s="11"/>
      <c r="D7" s="11"/>
      <c r="E7" s="11"/>
      <c r="H7" s="106"/>
      <c r="I7" s="106"/>
      <c r="J7" s="106"/>
      <c r="K7" s="106"/>
      <c r="L7" s="106"/>
      <c r="M7" s="106"/>
      <c r="N7" s="106"/>
    </row>
    <row r="8" spans="2:46" ht="14.4" thickBot="1">
      <c r="B8" s="235" t="s">
        <v>161</v>
      </c>
      <c r="D8" s="234">
        <v>1</v>
      </c>
      <c r="E8" s="270" t="s">
        <v>160</v>
      </c>
      <c r="F8" s="271">
        <f>E8+1</f>
        <v>3</v>
      </c>
      <c r="G8" s="271">
        <f t="shared" ref="G8:W8" si="0">F8+1</f>
        <v>4</v>
      </c>
      <c r="H8" s="271">
        <f t="shared" si="0"/>
        <v>5</v>
      </c>
      <c r="I8" s="271">
        <f t="shared" si="0"/>
        <v>6</v>
      </c>
      <c r="J8" s="271">
        <f t="shared" si="0"/>
        <v>7</v>
      </c>
      <c r="K8" s="271">
        <f t="shared" si="0"/>
        <v>8</v>
      </c>
      <c r="L8" s="271">
        <f t="shared" si="0"/>
        <v>9</v>
      </c>
      <c r="M8" s="271">
        <f t="shared" si="0"/>
        <v>10</v>
      </c>
      <c r="N8" s="271">
        <f t="shared" si="0"/>
        <v>11</v>
      </c>
      <c r="O8" s="271">
        <f t="shared" si="0"/>
        <v>12</v>
      </c>
      <c r="P8" s="271">
        <f t="shared" si="0"/>
        <v>13</v>
      </c>
      <c r="Q8" s="271">
        <f t="shared" si="0"/>
        <v>14</v>
      </c>
      <c r="R8" s="271">
        <f t="shared" si="0"/>
        <v>15</v>
      </c>
      <c r="S8" s="271">
        <f t="shared" si="0"/>
        <v>16</v>
      </c>
      <c r="T8" s="271">
        <f t="shared" si="0"/>
        <v>17</v>
      </c>
      <c r="U8" s="271">
        <f t="shared" si="0"/>
        <v>18</v>
      </c>
      <c r="V8" s="271">
        <f t="shared" si="0"/>
        <v>19</v>
      </c>
      <c r="W8" s="271">
        <f t="shared" si="0"/>
        <v>20</v>
      </c>
      <c r="X8" s="107"/>
    </row>
    <row r="9" spans="2:46" ht="14.4" thickBot="1">
      <c r="B9" s="253" t="s">
        <v>172</v>
      </c>
      <c r="C9" s="218"/>
      <c r="D9" s="222">
        <v>40268</v>
      </c>
      <c r="E9" s="222">
        <v>40633</v>
      </c>
      <c r="F9" s="222">
        <v>40999</v>
      </c>
      <c r="G9" s="222">
        <v>41364</v>
      </c>
      <c r="H9" s="222">
        <v>41729</v>
      </c>
      <c r="I9" s="222">
        <v>42094</v>
      </c>
      <c r="J9" s="222">
        <v>42460</v>
      </c>
      <c r="K9" s="222">
        <v>42825</v>
      </c>
      <c r="L9" s="222">
        <v>43190</v>
      </c>
      <c r="M9" s="222">
        <v>43555</v>
      </c>
      <c r="N9" s="222">
        <v>43921</v>
      </c>
      <c r="O9" s="222">
        <v>44286</v>
      </c>
      <c r="P9" s="222">
        <v>44651</v>
      </c>
      <c r="Q9" s="222">
        <v>45016</v>
      </c>
      <c r="R9" s="222">
        <v>45382</v>
      </c>
      <c r="S9" s="222">
        <v>45747</v>
      </c>
      <c r="T9" s="222">
        <v>46112</v>
      </c>
      <c r="U9" s="222">
        <v>46477</v>
      </c>
      <c r="V9" s="222">
        <v>46843</v>
      </c>
      <c r="W9" s="222">
        <v>47208</v>
      </c>
    </row>
    <row r="10" spans="2:46">
      <c r="B10" s="219" t="s">
        <v>0</v>
      </c>
      <c r="C10" s="208"/>
      <c r="D10" s="223"/>
      <c r="E10" s="223"/>
      <c r="F10" s="228"/>
      <c r="G10" s="228"/>
      <c r="H10" s="223"/>
      <c r="I10" s="214"/>
      <c r="J10" s="80"/>
      <c r="K10" s="228"/>
      <c r="L10" s="223"/>
      <c r="M10" s="214"/>
      <c r="N10" s="80"/>
      <c r="O10" s="223"/>
      <c r="P10" s="80"/>
      <c r="Q10" s="228"/>
      <c r="R10" s="223"/>
      <c r="S10" s="80"/>
      <c r="T10" s="223"/>
      <c r="U10" s="214"/>
      <c r="V10" s="214"/>
      <c r="W10" s="223"/>
    </row>
    <row r="11" spans="2:46">
      <c r="B11" s="236" t="s">
        <v>296</v>
      </c>
      <c r="C11" s="209"/>
      <c r="D11" s="224">
        <f>'Assumption '!C10*'Assumption '!C15*(D9-'Assumption '!C11)*'Assumption '!C17</f>
        <v>28926.720000000001</v>
      </c>
      <c r="E11" s="224">
        <f>'Assumption '!C10*'Assumption '!C15*'Assumption '!C17*('P &amp; L '!E9-'P &amp; L '!D9)</f>
        <v>65174.400000000001</v>
      </c>
      <c r="F11" s="229">
        <f t="shared" ref="F11:W11" si="1">E11</f>
        <v>65174.400000000001</v>
      </c>
      <c r="G11" s="229">
        <f t="shared" si="1"/>
        <v>65174.400000000001</v>
      </c>
      <c r="H11" s="224">
        <f t="shared" si="1"/>
        <v>65174.400000000001</v>
      </c>
      <c r="I11" s="215">
        <f t="shared" si="1"/>
        <v>65174.400000000001</v>
      </c>
      <c r="J11" s="210">
        <f t="shared" si="1"/>
        <v>65174.400000000001</v>
      </c>
      <c r="K11" s="229">
        <f t="shared" si="1"/>
        <v>65174.400000000001</v>
      </c>
      <c r="L11" s="224">
        <f t="shared" si="1"/>
        <v>65174.400000000001</v>
      </c>
      <c r="M11" s="215">
        <f t="shared" si="1"/>
        <v>65174.400000000001</v>
      </c>
      <c r="N11" s="210">
        <f t="shared" si="1"/>
        <v>65174.400000000001</v>
      </c>
      <c r="O11" s="224">
        <f t="shared" si="1"/>
        <v>65174.400000000001</v>
      </c>
      <c r="P11" s="210">
        <f t="shared" si="1"/>
        <v>65174.400000000001</v>
      </c>
      <c r="Q11" s="229">
        <f t="shared" si="1"/>
        <v>65174.400000000001</v>
      </c>
      <c r="R11" s="224">
        <f t="shared" si="1"/>
        <v>65174.400000000001</v>
      </c>
      <c r="S11" s="210">
        <f t="shared" si="1"/>
        <v>65174.400000000001</v>
      </c>
      <c r="T11" s="224">
        <f t="shared" si="1"/>
        <v>65174.400000000001</v>
      </c>
      <c r="U11" s="215">
        <f t="shared" si="1"/>
        <v>65174.400000000001</v>
      </c>
      <c r="V11" s="215">
        <f t="shared" si="1"/>
        <v>65174.400000000001</v>
      </c>
      <c r="W11" s="224">
        <f t="shared" si="1"/>
        <v>65174.400000000001</v>
      </c>
      <c r="Y11" s="80"/>
      <c r="Z11" s="80"/>
      <c r="AA11" s="80"/>
      <c r="AB11" s="80"/>
      <c r="AC11" s="80"/>
      <c r="AD11" s="80"/>
      <c r="AE11" s="80"/>
      <c r="AF11" s="80"/>
      <c r="AG11" s="80"/>
      <c r="AH11" s="80"/>
      <c r="AI11" s="80"/>
      <c r="AJ11" s="80"/>
      <c r="AK11" s="80"/>
      <c r="AL11" s="80"/>
      <c r="AM11" s="80"/>
      <c r="AN11" s="80"/>
      <c r="AO11" s="80"/>
      <c r="AP11" s="80"/>
      <c r="AQ11" s="80"/>
      <c r="AR11" s="80"/>
      <c r="AS11" s="80"/>
      <c r="AT11" s="80"/>
    </row>
    <row r="12" spans="2:46" ht="14.4" thickBot="1">
      <c r="B12" s="236" t="s">
        <v>159</v>
      </c>
      <c r="C12" s="209"/>
      <c r="D12" s="347">
        <f>1.52830188679245+(1*'Assumption '!$C$87)</f>
        <v>1.52830188679245</v>
      </c>
      <c r="E12" s="347">
        <f>1.62526444231562+(1*'Assumption '!$C$87)</f>
        <v>1.62526444231562</v>
      </c>
      <c r="F12" s="347">
        <f>1.72998400228065+(1*'Assumption '!$C$87)</f>
        <v>1.7299840022806501</v>
      </c>
      <c r="G12" s="347">
        <f>1.73805128690018+(1*'Assumption '!$C$87)</f>
        <v>1.7380512869001801</v>
      </c>
      <c r="H12" s="347">
        <f>1.74644126290449+(1*'Assumption '!$C$87)</f>
        <v>1.7464412629044901</v>
      </c>
      <c r="I12" s="347">
        <f>1.75516683794897+(1*'Assumption '!$C$87)</f>
        <v>1.75516683794897</v>
      </c>
      <c r="J12" s="347">
        <f>1.76424143599523+(1*'Assumption '!$C$87)</f>
        <v>1.7642414359952301</v>
      </c>
      <c r="K12" s="347">
        <f>1.77367901796334+(1*'Assumption '!$C$87)</f>
        <v>1.7736790179633399</v>
      </c>
      <c r="L12" s="347">
        <f>1.78349410321017+(1*'Assumption '!$C$87)</f>
        <v>1.7834941032101701</v>
      </c>
      <c r="M12" s="347">
        <f>1.79370179186688+(1*'Assumption '!$C$87)</f>
        <v>1.7937017918668801</v>
      </c>
      <c r="N12" s="347">
        <f>1.80431778806986+(1*'Assumption '!$C$87)</f>
        <v>1.80431778806986</v>
      </c>
      <c r="O12" s="347">
        <f>1.81535842412096+(1*'Assumption '!$C$87)</f>
        <v>1.8153584241209599</v>
      </c>
      <c r="P12" s="347">
        <f>1.8268406856141+(1*'Assumption '!$C$87)</f>
        <v>1.8268406856141</v>
      </c>
      <c r="Q12" s="347">
        <f>1.83878223756696+(1*'Assumption '!$C$87)</f>
        <v>1.83878223756696</v>
      </c>
      <c r="R12" s="347">
        <f>1.85120145159794+(1*'Assumption '!$C$87)</f>
        <v>1.85120145159794</v>
      </c>
      <c r="S12" s="347">
        <f>1.86411743419016+(1*'Assumption '!$C$87)</f>
        <v>1.8641174341901601</v>
      </c>
      <c r="T12" s="347">
        <f>1.87755005608607+(1*'Assumption '!$C$87)</f>
        <v>1.8775500560860701</v>
      </c>
      <c r="U12" s="347">
        <f>1.89151998285781+(1*'Assumption '!$C$87)</f>
        <v>1.89151998285781</v>
      </c>
      <c r="V12" s="347">
        <f>1.90604870670043+(1*'Assumption '!$C$87)</f>
        <v>1.9060487067004299</v>
      </c>
      <c r="W12" s="347">
        <f>1.92115857949675+(1*'Assumption '!$C$87)</f>
        <v>1.9211585794967501</v>
      </c>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80"/>
    </row>
    <row r="13" spans="2:46" ht="14.4" thickBot="1">
      <c r="B13" s="231" t="s">
        <v>1</v>
      </c>
      <c r="C13" s="232"/>
      <c r="D13" s="233">
        <f>(D11*D12/10^3)</f>
        <v>44.208760754716906</v>
      </c>
      <c r="E13" s="233">
        <f t="shared" ref="E13:W13" si="2">(E11*E12/10^3)</f>
        <v>105.92563486925513</v>
      </c>
      <c r="F13" s="233">
        <f t="shared" si="2"/>
        <v>112.75066935824</v>
      </c>
      <c r="G13" s="233">
        <f t="shared" si="2"/>
        <v>113.27644979294709</v>
      </c>
      <c r="H13" s="233">
        <f t="shared" si="2"/>
        <v>113.82326144504241</v>
      </c>
      <c r="I13" s="233">
        <f t="shared" si="2"/>
        <v>114.39194556322136</v>
      </c>
      <c r="J13" s="233">
        <f t="shared" si="2"/>
        <v>114.98337704612753</v>
      </c>
      <c r="K13" s="233">
        <f t="shared" si="2"/>
        <v>115.5984657883499</v>
      </c>
      <c r="L13" s="233">
        <f t="shared" si="2"/>
        <v>116.23815808026092</v>
      </c>
      <c r="M13" s="233">
        <f t="shared" si="2"/>
        <v>116.9034380638488</v>
      </c>
      <c r="N13" s="233">
        <f t="shared" si="2"/>
        <v>117.59532924678028</v>
      </c>
      <c r="O13" s="233">
        <f t="shared" si="2"/>
        <v>118.31489607702909</v>
      </c>
      <c r="P13" s="233">
        <f t="shared" si="2"/>
        <v>119.06324558048759</v>
      </c>
      <c r="Q13" s="233">
        <f t="shared" si="2"/>
        <v>119.84152906408409</v>
      </c>
      <c r="R13" s="233">
        <f t="shared" si="2"/>
        <v>120.65094388702478</v>
      </c>
      <c r="S13" s="233">
        <f t="shared" si="2"/>
        <v>121.49273530288318</v>
      </c>
      <c r="T13" s="233">
        <f t="shared" si="2"/>
        <v>122.36819837537597</v>
      </c>
      <c r="U13" s="233">
        <f t="shared" si="2"/>
        <v>123.27867997076805</v>
      </c>
      <c r="V13" s="233">
        <f t="shared" si="2"/>
        <v>124.22558082997651</v>
      </c>
      <c r="W13" s="233">
        <f t="shared" si="2"/>
        <v>125.210357723553</v>
      </c>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80"/>
    </row>
    <row r="14" spans="2:46">
      <c r="B14" s="221" t="s">
        <v>2</v>
      </c>
      <c r="C14" s="211"/>
      <c r="D14" s="225"/>
      <c r="E14" s="223"/>
      <c r="F14" s="228"/>
      <c r="G14" s="228"/>
      <c r="H14" s="223"/>
      <c r="I14" s="214"/>
      <c r="J14" s="80"/>
      <c r="K14" s="228"/>
      <c r="L14" s="223"/>
      <c r="M14" s="214"/>
      <c r="N14" s="80"/>
      <c r="O14" s="223"/>
      <c r="P14" s="80"/>
      <c r="Q14" s="228"/>
      <c r="R14" s="223"/>
      <c r="S14" s="80"/>
      <c r="T14" s="223"/>
      <c r="U14" s="214"/>
      <c r="V14" s="214"/>
      <c r="W14" s="223"/>
    </row>
    <row r="15" spans="2:46">
      <c r="B15" s="236" t="s">
        <v>35</v>
      </c>
      <c r="C15" s="211"/>
      <c r="D15" s="226">
        <f>('Assumption '!C55)/365*(D9-'Assumption '!C11)</f>
        <v>21.712438356164387</v>
      </c>
      <c r="E15" s="226">
        <f>('Assumption '!C55)+(1+'Assumption '!C56)</f>
        <v>49.96</v>
      </c>
      <c r="F15" s="230">
        <f>E15*(1+'Assumption '!$C$56)</f>
        <v>51.958400000000005</v>
      </c>
      <c r="G15" s="230">
        <f>F15*(1+'Assumption '!$C$56)</f>
        <v>54.036736000000005</v>
      </c>
      <c r="H15" s="226">
        <f>G15*(1+'Assumption '!$C$56)</f>
        <v>56.19820544000001</v>
      </c>
      <c r="I15" s="216">
        <f>H15*(1+'Assumption '!$C$56)</f>
        <v>58.446133657600015</v>
      </c>
      <c r="J15" s="89">
        <f>I15*(1+'Assumption '!$C$56)</f>
        <v>60.783979003904015</v>
      </c>
      <c r="K15" s="230">
        <f>J15*(1+'Assumption '!$C$56)</f>
        <v>63.215338164060178</v>
      </c>
      <c r="L15" s="226">
        <f>K15*(1+'Assumption '!$C$56)</f>
        <v>65.74395169062258</v>
      </c>
      <c r="M15" s="216">
        <f>L15*(1+'Assumption '!$C$56)</f>
        <v>68.373709758247486</v>
      </c>
      <c r="N15" s="89">
        <f>M15*(1+'Assumption '!$C$56)</f>
        <v>71.108658148577391</v>
      </c>
      <c r="O15" s="226">
        <f>N15*(1+'Assumption '!$C$56)</f>
        <v>73.953004474520483</v>
      </c>
      <c r="P15" s="89">
        <f>O15*(1+'Assumption '!$C$56)</f>
        <v>76.911124653501304</v>
      </c>
      <c r="Q15" s="230">
        <f>P15*(1+'Assumption '!$C$56)</f>
        <v>79.987569639641364</v>
      </c>
      <c r="R15" s="226">
        <f>Q15*(1+'Assumption '!$C$56)</f>
        <v>83.187072425227015</v>
      </c>
      <c r="S15" s="89">
        <f>R15*(1+'Assumption '!$C$56)</f>
        <v>86.514555322236092</v>
      </c>
      <c r="T15" s="226">
        <f>S15*(1+'Assumption '!$C$56)</f>
        <v>89.97513753512554</v>
      </c>
      <c r="U15" s="216">
        <f>T15*(1+'Assumption '!$C$56)</f>
        <v>93.574143036530572</v>
      </c>
      <c r="V15" s="216">
        <f>U15*(1+'Assumption '!$C$56)</f>
        <v>97.317108757991804</v>
      </c>
      <c r="W15" s="226">
        <f>V15*(1+'Assumption '!$C$56)</f>
        <v>101.20979310831147</v>
      </c>
    </row>
    <row r="16" spans="2:46">
      <c r="B16" s="236" t="s">
        <v>62</v>
      </c>
      <c r="C16" s="211"/>
      <c r="D16" s="226">
        <f>'Loan Schedule'!C24</f>
        <v>20.769132328767125</v>
      </c>
      <c r="E16" s="226">
        <f>'Loan Schedule'!D24</f>
        <v>45.846109797297302</v>
      </c>
      <c r="F16" s="226">
        <f>'Loan Schedule'!E24</f>
        <v>41.103408783783784</v>
      </c>
      <c r="G16" s="226">
        <f>'Loan Schedule'!F24</f>
        <v>36.044527702702709</v>
      </c>
      <c r="H16" s="226">
        <f>'Loan Schedule'!G24</f>
        <v>30.985646621621633</v>
      </c>
      <c r="I16" s="226">
        <f>'Loan Schedule'!H24</f>
        <v>25.926765540540558</v>
      </c>
      <c r="J16" s="226">
        <f>'Loan Schedule'!I24</f>
        <v>20.867884459459482</v>
      </c>
      <c r="K16" s="226">
        <f>'Loan Schedule'!J24</f>
        <v>15.809003378378403</v>
      </c>
      <c r="L16" s="226">
        <f>'Loan Schedule'!K24</f>
        <v>10.750122297297324</v>
      </c>
      <c r="M16" s="226">
        <f>'Loan Schedule'!L24</f>
        <v>5.6912412162162394</v>
      </c>
      <c r="N16" s="226">
        <f>'Loan Schedule'!M24</f>
        <v>0.94854020270272665</v>
      </c>
      <c r="O16" s="226">
        <f>'Loan Schedule'!N24</f>
        <v>0</v>
      </c>
      <c r="P16" s="226">
        <f>'Loan Schedule'!O24</f>
        <v>0</v>
      </c>
      <c r="Q16" s="226">
        <f>'Loan Schedule'!P24</f>
        <v>0</v>
      </c>
      <c r="R16" s="226">
        <f>'Loan Schedule'!Q24</f>
        <v>0</v>
      </c>
      <c r="S16" s="226">
        <f>'Loan Schedule'!R24</f>
        <v>0</v>
      </c>
      <c r="T16" s="226">
        <f>'Loan Schedule'!S24</f>
        <v>0</v>
      </c>
      <c r="U16" s="226">
        <f>'Loan Schedule'!T24</f>
        <v>0</v>
      </c>
      <c r="V16" s="226">
        <f>'Loan Schedule'!U24</f>
        <v>0</v>
      </c>
      <c r="W16" s="226">
        <f>'Loan Schedule'!V24</f>
        <v>0</v>
      </c>
    </row>
    <row r="17" spans="1:23">
      <c r="B17" s="236" t="s">
        <v>42</v>
      </c>
      <c r="C17" s="211"/>
      <c r="D17" s="226">
        <f>'Depreciation (SLM &amp; WDV)'!C20+'Depreciation (SLM &amp; WDV)'!C28</f>
        <v>12.277051856232198</v>
      </c>
      <c r="E17" s="226">
        <f>'Depreciation (SLM &amp; WDV)'!D20+'Depreciation (SLM &amp; WDV)'!D28</f>
        <v>27.66125881188119</v>
      </c>
      <c r="F17" s="226">
        <f>'Depreciation (SLM &amp; WDV)'!E20+'Depreciation (SLM &amp; WDV)'!E28</f>
        <v>27.66125881188119</v>
      </c>
      <c r="G17" s="226">
        <f>'Depreciation (SLM &amp; WDV)'!F20+'Depreciation (SLM &amp; WDV)'!F28</f>
        <v>27.66125881188119</v>
      </c>
      <c r="H17" s="226">
        <f>'Depreciation (SLM &amp; WDV)'!G20+'Depreciation (SLM &amp; WDV)'!G28</f>
        <v>27.66125881188119</v>
      </c>
      <c r="I17" s="226">
        <f>'Depreciation (SLM &amp; WDV)'!H20+'Depreciation (SLM &amp; WDV)'!H28</f>
        <v>27.66125881188119</v>
      </c>
      <c r="J17" s="226">
        <f>'Depreciation (SLM &amp; WDV)'!I20+'Depreciation (SLM &amp; WDV)'!I28</f>
        <v>27.66125881188119</v>
      </c>
      <c r="K17" s="226">
        <f>'Depreciation (SLM &amp; WDV)'!J20+'Depreciation (SLM &amp; WDV)'!J28</f>
        <v>27.66125881188119</v>
      </c>
      <c r="L17" s="226">
        <f>'Depreciation (SLM &amp; WDV)'!K20+'Depreciation (SLM &amp; WDV)'!K28</f>
        <v>27.66125881188119</v>
      </c>
      <c r="M17" s="226">
        <f>'Depreciation (SLM &amp; WDV)'!L20+'Depreciation (SLM &amp; WDV)'!L28</f>
        <v>27.66125881188119</v>
      </c>
      <c r="N17" s="226">
        <f>'Depreciation (SLM &amp; WDV)'!M20+'Depreciation (SLM &amp; WDV)'!M28</f>
        <v>27.66125881188119</v>
      </c>
      <c r="O17" s="226">
        <f>'Depreciation (SLM &amp; WDV)'!N20+'Depreciation (SLM &amp; WDV)'!N28</f>
        <v>27.66125881188119</v>
      </c>
      <c r="P17" s="226">
        <f>'Depreciation (SLM &amp; WDV)'!O20+'Depreciation (SLM &amp; WDV)'!O28</f>
        <v>27.66125881188119</v>
      </c>
      <c r="Q17" s="226">
        <f>'Depreciation (SLM &amp; WDV)'!P20+'Depreciation (SLM &amp; WDV)'!P28</f>
        <v>27.66125881188119</v>
      </c>
      <c r="R17" s="226">
        <f>'Depreciation (SLM &amp; WDV)'!Q20+'Depreciation (SLM &amp; WDV)'!Q28</f>
        <v>27.66125881188119</v>
      </c>
      <c r="S17" s="226">
        <f>'Depreciation (SLM &amp; WDV)'!R20+'Depreciation (SLM &amp; WDV)'!R28</f>
        <v>27.66125881188119</v>
      </c>
      <c r="T17" s="226">
        <f>'Depreciation (SLM &amp; WDV)'!S20+'Depreciation (SLM &amp; WDV)'!S28</f>
        <v>27.66125881188119</v>
      </c>
      <c r="U17" s="226">
        <f>'Depreciation (SLM &amp; WDV)'!T20+'Depreciation (SLM &amp; WDV)'!T28</f>
        <v>18.539607736877748</v>
      </c>
      <c r="V17" s="226">
        <f>'Depreciation (SLM &amp; WDV)'!U20+'Depreciation (SLM &amp; WDV)'!U28</f>
        <v>4.7644603960396044</v>
      </c>
      <c r="W17" s="226">
        <f>'Depreciation (SLM &amp; WDV)'!V20+'Depreciation (SLM &amp; WDV)'!V28</f>
        <v>4.7644603960396044</v>
      </c>
    </row>
    <row r="18" spans="1:23" ht="14.4" thickBot="1">
      <c r="B18" s="236" t="s">
        <v>225</v>
      </c>
      <c r="C18" s="211"/>
      <c r="D18" s="226">
        <f>'Working Capital'!C8*'Assumption '!$D$96</f>
        <v>0.15392036779883658</v>
      </c>
      <c r="E18" s="226">
        <f>'Working Capital'!D8*'Assumption '!$D$96</f>
        <v>0.35416849315068494</v>
      </c>
      <c r="F18" s="226">
        <f>'Working Capital'!E8*'Assumption '!$D$96</f>
        <v>0.36833523287671233</v>
      </c>
      <c r="G18" s="226">
        <f>'Working Capital'!F8*'Assumption '!$D$96</f>
        <v>0.38306864219178088</v>
      </c>
      <c r="H18" s="226">
        <f>'Working Capital'!G8*'Assumption '!$D$96</f>
        <v>0.39839138787945211</v>
      </c>
      <c r="I18" s="226">
        <f>'Working Capital'!H8*'Assumption '!$D$96</f>
        <v>0.41432704339463022</v>
      </c>
      <c r="J18" s="226">
        <f>'Working Capital'!I8*'Assumption '!$D$96</f>
        <v>0.43090012513041548</v>
      </c>
      <c r="K18" s="226">
        <f>'Working Capital'!J8*'Assumption '!$D$96</f>
        <v>0.44813613013563208</v>
      </c>
      <c r="L18" s="226">
        <f>'Working Capital'!K8*'Assumption '!$D$96</f>
        <v>0.46606157534105735</v>
      </c>
      <c r="M18" s="226">
        <f>'Working Capital'!L8*'Assumption '!$D$96</f>
        <v>0.48470403835469966</v>
      </c>
      <c r="N18" s="226">
        <f>'Working Capital'!M8*'Assumption '!$D$96</f>
        <v>0.50409219988888765</v>
      </c>
      <c r="O18" s="226">
        <f>'Working Capital'!N8*'Assumption '!$D$96</f>
        <v>0.52425588788444322</v>
      </c>
      <c r="P18" s="226">
        <f>'Working Capital'!O8*'Assumption '!$D$96</f>
        <v>0.54522612339982102</v>
      </c>
      <c r="Q18" s="226">
        <f>'Working Capital'!P8*'Assumption '!$D$96</f>
        <v>0.5670351683358138</v>
      </c>
      <c r="R18" s="226">
        <f>'Working Capital'!Q8*'Assumption '!$D$96</f>
        <v>0.58971657506924635</v>
      </c>
      <c r="S18" s="226">
        <f>'Working Capital'!R8*'Assumption '!$D$96</f>
        <v>0.6133052380720162</v>
      </c>
      <c r="T18" s="226">
        <f>'Working Capital'!S8*'Assumption '!$D$96</f>
        <v>0.6378374475948968</v>
      </c>
      <c r="U18" s="226">
        <f>'Working Capital'!T8*'Assumption '!$D$96</f>
        <v>0.66335094549869278</v>
      </c>
      <c r="V18" s="226">
        <f>'Working Capital'!U8*'Assumption '!$D$96</f>
        <v>0.68988498331864057</v>
      </c>
      <c r="W18" s="226">
        <f>'Working Capital'!V8*'Assumption '!$D$96</f>
        <v>0.71748038265138614</v>
      </c>
    </row>
    <row r="19" spans="1:23" ht="14.4" thickBot="1">
      <c r="B19" s="231" t="s">
        <v>3</v>
      </c>
      <c r="C19" s="232"/>
      <c r="D19" s="245">
        <f>SUM(D15:D18)</f>
        <v>54.91254290896255</v>
      </c>
      <c r="E19" s="245">
        <f t="shared" ref="E19:W19" si="3">SUM(E15:E18)</f>
        <v>123.82153710232917</v>
      </c>
      <c r="F19" s="245">
        <f t="shared" si="3"/>
        <v>121.0914028285417</v>
      </c>
      <c r="G19" s="245">
        <f t="shared" si="3"/>
        <v>118.12559115677568</v>
      </c>
      <c r="H19" s="245">
        <f t="shared" si="3"/>
        <v>115.2435022613823</v>
      </c>
      <c r="I19" s="245">
        <f t="shared" si="3"/>
        <v>112.44848505341641</v>
      </c>
      <c r="J19" s="245">
        <f t="shared" si="3"/>
        <v>109.74402240037512</v>
      </c>
      <c r="K19" s="245">
        <f t="shared" si="3"/>
        <v>107.13373648445541</v>
      </c>
      <c r="L19" s="245">
        <f t="shared" si="3"/>
        <v>104.62139437514216</v>
      </c>
      <c r="M19" s="245">
        <f t="shared" si="3"/>
        <v>102.21091382469962</v>
      </c>
      <c r="N19" s="245">
        <f t="shared" si="3"/>
        <v>100.22254936305019</v>
      </c>
      <c r="O19" s="245">
        <f t="shared" si="3"/>
        <v>102.1385191742861</v>
      </c>
      <c r="P19" s="245">
        <f t="shared" si="3"/>
        <v>105.11760958878232</v>
      </c>
      <c r="Q19" s="245">
        <f t="shared" si="3"/>
        <v>108.21586361985837</v>
      </c>
      <c r="R19" s="245">
        <f t="shared" si="3"/>
        <v>111.43804781217744</v>
      </c>
      <c r="S19" s="245">
        <f t="shared" si="3"/>
        <v>114.78911937218929</v>
      </c>
      <c r="T19" s="245">
        <f t="shared" si="3"/>
        <v>118.27423379460161</v>
      </c>
      <c r="U19" s="245">
        <f t="shared" si="3"/>
        <v>112.77710171890702</v>
      </c>
      <c r="V19" s="245">
        <f t="shared" si="3"/>
        <v>102.77145413735005</v>
      </c>
      <c r="W19" s="245">
        <f t="shared" si="3"/>
        <v>106.69173388700247</v>
      </c>
    </row>
    <row r="20" spans="1:23">
      <c r="B20" s="221" t="s">
        <v>4</v>
      </c>
      <c r="C20" s="211"/>
      <c r="D20" s="226">
        <f>D13-D19</f>
        <v>-10.703782154245644</v>
      </c>
      <c r="E20" s="226">
        <f t="shared" ref="E20:W20" si="4">E13-E19</f>
        <v>-17.89590223307404</v>
      </c>
      <c r="F20" s="230">
        <f t="shared" si="4"/>
        <v>-8.3407334703017</v>
      </c>
      <c r="G20" s="230">
        <f t="shared" si="4"/>
        <v>-4.8491413638285934</v>
      </c>
      <c r="H20" s="226">
        <f t="shared" si="4"/>
        <v>-1.4202408163398985</v>
      </c>
      <c r="I20" s="216">
        <f t="shared" si="4"/>
        <v>1.9434605098049502</v>
      </c>
      <c r="J20" s="89">
        <f t="shared" si="4"/>
        <v>5.2393546457524138</v>
      </c>
      <c r="K20" s="230">
        <f t="shared" si="4"/>
        <v>8.4647293038944866</v>
      </c>
      <c r="L20" s="226">
        <f t="shared" si="4"/>
        <v>11.616763705118757</v>
      </c>
      <c r="M20" s="216">
        <f t="shared" si="4"/>
        <v>14.692524239149179</v>
      </c>
      <c r="N20" s="89">
        <f t="shared" si="4"/>
        <v>17.37277988373009</v>
      </c>
      <c r="O20" s="226">
        <f t="shared" si="4"/>
        <v>16.176376902742987</v>
      </c>
      <c r="P20" s="89">
        <f t="shared" si="4"/>
        <v>13.945635991705274</v>
      </c>
      <c r="Q20" s="230">
        <f t="shared" si="4"/>
        <v>11.625665444225717</v>
      </c>
      <c r="R20" s="226">
        <f t="shared" si="4"/>
        <v>9.2128960748473361</v>
      </c>
      <c r="S20" s="89">
        <f t="shared" si="4"/>
        <v>6.7036159306938856</v>
      </c>
      <c r="T20" s="226">
        <f t="shared" si="4"/>
        <v>4.0939645807743545</v>
      </c>
      <c r="U20" s="216">
        <f t="shared" si="4"/>
        <v>10.501578251861034</v>
      </c>
      <c r="V20" s="216">
        <f t="shared" si="4"/>
        <v>21.45412669262646</v>
      </c>
      <c r="W20" s="226">
        <f t="shared" si="4"/>
        <v>18.518623836550532</v>
      </c>
    </row>
    <row r="21" spans="1:23" ht="14.4" thickBot="1">
      <c r="B21" s="220" t="s">
        <v>6</v>
      </c>
      <c r="C21" s="209"/>
      <c r="D21" s="226">
        <f t="shared" ref="D21:W21" si="5">D40</f>
        <v>0</v>
      </c>
      <c r="E21" s="226">
        <f t="shared" si="5"/>
        <v>0</v>
      </c>
      <c r="F21" s="230">
        <f t="shared" si="5"/>
        <v>0</v>
      </c>
      <c r="G21" s="230">
        <f t="shared" si="5"/>
        <v>0</v>
      </c>
      <c r="H21" s="226">
        <f t="shared" si="5"/>
        <v>0</v>
      </c>
      <c r="I21" s="216">
        <f t="shared" si="5"/>
        <v>0</v>
      </c>
      <c r="J21" s="89">
        <f t="shared" si="5"/>
        <v>0</v>
      </c>
      <c r="K21" s="230">
        <f t="shared" si="5"/>
        <v>0</v>
      </c>
      <c r="L21" s="226">
        <f t="shared" si="5"/>
        <v>0</v>
      </c>
      <c r="M21" s="216">
        <f t="shared" si="5"/>
        <v>0</v>
      </c>
      <c r="N21" s="89">
        <f t="shared" si="5"/>
        <v>0</v>
      </c>
      <c r="O21" s="226">
        <f t="shared" si="5"/>
        <v>0</v>
      </c>
      <c r="P21" s="89">
        <f t="shared" si="5"/>
        <v>0</v>
      </c>
      <c r="Q21" s="230">
        <f t="shared" si="5"/>
        <v>0</v>
      </c>
      <c r="R21" s="226">
        <f t="shared" si="5"/>
        <v>0</v>
      </c>
      <c r="S21" s="89">
        <f t="shared" si="5"/>
        <v>0</v>
      </c>
      <c r="T21" s="226">
        <f t="shared" si="5"/>
        <v>3.9939788679513635</v>
      </c>
      <c r="U21" s="216">
        <f t="shared" si="5"/>
        <v>7.4801403189569964</v>
      </c>
      <c r="V21" s="216">
        <f t="shared" si="5"/>
        <v>6.8364536328238081</v>
      </c>
      <c r="W21" s="226">
        <f t="shared" si="5"/>
        <v>6.1113266040239766</v>
      </c>
    </row>
    <row r="22" spans="1:23" ht="14.4" thickBot="1">
      <c r="B22" s="231" t="s">
        <v>7</v>
      </c>
      <c r="C22" s="232"/>
      <c r="D22" s="246">
        <f>D20-D21</f>
        <v>-10.703782154245644</v>
      </c>
      <c r="E22" s="246">
        <f t="shared" ref="E22:W22" si="6">E20-E21</f>
        <v>-17.89590223307404</v>
      </c>
      <c r="F22" s="247">
        <f t="shared" si="6"/>
        <v>-8.3407334703017</v>
      </c>
      <c r="G22" s="247">
        <f t="shared" si="6"/>
        <v>-4.8491413638285934</v>
      </c>
      <c r="H22" s="246">
        <f t="shared" si="6"/>
        <v>-1.4202408163398985</v>
      </c>
      <c r="I22" s="248">
        <f t="shared" si="6"/>
        <v>1.9434605098049502</v>
      </c>
      <c r="J22" s="249">
        <f t="shared" si="6"/>
        <v>5.2393546457524138</v>
      </c>
      <c r="K22" s="247">
        <f t="shared" si="6"/>
        <v>8.4647293038944866</v>
      </c>
      <c r="L22" s="246">
        <f t="shared" si="6"/>
        <v>11.616763705118757</v>
      </c>
      <c r="M22" s="248">
        <f t="shared" si="6"/>
        <v>14.692524239149179</v>
      </c>
      <c r="N22" s="249">
        <f t="shared" si="6"/>
        <v>17.37277988373009</v>
      </c>
      <c r="O22" s="246">
        <f t="shared" si="6"/>
        <v>16.176376902742987</v>
      </c>
      <c r="P22" s="249">
        <f t="shared" si="6"/>
        <v>13.945635991705274</v>
      </c>
      <c r="Q22" s="247">
        <f t="shared" si="6"/>
        <v>11.625665444225717</v>
      </c>
      <c r="R22" s="246">
        <f t="shared" si="6"/>
        <v>9.2128960748473361</v>
      </c>
      <c r="S22" s="249">
        <f t="shared" si="6"/>
        <v>6.7036159306938856</v>
      </c>
      <c r="T22" s="246">
        <f t="shared" si="6"/>
        <v>9.9985712822991069E-2</v>
      </c>
      <c r="U22" s="248">
        <f t="shared" si="6"/>
        <v>3.0214379329040373</v>
      </c>
      <c r="V22" s="248">
        <f t="shared" si="6"/>
        <v>14.617673059802652</v>
      </c>
      <c r="W22" s="246">
        <f t="shared" si="6"/>
        <v>12.407297232526556</v>
      </c>
    </row>
    <row r="23" spans="1:23">
      <c r="B23" s="211"/>
      <c r="C23" s="211"/>
      <c r="D23" s="89"/>
      <c r="E23" s="89"/>
      <c r="F23" s="89"/>
      <c r="G23" s="89"/>
      <c r="H23" s="89"/>
      <c r="I23" s="89"/>
      <c r="J23" s="89"/>
      <c r="K23" s="89"/>
      <c r="L23" s="89"/>
      <c r="M23" s="89"/>
      <c r="N23" s="89"/>
      <c r="O23" s="89"/>
      <c r="P23" s="89"/>
      <c r="Q23" s="89"/>
      <c r="R23" s="89"/>
      <c r="S23" s="89"/>
      <c r="T23" s="89"/>
      <c r="U23" s="89"/>
      <c r="V23" s="89"/>
      <c r="W23" s="89"/>
    </row>
    <row r="25" spans="1:23" s="80" customFormat="1">
      <c r="B25" s="211"/>
      <c r="C25" s="213"/>
      <c r="D25" s="89"/>
      <c r="E25" s="89"/>
      <c r="F25" s="89"/>
      <c r="G25" s="89"/>
      <c r="H25" s="89"/>
      <c r="I25" s="89"/>
      <c r="J25" s="89"/>
      <c r="K25" s="89"/>
      <c r="L25" s="89"/>
      <c r="M25" s="89"/>
      <c r="N25" s="89"/>
      <c r="O25" s="89"/>
      <c r="P25" s="89"/>
      <c r="Q25" s="89"/>
      <c r="R25" s="89"/>
      <c r="S25" s="89"/>
      <c r="T25" s="89"/>
      <c r="U25" s="89"/>
      <c r="V25" s="89"/>
      <c r="W25" s="89"/>
    </row>
    <row r="26" spans="1:23" s="80" customFormat="1" ht="14.4" thickBot="1">
      <c r="A26" s="80" t="s">
        <v>173</v>
      </c>
      <c r="B26" s="207" t="s">
        <v>161</v>
      </c>
      <c r="C26" s="213"/>
      <c r="D26" s="269">
        <f t="shared" ref="D26:W26" si="7">D47</f>
        <v>1</v>
      </c>
      <c r="E26" s="269" t="str">
        <f t="shared" si="7"/>
        <v>2</v>
      </c>
      <c r="F26" s="269">
        <f t="shared" si="7"/>
        <v>3</v>
      </c>
      <c r="G26" s="269">
        <f t="shared" si="7"/>
        <v>4</v>
      </c>
      <c r="H26" s="269">
        <f t="shared" si="7"/>
        <v>5</v>
      </c>
      <c r="I26" s="269">
        <f t="shared" si="7"/>
        <v>6</v>
      </c>
      <c r="J26" s="269">
        <f t="shared" si="7"/>
        <v>7</v>
      </c>
      <c r="K26" s="269">
        <f t="shared" si="7"/>
        <v>8</v>
      </c>
      <c r="L26" s="269">
        <f t="shared" si="7"/>
        <v>9</v>
      </c>
      <c r="M26" s="269">
        <f t="shared" si="7"/>
        <v>10</v>
      </c>
      <c r="N26" s="269">
        <f t="shared" si="7"/>
        <v>11</v>
      </c>
      <c r="O26" s="269">
        <f t="shared" si="7"/>
        <v>12</v>
      </c>
      <c r="P26" s="269">
        <f t="shared" si="7"/>
        <v>13</v>
      </c>
      <c r="Q26" s="269">
        <f t="shared" si="7"/>
        <v>14</v>
      </c>
      <c r="R26" s="269">
        <f t="shared" si="7"/>
        <v>15</v>
      </c>
      <c r="S26" s="269">
        <f t="shared" si="7"/>
        <v>16</v>
      </c>
      <c r="T26" s="269">
        <f t="shared" si="7"/>
        <v>17</v>
      </c>
      <c r="U26" s="269">
        <f t="shared" si="7"/>
        <v>18</v>
      </c>
      <c r="V26" s="269">
        <f t="shared" si="7"/>
        <v>19</v>
      </c>
      <c r="W26" s="269">
        <f t="shared" si="7"/>
        <v>20</v>
      </c>
    </row>
    <row r="27" spans="1:23" ht="14.4" thickBot="1">
      <c r="B27" s="278" t="s">
        <v>176</v>
      </c>
      <c r="C27" s="257"/>
      <c r="D27" s="260">
        <f t="shared" ref="D27:W27" si="8">D48</f>
        <v>40268</v>
      </c>
      <c r="E27" s="260">
        <f t="shared" si="8"/>
        <v>40633</v>
      </c>
      <c r="F27" s="254">
        <f t="shared" si="8"/>
        <v>40999</v>
      </c>
      <c r="G27" s="263">
        <f t="shared" si="8"/>
        <v>41364</v>
      </c>
      <c r="H27" s="260">
        <f t="shared" si="8"/>
        <v>41729</v>
      </c>
      <c r="I27" s="254">
        <f t="shared" si="8"/>
        <v>42094</v>
      </c>
      <c r="J27" s="263">
        <f t="shared" si="8"/>
        <v>42460</v>
      </c>
      <c r="K27" s="260">
        <f t="shared" si="8"/>
        <v>42825</v>
      </c>
      <c r="L27" s="254">
        <f t="shared" si="8"/>
        <v>43190</v>
      </c>
      <c r="M27" s="260">
        <f t="shared" si="8"/>
        <v>43555</v>
      </c>
      <c r="N27" s="260">
        <f t="shared" si="8"/>
        <v>43921</v>
      </c>
      <c r="O27" s="254">
        <f t="shared" si="8"/>
        <v>44286</v>
      </c>
      <c r="P27" s="263">
        <f t="shared" si="8"/>
        <v>44651</v>
      </c>
      <c r="Q27" s="254">
        <f t="shared" si="8"/>
        <v>45016</v>
      </c>
      <c r="R27" s="260">
        <f t="shared" si="8"/>
        <v>45382</v>
      </c>
      <c r="S27" s="260">
        <f t="shared" si="8"/>
        <v>45747</v>
      </c>
      <c r="T27" s="260">
        <f t="shared" si="8"/>
        <v>46112</v>
      </c>
      <c r="U27" s="254">
        <f t="shared" si="8"/>
        <v>46477</v>
      </c>
      <c r="V27" s="254">
        <f t="shared" si="8"/>
        <v>46843</v>
      </c>
      <c r="W27" s="254">
        <f t="shared" si="8"/>
        <v>47208</v>
      </c>
    </row>
    <row r="28" spans="1:23">
      <c r="B28" s="265" t="s">
        <v>4</v>
      </c>
      <c r="C28" s="221"/>
      <c r="D28" s="230">
        <f>D20</f>
        <v>-10.703782154245644</v>
      </c>
      <c r="E28" s="230">
        <f t="shared" ref="E28:W28" si="9">E20</f>
        <v>-17.89590223307404</v>
      </c>
      <c r="F28" s="226">
        <f t="shared" si="9"/>
        <v>-8.3407334703017</v>
      </c>
      <c r="G28" s="89">
        <f t="shared" si="9"/>
        <v>-4.8491413638285934</v>
      </c>
      <c r="H28" s="230">
        <f t="shared" si="9"/>
        <v>-1.4202408163398985</v>
      </c>
      <c r="I28" s="226">
        <f t="shared" si="9"/>
        <v>1.9434605098049502</v>
      </c>
      <c r="J28" s="89">
        <f t="shared" si="9"/>
        <v>5.2393546457524138</v>
      </c>
      <c r="K28" s="230">
        <f t="shared" si="9"/>
        <v>8.4647293038944866</v>
      </c>
      <c r="L28" s="226">
        <f t="shared" si="9"/>
        <v>11.616763705118757</v>
      </c>
      <c r="M28" s="230">
        <f t="shared" si="9"/>
        <v>14.692524239149179</v>
      </c>
      <c r="N28" s="230">
        <f t="shared" si="9"/>
        <v>17.37277988373009</v>
      </c>
      <c r="O28" s="226">
        <f t="shared" si="9"/>
        <v>16.176376902742987</v>
      </c>
      <c r="P28" s="89">
        <f t="shared" si="9"/>
        <v>13.945635991705274</v>
      </c>
      <c r="Q28" s="226">
        <f t="shared" si="9"/>
        <v>11.625665444225717</v>
      </c>
      <c r="R28" s="230">
        <f t="shared" si="9"/>
        <v>9.2128960748473361</v>
      </c>
      <c r="S28" s="230">
        <f t="shared" si="9"/>
        <v>6.7036159306938856</v>
      </c>
      <c r="T28" s="230">
        <f t="shared" si="9"/>
        <v>4.0939645807743545</v>
      </c>
      <c r="U28" s="226">
        <f t="shared" si="9"/>
        <v>10.501578251861034</v>
      </c>
      <c r="V28" s="226">
        <f t="shared" si="9"/>
        <v>21.45412669262646</v>
      </c>
      <c r="W28" s="226">
        <f t="shared" si="9"/>
        <v>18.518623836550532</v>
      </c>
    </row>
    <row r="29" spans="1:23">
      <c r="B29" s="265" t="s">
        <v>8</v>
      </c>
      <c r="C29" s="220"/>
      <c r="D29" s="230">
        <f>D17</f>
        <v>12.277051856232198</v>
      </c>
      <c r="E29" s="230">
        <f t="shared" ref="E29:W29" si="10">E17</f>
        <v>27.66125881188119</v>
      </c>
      <c r="F29" s="226">
        <f t="shared" si="10"/>
        <v>27.66125881188119</v>
      </c>
      <c r="G29" s="89">
        <f t="shared" si="10"/>
        <v>27.66125881188119</v>
      </c>
      <c r="H29" s="230">
        <f t="shared" si="10"/>
        <v>27.66125881188119</v>
      </c>
      <c r="I29" s="226">
        <f t="shared" si="10"/>
        <v>27.66125881188119</v>
      </c>
      <c r="J29" s="89">
        <f t="shared" si="10"/>
        <v>27.66125881188119</v>
      </c>
      <c r="K29" s="230">
        <f t="shared" si="10"/>
        <v>27.66125881188119</v>
      </c>
      <c r="L29" s="226">
        <f t="shared" si="10"/>
        <v>27.66125881188119</v>
      </c>
      <c r="M29" s="230">
        <f t="shared" si="10"/>
        <v>27.66125881188119</v>
      </c>
      <c r="N29" s="230">
        <f t="shared" si="10"/>
        <v>27.66125881188119</v>
      </c>
      <c r="O29" s="226">
        <f t="shared" si="10"/>
        <v>27.66125881188119</v>
      </c>
      <c r="P29" s="89">
        <f t="shared" si="10"/>
        <v>27.66125881188119</v>
      </c>
      <c r="Q29" s="226">
        <f t="shared" si="10"/>
        <v>27.66125881188119</v>
      </c>
      <c r="R29" s="230">
        <f t="shared" si="10"/>
        <v>27.66125881188119</v>
      </c>
      <c r="S29" s="230">
        <f t="shared" si="10"/>
        <v>27.66125881188119</v>
      </c>
      <c r="T29" s="230">
        <f t="shared" si="10"/>
        <v>27.66125881188119</v>
      </c>
      <c r="U29" s="226">
        <f t="shared" si="10"/>
        <v>18.539607736877748</v>
      </c>
      <c r="V29" s="226">
        <f t="shared" si="10"/>
        <v>4.7644603960396044</v>
      </c>
      <c r="W29" s="226">
        <f t="shared" si="10"/>
        <v>4.7644603960396044</v>
      </c>
    </row>
    <row r="30" spans="1:23">
      <c r="B30" s="265" t="s">
        <v>43</v>
      </c>
      <c r="C30" s="220"/>
      <c r="D30" s="230">
        <f>+D28+D29</f>
        <v>1.573269701986554</v>
      </c>
      <c r="E30" s="230">
        <f t="shared" ref="E30:W30" si="11">+E28+E29</f>
        <v>9.7653565788071504</v>
      </c>
      <c r="F30" s="226">
        <f t="shared" si="11"/>
        <v>19.32052534157949</v>
      </c>
      <c r="G30" s="89">
        <f t="shared" si="11"/>
        <v>22.812117448052597</v>
      </c>
      <c r="H30" s="230">
        <f t="shared" si="11"/>
        <v>26.241017995541291</v>
      </c>
      <c r="I30" s="226">
        <f t="shared" si="11"/>
        <v>29.60471932168614</v>
      </c>
      <c r="J30" s="89">
        <f t="shared" si="11"/>
        <v>32.900613457633604</v>
      </c>
      <c r="K30" s="230">
        <f t="shared" si="11"/>
        <v>36.125988115775677</v>
      </c>
      <c r="L30" s="226">
        <f t="shared" si="11"/>
        <v>39.278022516999947</v>
      </c>
      <c r="M30" s="230">
        <f t="shared" si="11"/>
        <v>42.353783051030369</v>
      </c>
      <c r="N30" s="230">
        <f t="shared" si="11"/>
        <v>45.034038695611279</v>
      </c>
      <c r="O30" s="226">
        <f t="shared" si="11"/>
        <v>43.837635714624177</v>
      </c>
      <c r="P30" s="89">
        <f t="shared" si="11"/>
        <v>41.606894803586464</v>
      </c>
      <c r="Q30" s="226">
        <f t="shared" si="11"/>
        <v>39.286924256106907</v>
      </c>
      <c r="R30" s="230">
        <f t="shared" si="11"/>
        <v>36.874154886728526</v>
      </c>
      <c r="S30" s="230">
        <f t="shared" si="11"/>
        <v>34.364874742575076</v>
      </c>
      <c r="T30" s="230">
        <f t="shared" si="11"/>
        <v>31.755223392655545</v>
      </c>
      <c r="U30" s="226">
        <f t="shared" si="11"/>
        <v>29.041185988738782</v>
      </c>
      <c r="V30" s="226">
        <f t="shared" si="11"/>
        <v>26.218587088666062</v>
      </c>
      <c r="W30" s="226">
        <f t="shared" si="11"/>
        <v>23.283084232590134</v>
      </c>
    </row>
    <row r="31" spans="1:23" ht="18.75" customHeight="1" thickBot="1">
      <c r="B31" s="174" t="s">
        <v>44</v>
      </c>
      <c r="C31" s="220"/>
      <c r="D31" s="230">
        <f>'Depreciation (SLM &amp; WDV)'!C37+'Depreciation (SLM &amp; WDV)'!C43</f>
        <v>35.201745286857452</v>
      </c>
      <c r="E31" s="230">
        <f>'Depreciation (SLM &amp; WDV)'!D37+'Depreciation (SLM &amp; WDV)'!D43</f>
        <v>74.348874922012754</v>
      </c>
      <c r="F31" s="226">
        <f>'Depreciation (SLM &amp; WDV)'!E37+'Depreciation (SLM &amp; WDV)'!E43</f>
        <v>63.878130012206697</v>
      </c>
      <c r="G31" s="89">
        <f>'Depreciation (SLM &amp; WDV)'!F37+'Depreciation (SLM &amp; WDV)'!F43</f>
        <v>54.909838206021973</v>
      </c>
      <c r="H31" s="230">
        <f>'Depreciation (SLM &amp; WDV)'!G37+'Depreciation (SLM &amp; WDV)'!G43</f>
        <v>47.225447401200327</v>
      </c>
      <c r="I31" s="226">
        <f>'Depreciation (SLM &amp; WDV)'!H37+'Depreciation (SLM &amp; WDV)'!H43</f>
        <v>40.638506724493766</v>
      </c>
      <c r="J31" s="89">
        <f>'Depreciation (SLM &amp; WDV)'!I37+'Depreciation (SLM &amp; WDV)'!I43</f>
        <v>34.989919505945835</v>
      </c>
      <c r="K31" s="230">
        <f>'Depreciation (SLM &amp; WDV)'!J37+'Depreciation (SLM &amp; WDV)'!J43</f>
        <v>30.143901491167483</v>
      </c>
      <c r="L31" s="226">
        <f>'Depreciation (SLM &amp; WDV)'!K37+'Depreciation (SLM &amp; WDV)'!K43</f>
        <v>25.98453918749453</v>
      </c>
      <c r="M31" s="230">
        <f>'Depreciation (SLM &amp; WDV)'!L37+'Depreciation (SLM &amp; WDV)'!L43</f>
        <v>22.412858937372306</v>
      </c>
      <c r="N31" s="230">
        <f>'Depreciation (SLM &amp; WDV)'!M37+'Depreciation (SLM &amp; WDV)'!M43</f>
        <v>19.344330661968215</v>
      </c>
      <c r="O31" s="226">
        <f>'Depreciation (SLM &amp; WDV)'!N37+'Depreciation (SLM &amp; WDV)'!N43</f>
        <v>16.706741571354566</v>
      </c>
      <c r="P31" s="89">
        <f>'Depreciation (SLM &amp; WDV)'!O37+'Depreciation (SLM &amp; WDV)'!O43</f>
        <v>14.438384793464806</v>
      </c>
      <c r="Q31" s="226">
        <f>'Depreciation (SLM &amp; WDV)'!P37+'Depreciation (SLM &amp; WDV)'!P43</f>
        <v>12.486516086477167</v>
      </c>
      <c r="R31" s="230">
        <f>'Depreciation (SLM &amp; WDV)'!Q37+'Depreciation (SLM &amp; WDV)'!Q43</f>
        <v>10.806038784334465</v>
      </c>
      <c r="S31" s="230">
        <f>'Depreciation (SLM &amp; WDV)'!R37+'Depreciation (SLM &amp; WDV)'!R43</f>
        <v>9.3583830664302816</v>
      </c>
      <c r="T31" s="230">
        <f>'Depreciation (SLM &amp; WDV)'!S37+'Depreciation (SLM &amp; WDV)'!S43</f>
        <v>8.1105506962371265</v>
      </c>
      <c r="U31" s="226">
        <f>'Depreciation (SLM &amp; WDV)'!T37+'Depreciation (SLM &amp; WDV)'!T43</f>
        <v>7.0343006725958075</v>
      </c>
      <c r="V31" s="226">
        <f>'Depreciation (SLM &amp; WDV)'!U37+'Depreciation (SLM &amp; WDV)'!U43</f>
        <v>6.1054548944212597</v>
      </c>
      <c r="W31" s="226">
        <f>'Depreciation (SLM &amp; WDV)'!V37+'Depreciation (SLM &amp; WDV)'!V43</f>
        <v>5.303306050701412</v>
      </c>
    </row>
    <row r="32" spans="1:23" ht="14.4" thickBot="1">
      <c r="B32" s="272" t="s">
        <v>9</v>
      </c>
      <c r="C32" s="231"/>
      <c r="D32" s="273">
        <f>+D30-D31</f>
        <v>-33.628475584870898</v>
      </c>
      <c r="E32" s="273">
        <f t="shared" ref="E32:W32" si="12">+E30-E31</f>
        <v>-64.583518343205611</v>
      </c>
      <c r="F32" s="274">
        <f t="shared" si="12"/>
        <v>-44.557604670627207</v>
      </c>
      <c r="G32" s="275">
        <f t="shared" si="12"/>
        <v>-32.097720757969377</v>
      </c>
      <c r="H32" s="273">
        <f t="shared" si="12"/>
        <v>-20.984429405659036</v>
      </c>
      <c r="I32" s="274">
        <f t="shared" si="12"/>
        <v>-11.033787402807626</v>
      </c>
      <c r="J32" s="275">
        <f t="shared" si="12"/>
        <v>-2.0893060483122312</v>
      </c>
      <c r="K32" s="273">
        <f t="shared" si="12"/>
        <v>5.9820866246081934</v>
      </c>
      <c r="L32" s="274">
        <f t="shared" si="12"/>
        <v>13.293483329505417</v>
      </c>
      <c r="M32" s="273">
        <f t="shared" si="12"/>
        <v>19.940924113658063</v>
      </c>
      <c r="N32" s="273">
        <f t="shared" si="12"/>
        <v>25.689708033643065</v>
      </c>
      <c r="O32" s="274">
        <f t="shared" si="12"/>
        <v>27.130894143269611</v>
      </c>
      <c r="P32" s="275">
        <f t="shared" si="12"/>
        <v>27.168510010121658</v>
      </c>
      <c r="Q32" s="274">
        <f t="shared" si="12"/>
        <v>26.80040816962974</v>
      </c>
      <c r="R32" s="273">
        <f t="shared" si="12"/>
        <v>26.068116102394061</v>
      </c>
      <c r="S32" s="273">
        <f t="shared" si="12"/>
        <v>25.006491676144794</v>
      </c>
      <c r="T32" s="273">
        <f t="shared" si="12"/>
        <v>23.644672696418418</v>
      </c>
      <c r="U32" s="274">
        <f t="shared" si="12"/>
        <v>22.006885316142974</v>
      </c>
      <c r="V32" s="274">
        <f t="shared" si="12"/>
        <v>20.113132194244802</v>
      </c>
      <c r="W32" s="274">
        <f t="shared" si="12"/>
        <v>17.979778181888722</v>
      </c>
    </row>
    <row r="33" spans="2:24">
      <c r="B33" s="174" t="s">
        <v>45</v>
      </c>
      <c r="C33" s="223"/>
      <c r="D33" s="230">
        <v>0</v>
      </c>
      <c r="E33" s="230">
        <f>MIN(D34,0)</f>
        <v>-33.628475584870898</v>
      </c>
      <c r="F33" s="226">
        <f t="shared" ref="F33:W33" si="13">MIN(E34,0)</f>
        <v>-98.21199392807651</v>
      </c>
      <c r="G33" s="89">
        <f t="shared" si="13"/>
        <v>-142.76959859870371</v>
      </c>
      <c r="H33" s="230">
        <f t="shared" si="13"/>
        <v>-174.86731935667308</v>
      </c>
      <c r="I33" s="226">
        <f t="shared" si="13"/>
        <v>-195.85174876233211</v>
      </c>
      <c r="J33" s="89">
        <f t="shared" si="13"/>
        <v>-206.88553616513974</v>
      </c>
      <c r="K33" s="230">
        <f t="shared" si="13"/>
        <v>-208.97484221345198</v>
      </c>
      <c r="L33" s="226">
        <f t="shared" si="13"/>
        <v>-202.99275558884378</v>
      </c>
      <c r="M33" s="230">
        <f t="shared" si="13"/>
        <v>-189.69927225933836</v>
      </c>
      <c r="N33" s="230">
        <f t="shared" si="13"/>
        <v>-169.75834814568029</v>
      </c>
      <c r="O33" s="226">
        <f t="shared" si="13"/>
        <v>-144.06864011203723</v>
      </c>
      <c r="P33" s="89">
        <f t="shared" si="13"/>
        <v>-116.93774596876762</v>
      </c>
      <c r="Q33" s="226">
        <f t="shared" si="13"/>
        <v>-89.769235958645965</v>
      </c>
      <c r="R33" s="230">
        <f t="shared" si="13"/>
        <v>-62.968827789016224</v>
      </c>
      <c r="S33" s="230">
        <f t="shared" si="13"/>
        <v>-36.900711686622159</v>
      </c>
      <c r="T33" s="230">
        <f t="shared" si="13"/>
        <v>-11.894220010477365</v>
      </c>
      <c r="U33" s="226">
        <f t="shared" si="13"/>
        <v>0</v>
      </c>
      <c r="V33" s="226">
        <f t="shared" si="13"/>
        <v>0</v>
      </c>
      <c r="W33" s="226">
        <f t="shared" si="13"/>
        <v>0</v>
      </c>
    </row>
    <row r="34" spans="2:24" ht="18.75" customHeight="1">
      <c r="B34" s="266" t="s">
        <v>46</v>
      </c>
      <c r="C34" s="223"/>
      <c r="D34" s="230">
        <f>D32+D33</f>
        <v>-33.628475584870898</v>
      </c>
      <c r="E34" s="230">
        <f t="shared" ref="E34:W34" si="14">E32+E33</f>
        <v>-98.21199392807651</v>
      </c>
      <c r="F34" s="226">
        <f>F32+F33</f>
        <v>-142.76959859870371</v>
      </c>
      <c r="G34" s="89">
        <f t="shared" si="14"/>
        <v>-174.86731935667308</v>
      </c>
      <c r="H34" s="230">
        <f t="shared" si="14"/>
        <v>-195.85174876233211</v>
      </c>
      <c r="I34" s="226">
        <f t="shared" si="14"/>
        <v>-206.88553616513974</v>
      </c>
      <c r="J34" s="89">
        <f t="shared" si="14"/>
        <v>-208.97484221345198</v>
      </c>
      <c r="K34" s="230">
        <f t="shared" si="14"/>
        <v>-202.99275558884378</v>
      </c>
      <c r="L34" s="226">
        <f>L32+L33</f>
        <v>-189.69927225933836</v>
      </c>
      <c r="M34" s="230">
        <f>M32+M33</f>
        <v>-169.75834814568029</v>
      </c>
      <c r="N34" s="230">
        <f>N32+N33</f>
        <v>-144.06864011203723</v>
      </c>
      <c r="O34" s="226">
        <f t="shared" si="14"/>
        <v>-116.93774596876762</v>
      </c>
      <c r="P34" s="89">
        <f t="shared" si="14"/>
        <v>-89.769235958645965</v>
      </c>
      <c r="Q34" s="226">
        <f t="shared" si="14"/>
        <v>-62.968827789016224</v>
      </c>
      <c r="R34" s="230">
        <f t="shared" si="14"/>
        <v>-36.900711686622159</v>
      </c>
      <c r="S34" s="230">
        <f t="shared" si="14"/>
        <v>-11.894220010477365</v>
      </c>
      <c r="T34" s="230">
        <f t="shared" si="14"/>
        <v>11.750452685941053</v>
      </c>
      <c r="U34" s="226">
        <f t="shared" si="14"/>
        <v>22.006885316142974</v>
      </c>
      <c r="V34" s="226">
        <f t="shared" si="14"/>
        <v>20.113132194244802</v>
      </c>
      <c r="W34" s="226">
        <f t="shared" si="14"/>
        <v>17.979778181888722</v>
      </c>
    </row>
    <row r="35" spans="2:24" ht="18.75" customHeight="1">
      <c r="B35" s="266"/>
      <c r="C35" s="223"/>
      <c r="D35" s="230"/>
      <c r="E35" s="230"/>
      <c r="F35" s="226"/>
      <c r="G35" s="89"/>
      <c r="H35" s="230"/>
      <c r="I35" s="226"/>
      <c r="J35" s="89"/>
      <c r="K35" s="230"/>
      <c r="L35" s="226"/>
      <c r="M35" s="230"/>
      <c r="N35" s="230"/>
      <c r="O35" s="230"/>
      <c r="P35" s="89"/>
      <c r="Q35" s="226"/>
      <c r="R35" s="230"/>
      <c r="S35" s="230"/>
      <c r="T35" s="230"/>
      <c r="U35" s="226"/>
      <c r="V35" s="226"/>
      <c r="W35" s="226"/>
    </row>
    <row r="36" spans="2:24">
      <c r="B36" s="279" t="s">
        <v>175</v>
      </c>
      <c r="C36" s="223"/>
      <c r="D36" s="230"/>
      <c r="E36" s="230"/>
      <c r="F36" s="226"/>
      <c r="G36" s="89"/>
      <c r="H36" s="230"/>
      <c r="I36" s="226"/>
      <c r="J36" s="89"/>
      <c r="K36" s="230"/>
      <c r="L36" s="226"/>
      <c r="M36" s="230"/>
      <c r="N36" s="230"/>
      <c r="O36" s="230"/>
      <c r="P36" s="89"/>
      <c r="Q36" s="226"/>
      <c r="R36" s="230"/>
      <c r="S36" s="230"/>
      <c r="T36" s="230"/>
      <c r="U36" s="226"/>
      <c r="V36" s="226"/>
      <c r="W36" s="226"/>
    </row>
    <row r="37" spans="2:24" s="237" customFormat="1">
      <c r="B37" s="174" t="s">
        <v>162</v>
      </c>
      <c r="C37" s="258"/>
      <c r="D37" s="261">
        <f>IF(AND(D34&gt;0,D26&lt;=15),1,0)</f>
        <v>0</v>
      </c>
      <c r="E37" s="261">
        <f t="shared" ref="E37:W37" si="15">IF(AND(E34&gt;0,E26&lt;=15),1,0)</f>
        <v>0</v>
      </c>
      <c r="F37" s="262">
        <f t="shared" si="15"/>
        <v>0</v>
      </c>
      <c r="G37" s="264">
        <f t="shared" si="15"/>
        <v>0</v>
      </c>
      <c r="H37" s="261">
        <f t="shared" si="15"/>
        <v>0</v>
      </c>
      <c r="I37" s="262">
        <f t="shared" si="15"/>
        <v>0</v>
      </c>
      <c r="J37" s="264">
        <f t="shared" si="15"/>
        <v>0</v>
      </c>
      <c r="K37" s="261">
        <f t="shared" si="15"/>
        <v>0</v>
      </c>
      <c r="L37" s="262">
        <f t="shared" si="15"/>
        <v>0</v>
      </c>
      <c r="M37" s="261">
        <f t="shared" si="15"/>
        <v>0</v>
      </c>
      <c r="N37" s="261">
        <f t="shared" si="15"/>
        <v>0</v>
      </c>
      <c r="O37" s="261">
        <f t="shared" si="15"/>
        <v>0</v>
      </c>
      <c r="P37" s="261">
        <f t="shared" si="15"/>
        <v>0</v>
      </c>
      <c r="Q37" s="262">
        <f t="shared" si="15"/>
        <v>0</v>
      </c>
      <c r="R37" s="261">
        <f t="shared" si="15"/>
        <v>0</v>
      </c>
      <c r="S37" s="261">
        <f t="shared" si="15"/>
        <v>0</v>
      </c>
      <c r="T37" s="261">
        <f t="shared" si="15"/>
        <v>0</v>
      </c>
      <c r="U37" s="262">
        <f t="shared" si="15"/>
        <v>0</v>
      </c>
      <c r="V37" s="262">
        <f t="shared" si="15"/>
        <v>0</v>
      </c>
      <c r="W37" s="262">
        <f t="shared" si="15"/>
        <v>0</v>
      </c>
      <c r="X37" s="92"/>
    </row>
    <row r="38" spans="2:24" s="237" customFormat="1">
      <c r="B38" s="174" t="s">
        <v>174</v>
      </c>
      <c r="C38" s="258"/>
      <c r="D38" s="261">
        <f>MAX(D32*D37,0)</f>
        <v>0</v>
      </c>
      <c r="E38" s="261">
        <f>MAX(E32*E37,0)</f>
        <v>0</v>
      </c>
      <c r="F38" s="262">
        <f t="shared" ref="F38:W38" si="16">MAX(F32*F37,0)</f>
        <v>0</v>
      </c>
      <c r="G38" s="264">
        <f t="shared" si="16"/>
        <v>0</v>
      </c>
      <c r="H38" s="261">
        <f t="shared" si="16"/>
        <v>0</v>
      </c>
      <c r="I38" s="262">
        <f t="shared" si="16"/>
        <v>0</v>
      </c>
      <c r="J38" s="264">
        <f t="shared" si="16"/>
        <v>0</v>
      </c>
      <c r="K38" s="261">
        <f t="shared" si="16"/>
        <v>0</v>
      </c>
      <c r="L38" s="262">
        <f t="shared" si="16"/>
        <v>0</v>
      </c>
      <c r="M38" s="261">
        <f>MAX(M32*M37,0)</f>
        <v>0</v>
      </c>
      <c r="N38" s="261">
        <f t="shared" si="16"/>
        <v>0</v>
      </c>
      <c r="O38" s="262">
        <f t="shared" si="16"/>
        <v>0</v>
      </c>
      <c r="P38" s="264">
        <f t="shared" si="16"/>
        <v>0</v>
      </c>
      <c r="Q38" s="262">
        <f t="shared" si="16"/>
        <v>0</v>
      </c>
      <c r="R38" s="261">
        <f t="shared" si="16"/>
        <v>0</v>
      </c>
      <c r="S38" s="261">
        <f t="shared" si="16"/>
        <v>0</v>
      </c>
      <c r="T38" s="261">
        <f t="shared" si="16"/>
        <v>0</v>
      </c>
      <c r="U38" s="262">
        <f t="shared" si="16"/>
        <v>0</v>
      </c>
      <c r="V38" s="262">
        <f t="shared" si="16"/>
        <v>0</v>
      </c>
      <c r="W38" s="262">
        <f t="shared" si="16"/>
        <v>0</v>
      </c>
      <c r="X38" s="92"/>
    </row>
    <row r="39" spans="2:24">
      <c r="B39" s="174" t="s">
        <v>47</v>
      </c>
      <c r="C39" s="223"/>
      <c r="D39" s="230">
        <f>MAX(D32-D34,0)</f>
        <v>0</v>
      </c>
      <c r="E39" s="230">
        <f t="shared" ref="E39:K39" si="17">MAX(E34-E38,0)</f>
        <v>0</v>
      </c>
      <c r="F39" s="226">
        <f t="shared" si="17"/>
        <v>0</v>
      </c>
      <c r="G39" s="89">
        <f t="shared" si="17"/>
        <v>0</v>
      </c>
      <c r="H39" s="230">
        <f t="shared" si="17"/>
        <v>0</v>
      </c>
      <c r="I39" s="226">
        <f t="shared" si="17"/>
        <v>0</v>
      </c>
      <c r="J39" s="89">
        <f t="shared" si="17"/>
        <v>0</v>
      </c>
      <c r="K39" s="230">
        <f t="shared" si="17"/>
        <v>0</v>
      </c>
      <c r="L39" s="226">
        <f>MAX(L34-L38,0)</f>
        <v>0</v>
      </c>
      <c r="M39" s="230">
        <f>MAX(M34-M38,0)</f>
        <v>0</v>
      </c>
      <c r="N39" s="230">
        <f t="shared" ref="N39:W39" si="18">MAX(N34-N38,0)</f>
        <v>0</v>
      </c>
      <c r="O39" s="226">
        <f t="shared" si="18"/>
        <v>0</v>
      </c>
      <c r="P39" s="89">
        <f t="shared" si="18"/>
        <v>0</v>
      </c>
      <c r="Q39" s="226">
        <f t="shared" si="18"/>
        <v>0</v>
      </c>
      <c r="R39" s="230">
        <f t="shared" si="18"/>
        <v>0</v>
      </c>
      <c r="S39" s="230">
        <f t="shared" si="18"/>
        <v>0</v>
      </c>
      <c r="T39" s="230">
        <f t="shared" si="18"/>
        <v>11.750452685941053</v>
      </c>
      <c r="U39" s="226">
        <f t="shared" si="18"/>
        <v>22.006885316142974</v>
      </c>
      <c r="V39" s="226">
        <f t="shared" si="18"/>
        <v>20.113132194244802</v>
      </c>
      <c r="W39" s="226">
        <f t="shared" si="18"/>
        <v>17.979778181888722</v>
      </c>
    </row>
    <row r="40" spans="2:24">
      <c r="B40" s="174" t="s">
        <v>164</v>
      </c>
      <c r="C40" s="223"/>
      <c r="D40" s="230">
        <f>D39*'Assumption '!$C$73</f>
        <v>0</v>
      </c>
      <c r="E40" s="230">
        <f>E39*'Assumption '!$C$73</f>
        <v>0</v>
      </c>
      <c r="F40" s="226">
        <f>F39*'Assumption '!$C$73</f>
        <v>0</v>
      </c>
      <c r="G40" s="89">
        <f>G39*'Assumption '!$C$73</f>
        <v>0</v>
      </c>
      <c r="H40" s="230">
        <f>H39*'Assumption '!$C$73</f>
        <v>0</v>
      </c>
      <c r="I40" s="226">
        <f>I39*'Assumption '!$C$73</f>
        <v>0</v>
      </c>
      <c r="J40" s="89">
        <f>J39*'Assumption '!$C$73</f>
        <v>0</v>
      </c>
      <c r="K40" s="230">
        <f>K39*'Assumption '!$C$73</f>
        <v>0</v>
      </c>
      <c r="L40" s="226">
        <f>L39*'Assumption '!$C$73</f>
        <v>0</v>
      </c>
      <c r="M40" s="230">
        <f>M39*'Assumption '!$C$73</f>
        <v>0</v>
      </c>
      <c r="N40" s="230">
        <f>N39*'Assumption '!$C$73</f>
        <v>0</v>
      </c>
      <c r="O40" s="226">
        <f>O39*'Assumption '!$C$73</f>
        <v>0</v>
      </c>
      <c r="P40" s="89">
        <f>P39*'Assumption '!$C$73</f>
        <v>0</v>
      </c>
      <c r="Q40" s="226">
        <f>Q39*'Assumption '!$C$73</f>
        <v>0</v>
      </c>
      <c r="R40" s="230">
        <f>R39*'Assumption '!$C$73</f>
        <v>0</v>
      </c>
      <c r="S40" s="230">
        <f>S39*'Assumption '!$C$73</f>
        <v>0</v>
      </c>
      <c r="T40" s="230">
        <f>T39*'Assumption '!$C$73</f>
        <v>3.9939788679513635</v>
      </c>
      <c r="U40" s="226">
        <f>U39*'Assumption '!$C$73</f>
        <v>7.4801403189569964</v>
      </c>
      <c r="V40" s="226">
        <f>V39*'Assumption '!$C$73</f>
        <v>6.8364536328238081</v>
      </c>
      <c r="W40" s="226">
        <f>W39*'Assumption '!$C$73</f>
        <v>6.1113266040239766</v>
      </c>
    </row>
    <row r="41" spans="2:24" ht="14.4" thickBot="1">
      <c r="B41" s="255" t="s">
        <v>169</v>
      </c>
      <c r="C41" s="223"/>
      <c r="D41" s="230">
        <f>D28*'Assumption '!$C$74</f>
        <v>-1.2127385180760315</v>
      </c>
      <c r="E41" s="230">
        <f>E28*'Assumption '!$C$74</f>
        <v>-2.027605723007289</v>
      </c>
      <c r="F41" s="226">
        <f>F28*'Assumption '!$C$74</f>
        <v>-0.94500510218518274</v>
      </c>
      <c r="G41" s="89">
        <f>G28*'Assumption '!$C$74</f>
        <v>-0.54940771652177967</v>
      </c>
      <c r="H41" s="230">
        <f>H28*'Assumption '!$C$74</f>
        <v>-0.16091328449131051</v>
      </c>
      <c r="I41" s="226">
        <f>I28*'Assumption '!$C$74</f>
        <v>0.22019407576090089</v>
      </c>
      <c r="J41" s="89">
        <f>J28*'Assumption '!$C$74</f>
        <v>0.59361888136374852</v>
      </c>
      <c r="K41" s="230">
        <f>K28*'Assumption '!$C$74</f>
        <v>0.95905383013124545</v>
      </c>
      <c r="L41" s="226">
        <f>L28*'Assumption '!$C$74</f>
        <v>1.3161793277899554</v>
      </c>
      <c r="M41" s="230">
        <f>M28*'Assumption '!$C$74</f>
        <v>1.6646629962956021</v>
      </c>
      <c r="N41" s="230">
        <f>N28*'Assumption '!$C$74</f>
        <v>1.9683359608266193</v>
      </c>
      <c r="O41" s="226">
        <f>O28*'Assumption '!$C$74</f>
        <v>1.8327835030807806</v>
      </c>
      <c r="P41" s="89">
        <f>P28*'Assumption '!$C$74</f>
        <v>1.5800405578602077</v>
      </c>
      <c r="Q41" s="226">
        <f>Q28*'Assumption '!$C$74</f>
        <v>1.3171878948307738</v>
      </c>
      <c r="R41" s="230">
        <f>R28*'Assumption '!$C$74</f>
        <v>1.0438211252802032</v>
      </c>
      <c r="S41" s="230">
        <f>S28*'Assumption '!$C$74</f>
        <v>0.75951968494761735</v>
      </c>
      <c r="T41" s="230">
        <f>T28*'Assumption '!$C$74</f>
        <v>0.46384618700173441</v>
      </c>
      <c r="U41" s="226">
        <f>U28*'Assumption '!$C$74</f>
        <v>1.1898288159358552</v>
      </c>
      <c r="V41" s="226">
        <f>V28*'Assumption '!$C$74</f>
        <v>2.4307525542745783</v>
      </c>
      <c r="W41" s="226">
        <f>W28*'Assumption '!$C$74</f>
        <v>2.0981600806811755</v>
      </c>
      <c r="X41" s="80"/>
    </row>
    <row r="42" spans="2:24" ht="14.4" thickBot="1">
      <c r="B42" s="276" t="s">
        <v>170</v>
      </c>
      <c r="C42" s="277"/>
      <c r="D42" s="273">
        <f>MAX(D40,D41)</f>
        <v>0</v>
      </c>
      <c r="E42" s="273">
        <f t="shared" ref="E42:W42" si="19">MAX(E40,E41)</f>
        <v>0</v>
      </c>
      <c r="F42" s="274">
        <f t="shared" si="19"/>
        <v>0</v>
      </c>
      <c r="G42" s="275">
        <f t="shared" si="19"/>
        <v>0</v>
      </c>
      <c r="H42" s="273">
        <f t="shared" si="19"/>
        <v>0</v>
      </c>
      <c r="I42" s="274">
        <f t="shared" si="19"/>
        <v>0.22019407576090089</v>
      </c>
      <c r="J42" s="275">
        <f t="shared" si="19"/>
        <v>0.59361888136374852</v>
      </c>
      <c r="K42" s="273">
        <f t="shared" si="19"/>
        <v>0.95905383013124545</v>
      </c>
      <c r="L42" s="274">
        <f t="shared" si="19"/>
        <v>1.3161793277899554</v>
      </c>
      <c r="M42" s="273">
        <f>MAX(M40,M41)</f>
        <v>1.6646629962956021</v>
      </c>
      <c r="N42" s="273">
        <f t="shared" si="19"/>
        <v>1.9683359608266193</v>
      </c>
      <c r="O42" s="274">
        <f t="shared" si="19"/>
        <v>1.8327835030807806</v>
      </c>
      <c r="P42" s="275">
        <f t="shared" si="19"/>
        <v>1.5800405578602077</v>
      </c>
      <c r="Q42" s="274">
        <f t="shared" si="19"/>
        <v>1.3171878948307738</v>
      </c>
      <c r="R42" s="273">
        <f t="shared" si="19"/>
        <v>1.0438211252802032</v>
      </c>
      <c r="S42" s="273">
        <f t="shared" si="19"/>
        <v>0.75951968494761735</v>
      </c>
      <c r="T42" s="273">
        <f t="shared" si="19"/>
        <v>3.9939788679513635</v>
      </c>
      <c r="U42" s="274">
        <f t="shared" si="19"/>
        <v>7.4801403189569964</v>
      </c>
      <c r="V42" s="274">
        <f t="shared" si="19"/>
        <v>6.8364536328238081</v>
      </c>
      <c r="W42" s="274">
        <f t="shared" si="19"/>
        <v>6.1113266040239766</v>
      </c>
      <c r="X42" s="80"/>
    </row>
    <row r="47" spans="2:24" ht="14.4" thickBot="1">
      <c r="B47" s="207" t="s">
        <v>161</v>
      </c>
      <c r="C47" s="211"/>
      <c r="D47" s="269">
        <f t="shared" ref="D47:W47" si="20">D8</f>
        <v>1</v>
      </c>
      <c r="E47" s="269" t="str">
        <f t="shared" si="20"/>
        <v>2</v>
      </c>
      <c r="F47" s="269">
        <f t="shared" si="20"/>
        <v>3</v>
      </c>
      <c r="G47" s="269">
        <f t="shared" si="20"/>
        <v>4</v>
      </c>
      <c r="H47" s="269">
        <f t="shared" si="20"/>
        <v>5</v>
      </c>
      <c r="I47" s="269">
        <f t="shared" si="20"/>
        <v>6</v>
      </c>
      <c r="J47" s="269">
        <f t="shared" si="20"/>
        <v>7</v>
      </c>
      <c r="K47" s="269">
        <f t="shared" si="20"/>
        <v>8</v>
      </c>
      <c r="L47" s="269">
        <f t="shared" si="20"/>
        <v>9</v>
      </c>
      <c r="M47" s="269">
        <f t="shared" si="20"/>
        <v>10</v>
      </c>
      <c r="N47" s="269">
        <f t="shared" si="20"/>
        <v>11</v>
      </c>
      <c r="O47" s="269">
        <f t="shared" si="20"/>
        <v>12</v>
      </c>
      <c r="P47" s="269">
        <f t="shared" si="20"/>
        <v>13</v>
      </c>
      <c r="Q47" s="269">
        <f t="shared" si="20"/>
        <v>14</v>
      </c>
      <c r="R47" s="269">
        <f t="shared" si="20"/>
        <v>15</v>
      </c>
      <c r="S47" s="269">
        <f t="shared" si="20"/>
        <v>16</v>
      </c>
      <c r="T47" s="269">
        <f t="shared" si="20"/>
        <v>17</v>
      </c>
      <c r="U47" s="269">
        <f t="shared" si="20"/>
        <v>18</v>
      </c>
      <c r="V47" s="269">
        <f t="shared" si="20"/>
        <v>19</v>
      </c>
      <c r="W47" s="269">
        <f t="shared" si="20"/>
        <v>20</v>
      </c>
    </row>
    <row r="48" spans="2:24" ht="14.4" thickBot="1">
      <c r="B48" s="253" t="s">
        <v>181</v>
      </c>
      <c r="C48" s="231"/>
      <c r="D48" s="254">
        <f t="shared" ref="D48:W48" si="21">D9</f>
        <v>40268</v>
      </c>
      <c r="E48" s="254">
        <f t="shared" si="21"/>
        <v>40633</v>
      </c>
      <c r="F48" s="254">
        <f t="shared" si="21"/>
        <v>40999</v>
      </c>
      <c r="G48" s="254">
        <f t="shared" si="21"/>
        <v>41364</v>
      </c>
      <c r="H48" s="254">
        <f t="shared" si="21"/>
        <v>41729</v>
      </c>
      <c r="I48" s="254">
        <f t="shared" si="21"/>
        <v>42094</v>
      </c>
      <c r="J48" s="254">
        <f t="shared" si="21"/>
        <v>42460</v>
      </c>
      <c r="K48" s="254">
        <f t="shared" si="21"/>
        <v>42825</v>
      </c>
      <c r="L48" s="254">
        <f t="shared" si="21"/>
        <v>43190</v>
      </c>
      <c r="M48" s="254">
        <f t="shared" si="21"/>
        <v>43555</v>
      </c>
      <c r="N48" s="254">
        <f t="shared" si="21"/>
        <v>43921</v>
      </c>
      <c r="O48" s="254">
        <f t="shared" si="21"/>
        <v>44286</v>
      </c>
      <c r="P48" s="254">
        <f t="shared" si="21"/>
        <v>44651</v>
      </c>
      <c r="Q48" s="254">
        <f t="shared" si="21"/>
        <v>45016</v>
      </c>
      <c r="R48" s="254">
        <f t="shared" si="21"/>
        <v>45382</v>
      </c>
      <c r="S48" s="254">
        <f t="shared" si="21"/>
        <v>45747</v>
      </c>
      <c r="T48" s="254">
        <f t="shared" si="21"/>
        <v>46112</v>
      </c>
      <c r="U48" s="254">
        <f t="shared" si="21"/>
        <v>46477</v>
      </c>
      <c r="V48" s="254">
        <f t="shared" si="21"/>
        <v>46843</v>
      </c>
      <c r="W48" s="254">
        <f t="shared" si="21"/>
        <v>47208</v>
      </c>
    </row>
    <row r="49" spans="2:23">
      <c r="B49" s="220" t="s">
        <v>7</v>
      </c>
      <c r="C49" s="209"/>
      <c r="D49" s="226">
        <f t="shared" ref="D49:W49" si="22">D22</f>
        <v>-10.703782154245644</v>
      </c>
      <c r="E49" s="226">
        <f t="shared" si="22"/>
        <v>-17.89590223307404</v>
      </c>
      <c r="F49" s="230">
        <f t="shared" si="22"/>
        <v>-8.3407334703017</v>
      </c>
      <c r="G49" s="230">
        <f t="shared" si="22"/>
        <v>-4.8491413638285934</v>
      </c>
      <c r="H49" s="226">
        <f t="shared" si="22"/>
        <v>-1.4202408163398985</v>
      </c>
      <c r="I49" s="216">
        <f t="shared" si="22"/>
        <v>1.9434605098049502</v>
      </c>
      <c r="J49" s="89">
        <f t="shared" si="22"/>
        <v>5.2393546457524138</v>
      </c>
      <c r="K49" s="230">
        <f t="shared" si="22"/>
        <v>8.4647293038944866</v>
      </c>
      <c r="L49" s="226">
        <f t="shared" si="22"/>
        <v>11.616763705118757</v>
      </c>
      <c r="M49" s="216">
        <f t="shared" si="22"/>
        <v>14.692524239149179</v>
      </c>
      <c r="N49" s="89">
        <f t="shared" si="22"/>
        <v>17.37277988373009</v>
      </c>
      <c r="O49" s="226">
        <f t="shared" si="22"/>
        <v>16.176376902742987</v>
      </c>
      <c r="P49" s="89">
        <f t="shared" si="22"/>
        <v>13.945635991705274</v>
      </c>
      <c r="Q49" s="230">
        <f t="shared" si="22"/>
        <v>11.625665444225717</v>
      </c>
      <c r="R49" s="226">
        <f t="shared" si="22"/>
        <v>9.2128960748473361</v>
      </c>
      <c r="S49" s="89">
        <f t="shared" si="22"/>
        <v>6.7036159306938856</v>
      </c>
      <c r="T49" s="226">
        <f t="shared" si="22"/>
        <v>9.9985712822991069E-2</v>
      </c>
      <c r="U49" s="216">
        <f t="shared" si="22"/>
        <v>3.0214379329040373</v>
      </c>
      <c r="V49" s="216">
        <f t="shared" si="22"/>
        <v>14.617673059802652</v>
      </c>
      <c r="W49" s="226">
        <f t="shared" si="22"/>
        <v>12.407297232526556</v>
      </c>
    </row>
    <row r="50" spans="2:23">
      <c r="B50" s="220" t="s">
        <v>5</v>
      </c>
      <c r="C50" s="209"/>
      <c r="D50" s="250">
        <f t="shared" ref="D50:W50" si="23">D17</f>
        <v>12.277051856232198</v>
      </c>
      <c r="E50" s="226">
        <f t="shared" si="23"/>
        <v>27.66125881188119</v>
      </c>
      <c r="F50" s="230">
        <f t="shared" si="23"/>
        <v>27.66125881188119</v>
      </c>
      <c r="G50" s="230">
        <f t="shared" si="23"/>
        <v>27.66125881188119</v>
      </c>
      <c r="H50" s="226">
        <f t="shared" si="23"/>
        <v>27.66125881188119</v>
      </c>
      <c r="I50" s="216">
        <f t="shared" si="23"/>
        <v>27.66125881188119</v>
      </c>
      <c r="J50" s="89">
        <f t="shared" si="23"/>
        <v>27.66125881188119</v>
      </c>
      <c r="K50" s="230">
        <f t="shared" si="23"/>
        <v>27.66125881188119</v>
      </c>
      <c r="L50" s="226">
        <f t="shared" si="23"/>
        <v>27.66125881188119</v>
      </c>
      <c r="M50" s="216">
        <f t="shared" si="23"/>
        <v>27.66125881188119</v>
      </c>
      <c r="N50" s="89">
        <f t="shared" si="23"/>
        <v>27.66125881188119</v>
      </c>
      <c r="O50" s="226">
        <f t="shared" si="23"/>
        <v>27.66125881188119</v>
      </c>
      <c r="P50" s="89">
        <f t="shared" si="23"/>
        <v>27.66125881188119</v>
      </c>
      <c r="Q50" s="230">
        <f t="shared" si="23"/>
        <v>27.66125881188119</v>
      </c>
      <c r="R50" s="226">
        <f t="shared" si="23"/>
        <v>27.66125881188119</v>
      </c>
      <c r="S50" s="89">
        <f t="shared" si="23"/>
        <v>27.66125881188119</v>
      </c>
      <c r="T50" s="226">
        <f t="shared" si="23"/>
        <v>27.66125881188119</v>
      </c>
      <c r="U50" s="216">
        <f t="shared" si="23"/>
        <v>18.539607736877748</v>
      </c>
      <c r="V50" s="216">
        <f t="shared" si="23"/>
        <v>4.7644603960396044</v>
      </c>
      <c r="W50" s="226">
        <f t="shared" si="23"/>
        <v>4.7644603960396044</v>
      </c>
    </row>
    <row r="51" spans="2:23">
      <c r="B51" s="220" t="s">
        <v>63</v>
      </c>
      <c r="C51" s="209"/>
      <c r="D51" s="251"/>
      <c r="E51" s="226"/>
      <c r="F51" s="230"/>
      <c r="G51" s="230"/>
      <c r="H51" s="226"/>
      <c r="I51" s="216"/>
      <c r="J51" s="89"/>
      <c r="K51" s="230"/>
      <c r="L51" s="226"/>
      <c r="M51" s="216"/>
      <c r="N51" s="89"/>
      <c r="O51" s="226"/>
      <c r="P51" s="89"/>
      <c r="Q51" s="230"/>
      <c r="R51" s="226"/>
      <c r="S51" s="89"/>
      <c r="T51" s="226"/>
      <c r="U51" s="216"/>
      <c r="V51" s="216"/>
      <c r="W51" s="226">
        <f>'Depreciation (SLM &amp; WDV)'!V21+'Depreciation (SLM &amp; WDV)'!V29</f>
        <v>93.362797026447879</v>
      </c>
    </row>
    <row r="52" spans="2:23">
      <c r="B52" s="220" t="s">
        <v>64</v>
      </c>
      <c r="C52" s="211"/>
      <c r="D52" s="226">
        <f t="shared" ref="D52:W52" si="24">D16</f>
        <v>20.769132328767125</v>
      </c>
      <c r="E52" s="226">
        <f t="shared" si="24"/>
        <v>45.846109797297302</v>
      </c>
      <c r="F52" s="230">
        <f t="shared" si="24"/>
        <v>41.103408783783784</v>
      </c>
      <c r="G52" s="230">
        <f t="shared" si="24"/>
        <v>36.044527702702709</v>
      </c>
      <c r="H52" s="226">
        <f t="shared" si="24"/>
        <v>30.985646621621633</v>
      </c>
      <c r="I52" s="216">
        <f t="shared" si="24"/>
        <v>25.926765540540558</v>
      </c>
      <c r="J52" s="89">
        <f t="shared" si="24"/>
        <v>20.867884459459482</v>
      </c>
      <c r="K52" s="230">
        <f t="shared" si="24"/>
        <v>15.809003378378403</v>
      </c>
      <c r="L52" s="226">
        <f t="shared" si="24"/>
        <v>10.750122297297324</v>
      </c>
      <c r="M52" s="216">
        <f t="shared" si="24"/>
        <v>5.6912412162162394</v>
      </c>
      <c r="N52" s="89">
        <f t="shared" si="24"/>
        <v>0.94854020270272665</v>
      </c>
      <c r="O52" s="226">
        <f t="shared" si="24"/>
        <v>0</v>
      </c>
      <c r="P52" s="89">
        <f t="shared" si="24"/>
        <v>0</v>
      </c>
      <c r="Q52" s="230">
        <f t="shared" si="24"/>
        <v>0</v>
      </c>
      <c r="R52" s="226">
        <f t="shared" si="24"/>
        <v>0</v>
      </c>
      <c r="S52" s="89">
        <f t="shared" si="24"/>
        <v>0</v>
      </c>
      <c r="T52" s="226">
        <f t="shared" si="24"/>
        <v>0</v>
      </c>
      <c r="U52" s="216">
        <f t="shared" si="24"/>
        <v>0</v>
      </c>
      <c r="V52" s="216">
        <f t="shared" si="24"/>
        <v>0</v>
      </c>
      <c r="W52" s="226">
        <f t="shared" si="24"/>
        <v>0</v>
      </c>
    </row>
    <row r="53" spans="2:23">
      <c r="B53" s="220" t="s">
        <v>171</v>
      </c>
      <c r="C53" s="211"/>
      <c r="D53" s="226">
        <f>IF(D32&lt;0,-(D32*'Assumption '!$C$73),0)</f>
        <v>11.430318851297617</v>
      </c>
      <c r="E53" s="226">
        <f>IF(E32&lt;0,-(E32*'Assumption '!$C$73),0)</f>
        <v>21.951937884855585</v>
      </c>
      <c r="F53" s="226">
        <f>IF(F32&lt;0,-(F32*'Assumption '!$C$73),0)</f>
        <v>15.145129827546187</v>
      </c>
      <c r="G53" s="226">
        <f>IF(G32&lt;0,-(G32*'Assumption '!$C$73),0)</f>
        <v>10.91001528563379</v>
      </c>
      <c r="H53" s="226">
        <f>IF(H32&lt;0,-(H32*'Assumption '!$C$73),0)</f>
        <v>7.1326075549835055</v>
      </c>
      <c r="I53" s="226">
        <f>IF(I32&lt;0,-(I32*'Assumption '!$C$73),0)</f>
        <v>3.7503843382143116</v>
      </c>
      <c r="J53" s="226">
        <f>IF(J32&lt;0,-(J32*'Assumption '!$C$73),0)</f>
        <v>0.71015512582132734</v>
      </c>
      <c r="K53" s="226">
        <f>IF(K32&lt;0,-(K32*'Assumption '!$C$73),0)</f>
        <v>0</v>
      </c>
      <c r="L53" s="226">
        <f>IF(L32&lt;0,-(L32*'Assumption '!$C$73),0)</f>
        <v>0</v>
      </c>
      <c r="M53" s="226">
        <f>IF(M32&lt;0,-(M32*'Assumption '!$C$73),0)</f>
        <v>0</v>
      </c>
      <c r="N53" s="226">
        <f>IF(N32&lt;0,-(N32*'Assumption '!$C$73),0)</f>
        <v>0</v>
      </c>
      <c r="O53" s="226">
        <f>IF(O32&lt;0,-(O32*'Assumption '!$C$73),0)</f>
        <v>0</v>
      </c>
      <c r="P53" s="226">
        <f>IF(P32&lt;0,-(P32*'Assumption '!$C$73),0)</f>
        <v>0</v>
      </c>
      <c r="Q53" s="226">
        <f>IF(Q32&lt;0,-(Q32*'Assumption '!$C$73),0)</f>
        <v>0</v>
      </c>
      <c r="R53" s="226">
        <f>IF(R32&lt;0,-(R32*'Assumption '!$C$73),0)</f>
        <v>0</v>
      </c>
      <c r="S53" s="226">
        <f>IF(S32&lt;0,-(S32*'Assumption '!$C$73),0)</f>
        <v>0</v>
      </c>
      <c r="T53" s="226">
        <f>IF(T32&lt;0,-(T32*'Assumption '!$C$73),0)</f>
        <v>0</v>
      </c>
      <c r="U53" s="226">
        <f>IF(U32&lt;0,-(U32*'Assumption '!$C$73),0)</f>
        <v>0</v>
      </c>
      <c r="V53" s="226">
        <f>IF(V32&lt;0,-(V32*'Assumption '!$C$73),0)</f>
        <v>0</v>
      </c>
      <c r="W53" s="226">
        <f>IF(W32&lt;0,-(W32*'Assumption '!$C$73),0)</f>
        <v>0</v>
      </c>
    </row>
    <row r="54" spans="2:23">
      <c r="B54" s="220" t="s">
        <v>229</v>
      </c>
      <c r="C54" s="211"/>
      <c r="D54" s="226">
        <f>SUM(D49:D53)</f>
        <v>33.772720882051296</v>
      </c>
      <c r="E54" s="226">
        <f t="shared" ref="E54:W54" si="25">SUM(E49:E53)</f>
        <v>77.563404260960041</v>
      </c>
      <c r="F54" s="226">
        <f t="shared" si="25"/>
        <v>75.56906395290946</v>
      </c>
      <c r="G54" s="226">
        <f t="shared" si="25"/>
        <v>69.766660436389088</v>
      </c>
      <c r="H54" s="226">
        <f t="shared" si="25"/>
        <v>64.359272172146433</v>
      </c>
      <c r="I54" s="226">
        <f t="shared" si="25"/>
        <v>59.281869200441008</v>
      </c>
      <c r="J54" s="226">
        <f t="shared" si="25"/>
        <v>54.478653042914416</v>
      </c>
      <c r="K54" s="226">
        <f t="shared" si="25"/>
        <v>51.934991494154076</v>
      </c>
      <c r="L54" s="226">
        <f t="shared" si="25"/>
        <v>50.028144814297271</v>
      </c>
      <c r="M54" s="226">
        <f t="shared" si="25"/>
        <v>48.04502426724661</v>
      </c>
      <c r="N54" s="226">
        <f t="shared" si="25"/>
        <v>45.982578898314003</v>
      </c>
      <c r="O54" s="226">
        <f t="shared" si="25"/>
        <v>43.837635714624177</v>
      </c>
      <c r="P54" s="226">
        <f t="shared" si="25"/>
        <v>41.606894803586464</v>
      </c>
      <c r="Q54" s="226">
        <f t="shared" si="25"/>
        <v>39.286924256106907</v>
      </c>
      <c r="R54" s="226">
        <f t="shared" si="25"/>
        <v>36.874154886728526</v>
      </c>
      <c r="S54" s="226">
        <f t="shared" si="25"/>
        <v>34.364874742575076</v>
      </c>
      <c r="T54" s="226">
        <f t="shared" si="25"/>
        <v>27.761244524704182</v>
      </c>
      <c r="U54" s="226">
        <f t="shared" si="25"/>
        <v>21.561045669781784</v>
      </c>
      <c r="V54" s="226">
        <f t="shared" si="25"/>
        <v>19.382133455842258</v>
      </c>
      <c r="W54" s="226">
        <f t="shared" si="25"/>
        <v>110.53455465501403</v>
      </c>
    </row>
    <row r="55" spans="2:23">
      <c r="B55" s="220" t="s">
        <v>227</v>
      </c>
      <c r="C55" s="211"/>
      <c r="D55" s="226">
        <f>'Working Capital'!C10</f>
        <v>1.3384379808594484</v>
      </c>
      <c r="E55" s="226">
        <f>'Working Capital'!D10</f>
        <v>1.7412880465378116</v>
      </c>
      <c r="F55" s="226">
        <f>'Working Capital'!E10</f>
        <v>0.12318904109589068</v>
      </c>
      <c r="G55" s="226">
        <f>'Working Capital'!F10</f>
        <v>0.12811660273972647</v>
      </c>
      <c r="H55" s="226">
        <f>'Working Capital'!G10</f>
        <v>0.13324126684931503</v>
      </c>
      <c r="I55" s="226">
        <f>'Working Capital'!H10</f>
        <v>0.13857091752328765</v>
      </c>
      <c r="J55" s="226">
        <f>'Working Capital'!I10</f>
        <v>0.1441137542242199</v>
      </c>
      <c r="K55" s="226">
        <f>'Working Capital'!J10</f>
        <v>0.14987830439318772</v>
      </c>
      <c r="L55" s="226">
        <f>'Working Capital'!K10</f>
        <v>0.15587343656891539</v>
      </c>
      <c r="M55" s="226">
        <f>'Working Capital'!L10</f>
        <v>0.16210837403167222</v>
      </c>
      <c r="N55" s="226">
        <f>'Working Capital'!M10</f>
        <v>0.16859270899293932</v>
      </c>
      <c r="O55" s="226">
        <f>'Working Capital'!N10</f>
        <v>0.17533641735265704</v>
      </c>
      <c r="P55" s="226">
        <f>'Working Capital'!O10</f>
        <v>0.18234987404676328</v>
      </c>
      <c r="Q55" s="226">
        <f>'Working Capital'!P10</f>
        <v>0.18964386900863328</v>
      </c>
      <c r="R55" s="226">
        <f>'Working Capital'!Q10</f>
        <v>0.19722962376897879</v>
      </c>
      <c r="S55" s="226">
        <f>'Working Capital'!R10</f>
        <v>0.20511880871973709</v>
      </c>
      <c r="T55" s="226">
        <f>'Working Capital'!S10</f>
        <v>0.21332356106852757</v>
      </c>
      <c r="U55" s="226">
        <f>'Working Capital'!T10</f>
        <v>0.22185650351126895</v>
      </c>
      <c r="V55" s="226">
        <f>'Working Capital'!U10</f>
        <v>0.23073076365171996</v>
      </c>
      <c r="W55" s="226">
        <f>'Working Capital'!V10</f>
        <v>0.23995999419778791</v>
      </c>
    </row>
    <row r="56" spans="2:23">
      <c r="B56" s="220" t="s">
        <v>230</v>
      </c>
      <c r="C56" s="211"/>
      <c r="D56" s="226">
        <f>D54-D55</f>
        <v>32.43428290119185</v>
      </c>
      <c r="E56" s="226">
        <f t="shared" ref="E56:W56" si="26">E54-E55</f>
        <v>75.822116214422223</v>
      </c>
      <c r="F56" s="226">
        <f t="shared" si="26"/>
        <v>75.445874911813576</v>
      </c>
      <c r="G56" s="226">
        <f t="shared" si="26"/>
        <v>69.638543833649365</v>
      </c>
      <c r="H56" s="226">
        <f t="shared" si="26"/>
        <v>64.226030905297122</v>
      </c>
      <c r="I56" s="226">
        <f t="shared" si="26"/>
        <v>59.143298282917719</v>
      </c>
      <c r="J56" s="226">
        <f t="shared" si="26"/>
        <v>54.334539288690195</v>
      </c>
      <c r="K56" s="226">
        <f t="shared" si="26"/>
        <v>51.785113189760885</v>
      </c>
      <c r="L56" s="226">
        <f t="shared" si="26"/>
        <v>49.872271377728353</v>
      </c>
      <c r="M56" s="226">
        <f t="shared" si="26"/>
        <v>47.882915893214935</v>
      </c>
      <c r="N56" s="226">
        <f t="shared" si="26"/>
        <v>45.813986189321064</v>
      </c>
      <c r="O56" s="226">
        <f t="shared" si="26"/>
        <v>43.662299297271517</v>
      </c>
      <c r="P56" s="226">
        <f t="shared" si="26"/>
        <v>41.424544929539699</v>
      </c>
      <c r="Q56" s="226">
        <f t="shared" si="26"/>
        <v>39.097280387098273</v>
      </c>
      <c r="R56" s="226">
        <f t="shared" si="26"/>
        <v>36.67692526295955</v>
      </c>
      <c r="S56" s="226">
        <f t="shared" si="26"/>
        <v>34.159755933855337</v>
      </c>
      <c r="T56" s="226">
        <f t="shared" si="26"/>
        <v>27.547920963635654</v>
      </c>
      <c r="U56" s="226">
        <f t="shared" si="26"/>
        <v>21.339189166270515</v>
      </c>
      <c r="V56" s="226">
        <f t="shared" si="26"/>
        <v>19.151402692190537</v>
      </c>
      <c r="W56" s="226">
        <f t="shared" si="26"/>
        <v>110.29459466081624</v>
      </c>
    </row>
    <row r="57" spans="2:23">
      <c r="B57" s="221"/>
      <c r="C57" s="212">
        <f>-'Assumption '!C35</f>
        <v>-581.29999999999995</v>
      </c>
      <c r="D57" s="252">
        <f>D56</f>
        <v>32.43428290119185</v>
      </c>
      <c r="E57" s="252">
        <f t="shared" ref="E57:W57" si="27">E56</f>
        <v>75.822116214422223</v>
      </c>
      <c r="F57" s="252">
        <f t="shared" si="27"/>
        <v>75.445874911813576</v>
      </c>
      <c r="G57" s="252">
        <f t="shared" si="27"/>
        <v>69.638543833649365</v>
      </c>
      <c r="H57" s="252">
        <f t="shared" si="27"/>
        <v>64.226030905297122</v>
      </c>
      <c r="I57" s="252">
        <f t="shared" si="27"/>
        <v>59.143298282917719</v>
      </c>
      <c r="J57" s="252">
        <f t="shared" si="27"/>
        <v>54.334539288690195</v>
      </c>
      <c r="K57" s="252">
        <f t="shared" si="27"/>
        <v>51.785113189760885</v>
      </c>
      <c r="L57" s="252">
        <f t="shared" si="27"/>
        <v>49.872271377728353</v>
      </c>
      <c r="M57" s="252">
        <f t="shared" si="27"/>
        <v>47.882915893214935</v>
      </c>
      <c r="N57" s="252">
        <f t="shared" si="27"/>
        <v>45.813986189321064</v>
      </c>
      <c r="O57" s="252">
        <f t="shared" si="27"/>
        <v>43.662299297271517</v>
      </c>
      <c r="P57" s="252">
        <f t="shared" si="27"/>
        <v>41.424544929539699</v>
      </c>
      <c r="Q57" s="252">
        <f t="shared" si="27"/>
        <v>39.097280387098273</v>
      </c>
      <c r="R57" s="252">
        <f t="shared" si="27"/>
        <v>36.67692526295955</v>
      </c>
      <c r="S57" s="252">
        <f t="shared" si="27"/>
        <v>34.159755933855337</v>
      </c>
      <c r="T57" s="252">
        <f t="shared" si="27"/>
        <v>27.547920963635654</v>
      </c>
      <c r="U57" s="252">
        <f t="shared" si="27"/>
        <v>21.339189166270515</v>
      </c>
      <c r="V57" s="252">
        <f t="shared" si="27"/>
        <v>19.151402692190537</v>
      </c>
      <c r="W57" s="252">
        <f t="shared" si="27"/>
        <v>110.29459466081624</v>
      </c>
    </row>
    <row r="58" spans="2:23" ht="14.4" thickBot="1">
      <c r="B58" s="267" t="s">
        <v>52</v>
      </c>
      <c r="C58" s="268">
        <f>IRR(C57:W57)</f>
        <v>6.4541423537714818E-2</v>
      </c>
      <c r="D58" s="227"/>
      <c r="E58" s="227"/>
      <c r="F58" s="259"/>
      <c r="G58" s="259"/>
      <c r="H58" s="227"/>
      <c r="I58" s="256"/>
      <c r="J58" s="217"/>
      <c r="K58" s="259"/>
      <c r="L58" s="227"/>
      <c r="M58" s="256"/>
      <c r="N58" s="217"/>
      <c r="O58" s="227"/>
      <c r="P58" s="217"/>
      <c r="Q58" s="259"/>
      <c r="R58" s="227"/>
      <c r="S58" s="217"/>
      <c r="T58" s="227"/>
      <c r="U58" s="256"/>
      <c r="V58" s="256"/>
      <c r="W58" s="227"/>
    </row>
    <row r="59" spans="2:23" s="80" customFormat="1">
      <c r="B59" s="211"/>
      <c r="C59" s="213"/>
      <c r="D59" s="89"/>
      <c r="E59" s="89"/>
      <c r="F59" s="89"/>
      <c r="G59" s="89"/>
      <c r="H59" s="89"/>
      <c r="I59" s="89"/>
      <c r="J59" s="89"/>
      <c r="K59" s="89"/>
      <c r="L59" s="89"/>
      <c r="M59" s="89"/>
      <c r="N59" s="89"/>
      <c r="O59" s="89"/>
      <c r="P59" s="89"/>
      <c r="Q59" s="89"/>
      <c r="R59" s="89"/>
      <c r="S59" s="89"/>
      <c r="T59" s="89"/>
      <c r="U59" s="89"/>
      <c r="V59" s="89"/>
      <c r="W59" s="89"/>
    </row>
    <row r="62" spans="2:23" ht="14.4" thickBot="1">
      <c r="B62" s="207" t="s">
        <v>161</v>
      </c>
      <c r="C62" s="211"/>
      <c r="D62" s="269">
        <f>D47</f>
        <v>1</v>
      </c>
      <c r="E62" s="269" t="str">
        <f t="shared" ref="E62:W62" si="28">E47</f>
        <v>2</v>
      </c>
      <c r="F62" s="269">
        <f t="shared" si="28"/>
        <v>3</v>
      </c>
      <c r="G62" s="269">
        <f t="shared" si="28"/>
        <v>4</v>
      </c>
      <c r="H62" s="269">
        <f t="shared" si="28"/>
        <v>5</v>
      </c>
      <c r="I62" s="269">
        <f t="shared" si="28"/>
        <v>6</v>
      </c>
      <c r="J62" s="269">
        <f t="shared" si="28"/>
        <v>7</v>
      </c>
      <c r="K62" s="269">
        <f t="shared" si="28"/>
        <v>8</v>
      </c>
      <c r="L62" s="269">
        <f t="shared" si="28"/>
        <v>9</v>
      </c>
      <c r="M62" s="269">
        <f t="shared" si="28"/>
        <v>10</v>
      </c>
      <c r="N62" s="269">
        <f t="shared" si="28"/>
        <v>11</v>
      </c>
      <c r="O62" s="269">
        <f t="shared" si="28"/>
        <v>12</v>
      </c>
      <c r="P62" s="269">
        <f t="shared" si="28"/>
        <v>13</v>
      </c>
      <c r="Q62" s="269">
        <f t="shared" si="28"/>
        <v>14</v>
      </c>
      <c r="R62" s="269">
        <f t="shared" si="28"/>
        <v>15</v>
      </c>
      <c r="S62" s="269">
        <f t="shared" si="28"/>
        <v>16</v>
      </c>
      <c r="T62" s="269">
        <f t="shared" si="28"/>
        <v>17</v>
      </c>
      <c r="U62" s="269">
        <f t="shared" si="28"/>
        <v>18</v>
      </c>
      <c r="V62" s="269">
        <f t="shared" si="28"/>
        <v>19</v>
      </c>
      <c r="W62" s="269">
        <f t="shared" si="28"/>
        <v>20</v>
      </c>
    </row>
    <row r="63" spans="2:23" ht="14.4" thickBot="1">
      <c r="B63" s="253" t="s">
        <v>182</v>
      </c>
      <c r="C63" s="231"/>
      <c r="D63" s="254">
        <f>D48</f>
        <v>40268</v>
      </c>
      <c r="E63" s="254">
        <f t="shared" ref="E63:W63" si="29">E48</f>
        <v>40633</v>
      </c>
      <c r="F63" s="254">
        <f t="shared" si="29"/>
        <v>40999</v>
      </c>
      <c r="G63" s="254">
        <f t="shared" si="29"/>
        <v>41364</v>
      </c>
      <c r="H63" s="254">
        <f t="shared" si="29"/>
        <v>41729</v>
      </c>
      <c r="I63" s="254">
        <f t="shared" si="29"/>
        <v>42094</v>
      </c>
      <c r="J63" s="254">
        <f t="shared" si="29"/>
        <v>42460</v>
      </c>
      <c r="K63" s="254">
        <f t="shared" si="29"/>
        <v>42825</v>
      </c>
      <c r="L63" s="254">
        <f t="shared" si="29"/>
        <v>43190</v>
      </c>
      <c r="M63" s="254">
        <f t="shared" si="29"/>
        <v>43555</v>
      </c>
      <c r="N63" s="254">
        <f t="shared" si="29"/>
        <v>43921</v>
      </c>
      <c r="O63" s="254">
        <f t="shared" si="29"/>
        <v>44286</v>
      </c>
      <c r="P63" s="254">
        <f t="shared" si="29"/>
        <v>44651</v>
      </c>
      <c r="Q63" s="254">
        <f t="shared" si="29"/>
        <v>45016</v>
      </c>
      <c r="R63" s="254">
        <f t="shared" si="29"/>
        <v>45382</v>
      </c>
      <c r="S63" s="254">
        <f t="shared" si="29"/>
        <v>45747</v>
      </c>
      <c r="T63" s="254">
        <f t="shared" si="29"/>
        <v>46112</v>
      </c>
      <c r="U63" s="254">
        <f t="shared" si="29"/>
        <v>46477</v>
      </c>
      <c r="V63" s="254">
        <f t="shared" si="29"/>
        <v>46843</v>
      </c>
      <c r="W63" s="254">
        <f t="shared" si="29"/>
        <v>47208</v>
      </c>
    </row>
    <row r="64" spans="2:23">
      <c r="B64" s="220" t="s">
        <v>7</v>
      </c>
      <c r="C64" s="209"/>
      <c r="D64" s="226">
        <f>D49</f>
        <v>-10.703782154245644</v>
      </c>
      <c r="E64" s="226">
        <f t="shared" ref="E64:W64" si="30">E49</f>
        <v>-17.89590223307404</v>
      </c>
      <c r="F64" s="226">
        <f t="shared" si="30"/>
        <v>-8.3407334703017</v>
      </c>
      <c r="G64" s="226">
        <f t="shared" si="30"/>
        <v>-4.8491413638285934</v>
      </c>
      <c r="H64" s="226">
        <f t="shared" si="30"/>
        <v>-1.4202408163398985</v>
      </c>
      <c r="I64" s="226">
        <f t="shared" si="30"/>
        <v>1.9434605098049502</v>
      </c>
      <c r="J64" s="226">
        <f t="shared" si="30"/>
        <v>5.2393546457524138</v>
      </c>
      <c r="K64" s="226">
        <f t="shared" si="30"/>
        <v>8.4647293038944866</v>
      </c>
      <c r="L64" s="226">
        <f t="shared" si="30"/>
        <v>11.616763705118757</v>
      </c>
      <c r="M64" s="226">
        <f t="shared" si="30"/>
        <v>14.692524239149179</v>
      </c>
      <c r="N64" s="226">
        <f t="shared" si="30"/>
        <v>17.37277988373009</v>
      </c>
      <c r="O64" s="226">
        <f t="shared" si="30"/>
        <v>16.176376902742987</v>
      </c>
      <c r="P64" s="226">
        <f t="shared" si="30"/>
        <v>13.945635991705274</v>
      </c>
      <c r="Q64" s="226">
        <f t="shared" si="30"/>
        <v>11.625665444225717</v>
      </c>
      <c r="R64" s="226">
        <f t="shared" si="30"/>
        <v>9.2128960748473361</v>
      </c>
      <c r="S64" s="226">
        <f t="shared" si="30"/>
        <v>6.7036159306938856</v>
      </c>
      <c r="T64" s="226">
        <f t="shared" si="30"/>
        <v>9.9985712822991069E-2</v>
      </c>
      <c r="U64" s="226">
        <f t="shared" si="30"/>
        <v>3.0214379329040373</v>
      </c>
      <c r="V64" s="226">
        <f t="shared" si="30"/>
        <v>14.617673059802652</v>
      </c>
      <c r="W64" s="226">
        <f t="shared" si="30"/>
        <v>12.407297232526556</v>
      </c>
    </row>
    <row r="65" spans="2:23">
      <c r="B65" s="220" t="s">
        <v>183</v>
      </c>
      <c r="C65" s="209"/>
      <c r="D65" s="226">
        <f>'Assumption '!$C$80*'Assumption '!$C$79*'Assumption '!$C$78/10^6</f>
        <v>43.559412599999995</v>
      </c>
      <c r="E65" s="226">
        <f>'Assumption '!$C$80*'Assumption '!$C$79*'Assumption '!$C$78/10^6</f>
        <v>43.559412599999995</v>
      </c>
      <c r="F65" s="226">
        <f>'Assumption '!$C$80*'Assumption '!$C$79*'Assumption '!$C$78/10^6</f>
        <v>43.559412599999995</v>
      </c>
      <c r="G65" s="226">
        <f>'Assumption '!$C$80*'Assumption '!$C$79*'Assumption '!$C$78/10^6</f>
        <v>43.559412599999995</v>
      </c>
      <c r="H65" s="226">
        <f>'Assumption '!$C$80*'Assumption '!$C$79*'Assumption '!$C$78/10^6</f>
        <v>43.559412599999995</v>
      </c>
      <c r="I65" s="226">
        <f>'Assumption '!$C$80*'Assumption '!$C$79*'Assumption '!$C$78/10^6</f>
        <v>43.559412599999995</v>
      </c>
      <c r="J65" s="226">
        <f>'Assumption '!$C$80*'Assumption '!$C$79*'Assumption '!$C$78/10^6</f>
        <v>43.559412599999995</v>
      </c>
      <c r="K65" s="226">
        <f>'Assumption '!$C$80*'Assumption '!$C$79*'Assumption '!$C$78/10^6</f>
        <v>43.559412599999995</v>
      </c>
      <c r="L65" s="226">
        <f>'Assumption '!$C$80*'Assumption '!$C$79*'Assumption '!$C$78/10^6</f>
        <v>43.559412599999995</v>
      </c>
      <c r="M65" s="226">
        <f>'Assumption '!$C$80*'Assumption '!$C$79*'Assumption '!$C$78/10^6</f>
        <v>43.559412599999995</v>
      </c>
      <c r="N65" s="226"/>
      <c r="O65" s="226"/>
      <c r="P65" s="226"/>
      <c r="Q65" s="226"/>
      <c r="R65" s="226"/>
      <c r="S65" s="226"/>
      <c r="T65" s="226"/>
      <c r="U65" s="226"/>
      <c r="V65" s="226"/>
      <c r="W65" s="226"/>
    </row>
    <row r="66" spans="2:23">
      <c r="B66" s="220" t="s">
        <v>5</v>
      </c>
      <c r="C66" s="209"/>
      <c r="D66" s="250">
        <f>D50</f>
        <v>12.277051856232198</v>
      </c>
      <c r="E66" s="250">
        <f t="shared" ref="E66:W66" si="31">E50</f>
        <v>27.66125881188119</v>
      </c>
      <c r="F66" s="250">
        <f t="shared" si="31"/>
        <v>27.66125881188119</v>
      </c>
      <c r="G66" s="250">
        <f t="shared" si="31"/>
        <v>27.66125881188119</v>
      </c>
      <c r="H66" s="250">
        <f t="shared" si="31"/>
        <v>27.66125881188119</v>
      </c>
      <c r="I66" s="250">
        <f t="shared" si="31"/>
        <v>27.66125881188119</v>
      </c>
      <c r="J66" s="250">
        <f t="shared" si="31"/>
        <v>27.66125881188119</v>
      </c>
      <c r="K66" s="250">
        <f t="shared" si="31"/>
        <v>27.66125881188119</v>
      </c>
      <c r="L66" s="250">
        <f t="shared" si="31"/>
        <v>27.66125881188119</v>
      </c>
      <c r="M66" s="250">
        <f t="shared" si="31"/>
        <v>27.66125881188119</v>
      </c>
      <c r="N66" s="250">
        <f t="shared" si="31"/>
        <v>27.66125881188119</v>
      </c>
      <c r="O66" s="250">
        <f t="shared" si="31"/>
        <v>27.66125881188119</v>
      </c>
      <c r="P66" s="250">
        <f t="shared" si="31"/>
        <v>27.66125881188119</v>
      </c>
      <c r="Q66" s="250">
        <f t="shared" si="31"/>
        <v>27.66125881188119</v>
      </c>
      <c r="R66" s="250">
        <f t="shared" si="31"/>
        <v>27.66125881188119</v>
      </c>
      <c r="S66" s="250">
        <f t="shared" si="31"/>
        <v>27.66125881188119</v>
      </c>
      <c r="T66" s="250">
        <f t="shared" si="31"/>
        <v>27.66125881188119</v>
      </c>
      <c r="U66" s="250">
        <f t="shared" si="31"/>
        <v>18.539607736877748</v>
      </c>
      <c r="V66" s="250">
        <f t="shared" si="31"/>
        <v>4.7644603960396044</v>
      </c>
      <c r="W66" s="250">
        <f t="shared" si="31"/>
        <v>4.7644603960396044</v>
      </c>
    </row>
    <row r="67" spans="2:23">
      <c r="B67" s="220" t="s">
        <v>63</v>
      </c>
      <c r="C67" s="209"/>
      <c r="D67" s="251"/>
      <c r="E67" s="226"/>
      <c r="F67" s="230"/>
      <c r="G67" s="230"/>
      <c r="H67" s="226"/>
      <c r="I67" s="216"/>
      <c r="J67" s="89"/>
      <c r="K67" s="230"/>
      <c r="L67" s="226"/>
      <c r="M67" s="216"/>
      <c r="N67" s="89"/>
      <c r="O67" s="226"/>
      <c r="P67" s="89"/>
      <c r="Q67" s="230"/>
      <c r="R67" s="226"/>
      <c r="S67" s="89"/>
      <c r="T67" s="226"/>
      <c r="U67" s="216"/>
      <c r="V67" s="216"/>
      <c r="W67" s="226">
        <f>W51</f>
        <v>93.362797026447879</v>
      </c>
    </row>
    <row r="68" spans="2:23">
      <c r="B68" s="220" t="s">
        <v>64</v>
      </c>
      <c r="C68" s="211"/>
      <c r="D68" s="226">
        <f>D52</f>
        <v>20.769132328767125</v>
      </c>
      <c r="E68" s="226">
        <f t="shared" ref="E68:W68" si="32">E52</f>
        <v>45.846109797297302</v>
      </c>
      <c r="F68" s="226">
        <f t="shared" si="32"/>
        <v>41.103408783783784</v>
      </c>
      <c r="G68" s="226">
        <f t="shared" si="32"/>
        <v>36.044527702702709</v>
      </c>
      <c r="H68" s="226">
        <f t="shared" si="32"/>
        <v>30.985646621621633</v>
      </c>
      <c r="I68" s="226">
        <f t="shared" si="32"/>
        <v>25.926765540540558</v>
      </c>
      <c r="J68" s="226">
        <f t="shared" si="32"/>
        <v>20.867884459459482</v>
      </c>
      <c r="K68" s="226">
        <f t="shared" si="32"/>
        <v>15.809003378378403</v>
      </c>
      <c r="L68" s="226">
        <f t="shared" si="32"/>
        <v>10.750122297297324</v>
      </c>
      <c r="M68" s="226">
        <f t="shared" si="32"/>
        <v>5.6912412162162394</v>
      </c>
      <c r="N68" s="226">
        <f t="shared" si="32"/>
        <v>0.94854020270272665</v>
      </c>
      <c r="O68" s="226">
        <f t="shared" si="32"/>
        <v>0</v>
      </c>
      <c r="P68" s="226">
        <f t="shared" si="32"/>
        <v>0</v>
      </c>
      <c r="Q68" s="226">
        <f t="shared" si="32"/>
        <v>0</v>
      </c>
      <c r="R68" s="226">
        <f t="shared" si="32"/>
        <v>0</v>
      </c>
      <c r="S68" s="226">
        <f t="shared" si="32"/>
        <v>0</v>
      </c>
      <c r="T68" s="226">
        <f t="shared" si="32"/>
        <v>0</v>
      </c>
      <c r="U68" s="226">
        <f t="shared" si="32"/>
        <v>0</v>
      </c>
      <c r="V68" s="226">
        <f t="shared" si="32"/>
        <v>0</v>
      </c>
      <c r="W68" s="226">
        <f t="shared" si="32"/>
        <v>0</v>
      </c>
    </row>
    <row r="69" spans="2:23">
      <c r="B69" s="221"/>
      <c r="C69" s="212">
        <f>C57</f>
        <v>-581.29999999999995</v>
      </c>
      <c r="D69" s="252">
        <f t="shared" ref="D69:W69" si="33">SUM(D64:D68)</f>
        <v>65.901814630753677</v>
      </c>
      <c r="E69" s="252">
        <f t="shared" si="33"/>
        <v>99.170878976104447</v>
      </c>
      <c r="F69" s="252">
        <f t="shared" si="33"/>
        <v>103.98334672536328</v>
      </c>
      <c r="G69" s="252">
        <f t="shared" si="33"/>
        <v>102.4160577507553</v>
      </c>
      <c r="H69" s="252">
        <f t="shared" si="33"/>
        <v>100.78607721716293</v>
      </c>
      <c r="I69" s="252">
        <f t="shared" si="33"/>
        <v>99.090897462226692</v>
      </c>
      <c r="J69" s="252">
        <f t="shared" si="33"/>
        <v>97.327910517093073</v>
      </c>
      <c r="K69" s="252">
        <f t="shared" si="33"/>
        <v>95.494404094154078</v>
      </c>
      <c r="L69" s="252">
        <f t="shared" si="33"/>
        <v>93.587557414297265</v>
      </c>
      <c r="M69" s="252">
        <f t="shared" si="33"/>
        <v>91.604436867246605</v>
      </c>
      <c r="N69" s="252">
        <f t="shared" si="33"/>
        <v>45.982578898314003</v>
      </c>
      <c r="O69" s="252">
        <f t="shared" si="33"/>
        <v>43.837635714624177</v>
      </c>
      <c r="P69" s="252">
        <f t="shared" si="33"/>
        <v>41.606894803586464</v>
      </c>
      <c r="Q69" s="252">
        <f t="shared" si="33"/>
        <v>39.286924256106907</v>
      </c>
      <c r="R69" s="252">
        <f t="shared" si="33"/>
        <v>36.874154886728526</v>
      </c>
      <c r="S69" s="252">
        <f t="shared" si="33"/>
        <v>34.364874742575076</v>
      </c>
      <c r="T69" s="252">
        <f t="shared" si="33"/>
        <v>27.761244524704182</v>
      </c>
      <c r="U69" s="252">
        <f t="shared" si="33"/>
        <v>21.561045669781784</v>
      </c>
      <c r="V69" s="252">
        <f t="shared" si="33"/>
        <v>19.382133455842258</v>
      </c>
      <c r="W69" s="252">
        <f t="shared" si="33"/>
        <v>110.53455465501403</v>
      </c>
    </row>
    <row r="70" spans="2:23" ht="14.4" thickBot="1">
      <c r="B70" s="267" t="s">
        <v>52</v>
      </c>
      <c r="C70" s="268">
        <f>IRR(C69:W69)</f>
        <v>0.12768131868827121</v>
      </c>
      <c r="D70" s="227"/>
      <c r="E70" s="227"/>
      <c r="F70" s="259"/>
      <c r="G70" s="259"/>
      <c r="H70" s="227"/>
      <c r="I70" s="256"/>
      <c r="J70" s="217"/>
      <c r="K70" s="259"/>
      <c r="L70" s="227"/>
      <c r="M70" s="256"/>
      <c r="N70" s="217"/>
      <c r="O70" s="227"/>
      <c r="P70" s="217"/>
      <c r="Q70" s="259"/>
      <c r="R70" s="227"/>
      <c r="S70" s="217"/>
      <c r="T70" s="227"/>
      <c r="U70" s="256"/>
      <c r="V70" s="256"/>
      <c r="W70" s="227"/>
    </row>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V49"/>
  <sheetViews>
    <sheetView view="pageBreakPreview" zoomScale="80" zoomScaleSheetLayoutView="80" workbookViewId="0">
      <selection activeCell="C11" sqref="C11"/>
    </sheetView>
  </sheetViews>
  <sheetFormatPr defaultColWidth="9.109375" defaultRowHeight="13.8"/>
  <cols>
    <col min="1" max="1" width="9.109375" style="92"/>
    <col min="2" max="2" width="26.109375" style="92" customWidth="1"/>
    <col min="3" max="3" width="14.109375" style="92" customWidth="1"/>
    <col min="4" max="4" width="14" style="92" bestFit="1" customWidth="1"/>
    <col min="5" max="5" width="18.6640625" style="92" customWidth="1"/>
    <col min="6" max="6" width="14.88671875" style="92" customWidth="1"/>
    <col min="7" max="7" width="14" style="92" customWidth="1"/>
    <col min="8" max="8" width="11.88671875" style="92" customWidth="1"/>
    <col min="9" max="9" width="10.88671875" style="92" customWidth="1"/>
    <col min="10" max="10" width="13.6640625" style="92" customWidth="1"/>
    <col min="11" max="11" width="14.33203125" style="92" customWidth="1"/>
    <col min="12" max="12" width="14.88671875" style="92" customWidth="1"/>
    <col min="13" max="13" width="15.6640625" style="92" customWidth="1"/>
    <col min="14" max="14" width="14.6640625" style="92" customWidth="1"/>
    <col min="15" max="15" width="13.6640625" style="92" customWidth="1"/>
    <col min="16" max="17" width="14.44140625" style="92" customWidth="1"/>
    <col min="18" max="18" width="13.33203125" style="92" customWidth="1"/>
    <col min="19" max="19" width="14.33203125" style="92" customWidth="1"/>
    <col min="20" max="20" width="13.5546875" style="92" customWidth="1"/>
    <col min="21" max="21" width="13.88671875" style="92" customWidth="1"/>
    <col min="22" max="22" width="13.109375" style="92" customWidth="1"/>
    <col min="23" max="16384" width="9.109375" style="92"/>
  </cols>
  <sheetData>
    <row r="1" spans="1:10" ht="14.4" thickBot="1"/>
    <row r="2" spans="1:10">
      <c r="B2" s="21" t="s">
        <v>105</v>
      </c>
      <c r="C2" s="22"/>
      <c r="D2" s="22"/>
      <c r="E2" s="23"/>
      <c r="F2" s="11"/>
      <c r="G2" s="11"/>
      <c r="H2" s="11"/>
      <c r="I2" s="11"/>
    </row>
    <row r="3" spans="1:10">
      <c r="B3" s="24" t="s">
        <v>106</v>
      </c>
      <c r="C3" s="11"/>
      <c r="D3" s="11"/>
      <c r="E3" s="25"/>
      <c r="F3" s="11"/>
      <c r="G3" s="11"/>
      <c r="H3" s="11"/>
      <c r="I3" s="11"/>
    </row>
    <row r="4" spans="1:10" ht="14.4" thickBot="1">
      <c r="B4" s="26" t="s">
        <v>107</v>
      </c>
      <c r="C4" s="27"/>
      <c r="D4" s="27"/>
      <c r="E4" s="28"/>
      <c r="F4" s="11"/>
      <c r="G4" s="11"/>
      <c r="H4" s="11"/>
      <c r="I4" s="11"/>
    </row>
    <row r="6" spans="1:10">
      <c r="A6" s="435">
        <v>1</v>
      </c>
      <c r="B6" s="436" t="s">
        <v>138</v>
      </c>
    </row>
    <row r="7" spans="1:10">
      <c r="B7" s="125"/>
    </row>
    <row r="8" spans="1:10">
      <c r="B8" s="126" t="s">
        <v>139</v>
      </c>
      <c r="C8" s="115"/>
      <c r="D8" s="113"/>
      <c r="E8" s="113"/>
      <c r="F8" s="113"/>
    </row>
    <row r="9" spans="1:10">
      <c r="B9" s="126"/>
      <c r="C9" s="115"/>
      <c r="D9" s="113"/>
      <c r="E9" s="113"/>
      <c r="F9" s="113"/>
    </row>
    <row r="10" spans="1:10" ht="51" customHeight="1">
      <c r="B10" s="127" t="s">
        <v>67</v>
      </c>
      <c r="C10" s="45" t="s">
        <v>68</v>
      </c>
      <c r="D10" s="128" t="str">
        <f>'Assumption '!B29</f>
        <v>Miscellaneous Fixed Assests</v>
      </c>
      <c r="E10" s="128" t="str">
        <f>'Assumption '!B30</f>
        <v>Contingency</v>
      </c>
      <c r="F10" s="129" t="str">
        <f>'Assumption '!B32</f>
        <v>B. Interest during construction</v>
      </c>
      <c r="G10" s="130" t="str">
        <f>'Assumption '!B33</f>
        <v>C. Preliminary and Preoperative Expenses</v>
      </c>
      <c r="H10" s="130">
        <f>'Assumption '!B34</f>
        <v>0</v>
      </c>
      <c r="I10" s="130" t="s">
        <v>69</v>
      </c>
    </row>
    <row r="11" spans="1:10">
      <c r="B11" s="117" t="s">
        <v>70</v>
      </c>
      <c r="C11" s="118">
        <f>'Assumption '!C27</f>
        <v>125</v>
      </c>
      <c r="D11" s="119">
        <f>C11/C13*$D$13</f>
        <v>2.4752475247524752</v>
      </c>
      <c r="E11" s="119">
        <f>C11/$C$13*$E$13</f>
        <v>6.3118811881188117</v>
      </c>
      <c r="F11" s="120">
        <f>C11/$C$13*$F$13</f>
        <v>7.6237623762376234</v>
      </c>
      <c r="G11" s="120">
        <f>C11/$C$13*$G$13</f>
        <v>1.2376237623762376</v>
      </c>
      <c r="H11" s="120">
        <f>C11/$C$13*$H$13</f>
        <v>0</v>
      </c>
      <c r="I11" s="96">
        <f>SUM(C11:H11)</f>
        <v>142.64851485148517</v>
      </c>
    </row>
    <row r="12" spans="1:10">
      <c r="B12" s="117" t="s">
        <v>15</v>
      </c>
      <c r="C12" s="118">
        <f>'Assumption '!C28</f>
        <v>380</v>
      </c>
      <c r="D12" s="119">
        <f>C12/C13*$D$13</f>
        <v>7.5247524752475243</v>
      </c>
      <c r="E12" s="119">
        <f>C12/$C$13*$E$13</f>
        <v>19.188118811881189</v>
      </c>
      <c r="F12" s="120">
        <f>C12/$C$13*$F$13</f>
        <v>23.176237623762376</v>
      </c>
      <c r="G12" s="120">
        <f>C12/$C$13*$G$13</f>
        <v>3.7623762376237622</v>
      </c>
      <c r="H12" s="120">
        <f>C12/$C$13*$H$13</f>
        <v>0</v>
      </c>
      <c r="I12" s="96">
        <f>SUM(C12:H12)</f>
        <v>433.65148514851484</v>
      </c>
    </row>
    <row r="13" spans="1:10">
      <c r="B13" s="116" t="s">
        <v>25</v>
      </c>
      <c r="C13" s="118">
        <f>SUM(C11:C12)</f>
        <v>505</v>
      </c>
      <c r="D13" s="118">
        <f>'Assumption '!C29</f>
        <v>10</v>
      </c>
      <c r="E13" s="118">
        <f>'Assumption '!C30</f>
        <v>25.5</v>
      </c>
      <c r="F13" s="96">
        <f>'Assumption '!C32</f>
        <v>30.8</v>
      </c>
      <c r="G13" s="96">
        <f>'Assumption '!C33</f>
        <v>5</v>
      </c>
      <c r="H13" s="96">
        <f>'Assumption '!C34</f>
        <v>0</v>
      </c>
      <c r="I13" s="96">
        <f>SUM(C13:H13)</f>
        <v>576.29999999999995</v>
      </c>
    </row>
    <row r="14" spans="1:10">
      <c r="B14" s="113"/>
      <c r="C14" s="115"/>
      <c r="D14" s="113"/>
      <c r="E14" s="113"/>
      <c r="F14" s="113"/>
    </row>
    <row r="15" spans="1:10">
      <c r="B15" s="113"/>
      <c r="C15" s="115"/>
      <c r="D15" s="113"/>
      <c r="E15" s="113"/>
      <c r="F15" s="113"/>
    </row>
    <row r="16" spans="1:10" ht="14.4" thickBot="1">
      <c r="D16" s="92">
        <f>C27*90%</f>
        <v>390.28633663366338</v>
      </c>
      <c r="J16" s="106"/>
    </row>
    <row r="17" spans="1:22" ht="14.4" thickBot="1">
      <c r="B17" s="121" t="s">
        <v>36</v>
      </c>
      <c r="C17" s="113"/>
      <c r="D17" s="113"/>
      <c r="E17" s="113"/>
      <c r="F17" s="113"/>
      <c r="G17" s="113"/>
      <c r="H17" s="113"/>
      <c r="I17" s="113"/>
      <c r="J17" s="113"/>
      <c r="K17" s="113"/>
      <c r="L17" s="113"/>
      <c r="M17" s="113"/>
      <c r="N17" s="113"/>
      <c r="O17" s="113"/>
      <c r="P17" s="113"/>
      <c r="Q17" s="113"/>
      <c r="R17" s="113"/>
      <c r="S17" s="113"/>
      <c r="T17" s="113"/>
      <c r="U17" s="113"/>
      <c r="V17" s="113"/>
    </row>
    <row r="18" spans="1:22">
      <c r="B18" s="103" t="s">
        <v>37</v>
      </c>
      <c r="C18" s="122">
        <f>'P &amp; L '!D9</f>
        <v>40268</v>
      </c>
      <c r="D18" s="122">
        <f>'P &amp; L '!E9</f>
        <v>40633</v>
      </c>
      <c r="E18" s="122">
        <f>'P &amp; L '!F9</f>
        <v>40999</v>
      </c>
      <c r="F18" s="122">
        <f>'P &amp; L '!G9</f>
        <v>41364</v>
      </c>
      <c r="G18" s="122">
        <f>'P &amp; L '!H9</f>
        <v>41729</v>
      </c>
      <c r="H18" s="122">
        <f>'P &amp; L '!I9</f>
        <v>42094</v>
      </c>
      <c r="I18" s="122">
        <f>'P &amp; L '!J9</f>
        <v>42460</v>
      </c>
      <c r="J18" s="122">
        <f>'P &amp; L '!K9</f>
        <v>42825</v>
      </c>
      <c r="K18" s="122">
        <f>'P &amp; L '!L9</f>
        <v>43190</v>
      </c>
      <c r="L18" s="122">
        <f>'P &amp; L '!M9</f>
        <v>43555</v>
      </c>
      <c r="M18" s="122">
        <f>'P &amp; L '!N9</f>
        <v>43921</v>
      </c>
      <c r="N18" s="122">
        <f>'P &amp; L '!O9</f>
        <v>44286</v>
      </c>
      <c r="O18" s="122">
        <f>'P &amp; L '!P9</f>
        <v>44651</v>
      </c>
      <c r="P18" s="122">
        <f>'P &amp; L '!Q9</f>
        <v>45016</v>
      </c>
      <c r="Q18" s="122">
        <f>'P &amp; L '!R9</f>
        <v>45382</v>
      </c>
      <c r="R18" s="122">
        <f>'P &amp; L '!S9</f>
        <v>45747</v>
      </c>
      <c r="S18" s="122">
        <f>'P &amp; L '!T9</f>
        <v>46112</v>
      </c>
      <c r="T18" s="122">
        <f>'P &amp; L '!U9</f>
        <v>46477</v>
      </c>
      <c r="U18" s="122">
        <f>'P &amp; L '!V9</f>
        <v>46843</v>
      </c>
      <c r="V18" s="122">
        <f>'P &amp; L '!W9</f>
        <v>47208</v>
      </c>
    </row>
    <row r="19" spans="1:22">
      <c r="B19" s="111" t="s">
        <v>38</v>
      </c>
      <c r="C19" s="110">
        <f>I11</f>
        <v>142.64851485148517</v>
      </c>
      <c r="D19" s="110">
        <f>C21</f>
        <v>140.53387763461279</v>
      </c>
      <c r="E19" s="110">
        <f t="shared" ref="E19:V19" si="0">D21</f>
        <v>135.7694172385732</v>
      </c>
      <c r="F19" s="110">
        <f t="shared" si="0"/>
        <v>131.0049568425336</v>
      </c>
      <c r="G19" s="110">
        <f t="shared" si="0"/>
        <v>126.24049644649399</v>
      </c>
      <c r="H19" s="110">
        <f t="shared" si="0"/>
        <v>121.47603605045438</v>
      </c>
      <c r="I19" s="110">
        <f t="shared" si="0"/>
        <v>116.71157565441477</v>
      </c>
      <c r="J19" s="110">
        <f t="shared" si="0"/>
        <v>111.94711525837516</v>
      </c>
      <c r="K19" s="110">
        <f t="shared" si="0"/>
        <v>107.18265486233555</v>
      </c>
      <c r="L19" s="110">
        <f t="shared" si="0"/>
        <v>102.41819446629594</v>
      </c>
      <c r="M19" s="110">
        <f t="shared" si="0"/>
        <v>97.653734070256334</v>
      </c>
      <c r="N19" s="110">
        <f t="shared" si="0"/>
        <v>92.889273674216724</v>
      </c>
      <c r="O19" s="110">
        <f t="shared" si="0"/>
        <v>88.124813278177115</v>
      </c>
      <c r="P19" s="110">
        <f t="shared" si="0"/>
        <v>83.360352882137505</v>
      </c>
      <c r="Q19" s="110">
        <f t="shared" si="0"/>
        <v>78.595892486097895</v>
      </c>
      <c r="R19" s="110">
        <f t="shared" si="0"/>
        <v>73.831432090058286</v>
      </c>
      <c r="S19" s="110">
        <f t="shared" si="0"/>
        <v>69.066971694018676</v>
      </c>
      <c r="T19" s="110">
        <f t="shared" si="0"/>
        <v>64.302511297979066</v>
      </c>
      <c r="U19" s="110">
        <f t="shared" si="0"/>
        <v>59.538050901939464</v>
      </c>
      <c r="V19" s="110">
        <f t="shared" si="0"/>
        <v>54.773590505899861</v>
      </c>
    </row>
    <row r="20" spans="1:22">
      <c r="B20" s="111" t="s">
        <v>39</v>
      </c>
      <c r="C20" s="110">
        <f>$C$19*'Assumption '!$C$64/365*(C18-'Assumption '!C11)</f>
        <v>2.1146372168723722</v>
      </c>
      <c r="D20" s="110">
        <f>C19*'Assumption '!$C$64</f>
        <v>4.7644603960396044</v>
      </c>
      <c r="E20" s="110">
        <f t="shared" ref="E20:V20" si="1">D20</f>
        <v>4.7644603960396044</v>
      </c>
      <c r="F20" s="110">
        <f t="shared" si="1"/>
        <v>4.7644603960396044</v>
      </c>
      <c r="G20" s="110">
        <f t="shared" si="1"/>
        <v>4.7644603960396044</v>
      </c>
      <c r="H20" s="110">
        <f t="shared" si="1"/>
        <v>4.7644603960396044</v>
      </c>
      <c r="I20" s="110">
        <f t="shared" si="1"/>
        <v>4.7644603960396044</v>
      </c>
      <c r="J20" s="110">
        <f t="shared" si="1"/>
        <v>4.7644603960396044</v>
      </c>
      <c r="K20" s="110">
        <f t="shared" si="1"/>
        <v>4.7644603960396044</v>
      </c>
      <c r="L20" s="110">
        <f t="shared" si="1"/>
        <v>4.7644603960396044</v>
      </c>
      <c r="M20" s="110">
        <f t="shared" si="1"/>
        <v>4.7644603960396044</v>
      </c>
      <c r="N20" s="110">
        <f t="shared" si="1"/>
        <v>4.7644603960396044</v>
      </c>
      <c r="O20" s="110">
        <f t="shared" si="1"/>
        <v>4.7644603960396044</v>
      </c>
      <c r="P20" s="110">
        <f t="shared" si="1"/>
        <v>4.7644603960396044</v>
      </c>
      <c r="Q20" s="110">
        <f t="shared" si="1"/>
        <v>4.7644603960396044</v>
      </c>
      <c r="R20" s="110">
        <f t="shared" si="1"/>
        <v>4.7644603960396044</v>
      </c>
      <c r="S20" s="110">
        <f t="shared" si="1"/>
        <v>4.7644603960396044</v>
      </c>
      <c r="T20" s="110">
        <f t="shared" si="1"/>
        <v>4.7644603960396044</v>
      </c>
      <c r="U20" s="110">
        <f t="shared" si="1"/>
        <v>4.7644603960396044</v>
      </c>
      <c r="V20" s="110">
        <f t="shared" si="1"/>
        <v>4.7644603960396044</v>
      </c>
    </row>
    <row r="21" spans="1:22" ht="14.4" thickBot="1">
      <c r="B21" s="114" t="s">
        <v>40</v>
      </c>
      <c r="C21" s="123">
        <f>C19-C20</f>
        <v>140.53387763461279</v>
      </c>
      <c r="D21" s="123">
        <f t="shared" ref="D21:V21" si="2">D19-D20</f>
        <v>135.7694172385732</v>
      </c>
      <c r="E21" s="123">
        <f t="shared" si="2"/>
        <v>131.0049568425336</v>
      </c>
      <c r="F21" s="123">
        <f t="shared" si="2"/>
        <v>126.24049644649399</v>
      </c>
      <c r="G21" s="123">
        <f t="shared" si="2"/>
        <v>121.47603605045438</v>
      </c>
      <c r="H21" s="123">
        <f t="shared" si="2"/>
        <v>116.71157565441477</v>
      </c>
      <c r="I21" s="123">
        <f t="shared" si="2"/>
        <v>111.94711525837516</v>
      </c>
      <c r="J21" s="123">
        <f t="shared" si="2"/>
        <v>107.18265486233555</v>
      </c>
      <c r="K21" s="123">
        <f t="shared" si="2"/>
        <v>102.41819446629594</v>
      </c>
      <c r="L21" s="123">
        <f t="shared" si="2"/>
        <v>97.653734070256334</v>
      </c>
      <c r="M21" s="123">
        <f t="shared" si="2"/>
        <v>92.889273674216724</v>
      </c>
      <c r="N21" s="123">
        <f t="shared" si="2"/>
        <v>88.124813278177115</v>
      </c>
      <c r="O21" s="123">
        <f t="shared" si="2"/>
        <v>83.360352882137505</v>
      </c>
      <c r="P21" s="123">
        <f t="shared" si="2"/>
        <v>78.595892486097895</v>
      </c>
      <c r="Q21" s="123">
        <f t="shared" si="2"/>
        <v>73.831432090058286</v>
      </c>
      <c r="R21" s="123">
        <f t="shared" si="2"/>
        <v>69.066971694018676</v>
      </c>
      <c r="S21" s="123">
        <f t="shared" si="2"/>
        <v>64.302511297979066</v>
      </c>
      <c r="T21" s="123">
        <f t="shared" si="2"/>
        <v>59.538050901939464</v>
      </c>
      <c r="U21" s="123">
        <f t="shared" si="2"/>
        <v>54.773590505899861</v>
      </c>
      <c r="V21" s="123">
        <f t="shared" si="2"/>
        <v>50.009130109860259</v>
      </c>
    </row>
    <row r="24" spans="1:22" ht="14.4" thickBot="1">
      <c r="E24" s="107"/>
      <c r="G24" s="106"/>
    </row>
    <row r="25" spans="1:22" ht="14.4" thickBot="1">
      <c r="B25" s="124" t="s">
        <v>15</v>
      </c>
      <c r="C25" s="112"/>
      <c r="D25" s="113"/>
      <c r="E25" s="113"/>
      <c r="F25" s="113"/>
      <c r="G25" s="113"/>
      <c r="H25" s="113"/>
      <c r="I25" s="113"/>
      <c r="J25" s="113"/>
      <c r="K25" s="113"/>
      <c r="L25" s="113"/>
      <c r="M25" s="113"/>
      <c r="N25" s="113"/>
      <c r="O25" s="113"/>
      <c r="P25" s="113"/>
      <c r="Q25" s="113"/>
      <c r="R25" s="113"/>
      <c r="S25" s="113"/>
      <c r="T25" s="113"/>
      <c r="U25" s="113"/>
      <c r="V25" s="113"/>
    </row>
    <row r="26" spans="1:22">
      <c r="B26" s="103" t="s">
        <v>37</v>
      </c>
      <c r="C26" s="122">
        <f>'P &amp; L '!D9</f>
        <v>40268</v>
      </c>
      <c r="D26" s="122">
        <f>'P &amp; L '!E9</f>
        <v>40633</v>
      </c>
      <c r="E26" s="122">
        <f>'P &amp; L '!F9</f>
        <v>40999</v>
      </c>
      <c r="F26" s="122">
        <f>'P &amp; L '!G9</f>
        <v>41364</v>
      </c>
      <c r="G26" s="122">
        <f>'P &amp; L '!H9</f>
        <v>41729</v>
      </c>
      <c r="H26" s="122">
        <f>'P &amp; L '!I9</f>
        <v>42094</v>
      </c>
      <c r="I26" s="122">
        <f>'P &amp; L '!J9</f>
        <v>42460</v>
      </c>
      <c r="J26" s="122">
        <f>'P &amp; L '!K9</f>
        <v>42825</v>
      </c>
      <c r="K26" s="122">
        <f>'P &amp; L '!L9</f>
        <v>43190</v>
      </c>
      <c r="L26" s="122">
        <f>'P &amp; L '!M9</f>
        <v>43555</v>
      </c>
      <c r="M26" s="122">
        <f>'P &amp; L '!N9</f>
        <v>43921</v>
      </c>
      <c r="N26" s="122">
        <f>'P &amp; L '!O9</f>
        <v>44286</v>
      </c>
      <c r="O26" s="122">
        <f>'P &amp; L '!P9</f>
        <v>44651</v>
      </c>
      <c r="P26" s="122">
        <f>'P &amp; L '!Q9</f>
        <v>45016</v>
      </c>
      <c r="Q26" s="122">
        <f>'P &amp; L '!R9</f>
        <v>45382</v>
      </c>
      <c r="R26" s="122">
        <f>'P &amp; L '!S9</f>
        <v>45747</v>
      </c>
      <c r="S26" s="122">
        <f>'P &amp; L '!T9</f>
        <v>46112</v>
      </c>
      <c r="T26" s="122">
        <f>'P &amp; L '!U9</f>
        <v>46477</v>
      </c>
      <c r="U26" s="122">
        <f>'P &amp; L '!V9</f>
        <v>46843</v>
      </c>
      <c r="V26" s="350">
        <f>'P &amp; L '!W9</f>
        <v>47208</v>
      </c>
    </row>
    <row r="27" spans="1:22">
      <c r="B27" s="111" t="s">
        <v>38</v>
      </c>
      <c r="C27" s="110">
        <f>I12</f>
        <v>433.65148514851484</v>
      </c>
      <c r="D27" s="110">
        <f>C29</f>
        <v>423.489070509155</v>
      </c>
      <c r="E27" s="110">
        <f t="shared" ref="E27:V27" si="3">D29</f>
        <v>400.5922720933134</v>
      </c>
      <c r="F27" s="110">
        <f t="shared" si="3"/>
        <v>377.6954736774718</v>
      </c>
      <c r="G27" s="110">
        <f t="shared" si="3"/>
        <v>354.79867526163019</v>
      </c>
      <c r="H27" s="110">
        <f t="shared" si="3"/>
        <v>331.90187684578859</v>
      </c>
      <c r="I27" s="110">
        <f t="shared" si="3"/>
        <v>309.00507842994699</v>
      </c>
      <c r="J27" s="110">
        <f t="shared" si="3"/>
        <v>286.10828001410539</v>
      </c>
      <c r="K27" s="110">
        <f t="shared" si="3"/>
        <v>263.2</v>
      </c>
      <c r="L27" s="110">
        <f t="shared" si="3"/>
        <v>240.30320158415842</v>
      </c>
      <c r="M27" s="110">
        <f t="shared" si="3"/>
        <v>217.40640316831684</v>
      </c>
      <c r="N27" s="110">
        <f t="shared" si="3"/>
        <v>194.50960475247527</v>
      </c>
      <c r="O27" s="110">
        <f t="shared" si="3"/>
        <v>171.6128063366337</v>
      </c>
      <c r="P27" s="110">
        <f t="shared" si="3"/>
        <v>148.71600792079212</v>
      </c>
      <c r="Q27" s="110">
        <f t="shared" si="3"/>
        <v>125.81920950495054</v>
      </c>
      <c r="R27" s="110">
        <f t="shared" si="3"/>
        <v>102.92241108910895</v>
      </c>
      <c r="S27" s="110">
        <f t="shared" si="3"/>
        <v>80.025612673267361</v>
      </c>
      <c r="T27" s="110">
        <f t="shared" si="3"/>
        <v>57.128814257425773</v>
      </c>
      <c r="U27" s="110">
        <f t="shared" si="3"/>
        <v>43.353666916587628</v>
      </c>
      <c r="V27" s="351">
        <f t="shared" si="3"/>
        <v>43.353666916587628</v>
      </c>
    </row>
    <row r="28" spans="1:22">
      <c r="B28" s="111" t="s">
        <v>39</v>
      </c>
      <c r="C28" s="110">
        <f>C27*'Assumption '!$C$63/365*(C26-'Assumption '!C11)</f>
        <v>10.162414639359826</v>
      </c>
      <c r="D28" s="110">
        <f>C27*'Assumption '!$C$63</f>
        <v>22.896798415841584</v>
      </c>
      <c r="E28" s="110">
        <f>D28</f>
        <v>22.896798415841584</v>
      </c>
      <c r="F28" s="110">
        <f t="shared" ref="F28:S28" si="4">E28</f>
        <v>22.896798415841584</v>
      </c>
      <c r="G28" s="110">
        <f t="shared" si="4"/>
        <v>22.896798415841584</v>
      </c>
      <c r="H28" s="110">
        <f t="shared" si="4"/>
        <v>22.896798415841584</v>
      </c>
      <c r="I28" s="110">
        <f t="shared" si="4"/>
        <v>22.896798415841584</v>
      </c>
      <c r="J28" s="110">
        <f t="shared" si="4"/>
        <v>22.896798415841584</v>
      </c>
      <c r="K28" s="110">
        <f t="shared" si="4"/>
        <v>22.896798415841584</v>
      </c>
      <c r="L28" s="110">
        <f t="shared" si="4"/>
        <v>22.896798415841584</v>
      </c>
      <c r="M28" s="110">
        <f t="shared" si="4"/>
        <v>22.896798415841584</v>
      </c>
      <c r="N28" s="110">
        <f t="shared" si="4"/>
        <v>22.896798415841584</v>
      </c>
      <c r="O28" s="110">
        <f t="shared" si="4"/>
        <v>22.896798415841584</v>
      </c>
      <c r="P28" s="110">
        <f t="shared" si="4"/>
        <v>22.896798415841584</v>
      </c>
      <c r="Q28" s="110">
        <f t="shared" si="4"/>
        <v>22.896798415841584</v>
      </c>
      <c r="R28" s="110">
        <f t="shared" si="4"/>
        <v>22.896798415841584</v>
      </c>
      <c r="S28" s="110">
        <f t="shared" si="4"/>
        <v>22.896798415841584</v>
      </c>
      <c r="T28" s="110">
        <f>(C27*90%)-SUM(C28:S28)</f>
        <v>13.775147340838146</v>
      </c>
      <c r="U28" s="110"/>
      <c r="V28" s="351"/>
    </row>
    <row r="29" spans="1:22" ht="14.4" thickBot="1">
      <c r="B29" s="114" t="s">
        <v>40</v>
      </c>
      <c r="C29" s="123">
        <f>C27-C28</f>
        <v>423.489070509155</v>
      </c>
      <c r="D29" s="123">
        <f t="shared" ref="D29:V29" si="5">D27-D28</f>
        <v>400.5922720933134</v>
      </c>
      <c r="E29" s="123">
        <f t="shared" si="5"/>
        <v>377.6954736774718</v>
      </c>
      <c r="F29" s="123">
        <f t="shared" si="5"/>
        <v>354.79867526163019</v>
      </c>
      <c r="G29" s="123">
        <f t="shared" si="5"/>
        <v>331.90187684578859</v>
      </c>
      <c r="H29" s="123">
        <f t="shared" si="5"/>
        <v>309.00507842994699</v>
      </c>
      <c r="I29" s="123">
        <f t="shared" si="5"/>
        <v>286.10828001410539</v>
      </c>
      <c r="J29" s="123">
        <f>ROUND(J27-J28,1)</f>
        <v>263.2</v>
      </c>
      <c r="K29" s="123">
        <f t="shared" si="5"/>
        <v>240.30320158415842</v>
      </c>
      <c r="L29" s="123">
        <f t="shared" si="5"/>
        <v>217.40640316831684</v>
      </c>
      <c r="M29" s="123">
        <f t="shared" si="5"/>
        <v>194.50960475247527</v>
      </c>
      <c r="N29" s="123">
        <f t="shared" si="5"/>
        <v>171.6128063366337</v>
      </c>
      <c r="O29" s="123">
        <f t="shared" si="5"/>
        <v>148.71600792079212</v>
      </c>
      <c r="P29" s="123">
        <f t="shared" si="5"/>
        <v>125.81920950495054</v>
      </c>
      <c r="Q29" s="123">
        <f t="shared" si="5"/>
        <v>102.92241108910895</v>
      </c>
      <c r="R29" s="123">
        <f t="shared" si="5"/>
        <v>80.025612673267361</v>
      </c>
      <c r="S29" s="123">
        <f t="shared" si="5"/>
        <v>57.128814257425773</v>
      </c>
      <c r="T29" s="123">
        <f t="shared" si="5"/>
        <v>43.353666916587628</v>
      </c>
      <c r="U29" s="123">
        <f t="shared" si="5"/>
        <v>43.353666916587628</v>
      </c>
      <c r="V29" s="352">
        <f t="shared" si="5"/>
        <v>43.353666916587628</v>
      </c>
    </row>
    <row r="30" spans="1:22">
      <c r="B30" s="113"/>
      <c r="C30" s="131"/>
      <c r="D30" s="131"/>
      <c r="E30" s="131"/>
      <c r="F30" s="131"/>
      <c r="G30" s="131"/>
      <c r="H30" s="131"/>
      <c r="I30" s="131"/>
      <c r="J30" s="131"/>
      <c r="K30" s="131"/>
      <c r="L30" s="131"/>
      <c r="M30" s="131"/>
      <c r="N30" s="131"/>
      <c r="O30" s="131"/>
      <c r="P30" s="131"/>
      <c r="Q30" s="131"/>
      <c r="R30" s="131"/>
      <c r="S30" s="131"/>
      <c r="T30" s="131"/>
      <c r="U30" s="131"/>
      <c r="V30" s="131"/>
    </row>
    <row r="31" spans="1:22" ht="12.75" customHeight="1"/>
    <row r="32" spans="1:22">
      <c r="A32" s="435">
        <v>2</v>
      </c>
      <c r="B32" s="436" t="s">
        <v>137</v>
      </c>
      <c r="C32" s="435"/>
    </row>
    <row r="33" spans="2:22" ht="14.4" thickBot="1"/>
    <row r="34" spans="2:22" ht="14.4" thickBot="1">
      <c r="B34" s="121" t="s">
        <v>41</v>
      </c>
      <c r="C34" s="113"/>
      <c r="D34" s="113"/>
      <c r="E34" s="113"/>
      <c r="F34" s="113"/>
      <c r="G34" s="113"/>
      <c r="H34" s="113"/>
      <c r="I34" s="113"/>
      <c r="J34" s="113"/>
      <c r="K34" s="113"/>
      <c r="L34" s="113"/>
      <c r="M34" s="113"/>
      <c r="N34" s="113"/>
      <c r="O34" s="113"/>
      <c r="P34" s="113"/>
      <c r="Q34" s="113"/>
      <c r="R34" s="113"/>
      <c r="S34" s="113"/>
      <c r="T34" s="113"/>
      <c r="U34" s="113"/>
      <c r="V34" s="113"/>
    </row>
    <row r="35" spans="2:22">
      <c r="B35" s="103" t="s">
        <v>37</v>
      </c>
      <c r="C35" s="122">
        <f>'P &amp; L '!D9</f>
        <v>40268</v>
      </c>
      <c r="D35" s="122">
        <f>'P &amp; L '!E9</f>
        <v>40633</v>
      </c>
      <c r="E35" s="122">
        <f>'P &amp; L '!F9</f>
        <v>40999</v>
      </c>
      <c r="F35" s="122">
        <f>'P &amp; L '!G9</f>
        <v>41364</v>
      </c>
      <c r="G35" s="122">
        <f>'P &amp; L '!H9</f>
        <v>41729</v>
      </c>
      <c r="H35" s="122">
        <f>'P &amp; L '!I9</f>
        <v>42094</v>
      </c>
      <c r="I35" s="122">
        <f>'P &amp; L '!J9</f>
        <v>42460</v>
      </c>
      <c r="J35" s="122">
        <f>'P &amp; L '!K9</f>
        <v>42825</v>
      </c>
      <c r="K35" s="122">
        <f>'P &amp; L '!L9</f>
        <v>43190</v>
      </c>
      <c r="L35" s="122">
        <f>'P &amp; L '!M9</f>
        <v>43555</v>
      </c>
      <c r="M35" s="122">
        <f>'P &amp; L '!N9</f>
        <v>43921</v>
      </c>
      <c r="N35" s="122">
        <f>'P &amp; L '!O9</f>
        <v>44286</v>
      </c>
      <c r="O35" s="122">
        <f>'P &amp; L '!P9</f>
        <v>44651</v>
      </c>
      <c r="P35" s="122">
        <f>'P &amp; L '!Q9</f>
        <v>45016</v>
      </c>
      <c r="Q35" s="122">
        <f>'P &amp; L '!R9</f>
        <v>45382</v>
      </c>
      <c r="R35" s="122">
        <f>'P &amp; L '!S9</f>
        <v>45747</v>
      </c>
      <c r="S35" s="122">
        <f>'P &amp; L '!T9</f>
        <v>46112</v>
      </c>
      <c r="T35" s="122">
        <f>'P &amp; L '!U9</f>
        <v>46477</v>
      </c>
      <c r="U35" s="122">
        <f>'P &amp; L '!V9</f>
        <v>46843</v>
      </c>
      <c r="V35" s="122">
        <f>'P &amp; L '!W9</f>
        <v>47208</v>
      </c>
    </row>
    <row r="36" spans="2:22">
      <c r="B36" s="111" t="s">
        <v>38</v>
      </c>
      <c r="C36" s="110">
        <f>C19</f>
        <v>142.64851485148517</v>
      </c>
      <c r="D36" s="110">
        <f>C38</f>
        <v>136.31726569917268</v>
      </c>
      <c r="E36" s="110">
        <f t="shared" ref="E36:V36" si="6">D38</f>
        <v>122.6855391292554</v>
      </c>
      <c r="F36" s="110">
        <f t="shared" si="6"/>
        <v>110.41698521632986</v>
      </c>
      <c r="G36" s="110">
        <f t="shared" si="6"/>
        <v>99.375286694696882</v>
      </c>
      <c r="H36" s="110">
        <f t="shared" si="6"/>
        <v>89.437758025227197</v>
      </c>
      <c r="I36" s="110">
        <f t="shared" si="6"/>
        <v>80.493982222704474</v>
      </c>
      <c r="J36" s="110">
        <f t="shared" si="6"/>
        <v>72.44458400043402</v>
      </c>
      <c r="K36" s="110">
        <f t="shared" si="6"/>
        <v>65.200125600390621</v>
      </c>
      <c r="L36" s="110">
        <f t="shared" si="6"/>
        <v>58.680113040351557</v>
      </c>
      <c r="M36" s="110">
        <f t="shared" si="6"/>
        <v>52.8121017363164</v>
      </c>
      <c r="N36" s="110">
        <f t="shared" si="6"/>
        <v>47.530891562684758</v>
      </c>
      <c r="O36" s="110">
        <f t="shared" si="6"/>
        <v>42.777802406416285</v>
      </c>
      <c r="P36" s="110">
        <f t="shared" si="6"/>
        <v>38.500022165774659</v>
      </c>
      <c r="Q36" s="110">
        <f t="shared" si="6"/>
        <v>34.650019949197194</v>
      </c>
      <c r="R36" s="110">
        <f t="shared" si="6"/>
        <v>31.185017954277473</v>
      </c>
      <c r="S36" s="110">
        <f t="shared" si="6"/>
        <v>28.066516158849726</v>
      </c>
      <c r="T36" s="110">
        <f t="shared" si="6"/>
        <v>25.259864542964753</v>
      </c>
      <c r="U36" s="110">
        <f t="shared" si="6"/>
        <v>22.733878088668277</v>
      </c>
      <c r="V36" s="110">
        <f t="shared" si="6"/>
        <v>20.460490279801448</v>
      </c>
    </row>
    <row r="37" spans="2:22">
      <c r="B37" s="111" t="s">
        <v>39</v>
      </c>
      <c r="C37" s="110">
        <f>C36*'Assumption '!$C$61/365*('Depreciation (SLM &amp; WDV)'!C35-'Assumption '!C11)</f>
        <v>6.331249152312493</v>
      </c>
      <c r="D37" s="110">
        <f>D36*'Assumption '!$C$61</f>
        <v>13.631726569917269</v>
      </c>
      <c r="E37" s="110">
        <f>E36*'Assumption '!$C$61</f>
        <v>12.26855391292554</v>
      </c>
      <c r="F37" s="110">
        <f>F36*'Assumption '!$C$61</f>
        <v>11.041698521632988</v>
      </c>
      <c r="G37" s="110">
        <f>G36*'Assumption '!$C$61</f>
        <v>9.9375286694696889</v>
      </c>
      <c r="H37" s="110">
        <f>H36*'Assumption '!$C$61</f>
        <v>8.9437758025227208</v>
      </c>
      <c r="I37" s="110">
        <f>I36*'Assumption '!$C$61</f>
        <v>8.0493982222704474</v>
      </c>
      <c r="J37" s="110">
        <f>J36*'Assumption '!$C$61</f>
        <v>7.2444584000434027</v>
      </c>
      <c r="K37" s="110">
        <f>K36*'Assumption '!$C$61</f>
        <v>6.5200125600390626</v>
      </c>
      <c r="L37" s="110">
        <f>L36*'Assumption '!$C$61</f>
        <v>5.8680113040351563</v>
      </c>
      <c r="M37" s="110">
        <f>M36*'Assumption '!$C$61</f>
        <v>5.2812101736316404</v>
      </c>
      <c r="N37" s="110">
        <f>N36*'Assumption '!$C$61</f>
        <v>4.7530891562684756</v>
      </c>
      <c r="O37" s="110">
        <f>O36*'Assumption '!$C$61</f>
        <v>4.2777802406416283</v>
      </c>
      <c r="P37" s="110">
        <f>P36*'Assumption '!$C$61</f>
        <v>3.8500022165774661</v>
      </c>
      <c r="Q37" s="110">
        <f>Q36*'Assumption '!$C$61</f>
        <v>3.4650019949197195</v>
      </c>
      <c r="R37" s="110">
        <f>R36*'Assumption '!$C$61</f>
        <v>3.1185017954277474</v>
      </c>
      <c r="S37" s="110">
        <f>S36*'Assumption '!$C$61</f>
        <v>2.8066516158849728</v>
      </c>
      <c r="T37" s="110">
        <f>T36*'Assumption '!$C$61</f>
        <v>2.5259864542964756</v>
      </c>
      <c r="U37" s="110">
        <f>U36*'Assumption '!$C$61</f>
        <v>2.2733878088668278</v>
      </c>
      <c r="V37" s="110">
        <f>V36*'Assumption '!$C$61</f>
        <v>2.0460490279801449</v>
      </c>
    </row>
    <row r="38" spans="2:22" ht="14.4" thickBot="1">
      <c r="B38" s="114" t="s">
        <v>40</v>
      </c>
      <c r="C38" s="123">
        <f>C36-C37</f>
        <v>136.31726569917268</v>
      </c>
      <c r="D38" s="123">
        <f t="shared" ref="D38:V38" si="7">D36-D37</f>
        <v>122.6855391292554</v>
      </c>
      <c r="E38" s="123">
        <f t="shared" si="7"/>
        <v>110.41698521632986</v>
      </c>
      <c r="F38" s="123">
        <f t="shared" si="7"/>
        <v>99.375286694696882</v>
      </c>
      <c r="G38" s="123">
        <f t="shared" si="7"/>
        <v>89.437758025227197</v>
      </c>
      <c r="H38" s="123">
        <f t="shared" si="7"/>
        <v>80.493982222704474</v>
      </c>
      <c r="I38" s="123">
        <f t="shared" si="7"/>
        <v>72.44458400043402</v>
      </c>
      <c r="J38" s="123">
        <f t="shared" si="7"/>
        <v>65.200125600390621</v>
      </c>
      <c r="K38" s="123">
        <f t="shared" si="7"/>
        <v>58.680113040351557</v>
      </c>
      <c r="L38" s="123">
        <f t="shared" si="7"/>
        <v>52.8121017363164</v>
      </c>
      <c r="M38" s="123">
        <f t="shared" si="7"/>
        <v>47.530891562684758</v>
      </c>
      <c r="N38" s="123">
        <f t="shared" si="7"/>
        <v>42.777802406416285</v>
      </c>
      <c r="O38" s="123">
        <f t="shared" si="7"/>
        <v>38.500022165774659</v>
      </c>
      <c r="P38" s="123">
        <f t="shared" si="7"/>
        <v>34.650019949197194</v>
      </c>
      <c r="Q38" s="123">
        <f t="shared" si="7"/>
        <v>31.185017954277473</v>
      </c>
      <c r="R38" s="123">
        <f t="shared" si="7"/>
        <v>28.066516158849726</v>
      </c>
      <c r="S38" s="123">
        <f t="shared" si="7"/>
        <v>25.259864542964753</v>
      </c>
      <c r="T38" s="123">
        <f t="shared" si="7"/>
        <v>22.733878088668277</v>
      </c>
      <c r="U38" s="123">
        <f t="shared" si="7"/>
        <v>20.460490279801448</v>
      </c>
      <c r="V38" s="123">
        <f t="shared" si="7"/>
        <v>18.414441251821302</v>
      </c>
    </row>
    <row r="39" spans="2:22" ht="14.4" thickBot="1"/>
    <row r="40" spans="2:22" ht="14.4" thickBot="1">
      <c r="B40" s="124" t="s">
        <v>15</v>
      </c>
      <c r="C40" s="112"/>
      <c r="D40" s="113"/>
      <c r="E40" s="113"/>
      <c r="F40" s="113"/>
      <c r="G40" s="113"/>
      <c r="H40" s="113"/>
      <c r="I40" s="113"/>
      <c r="J40" s="113"/>
      <c r="K40" s="113"/>
      <c r="L40" s="113"/>
      <c r="M40" s="113"/>
      <c r="N40" s="113"/>
      <c r="O40" s="113"/>
      <c r="P40" s="113"/>
      <c r="Q40" s="113"/>
      <c r="R40" s="113"/>
      <c r="S40" s="113"/>
      <c r="T40" s="113"/>
      <c r="U40" s="113"/>
      <c r="V40" s="113"/>
    </row>
    <row r="41" spans="2:22">
      <c r="B41" s="103" t="s">
        <v>37</v>
      </c>
      <c r="C41" s="122">
        <f>'P &amp; L '!D9</f>
        <v>40268</v>
      </c>
      <c r="D41" s="122">
        <f>'P &amp; L '!E9</f>
        <v>40633</v>
      </c>
      <c r="E41" s="122">
        <f>'P &amp; L '!F9</f>
        <v>40999</v>
      </c>
      <c r="F41" s="122">
        <f>'P &amp; L '!G9</f>
        <v>41364</v>
      </c>
      <c r="G41" s="122">
        <f>'P &amp; L '!H9</f>
        <v>41729</v>
      </c>
      <c r="H41" s="122">
        <f>'P &amp; L '!I9</f>
        <v>42094</v>
      </c>
      <c r="I41" s="122">
        <f>'P &amp; L '!J9</f>
        <v>42460</v>
      </c>
      <c r="J41" s="122">
        <f>'P &amp; L '!K9</f>
        <v>42825</v>
      </c>
      <c r="K41" s="122">
        <f>'P &amp; L '!L9</f>
        <v>43190</v>
      </c>
      <c r="L41" s="122">
        <f>'P &amp; L '!M9</f>
        <v>43555</v>
      </c>
      <c r="M41" s="122">
        <f>'P &amp; L '!N9</f>
        <v>43921</v>
      </c>
      <c r="N41" s="122">
        <f>'P &amp; L '!O9</f>
        <v>44286</v>
      </c>
      <c r="O41" s="122">
        <f>'P &amp; L '!P9</f>
        <v>44651</v>
      </c>
      <c r="P41" s="122">
        <f>'P &amp; L '!Q9</f>
        <v>45016</v>
      </c>
      <c r="Q41" s="122">
        <f>'P &amp; L '!R9</f>
        <v>45382</v>
      </c>
      <c r="R41" s="122">
        <f>'P &amp; L '!S9</f>
        <v>45747</v>
      </c>
      <c r="S41" s="122">
        <f>'P &amp; L '!T9</f>
        <v>46112</v>
      </c>
      <c r="T41" s="122">
        <f>'P &amp; L '!U9</f>
        <v>46477</v>
      </c>
      <c r="U41" s="122">
        <f>'P &amp; L '!V9</f>
        <v>46843</v>
      </c>
      <c r="V41" s="350">
        <f>'P &amp; L '!W9</f>
        <v>47208</v>
      </c>
    </row>
    <row r="42" spans="2:22">
      <c r="B42" s="111" t="s">
        <v>38</v>
      </c>
      <c r="C42" s="110">
        <f>C27</f>
        <v>433.65148514851484</v>
      </c>
      <c r="D42" s="110">
        <f>C44</f>
        <v>404.78098901396987</v>
      </c>
      <c r="E42" s="110">
        <f t="shared" ref="E42:V42" si="8">D44</f>
        <v>344.06384066187439</v>
      </c>
      <c r="F42" s="110">
        <f t="shared" si="8"/>
        <v>292.45426456259327</v>
      </c>
      <c r="G42" s="110">
        <f t="shared" si="8"/>
        <v>248.58612487820429</v>
      </c>
      <c r="H42" s="110">
        <f t="shared" si="8"/>
        <v>211.29820614647366</v>
      </c>
      <c r="I42" s="110">
        <f t="shared" si="8"/>
        <v>179.6034752245026</v>
      </c>
      <c r="J42" s="110">
        <f t="shared" si="8"/>
        <v>152.66295394082721</v>
      </c>
      <c r="K42" s="110">
        <f t="shared" si="8"/>
        <v>129.76351084970312</v>
      </c>
      <c r="L42" s="110">
        <f t="shared" si="8"/>
        <v>110.29898422224765</v>
      </c>
      <c r="M42" s="110">
        <f t="shared" si="8"/>
        <v>93.754136588910512</v>
      </c>
      <c r="N42" s="110">
        <f t="shared" si="8"/>
        <v>79.691016100573933</v>
      </c>
      <c r="O42" s="110">
        <f t="shared" si="8"/>
        <v>67.73736368548785</v>
      </c>
      <c r="P42" s="110">
        <f t="shared" si="8"/>
        <v>57.576759132664677</v>
      </c>
      <c r="Q42" s="110">
        <f t="shared" si="8"/>
        <v>48.940245262764975</v>
      </c>
      <c r="R42" s="110">
        <f t="shared" si="8"/>
        <v>41.599208473350231</v>
      </c>
      <c r="S42" s="110">
        <f t="shared" si="8"/>
        <v>35.3593272023477</v>
      </c>
      <c r="T42" s="110">
        <f t="shared" si="8"/>
        <v>30.055428121995547</v>
      </c>
      <c r="U42" s="110">
        <f t="shared" si="8"/>
        <v>25.547113903696214</v>
      </c>
      <c r="V42" s="351">
        <f t="shared" si="8"/>
        <v>21.715046818141783</v>
      </c>
    </row>
    <row r="43" spans="2:22">
      <c r="B43" s="111" t="s">
        <v>39</v>
      </c>
      <c r="C43" s="110">
        <f>C42*'Assumption '!C60/365*('Depreciation (SLM &amp; WDV)'!C41-'Assumption '!C11)</f>
        <v>28.870496134544958</v>
      </c>
      <c r="D43" s="110">
        <f>D42*'Assumption '!$C$60</f>
        <v>60.717148352095478</v>
      </c>
      <c r="E43" s="110">
        <f>E42*'Assumption '!$C$60</f>
        <v>51.609576099281156</v>
      </c>
      <c r="F43" s="110">
        <f>F42*'Assumption '!$C$60</f>
        <v>43.868139684388986</v>
      </c>
      <c r="G43" s="110">
        <f>G42*'Assumption '!$C$60</f>
        <v>37.287918731730642</v>
      </c>
      <c r="H43" s="110">
        <f>H42*'Assumption '!$C$60</f>
        <v>31.694730921971047</v>
      </c>
      <c r="I43" s="110">
        <f>I42*'Assumption '!$C$60</f>
        <v>26.940521283675391</v>
      </c>
      <c r="J43" s="110">
        <f>J42*'Assumption '!$C$60</f>
        <v>22.89944309112408</v>
      </c>
      <c r="K43" s="110">
        <f>K42*'Assumption '!$C$60</f>
        <v>19.464526627455466</v>
      </c>
      <c r="L43" s="110">
        <f>L42*'Assumption '!$C$60</f>
        <v>16.544847633337149</v>
      </c>
      <c r="M43" s="110">
        <f>M42*'Assumption '!$C$60</f>
        <v>14.063120488336576</v>
      </c>
      <c r="N43" s="110">
        <f>N42*'Assumption '!$C$60</f>
        <v>11.95365241508609</v>
      </c>
      <c r="O43" s="110">
        <f>O42*'Assumption '!$C$60</f>
        <v>10.160604552823177</v>
      </c>
      <c r="P43" s="110">
        <f>P42*'Assumption '!$C$60</f>
        <v>8.6365138698997015</v>
      </c>
      <c r="Q43" s="110">
        <f>Q42*'Assumption '!$C$60</f>
        <v>7.3410367894147459</v>
      </c>
      <c r="R43" s="110">
        <f>R42*'Assumption '!$C$60</f>
        <v>6.2398812710025346</v>
      </c>
      <c r="S43" s="110">
        <f>S42*'Assumption '!$C$60</f>
        <v>5.3038990803521546</v>
      </c>
      <c r="T43" s="110">
        <f>T42*'Assumption '!$C$60</f>
        <v>4.5083142182993319</v>
      </c>
      <c r="U43" s="110">
        <f>U42*'Assumption '!$C$60</f>
        <v>3.8320670855544319</v>
      </c>
      <c r="V43" s="110">
        <f>V42*'Assumption '!$C$60</f>
        <v>3.2572570227212672</v>
      </c>
    </row>
    <row r="44" spans="2:22" ht="14.4" thickBot="1">
      <c r="B44" s="114" t="s">
        <v>40</v>
      </c>
      <c r="C44" s="123">
        <f>C42-C43</f>
        <v>404.78098901396987</v>
      </c>
      <c r="D44" s="123">
        <f t="shared" ref="D44:V44" si="9">D42-D43</f>
        <v>344.06384066187439</v>
      </c>
      <c r="E44" s="123">
        <f t="shared" si="9"/>
        <v>292.45426456259327</v>
      </c>
      <c r="F44" s="123">
        <f t="shared" si="9"/>
        <v>248.58612487820429</v>
      </c>
      <c r="G44" s="123">
        <f t="shared" si="9"/>
        <v>211.29820614647366</v>
      </c>
      <c r="H44" s="123">
        <f t="shared" si="9"/>
        <v>179.6034752245026</v>
      </c>
      <c r="I44" s="123">
        <f t="shared" si="9"/>
        <v>152.66295394082721</v>
      </c>
      <c r="J44" s="123">
        <f>J42-J43</f>
        <v>129.76351084970312</v>
      </c>
      <c r="K44" s="123">
        <f t="shared" si="9"/>
        <v>110.29898422224765</v>
      </c>
      <c r="L44" s="123">
        <f t="shared" si="9"/>
        <v>93.754136588910512</v>
      </c>
      <c r="M44" s="123">
        <f t="shared" si="9"/>
        <v>79.691016100573933</v>
      </c>
      <c r="N44" s="123">
        <f t="shared" si="9"/>
        <v>67.73736368548785</v>
      </c>
      <c r="O44" s="123">
        <f t="shared" si="9"/>
        <v>57.576759132664677</v>
      </c>
      <c r="P44" s="123">
        <f t="shared" si="9"/>
        <v>48.940245262764975</v>
      </c>
      <c r="Q44" s="123">
        <f t="shared" si="9"/>
        <v>41.599208473350231</v>
      </c>
      <c r="R44" s="123">
        <f t="shared" si="9"/>
        <v>35.3593272023477</v>
      </c>
      <c r="S44" s="123">
        <f t="shared" si="9"/>
        <v>30.055428121995547</v>
      </c>
      <c r="T44" s="123">
        <f t="shared" si="9"/>
        <v>25.547113903696214</v>
      </c>
      <c r="U44" s="123">
        <f t="shared" si="9"/>
        <v>21.715046818141783</v>
      </c>
      <c r="V44" s="352">
        <f t="shared" si="9"/>
        <v>18.457789795420517</v>
      </c>
    </row>
    <row r="49" spans="18:18">
      <c r="R49" s="92">
        <f>90/20</f>
        <v>4.5</v>
      </c>
    </row>
  </sheetData>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B3:V12"/>
  <sheetViews>
    <sheetView workbookViewId="0">
      <selection activeCell="B10" sqref="B10"/>
    </sheetView>
  </sheetViews>
  <sheetFormatPr defaultRowHeight="14.4"/>
  <cols>
    <col min="2" max="2" width="31.109375" bestFit="1" customWidth="1"/>
    <col min="3" max="19" width="7.5546875" bestFit="1" customWidth="1"/>
  </cols>
  <sheetData>
    <row r="3" spans="2:22" ht="15.6">
      <c r="B3" s="370"/>
      <c r="C3" s="373">
        <v>1</v>
      </c>
      <c r="D3" s="373">
        <v>2</v>
      </c>
      <c r="E3" s="373">
        <v>3</v>
      </c>
      <c r="F3" s="373">
        <v>4</v>
      </c>
      <c r="G3" s="373">
        <v>5</v>
      </c>
      <c r="H3" s="373">
        <v>6</v>
      </c>
      <c r="I3" s="373">
        <v>7</v>
      </c>
      <c r="J3" s="373">
        <v>8</v>
      </c>
      <c r="K3" s="373">
        <v>9</v>
      </c>
      <c r="L3" s="373">
        <v>10</v>
      </c>
      <c r="M3" s="373">
        <v>11</v>
      </c>
      <c r="N3" s="373">
        <v>12</v>
      </c>
      <c r="O3" s="373">
        <v>13</v>
      </c>
      <c r="P3" s="373">
        <v>14</v>
      </c>
      <c r="Q3" s="373">
        <v>15</v>
      </c>
      <c r="R3" s="373">
        <v>16</v>
      </c>
      <c r="S3" s="373">
        <v>17</v>
      </c>
      <c r="T3" s="373">
        <v>18</v>
      </c>
      <c r="U3" s="373">
        <v>19</v>
      </c>
      <c r="V3" s="373">
        <v>20</v>
      </c>
    </row>
    <row r="4" spans="2:22" ht="15.6">
      <c r="B4" s="365" t="s">
        <v>220</v>
      </c>
      <c r="C4" s="366">
        <f>'P &amp; L '!D9</f>
        <v>40268</v>
      </c>
      <c r="D4" s="366">
        <f>'P &amp; L '!E9</f>
        <v>40633</v>
      </c>
      <c r="E4" s="366">
        <f>'P &amp; L '!F9</f>
        <v>40999</v>
      </c>
      <c r="F4" s="366">
        <f>'P &amp; L '!G9</f>
        <v>41364</v>
      </c>
      <c r="G4" s="366">
        <f>'P &amp; L '!H9</f>
        <v>41729</v>
      </c>
      <c r="H4" s="366">
        <f>'P &amp; L '!I9</f>
        <v>42094</v>
      </c>
      <c r="I4" s="366">
        <f>'P &amp; L '!J9</f>
        <v>42460</v>
      </c>
      <c r="J4" s="366">
        <f>'P &amp; L '!K9</f>
        <v>42825</v>
      </c>
      <c r="K4" s="366">
        <f>'P &amp; L '!L9</f>
        <v>43190</v>
      </c>
      <c r="L4" s="366">
        <f>'P &amp; L '!M9</f>
        <v>43555</v>
      </c>
      <c r="M4" s="366">
        <f>'P &amp; L '!N9</f>
        <v>43921</v>
      </c>
      <c r="N4" s="366">
        <f>'P &amp; L '!O9</f>
        <v>44286</v>
      </c>
      <c r="O4" s="366">
        <f>'P &amp; L '!P9</f>
        <v>44651</v>
      </c>
      <c r="P4" s="366">
        <f>'P &amp; L '!Q9</f>
        <v>45016</v>
      </c>
      <c r="Q4" s="366">
        <f>'P &amp; L '!R9</f>
        <v>45382</v>
      </c>
      <c r="R4" s="366">
        <f>'P &amp; L '!S9</f>
        <v>45747</v>
      </c>
      <c r="S4" s="366">
        <f>'P &amp; L '!T9</f>
        <v>46112</v>
      </c>
      <c r="T4" s="366">
        <f>'P &amp; L '!U9</f>
        <v>46477</v>
      </c>
      <c r="U4" s="366">
        <f>'P &amp; L '!V9</f>
        <v>46843</v>
      </c>
      <c r="V4" s="366">
        <f>'P &amp; L '!W9</f>
        <v>47208</v>
      </c>
    </row>
    <row r="5" spans="2:22" ht="15.6">
      <c r="B5" s="374" t="s">
        <v>221</v>
      </c>
      <c r="C5" s="372">
        <f>('P &amp; L '!D15)*30/365</f>
        <v>1.7845839744792646</v>
      </c>
      <c r="D5" s="372">
        <f>('P &amp; L '!E15)*30/365</f>
        <v>4.1063013698630133</v>
      </c>
      <c r="E5" s="372">
        <f>('P &amp; L '!F15)*30/365</f>
        <v>4.2705534246575345</v>
      </c>
      <c r="F5" s="372">
        <f>('P &amp; L '!G15)*30/365</f>
        <v>4.4413755616438362</v>
      </c>
      <c r="G5" s="372">
        <f>('P &amp; L '!H15)*30/365</f>
        <v>4.6190305841095896</v>
      </c>
      <c r="H5" s="372">
        <f>('P &amp; L '!I15)*30/365</f>
        <v>4.8037918074739734</v>
      </c>
      <c r="I5" s="372">
        <f>('P &amp; L '!J15)*30/365</f>
        <v>4.995943479772933</v>
      </c>
      <c r="J5" s="372">
        <f>('P &amp; L '!K15)*30/365</f>
        <v>5.1957812189638499</v>
      </c>
      <c r="K5" s="372">
        <f>('P &amp; L '!L15)*30/365</f>
        <v>5.4036124677224038</v>
      </c>
      <c r="L5" s="372">
        <f>('P &amp; L '!M15)*30/365</f>
        <v>5.6197569664313001</v>
      </c>
      <c r="M5" s="372">
        <f>('P &amp; L '!N15)*30/365</f>
        <v>5.8445472450885525</v>
      </c>
      <c r="N5" s="372">
        <f>('P &amp; L '!O15)*30/365</f>
        <v>6.0783291348920949</v>
      </c>
      <c r="O5" s="372">
        <f>('P &amp; L '!P15)*30/365</f>
        <v>6.321462300287779</v>
      </c>
      <c r="P5" s="372">
        <f>('P &amp; L '!Q15)*30/365</f>
        <v>6.5743207922992903</v>
      </c>
      <c r="Q5" s="372">
        <f>('P &amp; L '!R15)*30/365</f>
        <v>6.8372936239912621</v>
      </c>
      <c r="R5" s="372">
        <f>('P &amp; L '!S15)*30/365</f>
        <v>7.1107853689509124</v>
      </c>
      <c r="S5" s="372">
        <f>('P &amp; L '!T15)*30/365</f>
        <v>7.3952167837089489</v>
      </c>
      <c r="T5" s="372">
        <f>('P &amp; L '!U15)*30/365</f>
        <v>7.6910254550573072</v>
      </c>
      <c r="U5" s="372">
        <f>('P &amp; L '!V15)*30/365</f>
        <v>7.9986664732596005</v>
      </c>
      <c r="V5" s="372">
        <f>('P &amp; L '!W15)*30/365</f>
        <v>8.3186131321899843</v>
      </c>
    </row>
    <row r="6" spans="2:22" ht="15.6">
      <c r="B6" s="371" t="s">
        <v>222</v>
      </c>
      <c r="C6" s="372">
        <f t="shared" ref="C6:V6" si="0">SUM(C5:C5)</f>
        <v>1.7845839744792646</v>
      </c>
      <c r="D6" s="372">
        <f t="shared" si="0"/>
        <v>4.1063013698630133</v>
      </c>
      <c r="E6" s="372">
        <f t="shared" si="0"/>
        <v>4.2705534246575345</v>
      </c>
      <c r="F6" s="372">
        <f t="shared" si="0"/>
        <v>4.4413755616438362</v>
      </c>
      <c r="G6" s="372">
        <f t="shared" si="0"/>
        <v>4.6190305841095896</v>
      </c>
      <c r="H6" s="372">
        <f t="shared" si="0"/>
        <v>4.8037918074739734</v>
      </c>
      <c r="I6" s="372">
        <f t="shared" si="0"/>
        <v>4.995943479772933</v>
      </c>
      <c r="J6" s="372">
        <f t="shared" si="0"/>
        <v>5.1957812189638499</v>
      </c>
      <c r="K6" s="372">
        <f t="shared" si="0"/>
        <v>5.4036124677224038</v>
      </c>
      <c r="L6" s="372">
        <f t="shared" si="0"/>
        <v>5.6197569664313001</v>
      </c>
      <c r="M6" s="372">
        <f t="shared" si="0"/>
        <v>5.8445472450885525</v>
      </c>
      <c r="N6" s="372">
        <f t="shared" si="0"/>
        <v>6.0783291348920949</v>
      </c>
      <c r="O6" s="372">
        <f t="shared" si="0"/>
        <v>6.321462300287779</v>
      </c>
      <c r="P6" s="372">
        <f t="shared" si="0"/>
        <v>6.5743207922992903</v>
      </c>
      <c r="Q6" s="372">
        <f t="shared" si="0"/>
        <v>6.8372936239912621</v>
      </c>
      <c r="R6" s="372">
        <f t="shared" si="0"/>
        <v>7.1107853689509124</v>
      </c>
      <c r="S6" s="372">
        <f t="shared" si="0"/>
        <v>7.3952167837089489</v>
      </c>
      <c r="T6" s="372">
        <f t="shared" si="0"/>
        <v>7.6910254550573072</v>
      </c>
      <c r="U6" s="372">
        <f t="shared" si="0"/>
        <v>7.9986664732596005</v>
      </c>
      <c r="V6" s="372">
        <f t="shared" si="0"/>
        <v>8.3186131321899843</v>
      </c>
    </row>
    <row r="7" spans="2:22" ht="15.6">
      <c r="B7" s="371" t="s">
        <v>223</v>
      </c>
      <c r="C7" s="372">
        <f>C6*'Assumption '!$D$97</f>
        <v>0.44614599361981616</v>
      </c>
      <c r="D7" s="372">
        <f>D6*'Assumption '!$D$97</f>
        <v>1.0265753424657533</v>
      </c>
      <c r="E7" s="372">
        <f>E6*'Assumption '!$D$97</f>
        <v>1.0676383561643836</v>
      </c>
      <c r="F7" s="372">
        <f>F6*'Assumption '!$D$97</f>
        <v>1.110343890410959</v>
      </c>
      <c r="G7" s="372">
        <f>G6*'Assumption '!$D$97</f>
        <v>1.1547576460273974</v>
      </c>
      <c r="H7" s="372">
        <f>H6*'Assumption '!$D$97</f>
        <v>1.2009479518684933</v>
      </c>
      <c r="I7" s="372">
        <f>I6*'Assumption '!$D$97</f>
        <v>1.2489858699432332</v>
      </c>
      <c r="J7" s="372">
        <f>J6*'Assumption '!$D$97</f>
        <v>1.2989453047409625</v>
      </c>
      <c r="K7" s="372">
        <f>K6*'Assumption '!$D$97</f>
        <v>1.3509031169306009</v>
      </c>
      <c r="L7" s="372">
        <f>L6*'Assumption '!$D$97</f>
        <v>1.404939241607825</v>
      </c>
      <c r="M7" s="372">
        <f>M6*'Assumption '!$D$97</f>
        <v>1.4611368112721381</v>
      </c>
      <c r="N7" s="372">
        <f>N6*'Assumption '!$D$97</f>
        <v>1.5195822837230237</v>
      </c>
      <c r="O7" s="372">
        <f>O6*'Assumption '!$D$97</f>
        <v>1.5803655750719448</v>
      </c>
      <c r="P7" s="372">
        <f>P6*'Assumption '!$D$97</f>
        <v>1.6435801980748226</v>
      </c>
      <c r="Q7" s="372">
        <f>Q6*'Assumption '!$D$97</f>
        <v>1.7093234059978155</v>
      </c>
      <c r="R7" s="372">
        <f>R6*'Assumption '!$D$97</f>
        <v>1.7776963422377281</v>
      </c>
      <c r="S7" s="372">
        <f>S6*'Assumption '!$D$97</f>
        <v>1.8488041959272372</v>
      </c>
      <c r="T7" s="372">
        <f>T6*'Assumption '!$D$97</f>
        <v>1.9227563637643268</v>
      </c>
      <c r="U7" s="372">
        <f>U6*'Assumption '!$D$97</f>
        <v>1.9996666183149001</v>
      </c>
      <c r="V7" s="372">
        <f>V6*'Assumption '!$D$97</f>
        <v>2.0796532830474961</v>
      </c>
    </row>
    <row r="8" spans="2:22" ht="15.6">
      <c r="B8" s="371" t="s">
        <v>224</v>
      </c>
      <c r="C8" s="372">
        <f>C6-C7</f>
        <v>1.3384379808594484</v>
      </c>
      <c r="D8" s="372">
        <f t="shared" ref="D8:V8" si="1">D6-D7</f>
        <v>3.07972602739726</v>
      </c>
      <c r="E8" s="372">
        <f t="shared" si="1"/>
        <v>3.2029150684931507</v>
      </c>
      <c r="F8" s="372">
        <f t="shared" si="1"/>
        <v>3.3310316712328771</v>
      </c>
      <c r="G8" s="372">
        <f t="shared" si="1"/>
        <v>3.4642729380821922</v>
      </c>
      <c r="H8" s="372">
        <f t="shared" si="1"/>
        <v>3.6028438556054798</v>
      </c>
      <c r="I8" s="372">
        <f t="shared" si="1"/>
        <v>3.7469576098296997</v>
      </c>
      <c r="J8" s="372">
        <f t="shared" si="1"/>
        <v>3.8968359142228874</v>
      </c>
      <c r="K8" s="372">
        <f t="shared" si="1"/>
        <v>4.0527093507918028</v>
      </c>
      <c r="L8" s="372">
        <f t="shared" si="1"/>
        <v>4.2148177248234751</v>
      </c>
      <c r="M8" s="372">
        <f t="shared" si="1"/>
        <v>4.3834104338164144</v>
      </c>
      <c r="N8" s="372">
        <f t="shared" si="1"/>
        <v>4.5587468511690714</v>
      </c>
      <c r="O8" s="372">
        <f t="shared" si="1"/>
        <v>4.7410967252158347</v>
      </c>
      <c r="P8" s="372">
        <f t="shared" si="1"/>
        <v>4.930740594224468</v>
      </c>
      <c r="Q8" s="372">
        <f t="shared" si="1"/>
        <v>5.1279702179934468</v>
      </c>
      <c r="R8" s="372">
        <f t="shared" si="1"/>
        <v>5.3330890267131839</v>
      </c>
      <c r="S8" s="372">
        <f t="shared" si="1"/>
        <v>5.5464125877817114</v>
      </c>
      <c r="T8" s="372">
        <f t="shared" si="1"/>
        <v>5.7682690912929804</v>
      </c>
      <c r="U8" s="372">
        <f t="shared" si="1"/>
        <v>5.9989998549447003</v>
      </c>
      <c r="V8" s="372">
        <f t="shared" si="1"/>
        <v>6.2389598491424882</v>
      </c>
    </row>
    <row r="10" spans="2:22" ht="15.6">
      <c r="B10" s="371" t="s">
        <v>227</v>
      </c>
      <c r="C10" s="383">
        <f>C8</f>
        <v>1.3384379808594484</v>
      </c>
      <c r="D10" s="383">
        <f>D8-C8</f>
        <v>1.7412880465378116</v>
      </c>
      <c r="E10" s="383">
        <f t="shared" ref="E10:V10" si="2">E8-D8</f>
        <v>0.12318904109589068</v>
      </c>
      <c r="F10" s="383">
        <f t="shared" si="2"/>
        <v>0.12811660273972647</v>
      </c>
      <c r="G10" s="383">
        <f t="shared" si="2"/>
        <v>0.13324126684931503</v>
      </c>
      <c r="H10" s="383">
        <f t="shared" si="2"/>
        <v>0.13857091752328765</v>
      </c>
      <c r="I10" s="383">
        <f t="shared" si="2"/>
        <v>0.1441137542242199</v>
      </c>
      <c r="J10" s="383">
        <f t="shared" si="2"/>
        <v>0.14987830439318772</v>
      </c>
      <c r="K10" s="383">
        <f t="shared" si="2"/>
        <v>0.15587343656891539</v>
      </c>
      <c r="L10" s="383">
        <f t="shared" si="2"/>
        <v>0.16210837403167222</v>
      </c>
      <c r="M10" s="383">
        <f t="shared" si="2"/>
        <v>0.16859270899293932</v>
      </c>
      <c r="N10" s="383">
        <f t="shared" si="2"/>
        <v>0.17533641735265704</v>
      </c>
      <c r="O10" s="383">
        <f t="shared" si="2"/>
        <v>0.18234987404676328</v>
      </c>
      <c r="P10" s="383">
        <f t="shared" si="2"/>
        <v>0.18964386900863328</v>
      </c>
      <c r="Q10" s="383">
        <f t="shared" si="2"/>
        <v>0.19722962376897879</v>
      </c>
      <c r="R10" s="383">
        <f t="shared" si="2"/>
        <v>0.20511880871973709</v>
      </c>
      <c r="S10" s="383">
        <f t="shared" si="2"/>
        <v>0.21332356106852757</v>
      </c>
      <c r="T10" s="383">
        <f t="shared" si="2"/>
        <v>0.22185650351126895</v>
      </c>
      <c r="U10" s="383">
        <f t="shared" si="2"/>
        <v>0.23073076365171996</v>
      </c>
      <c r="V10" s="383">
        <f t="shared" si="2"/>
        <v>0.23995999419778791</v>
      </c>
    </row>
    <row r="11" spans="2:22" ht="15.6">
      <c r="B11" s="368"/>
      <c r="D11" s="369"/>
      <c r="E11" s="369"/>
      <c r="F11" s="367"/>
      <c r="G11" s="367"/>
      <c r="H11" s="367"/>
      <c r="I11" s="367"/>
      <c r="J11" s="367"/>
      <c r="K11" s="367"/>
      <c r="L11" s="367"/>
      <c r="M11" s="367"/>
      <c r="N11" s="367"/>
      <c r="O11" s="367"/>
      <c r="P11" s="367"/>
      <c r="Q11" s="367"/>
      <c r="R11" s="367"/>
      <c r="S11" s="367"/>
      <c r="T11" s="367"/>
      <c r="U11" s="367"/>
      <c r="V11" s="367"/>
    </row>
    <row r="12" spans="2:22" ht="15.6">
      <c r="B12" s="36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B1:N24"/>
  <sheetViews>
    <sheetView view="pageBreakPreview" zoomScale="90" zoomScaleSheetLayoutView="90" workbookViewId="0"/>
  </sheetViews>
  <sheetFormatPr defaultColWidth="9.109375" defaultRowHeight="13.8"/>
  <cols>
    <col min="1" max="1" width="9.109375" style="73"/>
    <col min="2" max="2" width="39.44140625" style="73" customWidth="1"/>
    <col min="3" max="3" width="13.6640625" style="73" customWidth="1"/>
    <col min="4" max="4" width="16.109375" style="73" customWidth="1"/>
    <col min="5" max="5" width="13.6640625" style="73" customWidth="1"/>
    <col min="6" max="6" width="13" style="73" customWidth="1"/>
    <col min="7" max="7" width="12.6640625" style="73" customWidth="1"/>
    <col min="8" max="8" width="11.5546875" style="73" customWidth="1"/>
    <col min="9" max="9" width="13.109375" style="73" customWidth="1"/>
    <col min="10" max="10" width="12.5546875" style="73" customWidth="1"/>
    <col min="11" max="11" width="12.109375" style="73" customWidth="1"/>
    <col min="12" max="12" width="13" style="73" customWidth="1"/>
    <col min="13" max="16384" width="9.109375" style="73"/>
  </cols>
  <sheetData>
    <row r="1" spans="2:14" ht="14.4" thickBot="1"/>
    <row r="2" spans="2:14">
      <c r="B2" s="21" t="s">
        <v>105</v>
      </c>
      <c r="C2" s="22"/>
      <c r="D2" s="22"/>
      <c r="E2" s="22"/>
      <c r="F2" s="324"/>
      <c r="G2" s="325"/>
    </row>
    <row r="3" spans="2:14">
      <c r="B3" s="24" t="s">
        <v>106</v>
      </c>
      <c r="C3" s="11"/>
      <c r="D3" s="11"/>
      <c r="E3" s="11"/>
      <c r="F3" s="194"/>
      <c r="G3" s="326"/>
    </row>
    <row r="4" spans="2:14" ht="14.4" thickBot="1">
      <c r="B4" s="26" t="s">
        <v>107</v>
      </c>
      <c r="C4" s="27"/>
      <c r="D4" s="27"/>
      <c r="E4" s="27"/>
      <c r="F4" s="327"/>
      <c r="G4" s="328"/>
    </row>
    <row r="5" spans="2:14" s="132" customFormat="1">
      <c r="B5" s="133"/>
      <c r="C5" s="133"/>
      <c r="D5" s="133"/>
      <c r="E5" s="133"/>
    </row>
    <row r="7" spans="2:14" ht="14.4" thickBot="1"/>
    <row r="8" spans="2:14" ht="14.4" thickBot="1">
      <c r="B8" s="392" t="s">
        <v>61</v>
      </c>
      <c r="C8" s="385"/>
      <c r="D8" s="385"/>
      <c r="E8" s="385"/>
      <c r="F8" s="385"/>
      <c r="G8" s="385"/>
      <c r="H8" s="391"/>
      <c r="I8" s="385"/>
      <c r="J8" s="385"/>
      <c r="K8" s="385"/>
      <c r="L8" s="393"/>
      <c r="M8" s="393"/>
    </row>
    <row r="9" spans="2:14">
      <c r="B9" s="394" t="s">
        <v>56</v>
      </c>
      <c r="C9" s="395">
        <f>'Assumption '!C45</f>
        <v>0.115</v>
      </c>
      <c r="D9" s="396"/>
      <c r="E9" s="397"/>
      <c r="F9" s="397"/>
      <c r="G9" s="397"/>
      <c r="H9" s="397"/>
      <c r="I9" s="397"/>
      <c r="J9" s="397"/>
      <c r="K9" s="397"/>
      <c r="L9" s="393"/>
      <c r="M9" s="393"/>
    </row>
    <row r="10" spans="2:14">
      <c r="B10" s="398" t="s">
        <v>59</v>
      </c>
      <c r="C10" s="388">
        <f>(C12*4)-(9/3)</f>
        <v>37</v>
      </c>
      <c r="D10" s="396"/>
      <c r="E10" s="397"/>
      <c r="F10" s="397"/>
      <c r="G10" s="397"/>
      <c r="H10" s="397"/>
      <c r="I10" s="397"/>
      <c r="J10" s="397"/>
      <c r="K10" s="397"/>
      <c r="L10" s="393"/>
      <c r="M10" s="393"/>
    </row>
    <row r="11" spans="2:14">
      <c r="B11" s="398" t="s">
        <v>235</v>
      </c>
      <c r="C11" s="399">
        <v>9</v>
      </c>
      <c r="D11" s="396"/>
      <c r="E11" s="397"/>
      <c r="F11" s="397"/>
      <c r="G11" s="397"/>
      <c r="H11" s="397"/>
      <c r="I11" s="397"/>
      <c r="J11" s="397"/>
      <c r="K11" s="397"/>
      <c r="L11" s="393"/>
      <c r="M11" s="393"/>
    </row>
    <row r="12" spans="2:14" ht="14.4" thickBot="1">
      <c r="B12" s="400" t="s">
        <v>236</v>
      </c>
      <c r="C12" s="399">
        <v>10</v>
      </c>
      <c r="D12" s="396"/>
      <c r="E12" s="397"/>
      <c r="F12" s="397"/>
      <c r="G12" s="397"/>
      <c r="H12" s="397"/>
      <c r="I12" s="397"/>
      <c r="J12" s="397"/>
      <c r="K12" s="397"/>
      <c r="L12" s="393"/>
      <c r="M12" s="393"/>
    </row>
    <row r="13" spans="2:14" ht="14.4" thickBot="1">
      <c r="B13" s="401"/>
      <c r="C13" s="402">
        <v>40268</v>
      </c>
      <c r="D13" s="402">
        <v>40633</v>
      </c>
      <c r="E13" s="402">
        <v>40999</v>
      </c>
      <c r="F13" s="402">
        <v>41364</v>
      </c>
      <c r="G13" s="402">
        <v>41729</v>
      </c>
      <c r="H13" s="402">
        <v>42094</v>
      </c>
      <c r="I13" s="402">
        <v>42460</v>
      </c>
      <c r="J13" s="402">
        <v>42825</v>
      </c>
      <c r="K13" s="402">
        <v>43190</v>
      </c>
      <c r="L13" s="402">
        <v>43555</v>
      </c>
      <c r="M13" s="402">
        <v>43921</v>
      </c>
      <c r="N13" s="402"/>
    </row>
    <row r="14" spans="2:14" ht="14.4" thickBot="1">
      <c r="B14" s="412" t="s">
        <v>60</v>
      </c>
      <c r="C14" s="403">
        <f>'Assumption '!D40</f>
        <v>406.90999999999997</v>
      </c>
      <c r="D14" s="404">
        <f>C22</f>
        <v>406.90999999999997</v>
      </c>
      <c r="E14" s="404">
        <f t="shared" ref="E14:M14" si="0">D22</f>
        <v>373.9172972972973</v>
      </c>
      <c r="F14" s="404">
        <f t="shared" si="0"/>
        <v>329.92702702702707</v>
      </c>
      <c r="G14" s="404">
        <f t="shared" si="0"/>
        <v>285.93675675675684</v>
      </c>
      <c r="H14" s="404">
        <f t="shared" si="0"/>
        <v>241.94648648648661</v>
      </c>
      <c r="I14" s="404">
        <f t="shared" si="0"/>
        <v>197.95621621621638</v>
      </c>
      <c r="J14" s="404">
        <f t="shared" si="0"/>
        <v>153.96594594594615</v>
      </c>
      <c r="K14" s="404">
        <f t="shared" si="0"/>
        <v>109.97567567567589</v>
      </c>
      <c r="L14" s="404">
        <f t="shared" si="0"/>
        <v>65.985405405405601</v>
      </c>
      <c r="M14" s="404">
        <f t="shared" si="0"/>
        <v>21.995135135135342</v>
      </c>
    </row>
    <row r="15" spans="2:14">
      <c r="B15" s="390" t="s">
        <v>237</v>
      </c>
      <c r="C15" s="405"/>
      <c r="D15" s="386"/>
      <c r="E15" s="413">
        <f>$C$14/$C$10</f>
        <v>10.997567567567566</v>
      </c>
      <c r="F15" s="413">
        <f t="shared" ref="F15:M15" si="1">$C$14/$C$10</f>
        <v>10.997567567567566</v>
      </c>
      <c r="G15" s="413">
        <f t="shared" si="1"/>
        <v>10.997567567567566</v>
      </c>
      <c r="H15" s="413">
        <f t="shared" si="1"/>
        <v>10.997567567567566</v>
      </c>
      <c r="I15" s="413">
        <f t="shared" si="1"/>
        <v>10.997567567567566</v>
      </c>
      <c r="J15" s="413">
        <f t="shared" si="1"/>
        <v>10.997567567567566</v>
      </c>
      <c r="K15" s="413">
        <f t="shared" si="1"/>
        <v>10.997567567567566</v>
      </c>
      <c r="L15" s="413">
        <f t="shared" si="1"/>
        <v>10.997567567567566</v>
      </c>
      <c r="M15" s="413">
        <f t="shared" si="1"/>
        <v>10.997567567567566</v>
      </c>
    </row>
    <row r="16" spans="2:14">
      <c r="B16" s="390" t="s">
        <v>238</v>
      </c>
      <c r="C16" s="406">
        <f>C14-C15</f>
        <v>406.90999999999997</v>
      </c>
      <c r="D16" s="407">
        <f>D14-D15</f>
        <v>406.90999999999997</v>
      </c>
      <c r="E16" s="407">
        <f t="shared" ref="E16:M16" si="2">E14-E15</f>
        <v>362.91972972972974</v>
      </c>
      <c r="F16" s="407">
        <f t="shared" si="2"/>
        <v>318.92945945945951</v>
      </c>
      <c r="G16" s="407">
        <f t="shared" si="2"/>
        <v>274.93918918918928</v>
      </c>
      <c r="H16" s="407">
        <f t="shared" si="2"/>
        <v>230.94891891891905</v>
      </c>
      <c r="I16" s="407">
        <f t="shared" si="2"/>
        <v>186.95864864864882</v>
      </c>
      <c r="J16" s="407">
        <f t="shared" si="2"/>
        <v>142.96837837837859</v>
      </c>
      <c r="K16" s="407">
        <f t="shared" si="2"/>
        <v>98.978108108108316</v>
      </c>
      <c r="L16" s="407">
        <f t="shared" si="2"/>
        <v>54.987837837838036</v>
      </c>
      <c r="M16" s="407">
        <f t="shared" si="2"/>
        <v>10.997567567567776</v>
      </c>
    </row>
    <row r="17" spans="2:13">
      <c r="B17" s="390" t="s">
        <v>239</v>
      </c>
      <c r="C17" s="406"/>
      <c r="D17" s="413">
        <f>$C$14/$C$10</f>
        <v>10.997567567567566</v>
      </c>
      <c r="E17" s="413">
        <f t="shared" ref="E17:M17" si="3">$C$14/$C$10</f>
        <v>10.997567567567566</v>
      </c>
      <c r="F17" s="413">
        <f t="shared" si="3"/>
        <v>10.997567567567566</v>
      </c>
      <c r="G17" s="413">
        <f t="shared" si="3"/>
        <v>10.997567567567566</v>
      </c>
      <c r="H17" s="413">
        <f t="shared" si="3"/>
        <v>10.997567567567566</v>
      </c>
      <c r="I17" s="413">
        <f t="shared" si="3"/>
        <v>10.997567567567566</v>
      </c>
      <c r="J17" s="413">
        <f t="shared" si="3"/>
        <v>10.997567567567566</v>
      </c>
      <c r="K17" s="413">
        <f t="shared" si="3"/>
        <v>10.997567567567566</v>
      </c>
      <c r="L17" s="413">
        <f t="shared" si="3"/>
        <v>10.997567567567566</v>
      </c>
      <c r="M17" s="413">
        <f t="shared" si="3"/>
        <v>10.997567567567566</v>
      </c>
    </row>
    <row r="18" spans="2:13">
      <c r="B18" s="390" t="s">
        <v>240</v>
      </c>
      <c r="C18" s="406">
        <f>C16-C17</f>
        <v>406.90999999999997</v>
      </c>
      <c r="D18" s="407">
        <f>D16-D17</f>
        <v>395.91243243243241</v>
      </c>
      <c r="E18" s="407">
        <f t="shared" ref="E18:M18" si="4">E16-E17</f>
        <v>351.92216216216218</v>
      </c>
      <c r="F18" s="407">
        <f t="shared" si="4"/>
        <v>307.93189189189195</v>
      </c>
      <c r="G18" s="407">
        <f t="shared" si="4"/>
        <v>263.94162162162172</v>
      </c>
      <c r="H18" s="407">
        <f t="shared" si="4"/>
        <v>219.95135135135149</v>
      </c>
      <c r="I18" s="407">
        <f t="shared" si="4"/>
        <v>175.96108108108126</v>
      </c>
      <c r="J18" s="407">
        <f t="shared" si="4"/>
        <v>131.97081081081103</v>
      </c>
      <c r="K18" s="407">
        <f t="shared" si="4"/>
        <v>87.980540540540744</v>
      </c>
      <c r="L18" s="407">
        <f t="shared" si="4"/>
        <v>43.990270270270472</v>
      </c>
      <c r="M18" s="407">
        <f t="shared" si="4"/>
        <v>2.0961010704922955E-13</v>
      </c>
    </row>
    <row r="19" spans="2:13">
      <c r="B19" s="390" t="s">
        <v>241</v>
      </c>
      <c r="C19" s="406"/>
      <c r="D19" s="413">
        <f>$C$14/$C$10</f>
        <v>10.997567567567566</v>
      </c>
      <c r="E19" s="413">
        <f t="shared" ref="E19:L19" si="5">$C$14/$C$10</f>
        <v>10.997567567567566</v>
      </c>
      <c r="F19" s="413">
        <f t="shared" si="5"/>
        <v>10.997567567567566</v>
      </c>
      <c r="G19" s="413">
        <f t="shared" si="5"/>
        <v>10.997567567567566</v>
      </c>
      <c r="H19" s="413">
        <f t="shared" si="5"/>
        <v>10.997567567567566</v>
      </c>
      <c r="I19" s="413">
        <f t="shared" si="5"/>
        <v>10.997567567567566</v>
      </c>
      <c r="J19" s="413">
        <f t="shared" si="5"/>
        <v>10.997567567567566</v>
      </c>
      <c r="K19" s="413">
        <f t="shared" si="5"/>
        <v>10.997567567567566</v>
      </c>
      <c r="L19" s="413">
        <f t="shared" si="5"/>
        <v>10.997567567567566</v>
      </c>
      <c r="M19" s="413"/>
    </row>
    <row r="20" spans="2:13">
      <c r="B20" s="390" t="s">
        <v>242</v>
      </c>
      <c r="C20" s="406">
        <f>C18-C19</f>
        <v>406.90999999999997</v>
      </c>
      <c r="D20" s="406">
        <f t="shared" ref="D20:M20" si="6">D18-D19</f>
        <v>384.91486486486485</v>
      </c>
      <c r="E20" s="406">
        <f t="shared" si="6"/>
        <v>340.92459459459462</v>
      </c>
      <c r="F20" s="406">
        <f t="shared" si="6"/>
        <v>296.93432432432439</v>
      </c>
      <c r="G20" s="406">
        <f t="shared" si="6"/>
        <v>252.94405405405416</v>
      </c>
      <c r="H20" s="406">
        <f t="shared" si="6"/>
        <v>208.95378378378393</v>
      </c>
      <c r="I20" s="406">
        <f t="shared" si="6"/>
        <v>164.9635135135137</v>
      </c>
      <c r="J20" s="406">
        <f t="shared" si="6"/>
        <v>120.97324324324346</v>
      </c>
      <c r="K20" s="406">
        <f t="shared" si="6"/>
        <v>76.982972972973172</v>
      </c>
      <c r="L20" s="406">
        <f t="shared" si="6"/>
        <v>32.992702702702907</v>
      </c>
      <c r="M20" s="406">
        <f t="shared" si="6"/>
        <v>2.0961010704922955E-13</v>
      </c>
    </row>
    <row r="21" spans="2:13" ht="14.4" thickBot="1">
      <c r="B21" s="390" t="s">
        <v>243</v>
      </c>
      <c r="C21" s="408"/>
      <c r="D21" s="413">
        <f>$C$14/$C$10</f>
        <v>10.997567567567566</v>
      </c>
      <c r="E21" s="413">
        <f t="shared" ref="E21:L21" si="7">$C$14/$C$10</f>
        <v>10.997567567567566</v>
      </c>
      <c r="F21" s="413">
        <f t="shared" si="7"/>
        <v>10.997567567567566</v>
      </c>
      <c r="G21" s="413">
        <f t="shared" si="7"/>
        <v>10.997567567567566</v>
      </c>
      <c r="H21" s="413">
        <f t="shared" si="7"/>
        <v>10.997567567567566</v>
      </c>
      <c r="I21" s="413">
        <f t="shared" si="7"/>
        <v>10.997567567567566</v>
      </c>
      <c r="J21" s="413">
        <f t="shared" si="7"/>
        <v>10.997567567567566</v>
      </c>
      <c r="K21" s="413">
        <f t="shared" si="7"/>
        <v>10.997567567567566</v>
      </c>
      <c r="L21" s="413">
        <f t="shared" si="7"/>
        <v>10.997567567567566</v>
      </c>
      <c r="M21" s="413"/>
    </row>
    <row r="22" spans="2:13" ht="14.4" thickBot="1">
      <c r="B22" s="387" t="s">
        <v>244</v>
      </c>
      <c r="C22" s="409">
        <f>C20-C21</f>
        <v>406.90999999999997</v>
      </c>
      <c r="D22" s="409">
        <f t="shared" ref="D22:G22" si="8">D20-D21</f>
        <v>373.9172972972973</v>
      </c>
      <c r="E22" s="409">
        <f t="shared" si="8"/>
        <v>329.92702702702707</v>
      </c>
      <c r="F22" s="409">
        <f t="shared" si="8"/>
        <v>285.93675675675684</v>
      </c>
      <c r="G22" s="409">
        <f t="shared" si="8"/>
        <v>241.94648648648661</v>
      </c>
      <c r="H22" s="409">
        <f t="shared" ref="H22" si="9">H20-H21</f>
        <v>197.95621621621638</v>
      </c>
      <c r="I22" s="409">
        <f t="shared" ref="I22" si="10">I20-I21</f>
        <v>153.96594594594615</v>
      </c>
      <c r="J22" s="409">
        <f t="shared" ref="J22:K22" si="11">J20-J21</f>
        <v>109.97567567567589</v>
      </c>
      <c r="K22" s="409">
        <f t="shared" si="11"/>
        <v>65.985405405405601</v>
      </c>
      <c r="L22" s="409">
        <f t="shared" ref="L22" si="12">L20-L21</f>
        <v>21.995135135135342</v>
      </c>
      <c r="M22" s="409">
        <f>M20-M21</f>
        <v>2.0961010704922955E-13</v>
      </c>
    </row>
    <row r="23" spans="2:13" ht="14.4" thickBot="1">
      <c r="B23" s="410" t="s">
        <v>245</v>
      </c>
      <c r="C23" s="389">
        <f>C15+C17+C19+C21</f>
        <v>0</v>
      </c>
      <c r="D23" s="389">
        <f t="shared" ref="D23:M23" si="13">D15+D17+D19+D21</f>
        <v>32.992702702702701</v>
      </c>
      <c r="E23" s="389">
        <f t="shared" si="13"/>
        <v>43.990270270270265</v>
      </c>
      <c r="F23" s="389">
        <f t="shared" si="13"/>
        <v>43.990270270270265</v>
      </c>
      <c r="G23" s="389">
        <f t="shared" si="13"/>
        <v>43.990270270270265</v>
      </c>
      <c r="H23" s="389">
        <f t="shared" si="13"/>
        <v>43.990270270270265</v>
      </c>
      <c r="I23" s="389">
        <f t="shared" si="13"/>
        <v>43.990270270270265</v>
      </c>
      <c r="J23" s="389">
        <f t="shared" si="13"/>
        <v>43.990270270270265</v>
      </c>
      <c r="K23" s="389">
        <f t="shared" si="13"/>
        <v>43.990270270270265</v>
      </c>
      <c r="L23" s="389">
        <f t="shared" si="13"/>
        <v>43.990270270270265</v>
      </c>
      <c r="M23" s="389">
        <f t="shared" si="13"/>
        <v>21.995135135135133</v>
      </c>
    </row>
    <row r="24" spans="2:13" ht="14.4" thickBot="1">
      <c r="B24" s="410" t="s">
        <v>246</v>
      </c>
      <c r="C24" s="411">
        <f>(C14*$C$9/4+C16*$C$9/4+C18*$C$9/4+C20*$C$9/4)/365*(C13-'Assumption '!C11)</f>
        <v>20.769132328767125</v>
      </c>
      <c r="D24" s="411">
        <f>(D14*$C$9/4+D16*$C$9/4+D18*$C$9/4+D20*$C$9/4)</f>
        <v>45.846109797297302</v>
      </c>
      <c r="E24" s="411">
        <f t="shared" ref="E24:M24" si="14">(E14*$C$9/4+E16*$C$9/4+E18*$C$9/4+E20*$C$9/4)</f>
        <v>41.103408783783784</v>
      </c>
      <c r="F24" s="411">
        <f t="shared" si="14"/>
        <v>36.044527702702709</v>
      </c>
      <c r="G24" s="411">
        <f t="shared" si="14"/>
        <v>30.985646621621633</v>
      </c>
      <c r="H24" s="411">
        <f t="shared" si="14"/>
        <v>25.926765540540558</v>
      </c>
      <c r="I24" s="411">
        <f t="shared" si="14"/>
        <v>20.867884459459482</v>
      </c>
      <c r="J24" s="411">
        <f t="shared" si="14"/>
        <v>15.809003378378403</v>
      </c>
      <c r="K24" s="411">
        <f t="shared" si="14"/>
        <v>10.750122297297324</v>
      </c>
      <c r="L24" s="411">
        <f t="shared" si="14"/>
        <v>5.6912412162162394</v>
      </c>
      <c r="M24" s="411">
        <f t="shared" si="14"/>
        <v>0.94854020270272665</v>
      </c>
    </row>
  </sheetData>
  <phoneticPr fontId="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B1:U50"/>
  <sheetViews>
    <sheetView view="pageBreakPreview" zoomScale="80" zoomScaleSheetLayoutView="80" workbookViewId="0">
      <pane ySplit="9" topLeftCell="A28" activePane="bottomLeft" state="frozen"/>
      <selection pane="bottomLeft" activeCell="K28" sqref="K28"/>
    </sheetView>
  </sheetViews>
  <sheetFormatPr defaultColWidth="9.109375" defaultRowHeight="13.8"/>
  <cols>
    <col min="1" max="13" width="9.109375" style="1"/>
    <col min="14" max="14" width="9.109375" style="1" customWidth="1"/>
    <col min="15" max="15" width="11.33203125" style="1" customWidth="1"/>
    <col min="16" max="16384" width="9.109375" style="1"/>
  </cols>
  <sheetData>
    <row r="1" spans="2:21" ht="14.4" thickBot="1"/>
    <row r="2" spans="2:21">
      <c r="B2" s="21" t="s">
        <v>105</v>
      </c>
      <c r="C2" s="22"/>
      <c r="D2" s="22"/>
      <c r="E2" s="22"/>
      <c r="F2" s="22"/>
      <c r="G2" s="22"/>
      <c r="H2" s="22"/>
      <c r="I2" s="23"/>
    </row>
    <row r="3" spans="2:21">
      <c r="B3" s="24" t="s">
        <v>106</v>
      </c>
      <c r="C3" s="11"/>
      <c r="D3" s="11"/>
      <c r="E3" s="11"/>
      <c r="F3" s="11"/>
      <c r="G3" s="11"/>
      <c r="H3" s="11"/>
      <c r="I3" s="25"/>
    </row>
    <row r="4" spans="2:21" ht="14.4" thickBot="1">
      <c r="B4" s="26" t="s">
        <v>107</v>
      </c>
      <c r="C4" s="27"/>
      <c r="D4" s="27"/>
      <c r="E4" s="27"/>
      <c r="F4" s="27"/>
      <c r="G4" s="27"/>
      <c r="H4" s="27"/>
      <c r="I4" s="28"/>
    </row>
    <row r="5" spans="2:21">
      <c r="B5" s="11"/>
      <c r="C5" s="11"/>
      <c r="D5" s="11"/>
      <c r="E5" s="11"/>
      <c r="F5" s="11"/>
      <c r="G5" s="11"/>
      <c r="H5" s="11"/>
      <c r="I5" s="11"/>
    </row>
    <row r="6" spans="2:21">
      <c r="B6" s="11"/>
      <c r="C6" s="11"/>
      <c r="D6" s="11"/>
      <c r="E6" s="11"/>
      <c r="F6" s="11"/>
      <c r="G6" s="11"/>
      <c r="H6" s="11"/>
      <c r="I6" s="11"/>
    </row>
    <row r="7" spans="2:21">
      <c r="B7" s="29" t="s">
        <v>108</v>
      </c>
    </row>
    <row r="8" spans="2:21" ht="14.4" thickBot="1"/>
    <row r="9" spans="2:21" ht="57.75" customHeight="1" thickBot="1">
      <c r="B9" s="501" t="s">
        <v>195</v>
      </c>
      <c r="C9" s="502"/>
      <c r="D9" s="503"/>
      <c r="E9" s="14"/>
      <c r="F9" s="504" t="s">
        <v>74</v>
      </c>
      <c r="G9" s="505"/>
      <c r="H9" s="15"/>
      <c r="I9" s="504" t="s">
        <v>76</v>
      </c>
      <c r="J9" s="505"/>
      <c r="K9" s="15"/>
      <c r="L9" s="499" t="s">
        <v>77</v>
      </c>
      <c r="M9" s="500"/>
      <c r="N9" s="21"/>
      <c r="O9" s="22"/>
      <c r="P9" s="289" t="s">
        <v>184</v>
      </c>
      <c r="Q9" s="288"/>
      <c r="R9" s="305"/>
      <c r="S9" s="17" t="s">
        <v>194</v>
      </c>
      <c r="T9" s="306"/>
      <c r="U9" s="342"/>
    </row>
    <row r="10" spans="2:21">
      <c r="B10" s="9" t="s">
        <v>71</v>
      </c>
      <c r="C10" s="2" t="s">
        <v>72</v>
      </c>
      <c r="D10" s="2" t="s">
        <v>73</v>
      </c>
      <c r="E10" s="3"/>
      <c r="F10" s="2" t="s">
        <v>75</v>
      </c>
      <c r="G10" s="2" t="s">
        <v>73</v>
      </c>
      <c r="H10" s="3"/>
      <c r="I10" s="2" t="s">
        <v>75</v>
      </c>
      <c r="J10" s="2" t="s">
        <v>73</v>
      </c>
      <c r="K10" s="4"/>
      <c r="L10" s="2" t="s">
        <v>75</v>
      </c>
      <c r="M10" s="290" t="s">
        <v>73</v>
      </c>
      <c r="N10" s="21"/>
      <c r="O10" s="22"/>
      <c r="P10" s="291" t="s">
        <v>75</v>
      </c>
      <c r="Q10" s="290" t="s">
        <v>73</v>
      </c>
      <c r="S10" s="343" t="s">
        <v>72</v>
      </c>
      <c r="T10" s="343" t="s">
        <v>73</v>
      </c>
    </row>
    <row r="11" spans="2:21">
      <c r="B11" s="10">
        <v>38078</v>
      </c>
      <c r="C11" s="6">
        <v>5655.09</v>
      </c>
      <c r="D11" s="5"/>
      <c r="E11" s="3"/>
      <c r="F11" s="3">
        <v>357.8</v>
      </c>
      <c r="G11" s="4"/>
      <c r="H11" s="3"/>
      <c r="I11" s="3">
        <v>35.049999999999997</v>
      </c>
      <c r="J11" s="4"/>
      <c r="K11" s="3"/>
      <c r="L11" s="3">
        <v>24.95</v>
      </c>
      <c r="M11" s="4"/>
      <c r="N11" s="24"/>
      <c r="O11" s="11"/>
      <c r="P11" s="24">
        <v>44.15</v>
      </c>
      <c r="Q11" s="4"/>
      <c r="S11" s="1">
        <v>532.9</v>
      </c>
      <c r="T11" s="4"/>
    </row>
    <row r="12" spans="2:21">
      <c r="B12" s="10">
        <v>38108</v>
      </c>
      <c r="C12" s="6">
        <v>4759.62</v>
      </c>
      <c r="D12" s="5">
        <f t="shared" ref="D12:D23" si="0">(C12-C11)/C11</f>
        <v>-0.15834761250484081</v>
      </c>
      <c r="E12" s="3"/>
      <c r="F12" s="3">
        <v>296.25</v>
      </c>
      <c r="G12" s="4">
        <f>(F12-F11)/F11</f>
        <v>-0.1720234768026831</v>
      </c>
      <c r="H12" s="3"/>
      <c r="I12" s="3">
        <v>29.55</v>
      </c>
      <c r="J12" s="4">
        <f>(I12-I11)/I11</f>
        <v>-0.15691868758915825</v>
      </c>
      <c r="K12" s="3"/>
      <c r="L12" s="3">
        <v>20</v>
      </c>
      <c r="M12" s="12">
        <f>(L12-L11)/L11</f>
        <v>-0.19839679358717432</v>
      </c>
      <c r="N12" s="24"/>
      <c r="O12" s="71"/>
      <c r="P12" s="24">
        <v>35.6</v>
      </c>
      <c r="Q12" s="12">
        <f>(P12-P11)/P11</f>
        <v>-0.1936579841449603</v>
      </c>
      <c r="R12" s="71"/>
      <c r="S12" s="1">
        <v>429</v>
      </c>
      <c r="T12" s="12">
        <f>(S12-S11)/S11</f>
        <v>-0.19497091386751733</v>
      </c>
    </row>
    <row r="13" spans="2:21">
      <c r="B13" s="10">
        <v>38139</v>
      </c>
      <c r="C13" s="6">
        <v>4795.46</v>
      </c>
      <c r="D13" s="5">
        <f t="shared" si="0"/>
        <v>7.5300129001895418E-3</v>
      </c>
      <c r="E13" s="3"/>
      <c r="F13" s="3">
        <v>300.8</v>
      </c>
      <c r="G13" s="4">
        <f>(F13-F12)/F12</f>
        <v>1.5358649789029575E-2</v>
      </c>
      <c r="H13" s="3"/>
      <c r="I13" s="3">
        <v>27.35</v>
      </c>
      <c r="J13" s="4">
        <f t="shared" ref="J13:J47" si="1">(I13-I12)/I12</f>
        <v>-7.4450084602368835E-2</v>
      </c>
      <c r="K13" s="3"/>
      <c r="L13" s="3">
        <v>19.55</v>
      </c>
      <c r="M13" s="12">
        <f t="shared" ref="M13:M47" si="2">(L13-L12)/L12</f>
        <v>-2.2499999999999964E-2</v>
      </c>
      <c r="N13" s="24"/>
      <c r="O13" s="71"/>
      <c r="P13" s="24">
        <v>40.450000000000003</v>
      </c>
      <c r="Q13" s="12">
        <f t="shared" ref="Q13:Q47" si="3">(P13-P12)/P12</f>
        <v>0.1362359550561798</v>
      </c>
      <c r="R13" s="71"/>
      <c r="S13" s="1">
        <v>444.4</v>
      </c>
      <c r="T13" s="12">
        <f t="shared" ref="T13:T47" si="4">(S13-S12)/S12</f>
        <v>3.5897435897435846E-2</v>
      </c>
    </row>
    <row r="14" spans="2:21">
      <c r="B14" s="10">
        <v>38169</v>
      </c>
      <c r="C14" s="6">
        <v>5170.32</v>
      </c>
      <c r="D14" s="5">
        <f t="shared" si="0"/>
        <v>7.8169768906423923E-2</v>
      </c>
      <c r="E14" s="3"/>
      <c r="F14" s="3">
        <v>392</v>
      </c>
      <c r="G14" s="4">
        <f>(F14-F13)/F13</f>
        <v>0.30319148936170209</v>
      </c>
      <c r="H14" s="3"/>
      <c r="I14" s="3">
        <v>39.85</v>
      </c>
      <c r="J14" s="4">
        <f t="shared" si="1"/>
        <v>0.45703839122486284</v>
      </c>
      <c r="K14" s="3"/>
      <c r="L14" s="3">
        <v>29.25</v>
      </c>
      <c r="M14" s="12">
        <f t="shared" si="2"/>
        <v>0.49616368286445006</v>
      </c>
      <c r="N14" s="24"/>
      <c r="O14" s="71"/>
      <c r="P14" s="24">
        <v>50.9</v>
      </c>
      <c r="Q14" s="12">
        <f t="shared" si="3"/>
        <v>0.25834363411619271</v>
      </c>
      <c r="R14" s="71"/>
      <c r="S14" s="1">
        <v>538</v>
      </c>
      <c r="T14" s="12">
        <f t="shared" si="4"/>
        <v>0.21062106210621068</v>
      </c>
    </row>
    <row r="15" spans="2:21">
      <c r="B15" s="10">
        <v>38200</v>
      </c>
      <c r="C15" s="6">
        <v>5192.08</v>
      </c>
      <c r="D15" s="5">
        <f t="shared" si="0"/>
        <v>4.2086369895867606E-3</v>
      </c>
      <c r="E15" s="3"/>
      <c r="F15" s="3">
        <v>251.9</v>
      </c>
      <c r="G15" s="4">
        <f t="shared" ref="G15:G46" si="5">(F15-F14)/F14</f>
        <v>-0.35739795918367345</v>
      </c>
      <c r="H15" s="3"/>
      <c r="I15" s="3">
        <v>40.1</v>
      </c>
      <c r="J15" s="4">
        <f t="shared" si="1"/>
        <v>6.2735257214554582E-3</v>
      </c>
      <c r="K15" s="3"/>
      <c r="L15" s="3">
        <v>33.450000000000003</v>
      </c>
      <c r="M15" s="12">
        <f t="shared" si="2"/>
        <v>0.14358974358974369</v>
      </c>
      <c r="N15" s="24"/>
      <c r="O15" s="71"/>
      <c r="P15" s="24">
        <v>67.2</v>
      </c>
      <c r="Q15" s="12">
        <f t="shared" si="3"/>
        <v>0.32023575638506885</v>
      </c>
      <c r="R15" s="71"/>
      <c r="S15" s="1">
        <v>585.29999999999995</v>
      </c>
      <c r="T15" s="12">
        <f t="shared" si="4"/>
        <v>8.7918215613382811E-2</v>
      </c>
    </row>
    <row r="16" spans="2:21">
      <c r="B16" s="10">
        <v>38231</v>
      </c>
      <c r="C16" s="6">
        <v>5583.61</v>
      </c>
      <c r="D16" s="5">
        <f t="shared" si="0"/>
        <v>7.5409084605784146E-2</v>
      </c>
      <c r="E16" s="3"/>
      <c r="F16" s="3">
        <v>288.95</v>
      </c>
      <c r="G16" s="4">
        <f t="shared" si="5"/>
        <v>0.14708217546645488</v>
      </c>
      <c r="H16" s="3"/>
      <c r="I16" s="3">
        <v>46.6</v>
      </c>
      <c r="J16" s="4">
        <f t="shared" si="1"/>
        <v>0.16209476309226933</v>
      </c>
      <c r="K16" s="3"/>
      <c r="L16" s="3">
        <v>40.65</v>
      </c>
      <c r="M16" s="12">
        <f t="shared" si="2"/>
        <v>0.21524663677130029</v>
      </c>
      <c r="N16" s="24"/>
      <c r="O16" s="71"/>
      <c r="P16" s="24">
        <v>64.150000000000006</v>
      </c>
      <c r="Q16" s="12">
        <f t="shared" si="3"/>
        <v>-4.5386904761904719E-2</v>
      </c>
      <c r="R16" s="71"/>
      <c r="S16" s="1">
        <v>622.65</v>
      </c>
      <c r="T16" s="12">
        <f t="shared" si="4"/>
        <v>6.3813429010763756E-2</v>
      </c>
    </row>
    <row r="17" spans="2:20">
      <c r="B17" s="10">
        <v>38261</v>
      </c>
      <c r="C17" s="6">
        <v>5672.27</v>
      </c>
      <c r="D17" s="5">
        <f t="shared" si="0"/>
        <v>1.5878616164094694E-2</v>
      </c>
      <c r="E17" s="3"/>
      <c r="F17" s="3">
        <v>287.64999999999998</v>
      </c>
      <c r="G17" s="4">
        <f t="shared" si="5"/>
        <v>-4.4990482782488713E-3</v>
      </c>
      <c r="H17" s="3"/>
      <c r="I17" s="3">
        <v>49.35</v>
      </c>
      <c r="J17" s="4">
        <f t="shared" si="1"/>
        <v>5.9012875536480686E-2</v>
      </c>
      <c r="K17" s="3"/>
      <c r="L17" s="3">
        <v>49.75</v>
      </c>
      <c r="M17" s="12">
        <f t="shared" si="2"/>
        <v>0.22386223862238627</v>
      </c>
      <c r="N17" s="24"/>
      <c r="O17" s="71"/>
      <c r="P17" s="24">
        <v>75.349999999999994</v>
      </c>
      <c r="Q17" s="12">
        <f t="shared" si="3"/>
        <v>0.17459080280592343</v>
      </c>
      <c r="R17" s="71"/>
      <c r="S17" s="1">
        <v>706.9</v>
      </c>
      <c r="T17" s="12">
        <f t="shared" si="4"/>
        <v>0.13530876094113869</v>
      </c>
    </row>
    <row r="18" spans="2:20">
      <c r="B18" s="10">
        <v>38292</v>
      </c>
      <c r="C18" s="6">
        <v>6234.29</v>
      </c>
      <c r="D18" s="5">
        <f t="shared" si="0"/>
        <v>9.9082025361980214E-2</v>
      </c>
      <c r="E18" s="3"/>
      <c r="F18" s="3">
        <v>323.39999999999998</v>
      </c>
      <c r="G18" s="4">
        <f t="shared" si="5"/>
        <v>0.124282982791587</v>
      </c>
      <c r="H18" s="3"/>
      <c r="I18" s="3">
        <v>54.75</v>
      </c>
      <c r="J18" s="4">
        <f t="shared" si="1"/>
        <v>0.10942249240121578</v>
      </c>
      <c r="K18" s="3"/>
      <c r="L18" s="3">
        <v>68</v>
      </c>
      <c r="M18" s="12">
        <f t="shared" si="2"/>
        <v>0.36683417085427134</v>
      </c>
      <c r="N18" s="24"/>
      <c r="O18" s="71"/>
      <c r="P18" s="24">
        <v>87.1</v>
      </c>
      <c r="Q18" s="12">
        <f t="shared" si="3"/>
        <v>0.15593895155938953</v>
      </c>
      <c r="R18" s="71"/>
      <c r="S18" s="1">
        <v>825.65</v>
      </c>
      <c r="T18" s="12">
        <f t="shared" si="4"/>
        <v>0.16798698542933937</v>
      </c>
    </row>
    <row r="19" spans="2:20">
      <c r="B19" s="10">
        <v>38322</v>
      </c>
      <c r="C19" s="6">
        <v>6602.69</v>
      </c>
      <c r="D19" s="5">
        <f t="shared" si="0"/>
        <v>5.9092534995965805E-2</v>
      </c>
      <c r="E19" s="3"/>
      <c r="F19" s="3">
        <v>385.45</v>
      </c>
      <c r="G19" s="4">
        <f t="shared" si="5"/>
        <v>0.19186765615337048</v>
      </c>
      <c r="H19" s="3"/>
      <c r="I19" s="3">
        <v>62.6</v>
      </c>
      <c r="J19" s="4">
        <f t="shared" si="1"/>
        <v>0.14337899543378999</v>
      </c>
      <c r="K19" s="3"/>
      <c r="L19" s="3">
        <v>97.15</v>
      </c>
      <c r="M19" s="12">
        <f t="shared" si="2"/>
        <v>0.42867647058823538</v>
      </c>
      <c r="N19" s="24"/>
      <c r="O19" s="71"/>
      <c r="P19" s="24">
        <v>102.9</v>
      </c>
      <c r="Q19" s="12">
        <f t="shared" si="3"/>
        <v>0.18140068886337557</v>
      </c>
      <c r="R19" s="71"/>
      <c r="S19" s="1">
        <v>897.85</v>
      </c>
      <c r="T19" s="12">
        <f t="shared" si="4"/>
        <v>8.7446254466178222E-2</v>
      </c>
    </row>
    <row r="20" spans="2:20">
      <c r="B20" s="10">
        <v>38353</v>
      </c>
      <c r="C20" s="6">
        <v>6555.94</v>
      </c>
      <c r="D20" s="5">
        <f t="shared" si="0"/>
        <v>-7.0804475145736061E-3</v>
      </c>
      <c r="E20" s="3"/>
      <c r="F20" s="3">
        <v>386</v>
      </c>
      <c r="G20" s="4">
        <f t="shared" si="5"/>
        <v>1.4269036191464817E-3</v>
      </c>
      <c r="H20" s="3"/>
      <c r="I20" s="3">
        <v>63.95</v>
      </c>
      <c r="J20" s="4">
        <f t="shared" si="1"/>
        <v>2.1565495207667755E-2</v>
      </c>
      <c r="K20" s="3"/>
      <c r="L20" s="3">
        <v>93.15</v>
      </c>
      <c r="M20" s="12">
        <f t="shared" si="2"/>
        <v>-4.1173443129181676E-2</v>
      </c>
      <c r="N20" s="24"/>
      <c r="O20" s="71"/>
      <c r="P20" s="24">
        <v>95.1</v>
      </c>
      <c r="Q20" s="12">
        <f t="shared" si="3"/>
        <v>-7.5801749271137128E-2</v>
      </c>
      <c r="R20" s="71"/>
      <c r="S20" s="1">
        <v>936.35</v>
      </c>
      <c r="T20" s="12">
        <f t="shared" si="4"/>
        <v>4.2880213844183328E-2</v>
      </c>
    </row>
    <row r="21" spans="2:20">
      <c r="B21" s="10">
        <v>38384</v>
      </c>
      <c r="C21" s="6">
        <v>6713.86</v>
      </c>
      <c r="D21" s="5">
        <f t="shared" si="0"/>
        <v>2.4088078902491494E-2</v>
      </c>
      <c r="E21" s="3"/>
      <c r="F21" s="3">
        <v>422.4</v>
      </c>
      <c r="G21" s="4">
        <f t="shared" si="5"/>
        <v>9.4300518134714961E-2</v>
      </c>
      <c r="H21" s="3"/>
      <c r="I21" s="3">
        <v>65.5</v>
      </c>
      <c r="J21" s="4">
        <f t="shared" si="1"/>
        <v>2.4237685691946786E-2</v>
      </c>
      <c r="K21" s="3"/>
      <c r="L21" s="3">
        <v>90.35</v>
      </c>
      <c r="M21" s="12">
        <f t="shared" si="2"/>
        <v>-3.0059044551798295E-2</v>
      </c>
      <c r="N21" s="24"/>
      <c r="O21" s="71"/>
      <c r="P21" s="24">
        <v>154.05000000000001</v>
      </c>
      <c r="Q21" s="12">
        <f t="shared" si="3"/>
        <v>0.61987381703470057</v>
      </c>
      <c r="R21" s="71"/>
      <c r="S21" s="1">
        <v>1001.9</v>
      </c>
      <c r="T21" s="12">
        <f t="shared" si="4"/>
        <v>7.0005873871949537E-2</v>
      </c>
    </row>
    <row r="22" spans="2:20">
      <c r="B22" s="10">
        <v>38412</v>
      </c>
      <c r="C22" s="6">
        <v>6492.82</v>
      </c>
      <c r="D22" s="5">
        <f t="shared" si="0"/>
        <v>-3.2922938518229451E-2</v>
      </c>
      <c r="E22" s="3"/>
      <c r="F22" s="3">
        <v>400.9</v>
      </c>
      <c r="G22" s="4">
        <f t="shared" si="5"/>
        <v>-5.0899621212121215E-2</v>
      </c>
      <c r="H22" s="3"/>
      <c r="I22" s="3">
        <v>62.95</v>
      </c>
      <c r="J22" s="4">
        <f t="shared" si="1"/>
        <v>-3.8931297709923623E-2</v>
      </c>
      <c r="K22" s="3"/>
      <c r="L22" s="3">
        <v>102.2</v>
      </c>
      <c r="M22" s="12">
        <f t="shared" si="2"/>
        <v>0.13115661317100177</v>
      </c>
      <c r="N22" s="24"/>
      <c r="O22" s="71"/>
      <c r="P22" s="24">
        <v>142.94999999999999</v>
      </c>
      <c r="Q22" s="12">
        <f t="shared" si="3"/>
        <v>-7.2054527750730429E-2</v>
      </c>
      <c r="R22" s="71"/>
      <c r="S22" s="1">
        <v>1047.2</v>
      </c>
      <c r="T22" s="12">
        <f t="shared" si="4"/>
        <v>4.5214093222876603E-2</v>
      </c>
    </row>
    <row r="23" spans="2:20">
      <c r="B23" s="10">
        <v>38443</v>
      </c>
      <c r="C23" s="11">
        <v>6154.44</v>
      </c>
      <c r="D23" s="5">
        <f t="shared" si="0"/>
        <v>-5.2116029706660606E-2</v>
      </c>
      <c r="E23" s="3"/>
      <c r="F23" s="3">
        <v>340.8</v>
      </c>
      <c r="G23" s="4">
        <f t="shared" si="5"/>
        <v>-0.14991269643302563</v>
      </c>
      <c r="H23" s="3"/>
      <c r="I23" s="3">
        <v>53.05</v>
      </c>
      <c r="J23" s="4">
        <f t="shared" si="1"/>
        <v>-0.15726767275615577</v>
      </c>
      <c r="K23" s="3"/>
      <c r="L23" s="3">
        <v>103.55</v>
      </c>
      <c r="M23" s="12">
        <f t="shared" si="2"/>
        <v>1.3209393346379592E-2</v>
      </c>
      <c r="N23" s="24"/>
      <c r="O23" s="71"/>
      <c r="P23" s="24">
        <v>137.4</v>
      </c>
      <c r="Q23" s="12">
        <f t="shared" si="3"/>
        <v>-3.8824763903462636E-2</v>
      </c>
      <c r="R23" s="71"/>
      <c r="S23" s="1">
        <v>989.35</v>
      </c>
      <c r="T23" s="12">
        <f t="shared" si="4"/>
        <v>-5.5242551566080995E-2</v>
      </c>
    </row>
    <row r="24" spans="2:20">
      <c r="B24" s="10">
        <v>38473</v>
      </c>
      <c r="C24" s="11">
        <v>6715.11</v>
      </c>
      <c r="D24" s="5">
        <f t="shared" ref="D24:D47" si="6">(C24-C23)/C23</f>
        <v>9.1100083841909277E-2</v>
      </c>
      <c r="E24" s="3"/>
      <c r="F24" s="3">
        <v>362.85</v>
      </c>
      <c r="G24" s="4">
        <f t="shared" si="5"/>
        <v>6.4700704225352137E-2</v>
      </c>
      <c r="H24" s="3"/>
      <c r="I24" s="3">
        <v>54.65</v>
      </c>
      <c r="J24" s="4">
        <f t="shared" si="1"/>
        <v>3.016022620169654E-2</v>
      </c>
      <c r="K24" s="3"/>
      <c r="L24" s="3">
        <v>100.05</v>
      </c>
      <c r="M24" s="12">
        <f t="shared" si="2"/>
        <v>-3.3800096571704491E-2</v>
      </c>
      <c r="N24" s="24"/>
      <c r="O24" s="71"/>
      <c r="P24" s="24">
        <v>124.2</v>
      </c>
      <c r="Q24" s="12">
        <f t="shared" si="3"/>
        <v>-9.6069868995633204E-2</v>
      </c>
      <c r="R24" s="71"/>
      <c r="S24" s="1">
        <v>919.95</v>
      </c>
      <c r="T24" s="12">
        <f t="shared" si="4"/>
        <v>-7.0147066255622351E-2</v>
      </c>
    </row>
    <row r="25" spans="2:20">
      <c r="B25" s="10">
        <v>38504</v>
      </c>
      <c r="C25" s="11">
        <v>7193.85</v>
      </c>
      <c r="D25" s="5">
        <f t="shared" si="6"/>
        <v>7.1292949780420681E-2</v>
      </c>
      <c r="E25" s="3"/>
      <c r="F25" s="3">
        <v>340.1</v>
      </c>
      <c r="G25" s="4">
        <f t="shared" si="5"/>
        <v>-6.2698084607964721E-2</v>
      </c>
      <c r="H25" s="3"/>
      <c r="I25" s="3">
        <v>48.15</v>
      </c>
      <c r="J25" s="4">
        <f t="shared" si="1"/>
        <v>-0.11893870082342178</v>
      </c>
      <c r="K25" s="3"/>
      <c r="L25" s="3">
        <v>98.15</v>
      </c>
      <c r="M25" s="12">
        <f t="shared" si="2"/>
        <v>-1.8990504747626102E-2</v>
      </c>
      <c r="N25" s="24"/>
      <c r="O25" s="71"/>
      <c r="P25" s="24">
        <v>148.15</v>
      </c>
      <c r="Q25" s="12">
        <f t="shared" si="3"/>
        <v>0.19283413848631242</v>
      </c>
      <c r="R25" s="71"/>
      <c r="S25" s="1">
        <v>865.4</v>
      </c>
      <c r="T25" s="12">
        <f t="shared" si="4"/>
        <v>-5.9296700907658095E-2</v>
      </c>
    </row>
    <row r="26" spans="2:20">
      <c r="B26" s="10">
        <v>38534</v>
      </c>
      <c r="C26" s="11">
        <v>7635.42</v>
      </c>
      <c r="D26" s="5">
        <f t="shared" si="6"/>
        <v>6.1381596780583372E-2</v>
      </c>
      <c r="E26" s="3"/>
      <c r="F26" s="3">
        <v>368.15</v>
      </c>
      <c r="G26" s="4">
        <f t="shared" si="5"/>
        <v>8.2475742428697305E-2</v>
      </c>
      <c r="H26" s="3"/>
      <c r="I26" s="3">
        <v>52.7</v>
      </c>
      <c r="J26" s="4">
        <f t="shared" si="1"/>
        <v>9.4496365524402992E-2</v>
      </c>
      <c r="K26" s="3"/>
      <c r="L26" s="3">
        <v>109.2</v>
      </c>
      <c r="M26" s="12">
        <f t="shared" si="2"/>
        <v>0.11258278145695361</v>
      </c>
      <c r="N26" s="24"/>
      <c r="O26" s="71"/>
      <c r="P26" s="24">
        <v>168.7</v>
      </c>
      <c r="Q26" s="12">
        <f t="shared" si="3"/>
        <v>0.13871076611542343</v>
      </c>
      <c r="R26" s="71"/>
      <c r="S26" s="1">
        <v>1015.8</v>
      </c>
      <c r="T26" s="12">
        <f t="shared" si="4"/>
        <v>0.1737924659117171</v>
      </c>
    </row>
    <row r="27" spans="2:20">
      <c r="B27" s="10">
        <v>38565</v>
      </c>
      <c r="C27" s="11">
        <v>7805.43</v>
      </c>
      <c r="D27" s="5">
        <f t="shared" si="6"/>
        <v>2.2265965722907215E-2</v>
      </c>
      <c r="E27" s="3"/>
      <c r="F27" s="3">
        <v>390.65</v>
      </c>
      <c r="G27" s="4">
        <f t="shared" si="5"/>
        <v>6.1116392774684239E-2</v>
      </c>
      <c r="H27" s="3"/>
      <c r="I27" s="3">
        <v>62.05</v>
      </c>
      <c r="J27" s="4">
        <f t="shared" si="1"/>
        <v>0.17741935483870955</v>
      </c>
      <c r="K27" s="3"/>
      <c r="L27" s="3">
        <v>106.3</v>
      </c>
      <c r="M27" s="12">
        <f t="shared" si="2"/>
        <v>-2.6556776556776608E-2</v>
      </c>
      <c r="N27" s="24"/>
      <c r="O27" s="71"/>
      <c r="P27" s="24">
        <v>220.8</v>
      </c>
      <c r="Q27" s="12">
        <f t="shared" si="3"/>
        <v>0.30883224659158287</v>
      </c>
      <c r="R27" s="71"/>
      <c r="S27" s="1">
        <v>1170.9000000000001</v>
      </c>
      <c r="T27" s="12">
        <f t="shared" si="4"/>
        <v>0.15268753691671602</v>
      </c>
    </row>
    <row r="28" spans="2:20">
      <c r="B28" s="10">
        <v>38596</v>
      </c>
      <c r="C28" s="11">
        <v>8634.48</v>
      </c>
      <c r="D28" s="5">
        <f t="shared" si="6"/>
        <v>0.10621451989192129</v>
      </c>
      <c r="E28" s="3"/>
      <c r="F28" s="3">
        <v>423.5</v>
      </c>
      <c r="G28" s="4">
        <f t="shared" si="5"/>
        <v>8.409061820043523E-2</v>
      </c>
      <c r="H28" s="3"/>
      <c r="I28" s="3">
        <v>65.099999999999994</v>
      </c>
      <c r="J28" s="4">
        <f t="shared" si="1"/>
        <v>4.9153908138597859E-2</v>
      </c>
      <c r="K28" s="3"/>
      <c r="L28" s="3">
        <v>115.95</v>
      </c>
      <c r="M28" s="12">
        <f t="shared" si="2"/>
        <v>9.0780809031044268E-2</v>
      </c>
      <c r="N28" s="24"/>
      <c r="O28" s="71"/>
      <c r="P28" s="24">
        <v>282.3</v>
      </c>
      <c r="Q28" s="12">
        <f t="shared" si="3"/>
        <v>0.27853260869565216</v>
      </c>
      <c r="R28" s="71"/>
      <c r="S28" s="1">
        <v>1450.85</v>
      </c>
      <c r="T28" s="12">
        <f t="shared" si="4"/>
        <v>0.23908958920488496</v>
      </c>
    </row>
    <row r="29" spans="2:20">
      <c r="B29" s="10">
        <v>38626</v>
      </c>
      <c r="C29" s="11">
        <v>7892.32</v>
      </c>
      <c r="D29" s="5">
        <f t="shared" si="6"/>
        <v>-8.5953062604812322E-2</v>
      </c>
      <c r="E29" s="3"/>
      <c r="F29" s="3">
        <v>339.05</v>
      </c>
      <c r="G29" s="4">
        <f t="shared" si="5"/>
        <v>-0.19940968122786301</v>
      </c>
      <c r="H29" s="3"/>
      <c r="I29" s="3">
        <v>51.3</v>
      </c>
      <c r="J29" s="4">
        <f t="shared" si="1"/>
        <v>-0.21198156682027647</v>
      </c>
      <c r="K29" s="3"/>
      <c r="L29" s="3">
        <v>91.5</v>
      </c>
      <c r="M29" s="12">
        <f t="shared" si="2"/>
        <v>-0.21086675291073739</v>
      </c>
      <c r="N29" s="24"/>
      <c r="O29" s="71"/>
      <c r="P29" s="24">
        <v>243.85</v>
      </c>
      <c r="Q29" s="12">
        <f t="shared" si="3"/>
        <v>-0.1362026213248318</v>
      </c>
      <c r="R29" s="71"/>
      <c r="S29" s="1">
        <v>1212.7</v>
      </c>
      <c r="T29" s="12">
        <f t="shared" si="4"/>
        <v>-0.16414515628769333</v>
      </c>
    </row>
    <row r="30" spans="2:20">
      <c r="B30" s="10">
        <v>38657</v>
      </c>
      <c r="C30" s="11">
        <v>8788.81</v>
      </c>
      <c r="D30" s="5">
        <f t="shared" si="6"/>
        <v>0.11359017373852046</v>
      </c>
      <c r="E30" s="3"/>
      <c r="F30" s="3">
        <v>349.2</v>
      </c>
      <c r="G30" s="4">
        <f t="shared" si="5"/>
        <v>2.9936587523963949E-2</v>
      </c>
      <c r="H30" s="3"/>
      <c r="I30" s="3">
        <v>50.7</v>
      </c>
      <c r="J30" s="4">
        <f t="shared" si="1"/>
        <v>-1.1695906432748428E-2</v>
      </c>
      <c r="K30" s="3"/>
      <c r="L30" s="3">
        <v>115.3</v>
      </c>
      <c r="M30" s="12">
        <f t="shared" si="2"/>
        <v>0.26010928961748631</v>
      </c>
      <c r="N30" s="24"/>
      <c r="O30" s="71"/>
      <c r="P30" s="24">
        <v>253.1</v>
      </c>
      <c r="Q30" s="12">
        <f t="shared" si="3"/>
        <v>3.793315562846012E-2</v>
      </c>
      <c r="R30" s="71"/>
      <c r="S30" s="1">
        <v>1412.75</v>
      </c>
      <c r="T30" s="12">
        <f t="shared" si="4"/>
        <v>0.16496248041560152</v>
      </c>
    </row>
    <row r="31" spans="2:20">
      <c r="B31" s="10">
        <v>38687</v>
      </c>
      <c r="C31" s="11">
        <v>9397.93</v>
      </c>
      <c r="D31" s="5">
        <f t="shared" si="6"/>
        <v>6.9306311093310799E-2</v>
      </c>
      <c r="E31" s="3"/>
      <c r="F31" s="3">
        <v>380.3</v>
      </c>
      <c r="G31" s="4">
        <f t="shared" si="5"/>
        <v>8.9060710194730885E-2</v>
      </c>
      <c r="H31" s="3"/>
      <c r="I31" s="3">
        <v>54</v>
      </c>
      <c r="J31" s="4">
        <f t="shared" si="1"/>
        <v>6.5088757396449648E-2</v>
      </c>
      <c r="K31" s="3"/>
      <c r="L31" s="3">
        <v>132.80000000000001</v>
      </c>
      <c r="M31" s="12">
        <f t="shared" si="2"/>
        <v>0.15177797051170872</v>
      </c>
      <c r="N31" s="24"/>
      <c r="O31" s="71"/>
      <c r="P31" s="24">
        <v>284.10000000000002</v>
      </c>
      <c r="Q31" s="12">
        <f t="shared" si="3"/>
        <v>0.12248123271434228</v>
      </c>
      <c r="R31" s="71"/>
      <c r="S31" s="1">
        <v>1579.95</v>
      </c>
      <c r="T31" s="12">
        <f t="shared" si="4"/>
        <v>0.11835073438329502</v>
      </c>
    </row>
    <row r="32" spans="2:20">
      <c r="B32" s="10">
        <v>38718</v>
      </c>
      <c r="C32" s="11">
        <v>9919.89</v>
      </c>
      <c r="D32" s="5">
        <f t="shared" si="6"/>
        <v>5.5539890167302708E-2</v>
      </c>
      <c r="E32" s="3"/>
      <c r="F32" s="3">
        <v>404.25</v>
      </c>
      <c r="G32" s="4">
        <f t="shared" si="5"/>
        <v>6.2976597423087005E-2</v>
      </c>
      <c r="H32" s="3"/>
      <c r="I32" s="3">
        <v>56.2</v>
      </c>
      <c r="J32" s="4">
        <f t="shared" si="1"/>
        <v>4.0740740740740793E-2</v>
      </c>
      <c r="K32" s="3"/>
      <c r="L32" s="3">
        <v>135.6</v>
      </c>
      <c r="M32" s="12">
        <f t="shared" si="2"/>
        <v>2.108433734939746E-2</v>
      </c>
      <c r="N32" s="24"/>
      <c r="O32" s="71"/>
      <c r="P32" s="24">
        <v>284.55</v>
      </c>
      <c r="Q32" s="12">
        <f t="shared" si="3"/>
        <v>1.5839493136219239E-3</v>
      </c>
      <c r="R32" s="71"/>
      <c r="S32" s="1">
        <v>1554.5</v>
      </c>
      <c r="T32" s="12">
        <f t="shared" si="4"/>
        <v>-1.6108104686857208E-2</v>
      </c>
    </row>
    <row r="33" spans="2:20">
      <c r="B33" s="10">
        <v>38749</v>
      </c>
      <c r="C33" s="11">
        <v>10370.24</v>
      </c>
      <c r="D33" s="5">
        <f t="shared" si="6"/>
        <v>4.5398688896751915E-2</v>
      </c>
      <c r="E33" s="3"/>
      <c r="F33" s="3">
        <v>430.7</v>
      </c>
      <c r="G33" s="4">
        <f t="shared" si="5"/>
        <v>6.5429808286951122E-2</v>
      </c>
      <c r="H33" s="3"/>
      <c r="I33" s="3">
        <v>63.65</v>
      </c>
      <c r="J33" s="4">
        <f t="shared" si="1"/>
        <v>0.13256227758007108</v>
      </c>
      <c r="K33" s="3"/>
      <c r="L33" s="3">
        <v>121.95</v>
      </c>
      <c r="M33" s="12">
        <f t="shared" si="2"/>
        <v>-0.10066371681415923</v>
      </c>
      <c r="N33" s="24"/>
      <c r="O33" s="71"/>
      <c r="P33" s="24">
        <v>276</v>
      </c>
      <c r="Q33" s="12">
        <f t="shared" si="3"/>
        <v>-3.0047443331576211E-2</v>
      </c>
      <c r="R33" s="71"/>
      <c r="S33" s="1">
        <v>1546.95</v>
      </c>
      <c r="T33" s="12">
        <f t="shared" si="4"/>
        <v>-4.8568671598584459E-3</v>
      </c>
    </row>
    <row r="34" spans="2:20">
      <c r="B34" s="10">
        <v>38777</v>
      </c>
      <c r="C34" s="11">
        <v>11279.96</v>
      </c>
      <c r="D34" s="5">
        <f t="shared" si="6"/>
        <v>8.7724102817292496E-2</v>
      </c>
      <c r="E34" s="3"/>
      <c r="F34" s="3">
        <v>536.4</v>
      </c>
      <c r="G34" s="4">
        <f t="shared" si="5"/>
        <v>0.24541444160668677</v>
      </c>
      <c r="H34" s="3"/>
      <c r="I34" s="3">
        <v>83.3</v>
      </c>
      <c r="J34" s="4">
        <f t="shared" si="1"/>
        <v>0.30871956009426549</v>
      </c>
      <c r="K34" s="3"/>
      <c r="L34" s="3">
        <v>134.80000000000001</v>
      </c>
      <c r="M34" s="12">
        <f t="shared" si="2"/>
        <v>0.10537105371053718</v>
      </c>
      <c r="N34" s="24"/>
      <c r="O34" s="71"/>
      <c r="P34" s="24">
        <v>282.3</v>
      </c>
      <c r="Q34" s="12">
        <f t="shared" si="3"/>
        <v>2.2826086956521781E-2</v>
      </c>
      <c r="R34" s="71"/>
      <c r="S34" s="1">
        <v>1897.15</v>
      </c>
      <c r="T34" s="12">
        <f t="shared" si="4"/>
        <v>0.22638094314619092</v>
      </c>
    </row>
    <row r="35" spans="2:20">
      <c r="B35" s="10">
        <v>38808</v>
      </c>
      <c r="C35" s="1">
        <v>12042.56</v>
      </c>
      <c r="D35" s="5">
        <f t="shared" si="6"/>
        <v>6.7606622718520318E-2</v>
      </c>
      <c r="E35" s="11"/>
      <c r="F35" s="1">
        <v>645.35</v>
      </c>
      <c r="G35" s="4">
        <f t="shared" si="5"/>
        <v>0.20311334824757654</v>
      </c>
      <c r="H35" s="11"/>
      <c r="I35" s="1">
        <v>83.9</v>
      </c>
      <c r="J35" s="4">
        <f t="shared" si="1"/>
        <v>7.2028811524610867E-3</v>
      </c>
      <c r="K35" s="11"/>
      <c r="L35" s="1">
        <v>170.1</v>
      </c>
      <c r="M35" s="12">
        <f t="shared" si="2"/>
        <v>0.26186943620178027</v>
      </c>
      <c r="N35" s="24"/>
      <c r="O35" s="71"/>
      <c r="P35" s="24">
        <v>480.1</v>
      </c>
      <c r="Q35" s="12">
        <f t="shared" si="3"/>
        <v>0.70067304286220333</v>
      </c>
      <c r="R35" s="71"/>
      <c r="S35" s="1">
        <v>1887</v>
      </c>
      <c r="T35" s="12">
        <f t="shared" si="4"/>
        <v>-5.3501304588462117E-3</v>
      </c>
    </row>
    <row r="36" spans="2:20">
      <c r="B36" s="10">
        <v>38838</v>
      </c>
      <c r="C36" s="1">
        <v>10398.61</v>
      </c>
      <c r="D36" s="5">
        <f t="shared" si="6"/>
        <v>-0.13651167193686384</v>
      </c>
      <c r="E36" s="11"/>
      <c r="F36" s="1">
        <v>516.70000000000005</v>
      </c>
      <c r="G36" s="4">
        <f t="shared" si="5"/>
        <v>-0.19934919036181911</v>
      </c>
      <c r="H36" s="11"/>
      <c r="I36" s="1">
        <v>79.7</v>
      </c>
      <c r="J36" s="4">
        <f t="shared" si="1"/>
        <v>-5.0059594755661532E-2</v>
      </c>
      <c r="K36" s="11"/>
      <c r="L36" s="1">
        <v>135.6</v>
      </c>
      <c r="M36" s="12">
        <f t="shared" si="2"/>
        <v>-0.20282186948853617</v>
      </c>
      <c r="N36" s="24"/>
      <c r="O36" s="71"/>
      <c r="P36" s="24">
        <v>358.6</v>
      </c>
      <c r="Q36" s="12">
        <f t="shared" si="3"/>
        <v>-0.25307227660903975</v>
      </c>
      <c r="R36" s="71"/>
      <c r="S36" s="1">
        <v>1815.85</v>
      </c>
      <c r="T36" s="12">
        <f t="shared" si="4"/>
        <v>-3.7705352411234815E-2</v>
      </c>
    </row>
    <row r="37" spans="2:20">
      <c r="B37" s="10">
        <v>38869</v>
      </c>
      <c r="C37" s="1">
        <v>10609.25</v>
      </c>
      <c r="D37" s="5">
        <f t="shared" si="6"/>
        <v>2.0256553520133884E-2</v>
      </c>
      <c r="E37" s="11"/>
      <c r="F37" s="1">
        <v>533.29999999999995</v>
      </c>
      <c r="G37" s="4">
        <f t="shared" si="5"/>
        <v>3.212695955099653E-2</v>
      </c>
      <c r="H37" s="11"/>
      <c r="I37" s="1">
        <v>81.2</v>
      </c>
      <c r="J37" s="4">
        <f t="shared" si="1"/>
        <v>1.8820577164366373E-2</v>
      </c>
      <c r="K37" s="11"/>
      <c r="L37" s="1">
        <v>134.4</v>
      </c>
      <c r="M37" s="12">
        <f t="shared" si="2"/>
        <v>-8.8495575221238104E-3</v>
      </c>
      <c r="N37" s="24"/>
      <c r="O37" s="71"/>
      <c r="P37" s="24">
        <v>269.95</v>
      </c>
      <c r="Q37" s="12">
        <f t="shared" si="3"/>
        <v>-0.24721137757947581</v>
      </c>
      <c r="R37" s="71"/>
      <c r="S37" s="1">
        <v>1406.4</v>
      </c>
      <c r="T37" s="12">
        <f t="shared" si="4"/>
        <v>-0.22548668667566144</v>
      </c>
    </row>
    <row r="38" spans="2:20">
      <c r="B38" s="10">
        <v>38899</v>
      </c>
      <c r="C38" s="1">
        <v>10743.88</v>
      </c>
      <c r="D38" s="5">
        <f t="shared" si="6"/>
        <v>1.2689869689186247E-2</v>
      </c>
      <c r="E38" s="11"/>
      <c r="F38" s="1">
        <v>496.8</v>
      </c>
      <c r="G38" s="4">
        <f t="shared" si="5"/>
        <v>-6.8441777611100596E-2</v>
      </c>
      <c r="H38" s="11"/>
      <c r="I38" s="1">
        <v>70.25</v>
      </c>
      <c r="J38" s="4">
        <f t="shared" si="1"/>
        <v>-0.13485221674876852</v>
      </c>
      <c r="K38" s="11"/>
      <c r="L38" s="1">
        <v>108.6</v>
      </c>
      <c r="M38" s="12">
        <f t="shared" si="2"/>
        <v>-0.19196428571428578</v>
      </c>
      <c r="N38" s="24"/>
      <c r="O38" s="71"/>
      <c r="P38" s="24">
        <v>223.15</v>
      </c>
      <c r="Q38" s="12">
        <f t="shared" si="3"/>
        <v>-0.17336543804408219</v>
      </c>
      <c r="R38" s="71"/>
      <c r="S38" s="1">
        <v>1484.05</v>
      </c>
      <c r="T38" s="12">
        <f t="shared" si="4"/>
        <v>5.521188850966998E-2</v>
      </c>
    </row>
    <row r="39" spans="2:20">
      <c r="B39" s="10">
        <v>38930</v>
      </c>
      <c r="C39" s="1">
        <v>11699.05</v>
      </c>
      <c r="D39" s="5">
        <f t="shared" si="6"/>
        <v>8.8903636302713751E-2</v>
      </c>
      <c r="E39" s="11"/>
      <c r="F39" s="1">
        <v>496.2</v>
      </c>
      <c r="G39" s="4">
        <f t="shared" si="5"/>
        <v>-1.2077294685990795E-3</v>
      </c>
      <c r="H39" s="11"/>
      <c r="I39" s="1">
        <v>72.2</v>
      </c>
      <c r="J39" s="4">
        <f t="shared" si="1"/>
        <v>2.7758007117437762E-2</v>
      </c>
      <c r="K39" s="11"/>
      <c r="L39" s="1">
        <v>118.15</v>
      </c>
      <c r="M39" s="12">
        <f t="shared" si="2"/>
        <v>8.7937384898710974E-2</v>
      </c>
      <c r="N39" s="24"/>
      <c r="O39" s="71"/>
      <c r="P39" s="24">
        <v>260.45</v>
      </c>
      <c r="Q39" s="12">
        <f t="shared" si="3"/>
        <v>0.167152139816267</v>
      </c>
      <c r="R39" s="71"/>
      <c r="S39" s="1">
        <v>1483.4</v>
      </c>
      <c r="T39" s="12">
        <f t="shared" si="4"/>
        <v>-4.3799063373866352E-4</v>
      </c>
    </row>
    <row r="40" spans="2:20">
      <c r="B40" s="10">
        <v>38961</v>
      </c>
      <c r="C40" s="1">
        <v>12454.42</v>
      </c>
      <c r="D40" s="5">
        <f t="shared" si="6"/>
        <v>6.4566781063419745E-2</v>
      </c>
      <c r="E40" s="11"/>
      <c r="F40" s="1">
        <v>535.65</v>
      </c>
      <c r="G40" s="4">
        <f t="shared" si="5"/>
        <v>7.9504232164449795E-2</v>
      </c>
      <c r="H40" s="11"/>
      <c r="I40" s="1">
        <v>77.95</v>
      </c>
      <c r="J40" s="4">
        <f t="shared" si="1"/>
        <v>7.9639889196675903E-2</v>
      </c>
      <c r="K40" s="11"/>
      <c r="L40" s="1">
        <v>115.55</v>
      </c>
      <c r="M40" s="12">
        <f t="shared" si="2"/>
        <v>-2.2005924672027156E-2</v>
      </c>
      <c r="N40" s="24"/>
      <c r="O40" s="71"/>
      <c r="P40" s="24">
        <v>293.05</v>
      </c>
      <c r="Q40" s="12">
        <f t="shared" si="3"/>
        <v>0.12516797849875225</v>
      </c>
      <c r="R40" s="71"/>
      <c r="S40" s="1">
        <v>1712.4</v>
      </c>
      <c r="T40" s="12">
        <f t="shared" si="4"/>
        <v>0.15437508426587568</v>
      </c>
    </row>
    <row r="41" spans="2:20">
      <c r="B41" s="10">
        <v>38991</v>
      </c>
      <c r="C41" s="1">
        <v>12961.9</v>
      </c>
      <c r="D41" s="5">
        <f t="shared" si="6"/>
        <v>4.0746979787095627E-2</v>
      </c>
      <c r="E41" s="11"/>
      <c r="F41" s="1">
        <v>490.45</v>
      </c>
      <c r="G41" s="4">
        <f t="shared" si="5"/>
        <v>-8.4383459348455134E-2</v>
      </c>
      <c r="H41" s="11"/>
      <c r="I41" s="1">
        <v>86.3</v>
      </c>
      <c r="J41" s="4">
        <f t="shared" si="1"/>
        <v>0.10711994868505445</v>
      </c>
      <c r="K41" s="11"/>
      <c r="L41" s="1">
        <v>119.3</v>
      </c>
      <c r="M41" s="12">
        <f t="shared" si="2"/>
        <v>3.2453483340545222E-2</v>
      </c>
      <c r="N41" s="24"/>
      <c r="O41" s="71"/>
      <c r="P41" s="24">
        <v>371.05</v>
      </c>
      <c r="Q41" s="12">
        <f t="shared" si="3"/>
        <v>0.26616618324517999</v>
      </c>
      <c r="R41" s="71"/>
      <c r="S41" s="1">
        <v>1800.05</v>
      </c>
      <c r="T41" s="12">
        <f t="shared" si="4"/>
        <v>5.1185470684419448E-2</v>
      </c>
    </row>
    <row r="42" spans="2:20">
      <c r="B42" s="10">
        <v>39022</v>
      </c>
      <c r="C42" s="1">
        <v>13696.31</v>
      </c>
      <c r="D42" s="5">
        <f t="shared" si="6"/>
        <v>5.665913176309028E-2</v>
      </c>
      <c r="E42" s="11"/>
      <c r="F42" s="1">
        <v>467.95</v>
      </c>
      <c r="G42" s="4">
        <f t="shared" si="5"/>
        <v>-4.5876236109695177E-2</v>
      </c>
      <c r="H42" s="11"/>
      <c r="I42" s="1">
        <v>87.65</v>
      </c>
      <c r="J42" s="4">
        <f t="shared" si="1"/>
        <v>1.5643105446118293E-2</v>
      </c>
      <c r="K42" s="11"/>
      <c r="L42" s="1">
        <v>120.3</v>
      </c>
      <c r="M42" s="12">
        <f t="shared" si="2"/>
        <v>8.3822296730930428E-3</v>
      </c>
      <c r="N42" s="24"/>
      <c r="O42" s="71"/>
      <c r="P42" s="24">
        <v>463.8</v>
      </c>
      <c r="Q42" s="12">
        <f t="shared" si="3"/>
        <v>0.24996631181781431</v>
      </c>
      <c r="R42" s="71"/>
      <c r="S42" s="1">
        <v>2155.15</v>
      </c>
      <c r="T42" s="12">
        <f t="shared" si="4"/>
        <v>0.19727229799172252</v>
      </c>
    </row>
    <row r="43" spans="2:20">
      <c r="B43" s="10">
        <v>39052</v>
      </c>
      <c r="C43" s="1">
        <v>13786.91</v>
      </c>
      <c r="D43" s="5">
        <f t="shared" si="6"/>
        <v>6.6149203690629354E-3</v>
      </c>
      <c r="E43" s="11"/>
      <c r="F43" s="1">
        <v>482.3</v>
      </c>
      <c r="G43" s="4">
        <f t="shared" si="5"/>
        <v>3.0665669409124956E-2</v>
      </c>
      <c r="H43" s="11"/>
      <c r="I43" s="1">
        <v>89.2</v>
      </c>
      <c r="J43" s="4">
        <f t="shared" si="1"/>
        <v>1.7683970336565852E-2</v>
      </c>
      <c r="K43" s="11"/>
      <c r="L43" s="1">
        <v>125.55</v>
      </c>
      <c r="M43" s="12">
        <f t="shared" si="2"/>
        <v>4.3640897755610975E-2</v>
      </c>
      <c r="N43" s="24"/>
      <c r="O43" s="71"/>
      <c r="P43" s="24">
        <v>438.4</v>
      </c>
      <c r="Q43" s="12">
        <f t="shared" si="3"/>
        <v>-5.4764984907287699E-2</v>
      </c>
      <c r="R43" s="71"/>
      <c r="S43" s="1">
        <v>2267.8000000000002</v>
      </c>
      <c r="T43" s="12">
        <f t="shared" si="4"/>
        <v>5.2270143609493579E-2</v>
      </c>
    </row>
    <row r="44" spans="2:20">
      <c r="B44" s="10">
        <v>39083</v>
      </c>
      <c r="C44" s="1">
        <v>14090.92</v>
      </c>
      <c r="D44" s="5">
        <f t="shared" si="6"/>
        <v>2.2050626282466502E-2</v>
      </c>
      <c r="E44" s="11"/>
      <c r="F44" s="1">
        <v>463.95</v>
      </c>
      <c r="G44" s="4">
        <f t="shared" si="5"/>
        <v>-3.8046858801575829E-2</v>
      </c>
      <c r="H44" s="11"/>
      <c r="I44" s="1">
        <v>108.15</v>
      </c>
      <c r="J44" s="4">
        <f t="shared" si="1"/>
        <v>0.21244394618834084</v>
      </c>
      <c r="K44" s="11"/>
      <c r="L44" s="1">
        <v>114.5</v>
      </c>
      <c r="M44" s="12">
        <f t="shared" si="2"/>
        <v>-8.8012743926722398E-2</v>
      </c>
      <c r="N44" s="24"/>
      <c r="O44" s="71"/>
      <c r="P44" s="24">
        <v>437.3</v>
      </c>
      <c r="Q44" s="12">
        <f t="shared" si="3"/>
        <v>-2.5091240875911632E-3</v>
      </c>
      <c r="R44" s="71"/>
      <c r="S44" s="1">
        <v>2330.4</v>
      </c>
      <c r="T44" s="12">
        <f t="shared" si="4"/>
        <v>2.760384513625536E-2</v>
      </c>
    </row>
    <row r="45" spans="2:20">
      <c r="B45" s="10">
        <v>39114</v>
      </c>
      <c r="C45" s="1">
        <v>12938.09</v>
      </c>
      <c r="D45" s="5">
        <f t="shared" si="6"/>
        <v>-8.1813678595861722E-2</v>
      </c>
      <c r="E45" s="11"/>
      <c r="F45" s="1">
        <v>442.5</v>
      </c>
      <c r="G45" s="4">
        <f t="shared" si="5"/>
        <v>-4.6233430326543784E-2</v>
      </c>
      <c r="H45" s="11"/>
      <c r="I45" s="1">
        <v>108.95</v>
      </c>
      <c r="J45" s="4">
        <f t="shared" si="1"/>
        <v>7.3971336107258173E-3</v>
      </c>
      <c r="K45" s="11"/>
      <c r="L45" s="1">
        <v>106.9</v>
      </c>
      <c r="M45" s="12">
        <f t="shared" si="2"/>
        <v>-6.6375545851528328E-2</v>
      </c>
      <c r="N45" s="24"/>
      <c r="O45" s="71"/>
      <c r="P45" s="24">
        <v>360.75</v>
      </c>
      <c r="Q45" s="12">
        <f t="shared" si="3"/>
        <v>-0.17505145209238512</v>
      </c>
      <c r="R45" s="71"/>
      <c r="S45" s="1">
        <v>2335.35</v>
      </c>
      <c r="T45" s="12">
        <f t="shared" si="4"/>
        <v>2.1240988671471926E-3</v>
      </c>
    </row>
    <row r="46" spans="2:20">
      <c r="B46" s="10">
        <v>39142</v>
      </c>
      <c r="C46" s="1">
        <v>13072.1</v>
      </c>
      <c r="D46" s="5">
        <f t="shared" si="6"/>
        <v>1.0357788514378878E-2</v>
      </c>
      <c r="E46" s="11"/>
      <c r="F46" s="1">
        <v>449.6</v>
      </c>
      <c r="G46" s="4">
        <f t="shared" si="5"/>
        <v>1.6045197740113044E-2</v>
      </c>
      <c r="H46" s="11"/>
      <c r="I46" s="1">
        <v>114.1</v>
      </c>
      <c r="J46" s="4">
        <f t="shared" si="1"/>
        <v>4.7269389628269771E-2</v>
      </c>
      <c r="K46" s="11"/>
      <c r="L46" s="1">
        <v>93.7</v>
      </c>
      <c r="M46" s="12">
        <f t="shared" si="2"/>
        <v>-0.12347988774555661</v>
      </c>
      <c r="N46" s="24"/>
      <c r="O46" s="71"/>
      <c r="P46" s="24">
        <v>351.5</v>
      </c>
      <c r="Q46" s="12">
        <f t="shared" si="3"/>
        <v>-2.564102564102564E-2</v>
      </c>
      <c r="R46" s="71"/>
      <c r="S46" s="1">
        <v>2376.6</v>
      </c>
      <c r="T46" s="12">
        <f t="shared" si="4"/>
        <v>1.7663305286145545E-2</v>
      </c>
    </row>
    <row r="47" spans="2:20" ht="14.4" thickBot="1">
      <c r="B47" s="10">
        <v>39173</v>
      </c>
      <c r="C47" s="1">
        <v>13872.37</v>
      </c>
      <c r="D47" s="5">
        <f t="shared" si="6"/>
        <v>6.1219696911743365E-2</v>
      </c>
      <c r="E47" s="11"/>
      <c r="F47" s="1">
        <v>549.6</v>
      </c>
      <c r="G47" s="4">
        <f>(F47-F46)/F46</f>
        <v>0.22241992882562275</v>
      </c>
      <c r="H47" s="11"/>
      <c r="I47" s="1">
        <v>130.35</v>
      </c>
      <c r="J47" s="4">
        <f t="shared" si="1"/>
        <v>0.14241893076248904</v>
      </c>
      <c r="K47" s="11"/>
      <c r="L47" s="1">
        <v>97.25</v>
      </c>
      <c r="M47" s="12">
        <f t="shared" si="2"/>
        <v>3.788687299893273E-2</v>
      </c>
      <c r="N47" s="24"/>
      <c r="O47" s="71"/>
      <c r="P47" s="24">
        <v>343</v>
      </c>
      <c r="Q47" s="12">
        <f t="shared" si="3"/>
        <v>-2.4182076813655761E-2</v>
      </c>
      <c r="R47" s="71"/>
      <c r="S47" s="1">
        <v>2898.7</v>
      </c>
      <c r="T47" s="12">
        <f t="shared" si="4"/>
        <v>0.21968358158714127</v>
      </c>
    </row>
    <row r="48" spans="2:20" s="20" customFormat="1" ht="14.4" thickBot="1">
      <c r="B48" s="16" t="s">
        <v>103</v>
      </c>
      <c r="C48" s="17"/>
      <c r="D48" s="17"/>
      <c r="E48" s="17"/>
      <c r="F48" s="17"/>
      <c r="G48" s="18">
        <f>COVAR(D11:D47,G11:G47)/VAR(D11:D47)</f>
        <v>1.3464760311282662</v>
      </c>
      <c r="H48" s="18"/>
      <c r="I48" s="18"/>
      <c r="J48" s="18">
        <f>COVAR(D11:D47,J11:J47)/VAR(D11:D47)</f>
        <v>1.0384192701410386</v>
      </c>
      <c r="K48" s="18"/>
      <c r="L48" s="18"/>
      <c r="M48" s="19">
        <f>COVAR(D11:D47,M11:M47)/VAR(D11:D47)</f>
        <v>1.5080766630715947</v>
      </c>
      <c r="N48" s="292"/>
      <c r="O48" s="18"/>
      <c r="P48" s="292"/>
      <c r="Q48" s="19">
        <f>COVAR(D11:D47,Q11:Q47)/VAR(D11:D47)</f>
        <v>1.5353684024043768</v>
      </c>
      <c r="R48" s="72"/>
      <c r="T48" s="19">
        <f>COVAR(D11:D47,T11:T47)/VAR(D11:D47)</f>
        <v>1.0136036128460495</v>
      </c>
    </row>
    <row r="49" spans="2:4" ht="14.4" thickBot="1"/>
    <row r="50" spans="2:4" ht="28.5" customHeight="1" thickBot="1">
      <c r="B50" s="506" t="s">
        <v>104</v>
      </c>
      <c r="C50" s="507"/>
      <c r="D50" s="13">
        <f>AVERAGE(G48,J48,M48,Q48,T48)</f>
        <v>1.2883887959182652</v>
      </c>
    </row>
  </sheetData>
  <mergeCells count="5">
    <mergeCell ref="L9:M9"/>
    <mergeCell ref="B9:D9"/>
    <mergeCell ref="F9:G9"/>
    <mergeCell ref="I9:J9"/>
    <mergeCell ref="B50:C5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B1:P34"/>
  <sheetViews>
    <sheetView view="pageBreakPreview" topLeftCell="A24" zoomScale="80" zoomScaleSheetLayoutView="80" workbookViewId="0">
      <selection activeCell="D28" sqref="D28"/>
    </sheetView>
  </sheetViews>
  <sheetFormatPr defaultColWidth="9.109375" defaultRowHeight="13.8"/>
  <cols>
    <col min="1" max="1" width="9.109375" style="1"/>
    <col min="2" max="2" width="22.109375" style="1" customWidth="1"/>
    <col min="3" max="8" width="9.109375" style="1"/>
    <col min="9" max="9" width="10" style="1" customWidth="1"/>
    <col min="10" max="16384" width="9.109375" style="1"/>
  </cols>
  <sheetData>
    <row r="1" spans="2:16" ht="14.4" thickBot="1"/>
    <row r="2" spans="2:16">
      <c r="B2" s="21" t="s">
        <v>105</v>
      </c>
      <c r="C2" s="22"/>
      <c r="D2" s="22"/>
      <c r="E2" s="22"/>
      <c r="F2" s="22"/>
      <c r="G2" s="22"/>
      <c r="H2" s="22"/>
      <c r="I2" s="23"/>
    </row>
    <row r="3" spans="2:16">
      <c r="B3" s="24" t="s">
        <v>106</v>
      </c>
      <c r="C3" s="11"/>
      <c r="D3" s="11"/>
      <c r="E3" s="11"/>
      <c r="F3" s="11"/>
      <c r="G3" s="11"/>
      <c r="H3" s="11"/>
      <c r="I3" s="25"/>
    </row>
    <row r="4" spans="2:16" ht="14.4" thickBot="1">
      <c r="B4" s="26" t="s">
        <v>107</v>
      </c>
      <c r="C4" s="27"/>
      <c r="D4" s="27"/>
      <c r="E4" s="27"/>
      <c r="F4" s="27"/>
      <c r="G4" s="27"/>
      <c r="H4" s="27"/>
      <c r="I4" s="28"/>
    </row>
    <row r="7" spans="2:16">
      <c r="B7" s="20" t="s">
        <v>111</v>
      </c>
    </row>
    <row r="9" spans="2:16" ht="14.4" thickBot="1">
      <c r="G9" s="1" t="s">
        <v>121</v>
      </c>
    </row>
    <row r="10" spans="2:16" ht="42" thickBot="1">
      <c r="B10" s="293" t="s">
        <v>112</v>
      </c>
      <c r="C10" s="294" t="s">
        <v>113</v>
      </c>
      <c r="D10" s="294" t="s">
        <v>114</v>
      </c>
      <c r="E10" s="295" t="s">
        <v>115</v>
      </c>
      <c r="F10" s="296" t="s">
        <v>116</v>
      </c>
      <c r="G10" s="296" t="s">
        <v>117</v>
      </c>
      <c r="H10" s="297" t="s">
        <v>25</v>
      </c>
      <c r="I10" s="295" t="s">
        <v>118</v>
      </c>
      <c r="J10" s="510" t="s">
        <v>13</v>
      </c>
      <c r="K10" s="511"/>
      <c r="L10" s="511"/>
      <c r="M10" s="511"/>
      <c r="N10" s="511"/>
      <c r="O10" s="511"/>
      <c r="P10" s="512"/>
    </row>
    <row r="11" spans="2:16">
      <c r="B11" s="21" t="s">
        <v>74</v>
      </c>
      <c r="C11" s="22">
        <v>580.66999999999996</v>
      </c>
      <c r="D11" s="22">
        <v>13368.42</v>
      </c>
      <c r="E11" s="22">
        <f>C11+D11</f>
        <v>13949.09</v>
      </c>
      <c r="F11" s="22">
        <v>3758.92</v>
      </c>
      <c r="G11" s="22">
        <v>5886.41</v>
      </c>
      <c r="H11" s="22">
        <f>F11+G11</f>
        <v>9645.33</v>
      </c>
      <c r="I11" s="22">
        <f>H11/E11</f>
        <v>0.69146661180048308</v>
      </c>
      <c r="J11" s="513" t="s">
        <v>122</v>
      </c>
      <c r="K11" s="513"/>
      <c r="L11" s="513"/>
      <c r="M11" s="513"/>
      <c r="N11" s="513"/>
      <c r="O11" s="513"/>
      <c r="P11" s="514"/>
    </row>
    <row r="12" spans="2:16" ht="28.5" customHeight="1">
      <c r="B12" s="24" t="s">
        <v>76</v>
      </c>
      <c r="C12" s="11">
        <v>4130.3999999999996</v>
      </c>
      <c r="D12" s="11">
        <v>13182.75</v>
      </c>
      <c r="E12" s="11">
        <f>C12+D12</f>
        <v>17313.150000000001</v>
      </c>
      <c r="F12" s="11">
        <v>1556.39</v>
      </c>
      <c r="G12" s="11">
        <v>2624.13</v>
      </c>
      <c r="H12" s="11">
        <f>F12+G12</f>
        <v>4180.5200000000004</v>
      </c>
      <c r="I12" s="11">
        <f>H12/E12</f>
        <v>0.24146501358793751</v>
      </c>
      <c r="J12" s="508" t="s">
        <v>126</v>
      </c>
      <c r="K12" s="508"/>
      <c r="L12" s="508"/>
      <c r="M12" s="508"/>
      <c r="N12" s="508"/>
      <c r="O12" s="508"/>
      <c r="P12" s="509"/>
    </row>
    <row r="13" spans="2:16" ht="24.75" customHeight="1">
      <c r="B13" s="24" t="s">
        <v>119</v>
      </c>
      <c r="C13" s="11">
        <v>32.479999999999997</v>
      </c>
      <c r="D13" s="11">
        <v>137.88</v>
      </c>
      <c r="E13" s="11">
        <f>C13+D13</f>
        <v>170.35999999999999</v>
      </c>
      <c r="F13" s="11">
        <v>106.07</v>
      </c>
      <c r="G13" s="11">
        <v>101.35</v>
      </c>
      <c r="H13" s="11">
        <f>F13+G13</f>
        <v>207.42</v>
      </c>
      <c r="I13" s="11">
        <f>H13/E13</f>
        <v>1.217539328480864</v>
      </c>
      <c r="J13" s="508" t="s">
        <v>128</v>
      </c>
      <c r="K13" s="508"/>
      <c r="L13" s="508"/>
      <c r="M13" s="508"/>
      <c r="N13" s="508"/>
      <c r="O13" s="508"/>
      <c r="P13" s="509"/>
    </row>
    <row r="14" spans="2:16" ht="23.25" customHeight="1">
      <c r="B14" s="24" t="s">
        <v>120</v>
      </c>
      <c r="C14" s="11">
        <v>43.69</v>
      </c>
      <c r="D14" s="11">
        <v>410.29</v>
      </c>
      <c r="E14" s="11">
        <f>C14+D14</f>
        <v>453.98</v>
      </c>
      <c r="F14" s="11">
        <v>72.099999999999994</v>
      </c>
      <c r="G14" s="11">
        <v>9.09</v>
      </c>
      <c r="H14" s="11">
        <f>F14+G14</f>
        <v>81.19</v>
      </c>
      <c r="I14" s="11">
        <f>H14/E14</f>
        <v>0.17884047755407725</v>
      </c>
      <c r="J14" s="508" t="s">
        <v>130</v>
      </c>
      <c r="K14" s="508"/>
      <c r="L14" s="508"/>
      <c r="M14" s="508"/>
      <c r="N14" s="508"/>
      <c r="O14" s="508"/>
      <c r="P14" s="509"/>
    </row>
    <row r="15" spans="2:16" ht="14.4" thickBot="1">
      <c r="B15" s="26" t="s">
        <v>196</v>
      </c>
      <c r="C15" s="27">
        <v>15.4</v>
      </c>
      <c r="D15" s="27">
        <v>2481.33</v>
      </c>
      <c r="E15" s="27">
        <f>C15+D15</f>
        <v>2496.73</v>
      </c>
      <c r="F15" s="27">
        <v>2115.61</v>
      </c>
      <c r="G15" s="27">
        <v>1392.11</v>
      </c>
      <c r="H15" s="27">
        <f>F15+G15</f>
        <v>3507.7200000000003</v>
      </c>
      <c r="I15" s="27">
        <f>H15/E15</f>
        <v>1.4049256427407049</v>
      </c>
      <c r="J15" s="341" t="s">
        <v>201</v>
      </c>
      <c r="K15" s="27"/>
      <c r="L15" s="27"/>
      <c r="M15" s="27"/>
      <c r="N15" s="27"/>
      <c r="O15" s="27"/>
      <c r="P15" s="28"/>
    </row>
    <row r="16" spans="2:16" ht="14.4" thickBot="1"/>
    <row r="17" spans="2:11" ht="28.2" thickBot="1">
      <c r="B17" s="293" t="s">
        <v>112</v>
      </c>
      <c r="C17" s="296" t="s">
        <v>4</v>
      </c>
      <c r="D17" s="296" t="s">
        <v>123</v>
      </c>
      <c r="E17" s="295" t="s">
        <v>124</v>
      </c>
      <c r="F17" s="510" t="s">
        <v>13</v>
      </c>
      <c r="G17" s="511"/>
      <c r="H17" s="511"/>
      <c r="I17" s="511"/>
      <c r="J17" s="511"/>
      <c r="K17" s="512"/>
    </row>
    <row r="18" spans="2:11">
      <c r="B18" s="21" t="s">
        <v>74</v>
      </c>
      <c r="C18" s="22">
        <v>6205.33</v>
      </c>
      <c r="D18" s="22">
        <v>2040.47</v>
      </c>
      <c r="E18" s="338">
        <f>D18/C18</f>
        <v>0.32882538076137774</v>
      </c>
      <c r="F18" s="339" t="s">
        <v>125</v>
      </c>
      <c r="G18" s="22"/>
      <c r="H18" s="22"/>
      <c r="I18" s="22"/>
      <c r="J18" s="22"/>
      <c r="K18" s="23"/>
    </row>
    <row r="19" spans="2:11" ht="27.75" customHeight="1">
      <c r="B19" s="24" t="s">
        <v>76</v>
      </c>
      <c r="C19" s="11">
        <v>9381.02</v>
      </c>
      <c r="D19" s="11">
        <v>3253.8</v>
      </c>
      <c r="E19" s="298">
        <f>D19/C19</f>
        <v>0.34684927651790531</v>
      </c>
      <c r="F19" s="508" t="s">
        <v>127</v>
      </c>
      <c r="G19" s="508"/>
      <c r="H19" s="508"/>
      <c r="I19" s="508"/>
      <c r="J19" s="508"/>
      <c r="K19" s="509"/>
    </row>
    <row r="20" spans="2:11" ht="27" customHeight="1">
      <c r="B20" s="24" t="s">
        <v>119</v>
      </c>
      <c r="C20" s="11">
        <v>68.17</v>
      </c>
      <c r="D20" s="11">
        <v>23.27</v>
      </c>
      <c r="E20" s="298">
        <f>D20/C20</f>
        <v>0.34135250110019066</v>
      </c>
      <c r="F20" s="508" t="s">
        <v>129</v>
      </c>
      <c r="G20" s="508"/>
      <c r="H20" s="508"/>
      <c r="I20" s="508"/>
      <c r="J20" s="508"/>
      <c r="K20" s="509"/>
    </row>
    <row r="21" spans="2:11" ht="24.75" customHeight="1">
      <c r="B21" s="24" t="s">
        <v>120</v>
      </c>
      <c r="C21" s="11">
        <v>124.63</v>
      </c>
      <c r="D21" s="11">
        <v>35.270000000000003</v>
      </c>
      <c r="E21" s="298">
        <f>D21/C21</f>
        <v>0.28299767311241275</v>
      </c>
      <c r="F21" s="508" t="s">
        <v>131</v>
      </c>
      <c r="G21" s="508"/>
      <c r="H21" s="508"/>
      <c r="I21" s="508"/>
      <c r="J21" s="508"/>
      <c r="K21" s="509"/>
    </row>
    <row r="22" spans="2:11" ht="14.4" thickBot="1">
      <c r="B22" s="26" t="s">
        <v>196</v>
      </c>
      <c r="C22" s="27">
        <v>943.74</v>
      </c>
      <c r="D22" s="27">
        <v>241.85</v>
      </c>
      <c r="E22" s="340">
        <f>D22/C22</f>
        <v>0.2562676160807002</v>
      </c>
      <c r="F22" s="341" t="s">
        <v>200</v>
      </c>
      <c r="G22" s="27"/>
      <c r="H22" s="27"/>
      <c r="I22" s="27"/>
      <c r="J22" s="27"/>
      <c r="K22" s="28"/>
    </row>
    <row r="23" spans="2:11" ht="14.4" thickBot="1"/>
    <row r="24" spans="2:11" ht="55.8" thickBot="1">
      <c r="B24" s="302" t="s">
        <v>112</v>
      </c>
      <c r="C24" s="303" t="s">
        <v>132</v>
      </c>
      <c r="D24" s="303" t="s">
        <v>118</v>
      </c>
      <c r="E24" s="303" t="s">
        <v>124</v>
      </c>
      <c r="F24" s="304" t="s">
        <v>133</v>
      </c>
    </row>
    <row r="25" spans="2:11">
      <c r="B25" s="24" t="s">
        <v>74</v>
      </c>
      <c r="C25" s="299">
        <f>'Equity Beta '!G48</f>
        <v>1.3464760311282662</v>
      </c>
      <c r="D25" s="11">
        <f>I11</f>
        <v>0.69146661180048308</v>
      </c>
      <c r="E25" s="300">
        <f>E18</f>
        <v>0.32882538076137774</v>
      </c>
      <c r="F25" s="301">
        <f>C25/((1+(1-E25)*D25))</f>
        <v>0.91966448787438726</v>
      </c>
    </row>
    <row r="26" spans="2:11">
      <c r="B26" s="24" t="s">
        <v>76</v>
      </c>
      <c r="C26" s="299">
        <f>'Equity Beta '!J48</f>
        <v>1.0384192701410386</v>
      </c>
      <c r="D26" s="11">
        <f>I12</f>
        <v>0.24146501358793751</v>
      </c>
      <c r="E26" s="300">
        <f>E19</f>
        <v>0.34684927651790531</v>
      </c>
      <c r="F26" s="301">
        <f>C26/((1+(1-E26)*D26))</f>
        <v>0.89695738650213108</v>
      </c>
    </row>
    <row r="27" spans="2:11">
      <c r="B27" s="24" t="s">
        <v>119</v>
      </c>
      <c r="C27" s="299">
        <f>'Equity Beta '!M48</f>
        <v>1.5080766630715947</v>
      </c>
      <c r="D27" s="11">
        <f>I13</f>
        <v>1.217539328480864</v>
      </c>
      <c r="E27" s="300">
        <f>E20</f>
        <v>0.34135250110019066</v>
      </c>
      <c r="F27" s="301">
        <f>C27/((1+(1-E27)*D27))</f>
        <v>0.83692335693389575</v>
      </c>
    </row>
    <row r="28" spans="2:11">
      <c r="B28" s="24" t="s">
        <v>120</v>
      </c>
      <c r="C28" s="299">
        <f>'Equity Beta '!Q48</f>
        <v>1.5353684024043768</v>
      </c>
      <c r="D28" s="11">
        <f>I14</f>
        <v>0.17884047755407725</v>
      </c>
      <c r="E28" s="300">
        <f>E21</f>
        <v>0.28299767311241275</v>
      </c>
      <c r="F28" s="301">
        <f>C28/((1+(1-E28)*D28))</f>
        <v>1.3608658791307193</v>
      </c>
    </row>
    <row r="29" spans="2:11" ht="14.4" thickBot="1">
      <c r="B29" s="1" t="s">
        <v>208</v>
      </c>
      <c r="C29" s="299">
        <f>'Equity Beta '!T48</f>
        <v>1.0136036128460495</v>
      </c>
      <c r="D29" s="11">
        <f>I15</f>
        <v>1.4049256427407049</v>
      </c>
      <c r="E29" s="300">
        <f>E22</f>
        <v>0.2562676160807002</v>
      </c>
      <c r="F29" s="301">
        <f>C29/((1+(1-E29)*D29))</f>
        <v>0.49567666645270869</v>
      </c>
    </row>
    <row r="30" spans="2:11" ht="14.4" thickBot="1">
      <c r="B30" s="305" t="s">
        <v>197</v>
      </c>
      <c r="C30" s="306"/>
      <c r="D30" s="306"/>
      <c r="E30" s="306"/>
      <c r="F30" s="13">
        <f>AVERAGE(F25:F29)</f>
        <v>0.90201755537876838</v>
      </c>
    </row>
    <row r="32" spans="2:11" ht="14.4" thickBot="1">
      <c r="B32" s="307" t="s">
        <v>136</v>
      </c>
      <c r="C32" s="307"/>
      <c r="D32" s="307"/>
      <c r="E32" s="308">
        <f>F30*(1+(1-'Assumption '!C73)*('Re-lev Beta'!C33/'Re-lev Beta'!C34))</f>
        <v>2.2913350614249937</v>
      </c>
    </row>
    <row r="33" spans="2:3">
      <c r="B33" s="21" t="s">
        <v>134</v>
      </c>
      <c r="C33" s="309">
        <v>0.7</v>
      </c>
    </row>
    <row r="34" spans="2:3" ht="14.4" thickBot="1">
      <c r="B34" s="26" t="s">
        <v>135</v>
      </c>
      <c r="C34" s="310">
        <v>0.3</v>
      </c>
    </row>
  </sheetData>
  <mergeCells count="9">
    <mergeCell ref="F19:K19"/>
    <mergeCell ref="F20:K20"/>
    <mergeCell ref="F21:K21"/>
    <mergeCell ref="J10:P10"/>
    <mergeCell ref="J11:P11"/>
    <mergeCell ref="F17:K17"/>
    <mergeCell ref="J12:P12"/>
    <mergeCell ref="J13:P13"/>
    <mergeCell ref="J14:P14"/>
  </mergeCells>
  <hyperlinks>
    <hyperlink ref="J11" r:id="rId1" location="TIS "/>
    <hyperlink ref="F18" r:id="rId2" location="TIS "/>
    <hyperlink ref="J12" r:id="rId3" location=" "/>
    <hyperlink ref="F19" r:id="rId4" location="SAI "/>
    <hyperlink ref="J13" r:id="rId5" location="MUS "/>
    <hyperlink ref="F20" r:id="rId6" location="MUS "/>
    <hyperlink ref="J14" r:id="rId7" location="KS01 "/>
    <hyperlink ref="F21" r:id="rId8" location="KS01 "/>
    <hyperlink ref="F22" r:id="rId9" location="JSP"/>
    <hyperlink ref="J15" r:id="rId10" location="JSP "/>
  </hyperlinks>
  <pageMargins left="0.7" right="0.7" top="0.75" bottom="0.75" header="0.3" footer="0.3"/>
  <pageSetup orientation="portrait" r:id="rId11"/>
  <legacyDrawing r:id="rId12"/>
</worksheet>
</file>

<file path=xl/worksheets/sheet8.xml><?xml version="1.0" encoding="utf-8"?>
<worksheet xmlns="http://schemas.openxmlformats.org/spreadsheetml/2006/main" xmlns:r="http://schemas.openxmlformats.org/officeDocument/2006/relationships">
  <dimension ref="B1:I19"/>
  <sheetViews>
    <sheetView view="pageBreakPreview" zoomScale="80" zoomScaleSheetLayoutView="80" workbookViewId="0"/>
  </sheetViews>
  <sheetFormatPr defaultColWidth="9.109375" defaultRowHeight="13.8"/>
  <cols>
    <col min="1" max="2" width="9.109375" style="1"/>
    <col min="3" max="3" width="11.33203125" style="1" bestFit="1" customWidth="1"/>
    <col min="4" max="4" width="9.33203125" style="1" bestFit="1" customWidth="1"/>
    <col min="5" max="5" width="9.88671875" style="1" bestFit="1" customWidth="1"/>
    <col min="6" max="7" width="9.109375" style="1"/>
    <col min="8" max="8" width="14.44140625" style="1" customWidth="1"/>
    <col min="9" max="9" width="12.88671875" style="1" customWidth="1"/>
    <col min="10" max="16384" width="9.109375" style="1"/>
  </cols>
  <sheetData>
    <row r="1" spans="2:9" ht="14.4" thickBot="1"/>
    <row r="2" spans="2:9">
      <c r="B2" s="21" t="s">
        <v>105</v>
      </c>
      <c r="C2" s="22"/>
      <c r="D2" s="22"/>
      <c r="E2" s="22"/>
      <c r="F2" s="22"/>
      <c r="G2" s="22"/>
      <c r="H2" s="22"/>
      <c r="I2" s="23"/>
    </row>
    <row r="3" spans="2:9">
      <c r="B3" s="24" t="s">
        <v>106</v>
      </c>
      <c r="C3" s="11"/>
      <c r="D3" s="11"/>
      <c r="E3" s="11"/>
      <c r="F3" s="11"/>
      <c r="G3" s="11"/>
      <c r="H3" s="11"/>
      <c r="I3" s="25"/>
    </row>
    <row r="4" spans="2:9" ht="14.4" thickBot="1">
      <c r="B4" s="26" t="s">
        <v>107</v>
      </c>
      <c r="C4" s="27"/>
      <c r="D4" s="27"/>
      <c r="E4" s="27"/>
      <c r="F4" s="27"/>
      <c r="G4" s="27"/>
      <c r="H4" s="27"/>
      <c r="I4" s="28"/>
    </row>
    <row r="12" spans="2:9" ht="14.4" thickBot="1"/>
    <row r="13" spans="2:9">
      <c r="C13" s="31" t="s">
        <v>71</v>
      </c>
      <c r="D13" s="32" t="s">
        <v>99</v>
      </c>
      <c r="E13" s="33" t="s">
        <v>75</v>
      </c>
    </row>
    <row r="14" spans="2:9">
      <c r="C14" s="36">
        <v>30773</v>
      </c>
      <c r="D14" s="30">
        <v>100</v>
      </c>
      <c r="E14" s="35"/>
    </row>
    <row r="15" spans="2:9" ht="14.4" thickBot="1">
      <c r="C15" s="38">
        <v>39113</v>
      </c>
      <c r="D15" s="34"/>
      <c r="E15" s="37">
        <v>7145.91</v>
      </c>
    </row>
    <row r="18" spans="3:5">
      <c r="C18" s="20" t="s">
        <v>101</v>
      </c>
      <c r="D18" s="1">
        <v>1</v>
      </c>
      <c r="E18" s="1" t="s">
        <v>198</v>
      </c>
    </row>
    <row r="19" spans="3:5">
      <c r="D19" s="1">
        <v>2</v>
      </c>
      <c r="E19" s="1" t="s">
        <v>199</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dimension ref="B1:K39"/>
  <sheetViews>
    <sheetView view="pageBreakPreview" topLeftCell="A19" zoomScale="80" zoomScaleSheetLayoutView="80" workbookViewId="0">
      <selection activeCell="D31" sqref="D31"/>
    </sheetView>
  </sheetViews>
  <sheetFormatPr defaultColWidth="9.109375" defaultRowHeight="13.8"/>
  <cols>
    <col min="1" max="1" width="9.109375" style="1"/>
    <col min="2" max="2" width="22.44140625" style="1" customWidth="1"/>
    <col min="3" max="3" width="21.109375" style="1" customWidth="1"/>
    <col min="4" max="4" width="30.88671875" style="1" customWidth="1"/>
    <col min="5" max="5" width="9.109375" style="1"/>
    <col min="6" max="6" width="10.44140625" style="1" bestFit="1" customWidth="1"/>
    <col min="7" max="7" width="9.88671875" style="1" bestFit="1" customWidth="1"/>
    <col min="8" max="8" width="9.44140625" style="1" bestFit="1" customWidth="1"/>
    <col min="9" max="9" width="9.88671875" style="1" bestFit="1" customWidth="1"/>
    <col min="10" max="16384" width="9.109375" style="1"/>
  </cols>
  <sheetData>
    <row r="1" spans="2:11" ht="14.4" thickBot="1"/>
    <row r="2" spans="2:11">
      <c r="B2" s="21" t="s">
        <v>105</v>
      </c>
      <c r="C2" s="22"/>
      <c r="D2" s="23"/>
      <c r="E2" s="11"/>
      <c r="F2" s="11"/>
      <c r="G2" s="11"/>
      <c r="H2" s="11"/>
      <c r="I2" s="11"/>
    </row>
    <row r="3" spans="2:11">
      <c r="B3" s="24" t="s">
        <v>106</v>
      </c>
      <c r="C3" s="11"/>
      <c r="D3" s="25"/>
      <c r="E3" s="11"/>
      <c r="F3" s="11"/>
      <c r="G3" s="11"/>
      <c r="H3" s="11"/>
      <c r="I3" s="11"/>
    </row>
    <row r="4" spans="2:11" ht="14.4" thickBot="1">
      <c r="B4" s="26" t="s">
        <v>107</v>
      </c>
      <c r="C4" s="27"/>
      <c r="D4" s="28"/>
      <c r="E4" s="11"/>
      <c r="F4" s="11"/>
      <c r="G4" s="11"/>
      <c r="H4" s="11"/>
      <c r="I4" s="11"/>
    </row>
    <row r="6" spans="2:11">
      <c r="B6" s="29" t="s">
        <v>109</v>
      </c>
    </row>
    <row r="8" spans="2:11">
      <c r="B8" s="39" t="s">
        <v>79</v>
      </c>
      <c r="C8" s="40"/>
      <c r="D8" s="41"/>
      <c r="E8" s="41"/>
    </row>
    <row r="9" spans="2:11">
      <c r="B9" s="41"/>
      <c r="C9" s="41"/>
      <c r="D9" s="42"/>
      <c r="E9" s="42"/>
    </row>
    <row r="10" spans="2:11">
      <c r="B10" s="43" t="s">
        <v>80</v>
      </c>
      <c r="C10" s="43" t="s">
        <v>65</v>
      </c>
      <c r="D10" s="43" t="s">
        <v>13</v>
      </c>
      <c r="E10" s="42"/>
    </row>
    <row r="11" spans="2:11" ht="39.75" customHeight="1">
      <c r="B11" s="44" t="s">
        <v>203</v>
      </c>
      <c r="C11" s="30">
        <f>'BSE 100'!D14</f>
        <v>100</v>
      </c>
      <c r="D11" s="45" t="s">
        <v>193</v>
      </c>
      <c r="E11" s="42"/>
      <c r="F11" s="46"/>
      <c r="H11" s="46"/>
    </row>
    <row r="12" spans="2:11" ht="33" customHeight="1">
      <c r="B12" s="44" t="s">
        <v>202</v>
      </c>
      <c r="C12" s="42">
        <v>7145.91</v>
      </c>
      <c r="D12" s="45" t="s">
        <v>193</v>
      </c>
      <c r="E12" s="42"/>
      <c r="F12" s="46"/>
      <c r="G12" s="46"/>
      <c r="H12" s="46"/>
      <c r="I12" s="46"/>
    </row>
    <row r="13" spans="2:11">
      <c r="B13" s="47" t="s">
        <v>81</v>
      </c>
      <c r="C13" s="48">
        <f>+(C12/C11)^(1/(22.83))-1</f>
        <v>0.20562280992909976</v>
      </c>
      <c r="D13" s="49" t="s">
        <v>100</v>
      </c>
      <c r="E13" s="48"/>
      <c r="G13" s="46"/>
      <c r="H13" s="8"/>
      <c r="I13" s="46"/>
    </row>
    <row r="14" spans="2:11" ht="36.75" customHeight="1">
      <c r="B14" s="50" t="s">
        <v>82</v>
      </c>
      <c r="C14" s="51">
        <v>8.0828999999999998E-2</v>
      </c>
      <c r="D14" s="384" t="s">
        <v>233</v>
      </c>
      <c r="E14" s="42"/>
      <c r="G14" s="7"/>
      <c r="I14" s="46"/>
      <c r="K14" s="46"/>
    </row>
    <row r="15" spans="2:11">
      <c r="B15" s="47" t="s">
        <v>102</v>
      </c>
      <c r="C15" s="52">
        <f>'Equity Beta '!D50</f>
        <v>1.2883887959182652</v>
      </c>
      <c r="D15" s="49" t="s">
        <v>110</v>
      </c>
      <c r="E15" s="42"/>
    </row>
    <row r="16" spans="2:11">
      <c r="B16" s="47" t="s">
        <v>83</v>
      </c>
      <c r="C16" s="53">
        <f>C14+C15*(C13-C14)</f>
        <v>0.2416119465126057</v>
      </c>
      <c r="D16" s="49" t="s">
        <v>100</v>
      </c>
      <c r="E16" s="42"/>
      <c r="G16" s="46"/>
      <c r="I16" s="54"/>
    </row>
    <row r="17" spans="2:5">
      <c r="B17" s="42"/>
      <c r="C17" s="42"/>
      <c r="D17" s="42"/>
      <c r="E17" s="42"/>
    </row>
    <row r="18" spans="2:5">
      <c r="B18" s="42"/>
      <c r="C18" s="42"/>
      <c r="D18" s="42"/>
      <c r="E18" s="55"/>
    </row>
    <row r="19" spans="2:5">
      <c r="B19" s="39" t="s">
        <v>84</v>
      </c>
      <c r="C19" s="42"/>
      <c r="D19" s="42"/>
      <c r="E19" s="42"/>
    </row>
    <row r="20" spans="2:5">
      <c r="B20" s="42"/>
      <c r="C20" s="42"/>
      <c r="D20" s="42"/>
      <c r="E20" s="42"/>
    </row>
    <row r="21" spans="2:5">
      <c r="B21" s="56" t="s">
        <v>80</v>
      </c>
      <c r="C21" s="56" t="s">
        <v>65</v>
      </c>
      <c r="D21" s="56" t="s">
        <v>13</v>
      </c>
      <c r="E21" s="42"/>
    </row>
    <row r="22" spans="2:5" ht="46.5" customHeight="1">
      <c r="B22" s="49" t="s">
        <v>85</v>
      </c>
      <c r="C22" s="57">
        <v>0.11749999999999999</v>
      </c>
      <c r="D22" s="58" t="str">
        <f>'Assumption '!D45</f>
        <v>http://www.rbi.org.in/scripts/BS_ViewBulletin_Test.aspx?Id=8261</v>
      </c>
      <c r="E22" s="42"/>
    </row>
    <row r="23" spans="2:5">
      <c r="B23" s="42"/>
      <c r="C23" s="59"/>
      <c r="D23" s="60"/>
      <c r="E23" s="42"/>
    </row>
    <row r="24" spans="2:5">
      <c r="B24" s="42"/>
      <c r="C24" s="59"/>
      <c r="D24" s="60"/>
      <c r="E24" s="42"/>
    </row>
    <row r="25" spans="2:5">
      <c r="B25" s="39" t="s">
        <v>86</v>
      </c>
      <c r="C25" s="59"/>
      <c r="D25" s="60"/>
      <c r="E25" s="42"/>
    </row>
    <row r="26" spans="2:5">
      <c r="B26" s="42"/>
      <c r="C26" s="42"/>
      <c r="D26" s="42"/>
      <c r="E26" s="42"/>
    </row>
    <row r="27" spans="2:5">
      <c r="B27" s="61" t="s">
        <v>87</v>
      </c>
      <c r="C27" s="62" t="s">
        <v>88</v>
      </c>
      <c r="D27" s="42"/>
      <c r="E27" s="42"/>
    </row>
    <row r="28" spans="2:5">
      <c r="B28" s="63" t="s">
        <v>89</v>
      </c>
      <c r="C28" s="64"/>
      <c r="D28" s="42"/>
      <c r="E28" s="42"/>
    </row>
    <row r="29" spans="2:5">
      <c r="B29" s="63" t="s">
        <v>90</v>
      </c>
      <c r="C29" s="42"/>
      <c r="D29" s="42"/>
      <c r="E29" s="42"/>
    </row>
    <row r="30" spans="2:5">
      <c r="B30" s="63" t="s">
        <v>91</v>
      </c>
      <c r="C30" s="42"/>
      <c r="D30" s="42"/>
      <c r="E30" s="42"/>
    </row>
    <row r="31" spans="2:5">
      <c r="B31" s="63" t="s">
        <v>92</v>
      </c>
      <c r="C31" s="42"/>
      <c r="D31" s="42"/>
      <c r="E31" s="42"/>
    </row>
    <row r="32" spans="2:5">
      <c r="B32" s="63" t="s">
        <v>93</v>
      </c>
      <c r="C32" s="42"/>
      <c r="D32" s="42"/>
      <c r="E32" s="42"/>
    </row>
    <row r="33" spans="2:5">
      <c r="B33" s="63" t="s">
        <v>94</v>
      </c>
      <c r="C33" s="42"/>
      <c r="D33" s="42"/>
      <c r="E33" s="42"/>
    </row>
    <row r="34" spans="2:5" ht="14.4" thickBot="1">
      <c r="B34" s="63"/>
      <c r="C34" s="42"/>
      <c r="D34" s="42"/>
      <c r="E34" s="42"/>
    </row>
    <row r="35" spans="2:5" ht="28.2" thickBot="1">
      <c r="B35" s="65" t="s">
        <v>13</v>
      </c>
      <c r="C35" s="334" t="s">
        <v>95</v>
      </c>
      <c r="D35" s="66" t="s">
        <v>96</v>
      </c>
      <c r="E35" s="335" t="s">
        <v>97</v>
      </c>
    </row>
    <row r="36" spans="2:5">
      <c r="B36" s="67" t="s">
        <v>54</v>
      </c>
      <c r="C36" s="330">
        <v>0.3</v>
      </c>
      <c r="D36" s="336">
        <f>'Assumption '!C35*WACC!C36</f>
        <v>174.39</v>
      </c>
      <c r="E36" s="332">
        <f>C16</f>
        <v>0.2416119465126057</v>
      </c>
    </row>
    <row r="37" spans="2:5" ht="14.4" thickBot="1">
      <c r="B37" s="68" t="s">
        <v>78</v>
      </c>
      <c r="C37" s="331">
        <v>0.7</v>
      </c>
      <c r="D37" s="337">
        <f>'Assumption '!C35*WACC!C37</f>
        <v>406.90999999999997</v>
      </c>
      <c r="E37" s="333">
        <f>C22</f>
        <v>0.11749999999999999</v>
      </c>
    </row>
    <row r="38" spans="2:5" ht="14.4" thickBot="1">
      <c r="B38" s="42"/>
      <c r="C38" s="42"/>
      <c r="D38" s="42"/>
      <c r="E38" s="42"/>
    </row>
    <row r="39" spans="2:5" ht="14.4" thickBot="1">
      <c r="B39" s="69" t="s">
        <v>98</v>
      </c>
      <c r="C39" s="70">
        <f>D36/(D36+D37)*E36+D37/(D36+D37)*E37*(1-'Assumption '!C73)</f>
        <v>0.12677680895378171</v>
      </c>
      <c r="D39" s="42"/>
      <c r="E39" s="42"/>
    </row>
  </sheetData>
  <hyperlinks>
    <hyperlink ref="D11" r:id="rId1" display="http://www.bseindia.com/histdata/hindices2.asp"/>
    <hyperlink ref="D22" r:id="rId2" display="http://www.rbi.org.in/scripts/BS_ViewBulletin_Test.aspx?Id=6996"/>
    <hyperlink ref="D12" r:id="rId3" display="http://www.bseindia.com/histdata/hindices2.asp"/>
  </hyperlinks>
  <pageMargins left="0.7" right="0.7" top="0.75" bottom="0.75" header="0.3" footer="0.3"/>
  <pageSetup scale="8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Assumption </vt:lpstr>
      <vt:lpstr>P &amp; L </vt:lpstr>
      <vt:lpstr>Depreciation (SLM &amp; WDV)</vt:lpstr>
      <vt:lpstr>Working Capital</vt:lpstr>
      <vt:lpstr>Loan Schedule</vt:lpstr>
      <vt:lpstr>Equity Beta </vt:lpstr>
      <vt:lpstr>Re-lev Beta</vt:lpstr>
      <vt:lpstr>BSE 100</vt:lpstr>
      <vt:lpstr>WACC</vt:lpstr>
      <vt:lpstr>Sensitivity Analysi</vt:lpstr>
      <vt:lpstr>Default ROE in WACC(Crosscheck)</vt:lpstr>
      <vt:lpstr>Levelized cost</vt:lpstr>
      <vt:lpstr>'Assumption '!Print_Area</vt:lpstr>
      <vt:lpstr>'BSE 100'!Print_Area</vt:lpstr>
      <vt:lpstr>'Default ROE in WACC(Crosscheck)'!Print_Area</vt:lpstr>
      <vt:lpstr>'Depreciation (SLM &amp; WDV)'!Print_Area</vt:lpstr>
      <vt:lpstr>'Equity Beta '!Print_Area</vt:lpstr>
      <vt:lpstr>'Loan Schedule'!Print_Area</vt:lpstr>
      <vt:lpstr>'Sensitivity Analysi'!Print_Area</vt:lpstr>
      <vt:lpstr>WACC!Print_Area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CARE PC-MAR09</dc:creator>
  <cp:lastModifiedBy>Jadhav Pravin</cp:lastModifiedBy>
  <dcterms:created xsi:type="dcterms:W3CDTF">2010-06-04T12:16:14Z</dcterms:created>
  <dcterms:modified xsi:type="dcterms:W3CDTF">2012-12-03T07:12:11Z</dcterms:modified>
</cp:coreProperties>
</file>