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2120" windowHeight="9120" tabRatio="697"/>
  </bookViews>
  <sheets>
    <sheet name="Assumption" sheetId="1" r:id="rId1"/>
    <sheet name="Sensitivity Analysis" sheetId="9" r:id="rId2"/>
    <sheet name="Fuel Pricing_Coal" sheetId="10" r:id="rId3"/>
    <sheet name="depre" sheetId="2" r:id="rId4"/>
    <sheet name="term loan " sheetId="3" r:id="rId5"/>
    <sheet name="fuel" sheetId="4" r:id="rId6"/>
    <sheet name="fixed cost" sheetId="5" r:id="rId7"/>
    <sheet name="Sheet1" sheetId="6" state="hidden" r:id="rId8"/>
    <sheet name="Tax" sheetId="7" r:id="rId9"/>
    <sheet name="PL" sheetId="8"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a" localSheetId="2">'[1]Top Sheet'!#REF!</definedName>
    <definedName name="\a" localSheetId="9">'[1]Top Sheet'!#REF!</definedName>
    <definedName name="\a">'[1]Top Sheet'!#REF!</definedName>
    <definedName name="\b" localSheetId="2">#REF!</definedName>
    <definedName name="\b" localSheetId="9">#REF!</definedName>
    <definedName name="\b">#REF!</definedName>
    <definedName name="\c" localSheetId="2">#REF!</definedName>
    <definedName name="\c" localSheetId="9">#REF!</definedName>
    <definedName name="\c">#REF!</definedName>
    <definedName name="_2500_T_PRESS" localSheetId="2">'[2]COST SHEET'!#REF!</definedName>
    <definedName name="_2500_T_PRESS" localSheetId="9">'[2]COST SHEET'!#REF!</definedName>
    <definedName name="_2500_T_PRESS">'[2]COST SHEET'!#REF!</definedName>
    <definedName name="_3150_T_PRESS" localSheetId="2">'[2]COST SHEET'!#REF!</definedName>
    <definedName name="_3150_T_PRESS" localSheetId="9">'[2]COST SHEET'!#REF!</definedName>
    <definedName name="_3150_T_PRESS">'[2]COST SHEET'!#REF!</definedName>
    <definedName name="_800_T_PRESS" localSheetId="9">'[2]COST SHEET'!#REF!</definedName>
    <definedName name="_800_T_PRESS">'[2]COST SHEET'!#REF!</definedName>
    <definedName name="_kedar" localSheetId="2" hidden="1">#REF!</definedName>
    <definedName name="_kedar" localSheetId="9" hidden="1">#REF!</definedName>
    <definedName name="_kedar" hidden="1">#REF!</definedName>
    <definedName name="_Key2" localSheetId="2" hidden="1">'[2]COST SHEET'!#REF!</definedName>
    <definedName name="_Key2" localSheetId="9" hidden="1">'[2]COST SHEET'!#REF!</definedName>
    <definedName name="_Key2" hidden="1">'[2]COST SHEET'!#REF!</definedName>
    <definedName name="_Order1" hidden="1">0</definedName>
    <definedName name="_Order2" hidden="1">255</definedName>
    <definedName name="_Sort" hidden="1">'[2]#REF'!$M$10:$M$64</definedName>
    <definedName name="a">'[3]Break up of RMcost'!$D$5</definedName>
    <definedName name="AC">[4]Details!$D$187</definedName>
    <definedName name="ALLOY__ROD" localSheetId="2">'[2]COST SHEET'!#REF!</definedName>
    <definedName name="ALLOY__ROD" localSheetId="9">'[2]COST SHEET'!#REF!</definedName>
    <definedName name="ALLOY__ROD">'[2]COST SHEET'!#REF!</definedName>
    <definedName name="ALLOY_INGO" localSheetId="2">'[2]COST SHEET'!#REF!</definedName>
    <definedName name="ALLOY_INGO" localSheetId="9">'[2]COST SHEET'!#REF!</definedName>
    <definedName name="ALLOY_INGO">'[2]COST SHEET'!#REF!</definedName>
    <definedName name="ALUMINA_HYDRATE" localSheetId="2">'[2]COST SHEET'!#REF!</definedName>
    <definedName name="ALUMINA_HYDRATE" localSheetId="9">'[2]COST SHEET'!#REF!</definedName>
    <definedName name="ALUMINA_HYDRATE">'[2]COST SHEET'!#REF!</definedName>
    <definedName name="ANODE_PASTE" localSheetId="2">'[2]COST SHEET'!#REF!</definedName>
    <definedName name="ANODE_PASTE" localSheetId="9">'[2]COST SHEET'!#REF!</definedName>
    <definedName name="ANODE_PASTE">'[2]COST SHEET'!#REF!</definedName>
    <definedName name="anscount" hidden="1">1</definedName>
    <definedName name="b">[5]Variables!$A$5</definedName>
    <definedName name="best" localSheetId="9">'[2]Top Sheet'!#REF!</definedName>
    <definedName name="best">'[2]Top Sheet'!#REF!</definedName>
    <definedName name="BILLET" localSheetId="9">'[2]COST SHEET'!#REF!</definedName>
    <definedName name="BILLET">'[2]COST SHEET'!#REF!</definedName>
    <definedName name="BU">'[6]Report Setup Sheet'!$B$50</definedName>
    <definedName name="C.R.P" localSheetId="2">'[2]COST SHEET'!#REF!</definedName>
    <definedName name="C.R.P" localSheetId="9">'[2]COST SHEET'!#REF!</definedName>
    <definedName name="C.R.P">'[2]COST SHEET'!#REF!</definedName>
    <definedName name="CALCINED_ALUMIN" localSheetId="2">'[2]COST SHEET'!#REF!</definedName>
    <definedName name="CALCINED_ALUMIN" localSheetId="9">'[2]COST SHEET'!#REF!</definedName>
    <definedName name="CALCINED_ALUMIN">'[2]COST SHEET'!#REF!</definedName>
    <definedName name="CCR" localSheetId="2">[7]REFNCOMPARE!#REF!</definedName>
    <definedName name="CCR" localSheetId="9">[7]REFNCOMPARE!#REF!</definedName>
    <definedName name="CCR">[7]REFNCOMPARE!#REF!</definedName>
    <definedName name="CCRFIN" localSheetId="2">[7]REFNCOMPARE!#REF!</definedName>
    <definedName name="CCRFIN" localSheetId="9">[7]REFNCOMPARE!#REF!</definedName>
    <definedName name="CCRFIN">[7]REFNCOMPARE!#REF!</definedName>
    <definedName name="CELL_REL_CONTRACT" localSheetId="9">'[2]cell rel'!#REF!</definedName>
    <definedName name="CELL_REL_CONTRACT">'[2]cell rel'!#REF!</definedName>
    <definedName name="CELL_RELINING_MATERIAL" localSheetId="9">'[2]cell rel'!#REF!</definedName>
    <definedName name="CELL_RELINING_MATERIAL">'[2]cell rel'!#REF!</definedName>
    <definedName name="COMPARATIVE">'[2]#REF'!$C$10</definedName>
    <definedName name="con" localSheetId="2">#REF!</definedName>
    <definedName name="con" localSheetId="9">#REF!</definedName>
    <definedName name="con">#REF!</definedName>
    <definedName name="CONBUDGET">'[2]#REF'!$I$38</definedName>
    <definedName name="contangoforoct">[8]CONTANGO!$I$38</definedName>
    <definedName name="CONTRACT_SUMMARY" localSheetId="2">'[2]Contract Details'!#REF!</definedName>
    <definedName name="CONTRACT_SUMMARY" localSheetId="9">'[2]Contract Details'!#REF!</definedName>
    <definedName name="CONTRACT_SUMMARY">'[2]Contract Details'!#REF!</definedName>
    <definedName name="COST_ALUMINA">'[2]#REF'!$A$1:$F$22</definedName>
    <definedName name="COUNT">'[2]#REF'!$A$5:$O$48</definedName>
    <definedName name="CRP" localSheetId="2">'[2]COST SHEET'!#REF!</definedName>
    <definedName name="CRP" localSheetId="9">'[2]COST SHEET'!#REF!</definedName>
    <definedName name="CRP">'[2]COST SHEET'!#REF!</definedName>
    <definedName name="d">'[2]#REF'!$C$51:$N$51</definedName>
    <definedName name="_xlnm.Database" localSheetId="2">'[2]COST SHEET'!#REF!</definedName>
    <definedName name="_xlnm.Database" localSheetId="9">'[2]COST SHEET'!#REF!</definedName>
    <definedName name="_xlnm.Database">'[2]COST SHEET'!#REF!</definedName>
    <definedName name="DepApr" localSheetId="2">'[9]Monthly Break Up'!#REF!</definedName>
    <definedName name="DepApr" localSheetId="9">'[9]Monthly Break Up'!#REF!</definedName>
    <definedName name="DepApr">'[9]Monthly Break Up'!#REF!</definedName>
    <definedName name="DepAug" localSheetId="2">'[9]Monthly Break Up'!#REF!</definedName>
    <definedName name="DepAug" localSheetId="9">'[9]Monthly Break Up'!#REF!</definedName>
    <definedName name="DepAug">'[9]Monthly Break Up'!#REF!</definedName>
    <definedName name="DepDec" localSheetId="9">'[9]Monthly Break Up'!#REF!</definedName>
    <definedName name="DepDec">'[9]Monthly Break Up'!#REF!</definedName>
    <definedName name="DepFeb" localSheetId="9">'[9]Monthly Break Up'!#REF!</definedName>
    <definedName name="DepFeb">'[9]Monthly Break Up'!#REF!</definedName>
    <definedName name="DepJan" localSheetId="9">'[9]Monthly Break Up'!#REF!</definedName>
    <definedName name="DepJan">'[9]Monthly Break Up'!#REF!</definedName>
    <definedName name="DepJuly" localSheetId="9">'[9]Monthly Break Up'!#REF!</definedName>
    <definedName name="DepJuly">'[9]Monthly Break Up'!#REF!</definedName>
    <definedName name="DepJune" localSheetId="9">'[9]Monthly Break Up'!#REF!</definedName>
    <definedName name="DepJune">'[9]Monthly Break Up'!#REF!</definedName>
    <definedName name="DepMar" localSheetId="9">'[9]Monthly Break Up'!#REF!</definedName>
    <definedName name="DepMar">'[9]Monthly Break Up'!#REF!</definedName>
    <definedName name="DepMay" localSheetId="9">'[9]Monthly Break Up'!#REF!</definedName>
    <definedName name="DepMay">'[9]Monthly Break Up'!#REF!</definedName>
    <definedName name="DepNov" localSheetId="9">'[9]Monthly Break Up'!#REF!</definedName>
    <definedName name="DepNov">'[9]Monthly Break Up'!#REF!</definedName>
    <definedName name="DepOct" localSheetId="9">'[9]Monthly Break Up'!#REF!</definedName>
    <definedName name="DepOct">'[9]Monthly Break Up'!#REF!</definedName>
    <definedName name="Depreciation" localSheetId="9">'[9]Monthly Break Up'!#REF!</definedName>
    <definedName name="Depreciation">'[9]Monthly Break Up'!#REF!</definedName>
    <definedName name="DepreciationAprActual" localSheetId="9">'[9]Monthly Break Up'!#REF!</definedName>
    <definedName name="DepreciationAprActual">'[9]Monthly Break Up'!#REF!</definedName>
    <definedName name="DepriciationAprActual" localSheetId="9">'[9]Monthly Break Up'!#REF!</definedName>
    <definedName name="DepriciationAprActual">'[9]Monthly Break Up'!#REF!</definedName>
    <definedName name="DepriciationAugProj" localSheetId="9">'[9]Monthly Break Up'!#REF!</definedName>
    <definedName name="DepriciationAugProj">'[9]Monthly Break Up'!#REF!</definedName>
    <definedName name="DepriciationDecProj" localSheetId="9">'[9]Monthly Break Up'!#REF!</definedName>
    <definedName name="DepriciationDecProj">'[9]Monthly Break Up'!#REF!</definedName>
    <definedName name="DepriciationFebProj" localSheetId="9">'[9]Monthly Break Up'!#REF!</definedName>
    <definedName name="DepriciationFebProj">'[9]Monthly Break Up'!#REF!</definedName>
    <definedName name="DepriciationJanProj" localSheetId="9">'[9]Monthly Break Up'!#REF!</definedName>
    <definedName name="DepriciationJanProj">'[9]Monthly Break Up'!#REF!</definedName>
    <definedName name="DepriciationJulyProj" localSheetId="9">'[9]Monthly Break Up'!#REF!</definedName>
    <definedName name="DepriciationJulyProj">'[9]Monthly Break Up'!#REF!</definedName>
    <definedName name="DepriciationJuneProj" localSheetId="9">'[9]Monthly Break Up'!#REF!</definedName>
    <definedName name="DepriciationJuneProj">'[9]Monthly Break Up'!#REF!</definedName>
    <definedName name="DepriciationMarProj" localSheetId="9">'[9]Monthly Break Up'!#REF!</definedName>
    <definedName name="DepriciationMarProj">'[9]Monthly Break Up'!#REF!</definedName>
    <definedName name="DepriciationMayActual" localSheetId="9">'[9]Monthly Break Up'!#REF!</definedName>
    <definedName name="DepriciationMayActual">'[9]Monthly Break Up'!#REF!</definedName>
    <definedName name="DepriciationNovProj" localSheetId="9">'[9]Monthly Break Up'!#REF!</definedName>
    <definedName name="DepriciationNovProj">'[9]Monthly Break Up'!#REF!</definedName>
    <definedName name="DepriciationOctProj" localSheetId="9">'[9]Monthly Break Up'!#REF!</definedName>
    <definedName name="DepriciationOctProj">'[9]Monthly Break Up'!#REF!</definedName>
    <definedName name="DepriciationSepProj" localSheetId="9">'[9]Monthly Break Up'!#REF!</definedName>
    <definedName name="DepriciationSepProj">'[9]Monthly Break Up'!#REF!</definedName>
    <definedName name="DepSep" localSheetId="9">'[9]Monthly Break Up'!#REF!</definedName>
    <definedName name="DepSep">'[9]Monthly Break Up'!#REF!</definedName>
    <definedName name="DepSept" localSheetId="9">'[9]Monthly Break Up'!#REF!</definedName>
    <definedName name="DepSept">'[9]Monthly Break Up'!#REF!</definedName>
    <definedName name="ee">'[2]#REF'!$C$436</definedName>
    <definedName name="ex" localSheetId="2">#REF!</definedName>
    <definedName name="ex" localSheetId="9">#REF!</definedName>
    <definedName name="ex">#REF!</definedName>
    <definedName name="_xlnm.Extract" localSheetId="2">'[2]COST SHEET'!#REF!</definedName>
    <definedName name="_xlnm.Extract" localSheetId="9">'[2]COST SHEET'!#REF!</definedName>
    <definedName name="_xlnm.Extract">'[2]COST SHEET'!#REF!</definedName>
    <definedName name="EXTRUSION" localSheetId="2">'[2]COST SHEET'!#REF!</definedName>
    <definedName name="EXTRUSION" localSheetId="9">'[2]COST SHEET'!#REF!</definedName>
    <definedName name="EXTRUSION">'[2]COST SHEET'!#REF!</definedName>
    <definedName name="fgdsfdsf" hidden="1">[2]GROUPING!$F$440:$F$1029</definedName>
    <definedName name="G">[4]Details!$D$205</definedName>
    <definedName name="H.R.C." localSheetId="2">'[2]COST SHEET'!#REF!</definedName>
    <definedName name="H.R.C." localSheetId="9">'[2]COST SHEET'!#REF!</definedName>
    <definedName name="H.R.C.">'[2]COST SHEET'!#REF!</definedName>
    <definedName name="H.R.P" localSheetId="2">'[2]COST SHEET'!#REF!</definedName>
    <definedName name="H.R.P" localSheetId="9">'[2]COST SHEET'!#REF!</definedName>
    <definedName name="H.R.P">'[2]COST SHEET'!#REF!</definedName>
    <definedName name="HOTMETAL" localSheetId="2">'[2]COST SHEET'!#REF!</definedName>
    <definedName name="HOTMETAL" localSheetId="9">'[2]COST SHEET'!#REF!</definedName>
    <definedName name="HOTMETAL">'[2]COST SHEET'!#REF!</definedName>
    <definedName name="inr">[2]assumption!$D$64</definedName>
    <definedName name="jdjfkhdj" localSheetId="2">#REF!</definedName>
    <definedName name="jdjfkhdj" localSheetId="9">#REF!</definedName>
    <definedName name="jdjfkhdj">#REF!</definedName>
    <definedName name="k" localSheetId="2">#REF!</definedName>
    <definedName name="k">#REF!</definedName>
    <definedName name="kedar">'[2]#REF'!$C$10</definedName>
    <definedName name="Kedar1">'[2]OTHER RM'!$B$4:$H$26</definedName>
    <definedName name="lastname" localSheetId="2">'[2]#REF'!#REF!</definedName>
    <definedName name="lastname" localSheetId="9">'[2]#REF'!#REF!</definedName>
    <definedName name="lastname">'[2]#REF'!#REF!</definedName>
    <definedName name="Levelized_Tariff" localSheetId="2">[10]Assumption!#REF!</definedName>
    <definedName name="Levelized_Tariff">[10]Assumption!#REF!</definedName>
    <definedName name="MAINT_CONSUMPTION">'[2]#REF'!$B$2:$L$48</definedName>
    <definedName name="mar">[11]margin.!$I$17</definedName>
    <definedName name="may" localSheetId="2">#REF!</definedName>
    <definedName name="may" localSheetId="9">#REF!</definedName>
    <definedName name="may">#REF!</definedName>
    <definedName name="MGMETALS" localSheetId="2">[2]BREAKUP!#REF!</definedName>
    <definedName name="MGMETALS" localSheetId="9">[2]BREAKUP!#REF!</definedName>
    <definedName name="MGMETALS">[2]BREAKUP!#REF!</definedName>
    <definedName name="MHM">[4]Details!$D$156</definedName>
    <definedName name="misgroup" hidden="1">[2]GROUPING!$B$440:$B$1029</definedName>
    <definedName name="N" localSheetId="2">[2]BREAKUP!#REF!</definedName>
    <definedName name="N" localSheetId="9">[2]BREAKUP!#REF!</definedName>
    <definedName name="N">[2]BREAKUP!#REF!</definedName>
    <definedName name="NetProfit">'[2]#REF'!$G$56</definedName>
    <definedName name="om">'[2]#REF'!$C$327</definedName>
    <definedName name="OTHER_RM_SUM" localSheetId="2">'[2]rawmat break up'!#REF!</definedName>
    <definedName name="OTHER_RM_SUM" localSheetId="9">'[2]rawmat break up'!#REF!</definedName>
    <definedName name="OTHER_RM_SUM">'[2]rawmat break up'!#REF!</definedName>
    <definedName name="p" localSheetId="2">'[1]Top Sheet'!#REF!</definedName>
    <definedName name="p">'[1]Top Sheet'!#REF!</definedName>
    <definedName name="PATMonthActual" localSheetId="2">#REF!</definedName>
    <definedName name="PATMonthActual" localSheetId="9">#REF!</definedName>
    <definedName name="PATMonthActual">#REF!</definedName>
    <definedName name="PATYearActual" localSheetId="2">#REF!</definedName>
    <definedName name="PATYearActual" localSheetId="9">#REF!</definedName>
    <definedName name="PATYearActual">#REF!</definedName>
    <definedName name="PIG_CASTING" localSheetId="2">'[2]COST SHEET'!#REF!</definedName>
    <definedName name="PIG_CASTING" localSheetId="9">'[2]COST SHEET'!#REF!</definedName>
    <definedName name="PIG_CASTING">'[2]COST SHEET'!#REF!</definedName>
    <definedName name="post" localSheetId="2" hidden="1">#REF!</definedName>
    <definedName name="post" localSheetId="9" hidden="1">#REF!</definedName>
    <definedName name="post" hidden="1">#REF!</definedName>
    <definedName name="power" localSheetId="2">#REF!</definedName>
    <definedName name="power" localSheetId="9">#REF!</definedName>
    <definedName name="power">#REF!</definedName>
    <definedName name="print" localSheetId="2">#REF!</definedName>
    <definedName name="print" localSheetId="9">#REF!</definedName>
    <definedName name="print">#REF!</definedName>
    <definedName name="_xlnm.Print_Area" localSheetId="0">Assumption!$A$1:$F$73</definedName>
    <definedName name="_xlnm.Print_Area" localSheetId="3">depre!$A$1:$Z$31</definedName>
    <definedName name="_xlnm.Print_Area" localSheetId="6">'fixed cost'!$A$1:$Z$45</definedName>
    <definedName name="_xlnm.Print_Area" localSheetId="5">fuel!$A$1:$AD$78</definedName>
    <definedName name="_xlnm.Print_Area" localSheetId="9">PL!$A$1:$AA$35</definedName>
    <definedName name="_xlnm.Print_Area" localSheetId="4">'term loan '!$A$1:$Q$28</definedName>
    <definedName name="Print_Area_MI" localSheetId="2">#REF!</definedName>
    <definedName name="Print_Area_MI" localSheetId="9">#REF!</definedName>
    <definedName name="Print_Area_MI">#REF!</definedName>
    <definedName name="PRINT_TITLES_MI" localSheetId="2">'[1]Top Sheet'!#REF!</definedName>
    <definedName name="PRINT_TITLES_MI" localSheetId="9">'[1]Top Sheet'!#REF!</definedName>
    <definedName name="PRINT_TITLES_MI">'[1]Top Sheet'!#REF!</definedName>
    <definedName name="production" localSheetId="2">#REF!</definedName>
    <definedName name="production" localSheetId="9">#REF!</definedName>
    <definedName name="production">#REF!</definedName>
    <definedName name="PROFITLOSS" localSheetId="2">#REF!</definedName>
    <definedName name="PROFITLOSS" localSheetId="9">#REF!</definedName>
    <definedName name="PROFITLOSS">#REF!</definedName>
    <definedName name="Project_to_date">'[2]#REF'!$H$9:$J$32</definedName>
    <definedName name="PROPERZI" localSheetId="2">'[2]COST SHEET'!#REF!</definedName>
    <definedName name="PROPERZI" localSheetId="9">'[2]COST SHEET'!#REF!</definedName>
    <definedName name="PROPERZI">'[2]COST SHEET'!#REF!</definedName>
    <definedName name="rcop" localSheetId="2">#REF!</definedName>
    <definedName name="rcop" localSheetId="9">#REF!</definedName>
    <definedName name="rcop">#REF!</definedName>
    <definedName name="RCOP1">'[2]#REF'!$K$31</definedName>
    <definedName name="rcu">'[12]lot no 86'!$K$31</definedName>
    <definedName name="Re">[13]margin.!$L$4</definedName>
    <definedName name="REAL">'[2]#REF'!$Q$86</definedName>
    <definedName name="reali" localSheetId="2">#REF!</definedName>
    <definedName name="reali" localSheetId="9">#REF!</definedName>
    <definedName name="reali">#REF!</definedName>
    <definedName name="res">'[2]Break up of RMcost'!$D$5</definedName>
    <definedName name="resd" localSheetId="2">'[2]Top Sheet'!#REF!</definedName>
    <definedName name="resd" localSheetId="9">'[2]Top Sheet'!#REF!</definedName>
    <definedName name="resd">'[2]Top Sheet'!#REF!</definedName>
    <definedName name="RevenueDataEntry" localSheetId="2">'[2]Sales &amp;Sale Cost'!#REF!</definedName>
    <definedName name="RevenueDataEntry" localSheetId="9">'[2]Sales &amp;Sale Cost'!#REF!</definedName>
    <definedName name="RevenueDataEntry">'[2]Sales &amp;Sale Cost'!#REF!</definedName>
    <definedName name="rg" localSheetId="2">#REF!</definedName>
    <definedName name="rg" localSheetId="9">#REF!</definedName>
    <definedName name="rg">#REF!</definedName>
    <definedName name="rm">'[2]#REF'!$C$387</definedName>
    <definedName name="RM_VARIANCE">'[2]#REF'!$B$6:$Q$22</definedName>
    <definedName name="ROLLED_PRODUCTS" localSheetId="2">'[2]COST SHEET'!#REF!</definedName>
    <definedName name="ROLLED_PRODUCTS" localSheetId="9">'[2]COST SHEET'!#REF!</definedName>
    <definedName name="ROLLED_PRODUCTS">'[2]COST SHEET'!#REF!</definedName>
    <definedName name="rpd">'[12]lot no 86'!$K$29</definedName>
    <definedName name="rpt">'[12]lot no 86'!$K$28</definedName>
    <definedName name="rs" localSheetId="2">#REF!</definedName>
    <definedName name="rs" localSheetId="9">#REF!</definedName>
    <definedName name="rs">#REF!</definedName>
    <definedName name="SL">[4]Details!$D$195</definedName>
    <definedName name="SLAB_CASTING" localSheetId="2">'[2]COST SHEET'!#REF!</definedName>
    <definedName name="SLAB_CASTING" localSheetId="9">'[2]COST SHEET'!#REF!</definedName>
    <definedName name="SLAB_CASTING">'[2]COST SHEET'!#REF!</definedName>
    <definedName name="STEAM" localSheetId="2">#REF!</definedName>
    <definedName name="STEAM" localSheetId="9">#REF!</definedName>
    <definedName name="STEAM">#REF!</definedName>
    <definedName name="STEAM_PLANT" localSheetId="2">'[2]COST SHEET'!#REF!</definedName>
    <definedName name="STEAM_PLANT" localSheetId="9">'[2]COST SHEET'!#REF!</definedName>
    <definedName name="STEAM_PLANT">'[2]COST SHEET'!#REF!</definedName>
    <definedName name="StockMovementEntry">'[2]Stock Cal'!$A$100:$D$103</definedName>
    <definedName name="STORES">'[2]#REF'!$A$1:$L$61</definedName>
    <definedName name="STORES_DETAILS">'[2]#REF'!$A$4:$J$76</definedName>
    <definedName name="STORES_SUMMARY">'[2]#REF'!$B$78:$D$86</definedName>
    <definedName name="TB">'[2]#REF'!$A$1:$C$68</definedName>
    <definedName name="tonnes_railed_wmt">'[2]#REF'!$C$51:$N$51</definedName>
    <definedName name="Variance_analysis">'[2]#REF'!$A$73:$F$127</definedName>
    <definedName name="X">'[2]#REF'!$E$511:$E$539</definedName>
    <definedName name="z">[14]DETAILS!$C$5</definedName>
    <definedName name="Z_6D27EB6A_3939_4201_8E4B_897AA8118F21_.wvu.Cols" localSheetId="0" hidden="1">Assumption!#REF!</definedName>
    <definedName name="Z_6D27EB6A_3939_4201_8E4B_897AA8118F21_.wvu.PrintArea" localSheetId="0" hidden="1">Assumption!$A$1:$F$73</definedName>
    <definedName name="Z_6D27EB6A_3939_4201_8E4B_897AA8118F21_.wvu.PrintArea" localSheetId="3" hidden="1">depre!$A$1:$Z$24</definedName>
    <definedName name="Z_6D27EB6A_3939_4201_8E4B_897AA8118F21_.wvu.PrintArea" localSheetId="6" hidden="1">'fixed cost'!$A$1:$Z$45</definedName>
    <definedName name="Z_6D27EB6A_3939_4201_8E4B_897AA8118F21_.wvu.PrintArea" localSheetId="5" hidden="1">fuel!$A$1:$AD$72</definedName>
    <definedName name="Z_6D27EB6A_3939_4201_8E4B_897AA8118F21_.wvu.PrintArea" localSheetId="4" hidden="1">'term loan '!$A$1:$F$28</definedName>
  </definedNames>
  <calcPr calcId="125725"/>
  <customWorkbookViews>
    <customWorkbookView name="901604 - Personal View" guid="{6D27EB6A-3939-4201-8E4B-897AA8118F21}" mergeInterval="0" personalView="1" maximized="1" xWindow="1" yWindow="1" windowWidth="1360" windowHeight="520" tabRatio="599" activeSheetId="1"/>
  </customWorkbookViews>
</workbook>
</file>

<file path=xl/calcChain.xml><?xml version="1.0" encoding="utf-8"?>
<calcChain xmlns="http://schemas.openxmlformats.org/spreadsheetml/2006/main">
  <c r="B11" i="10"/>
  <c r="B13" s="1"/>
  <c r="D42" i="1" s="1"/>
  <c r="D10"/>
  <c r="D40" l="1"/>
  <c r="D41" s="1"/>
  <c r="D16"/>
  <c r="Q16" i="3"/>
  <c r="Q17"/>
  <c r="Q18"/>
  <c r="Q19"/>
  <c r="Q20"/>
  <c r="Q21"/>
  <c r="D64" i="1"/>
  <c r="D9"/>
  <c r="D50"/>
  <c r="D56"/>
  <c r="Z14" i="5" l="1"/>
  <c r="AA13" i="8"/>
  <c r="D53" i="1"/>
  <c r="B59" i="4" s="1"/>
  <c r="D63" i="1" l="1"/>
  <c r="B12" i="2" l="1"/>
  <c r="D49" i="1"/>
  <c r="B18" i="2"/>
  <c r="B38" i="7"/>
  <c r="B7" s="1"/>
  <c r="C5" i="8" l="1"/>
  <c r="G5" i="3"/>
  <c r="G6" s="1"/>
  <c r="G7" s="1"/>
  <c r="G8" s="1"/>
  <c r="G9" s="1"/>
  <c r="G10" s="1"/>
  <c r="G11" s="1"/>
  <c r="G12" s="1"/>
  <c r="G13" s="1"/>
  <c r="G14" s="1"/>
  <c r="G15" s="1"/>
  <c r="G16" s="1"/>
  <c r="G17" s="1"/>
  <c r="G18" s="1"/>
  <c r="G19" s="1"/>
  <c r="G20" s="1"/>
  <c r="G21" s="1"/>
  <c r="A34" i="1"/>
  <c r="Y44" i="4" l="1"/>
  <c r="Y45" s="1"/>
  <c r="W44"/>
  <c r="W45" s="1"/>
  <c r="U44"/>
  <c r="U45" s="1"/>
  <c r="S44"/>
  <c r="S45" s="1"/>
  <c r="Q44"/>
  <c r="Q45" s="1"/>
  <c r="O44"/>
  <c r="O45" s="1"/>
  <c r="M44"/>
  <c r="M45" s="1"/>
  <c r="K44"/>
  <c r="K45" s="1"/>
  <c r="I44"/>
  <c r="I45" s="1"/>
  <c r="G44"/>
  <c r="G45" s="1"/>
  <c r="E44"/>
  <c r="E45" s="1"/>
  <c r="C44"/>
  <c r="C45" s="1"/>
  <c r="Z44"/>
  <c r="Z45" s="1"/>
  <c r="X44"/>
  <c r="X45" s="1"/>
  <c r="V44"/>
  <c r="V45" s="1"/>
  <c r="T44"/>
  <c r="T45" s="1"/>
  <c r="R44"/>
  <c r="R45" s="1"/>
  <c r="P44"/>
  <c r="P45" s="1"/>
  <c r="N44"/>
  <c r="N45" s="1"/>
  <c r="L44"/>
  <c r="L45" s="1"/>
  <c r="J44"/>
  <c r="J45" s="1"/>
  <c r="H44"/>
  <c r="H45" s="1"/>
  <c r="F44"/>
  <c r="F45" s="1"/>
  <c r="D44"/>
  <c r="D45" s="1"/>
  <c r="B44"/>
  <c r="B45" s="1"/>
  <c r="Z38"/>
  <c r="X38"/>
  <c r="V38"/>
  <c r="T38"/>
  <c r="R38"/>
  <c r="P38"/>
  <c r="N38"/>
  <c r="L38"/>
  <c r="J38"/>
  <c r="H38"/>
  <c r="F38"/>
  <c r="D38"/>
  <c r="B38"/>
  <c r="Y38"/>
  <c r="W38"/>
  <c r="U38"/>
  <c r="S38"/>
  <c r="Q38"/>
  <c r="O38"/>
  <c r="M38"/>
  <c r="K38"/>
  <c r="I38"/>
  <c r="G38"/>
  <c r="E38"/>
  <c r="C38"/>
  <c r="Y37"/>
  <c r="W37"/>
  <c r="U37"/>
  <c r="S37"/>
  <c r="Q37"/>
  <c r="O37"/>
  <c r="M37"/>
  <c r="K37"/>
  <c r="I37"/>
  <c r="G37"/>
  <c r="E37"/>
  <c r="C37"/>
  <c r="Z37"/>
  <c r="X37"/>
  <c r="V37"/>
  <c r="T37"/>
  <c r="R37"/>
  <c r="P37"/>
  <c r="N37"/>
  <c r="L37"/>
  <c r="J37"/>
  <c r="H37"/>
  <c r="F37"/>
  <c r="D37"/>
  <c r="B37"/>
  <c r="E39" l="1"/>
  <c r="I39"/>
  <c r="M39"/>
  <c r="Q39"/>
  <c r="U39"/>
  <c r="Y39"/>
  <c r="D39"/>
  <c r="H39"/>
  <c r="L39"/>
  <c r="P39"/>
  <c r="T39"/>
  <c r="X39"/>
  <c r="C39"/>
  <c r="G39"/>
  <c r="K39"/>
  <c r="O39"/>
  <c r="S39"/>
  <c r="W39"/>
  <c r="B39"/>
  <c r="F39"/>
  <c r="J39"/>
  <c r="N39"/>
  <c r="R39"/>
  <c r="V39"/>
  <c r="Z39"/>
  <c r="C2" i="5"/>
  <c r="D2" s="1"/>
  <c r="E2" s="1"/>
  <c r="F2" s="1"/>
  <c r="G2" s="1"/>
  <c r="H2" s="1"/>
  <c r="I2" s="1"/>
  <c r="J2" s="1"/>
  <c r="K2" s="1"/>
  <c r="L2" s="1"/>
  <c r="M2" s="1"/>
  <c r="N2" s="1"/>
  <c r="O2" s="1"/>
  <c r="P2" s="1"/>
  <c r="Q2" s="1"/>
  <c r="R2" s="1"/>
  <c r="S2" s="1"/>
  <c r="T2" s="1"/>
  <c r="U2" s="1"/>
  <c r="V2" s="1"/>
  <c r="W2" s="1"/>
  <c r="X2" s="1"/>
  <c r="Y2" s="1"/>
  <c r="Z2" s="1"/>
  <c r="B74" i="4" l="1"/>
  <c r="B76" s="1"/>
  <c r="Z18"/>
  <c r="Z19" s="1"/>
  <c r="U18"/>
  <c r="U19" s="1"/>
  <c r="S18"/>
  <c r="S19" s="1"/>
  <c r="Q18"/>
  <c r="Q19" s="1"/>
  <c r="O18"/>
  <c r="O19" s="1"/>
  <c r="M18"/>
  <c r="M19" s="1"/>
  <c r="K18"/>
  <c r="K19" s="1"/>
  <c r="J18"/>
  <c r="J19" s="1"/>
  <c r="I18"/>
  <c r="I19" s="1"/>
  <c r="H18"/>
  <c r="H19" s="1"/>
  <c r="G18"/>
  <c r="G19" s="1"/>
  <c r="F18"/>
  <c r="F19" s="1"/>
  <c r="E18"/>
  <c r="E19" s="1"/>
  <c r="D18"/>
  <c r="D19" s="1"/>
  <c r="C18"/>
  <c r="C19" s="1"/>
  <c r="B18"/>
  <c r="B19" s="1"/>
  <c r="Z22" l="1"/>
  <c r="X22"/>
  <c r="V22"/>
  <c r="T22"/>
  <c r="R22"/>
  <c r="P22"/>
  <c r="N22"/>
  <c r="L22"/>
  <c r="J22"/>
  <c r="H22"/>
  <c r="F22"/>
  <c r="D22"/>
  <c r="B22"/>
  <c r="Y22"/>
  <c r="W22"/>
  <c r="U22"/>
  <c r="S22"/>
  <c r="Q22"/>
  <c r="O22"/>
  <c r="M22"/>
  <c r="K22"/>
  <c r="I22"/>
  <c r="G22"/>
  <c r="E22"/>
  <c r="C22"/>
  <c r="W18"/>
  <c r="W19" s="1"/>
  <c r="Y18"/>
  <c r="Y19" s="1"/>
  <c r="L18"/>
  <c r="L19" s="1"/>
  <c r="N18"/>
  <c r="N19" s="1"/>
  <c r="P18"/>
  <c r="P19" s="1"/>
  <c r="R18"/>
  <c r="R19" s="1"/>
  <c r="T18"/>
  <c r="T19" s="1"/>
  <c r="V18"/>
  <c r="V19" s="1"/>
  <c r="X18"/>
  <c r="X19" s="1"/>
  <c r="D6" i="1"/>
  <c r="Z12" i="5" l="1"/>
  <c r="AA21" i="8" s="1"/>
  <c r="X12" i="5"/>
  <c r="Y21" i="8" s="1"/>
  <c r="V12" i="5"/>
  <c r="W21" i="8" s="1"/>
  <c r="T12" i="5"/>
  <c r="U21" i="8" s="1"/>
  <c r="R12" i="5"/>
  <c r="S21" i="8" s="1"/>
  <c r="P12" i="5"/>
  <c r="Q21" i="8" s="1"/>
  <c r="N12" i="5"/>
  <c r="O21" i="8" s="1"/>
  <c r="L12" i="5"/>
  <c r="M21" i="8" s="1"/>
  <c r="J12" i="5"/>
  <c r="K21" i="8" s="1"/>
  <c r="H12" i="5"/>
  <c r="I21" i="8" s="1"/>
  <c r="F12" i="5"/>
  <c r="G21" i="8" s="1"/>
  <c r="D12" i="5"/>
  <c r="E21" i="8" s="1"/>
  <c r="B12" i="5"/>
  <c r="C21" i="8" s="1"/>
  <c r="Y12" i="5"/>
  <c r="Z21" i="8" s="1"/>
  <c r="W12" i="5"/>
  <c r="X21" i="8" s="1"/>
  <c r="U12" i="5"/>
  <c r="V21" i="8" s="1"/>
  <c r="S12" i="5"/>
  <c r="T21" i="8" s="1"/>
  <c r="Q12" i="5"/>
  <c r="R21" i="8" s="1"/>
  <c r="O12" i="5"/>
  <c r="P21" i="8" s="1"/>
  <c r="M12" i="5"/>
  <c r="N21" i="8" s="1"/>
  <c r="K12" i="5"/>
  <c r="L21" i="8" s="1"/>
  <c r="I12" i="5"/>
  <c r="J21" i="8" s="1"/>
  <c r="G12" i="5"/>
  <c r="H21" i="8" s="1"/>
  <c r="E12" i="5"/>
  <c r="F21" i="8" s="1"/>
  <c r="C12" i="5"/>
  <c r="D21" i="8" s="1"/>
  <c r="A1" i="7"/>
  <c r="C10" i="4"/>
  <c r="D10" s="1"/>
  <c r="E10" s="1"/>
  <c r="F10" s="1"/>
  <c r="B3"/>
  <c r="A5"/>
  <c r="A4"/>
  <c r="A3"/>
  <c r="G10" l="1"/>
  <c r="H10" s="1"/>
  <c r="I10" s="1"/>
  <c r="J10" s="1"/>
  <c r="K10" s="1"/>
  <c r="L10" s="1"/>
  <c r="M10" s="1"/>
  <c r="N10" s="1"/>
  <c r="O10" s="1"/>
  <c r="P10" s="1"/>
  <c r="Q10" s="1"/>
  <c r="R10" s="1"/>
  <c r="S10" s="1"/>
  <c r="T10" s="1"/>
  <c r="U10" s="1"/>
  <c r="V10" s="1"/>
  <c r="W10" s="1"/>
  <c r="X10" s="1"/>
  <c r="Y10" s="1"/>
  <c r="Z10" s="1"/>
  <c r="AA10" s="1"/>
  <c r="AB10" s="1"/>
  <c r="AC10" s="1"/>
  <c r="AD10" s="1"/>
  <c r="D29" i="1" l="1"/>
  <c r="A22" i="2"/>
  <c r="C2"/>
  <c r="D2" l="1"/>
  <c r="D5" i="8"/>
  <c r="C3" i="4"/>
  <c r="B5" i="2"/>
  <c r="B6" i="4"/>
  <c r="C6" i="8" l="1"/>
  <c r="B5" i="4"/>
  <c r="B16" s="1"/>
  <c r="B3" i="5" s="1"/>
  <c r="B1" i="7" s="1"/>
  <c r="E2" i="2"/>
  <c r="E5" i="8"/>
  <c r="D3" i="4"/>
  <c r="C6"/>
  <c r="C5" i="2"/>
  <c r="B17"/>
  <c r="B22" s="1"/>
  <c r="B26" s="1"/>
  <c r="B24" i="7" l="1"/>
  <c r="B35"/>
  <c r="D6" i="8"/>
  <c r="C5" i="4"/>
  <c r="C16" s="1"/>
  <c r="C3" i="5" s="1"/>
  <c r="C1" i="7" s="1"/>
  <c r="F2" i="2"/>
  <c r="F5" i="8"/>
  <c r="E3" i="4"/>
  <c r="D6"/>
  <c r="D5" i="2"/>
  <c r="C17"/>
  <c r="C22" s="1"/>
  <c r="C26" s="1"/>
  <c r="C24" i="7" l="1"/>
  <c r="C35"/>
  <c r="E6" i="8"/>
  <c r="D5" i="4"/>
  <c r="D16" s="1"/>
  <c r="D3" i="5" s="1"/>
  <c r="D1" i="7" s="1"/>
  <c r="G2" i="2"/>
  <c r="G5" i="8"/>
  <c r="F3" i="4"/>
  <c r="E6"/>
  <c r="E5" i="2"/>
  <c r="D17"/>
  <c r="D22" s="1"/>
  <c r="D26" s="1"/>
  <c r="D24" i="7" l="1"/>
  <c r="D35"/>
  <c r="F6" i="8"/>
  <c r="E5" i="4"/>
  <c r="E16" s="1"/>
  <c r="E3" i="5" s="1"/>
  <c r="E1" i="7" s="1"/>
  <c r="H2" i="2"/>
  <c r="H5" i="8"/>
  <c r="G3" i="4"/>
  <c r="F6"/>
  <c r="F5" i="2"/>
  <c r="E17"/>
  <c r="E22" s="1"/>
  <c r="E26" s="1"/>
  <c r="E24" i="7" l="1"/>
  <c r="E35"/>
  <c r="G6" i="8"/>
  <c r="F5" i="4"/>
  <c r="F16" s="1"/>
  <c r="F3" i="5" s="1"/>
  <c r="F1" i="7" s="1"/>
  <c r="I2" i="2"/>
  <c r="I5" i="8"/>
  <c r="H3" i="4"/>
  <c r="G6"/>
  <c r="G5" i="2"/>
  <c r="F17"/>
  <c r="F22" s="1"/>
  <c r="F26" s="1"/>
  <c r="F24" i="7" l="1"/>
  <c r="F35"/>
  <c r="H6" i="8"/>
  <c r="G5" i="4"/>
  <c r="G16" s="1"/>
  <c r="G3" i="5" s="1"/>
  <c r="G1" i="7" s="1"/>
  <c r="J2" i="2"/>
  <c r="J5" i="8"/>
  <c r="I3" i="4"/>
  <c r="H6"/>
  <c r="H5" i="2"/>
  <c r="G17"/>
  <c r="G22" s="1"/>
  <c r="G26" s="1"/>
  <c r="G24" i="7" l="1"/>
  <c r="G35"/>
  <c r="I6" i="8"/>
  <c r="H5" i="4"/>
  <c r="H16" s="1"/>
  <c r="H3" i="5" s="1"/>
  <c r="H1" i="7" s="1"/>
  <c r="H24" s="1"/>
  <c r="K2" i="2"/>
  <c r="K5" i="8"/>
  <c r="J3" i="4"/>
  <c r="I6"/>
  <c r="I5" i="2"/>
  <c r="H17"/>
  <c r="H22" s="1"/>
  <c r="H26" s="1"/>
  <c r="H35" i="7" l="1"/>
  <c r="J6" i="8"/>
  <c r="I5" i="4"/>
  <c r="I16" s="1"/>
  <c r="I3" i="5" s="1"/>
  <c r="I1" i="7" s="1"/>
  <c r="I24" s="1"/>
  <c r="L2" i="2"/>
  <c r="L5" i="8"/>
  <c r="K3" i="4"/>
  <c r="J6"/>
  <c r="J5" i="2"/>
  <c r="I17"/>
  <c r="I22" s="1"/>
  <c r="I26" s="1"/>
  <c r="I35" i="7" l="1"/>
  <c r="K6" i="8"/>
  <c r="J5" i="4"/>
  <c r="J16" s="1"/>
  <c r="J3" i="5" s="1"/>
  <c r="J1" i="7" s="1"/>
  <c r="J24" s="1"/>
  <c r="M2" i="2"/>
  <c r="M5" i="8"/>
  <c r="L3" i="4"/>
  <c r="K6"/>
  <c r="K5" i="2"/>
  <c r="J17"/>
  <c r="J22" s="1"/>
  <c r="J26" s="1"/>
  <c r="J35" i="7" l="1"/>
  <c r="L6" i="8"/>
  <c r="K5" i="4"/>
  <c r="K16" s="1"/>
  <c r="K3" i="5" s="1"/>
  <c r="K1" i="7" s="1"/>
  <c r="K24" s="1"/>
  <c r="N2" i="2"/>
  <c r="N5" i="8"/>
  <c r="M3" i="4"/>
  <c r="L6"/>
  <c r="L5" i="2"/>
  <c r="K17"/>
  <c r="K22" s="1"/>
  <c r="K26" s="1"/>
  <c r="K35" i="7" l="1"/>
  <c r="M6" i="8"/>
  <c r="L5" i="4"/>
  <c r="L16" s="1"/>
  <c r="L3" i="5" s="1"/>
  <c r="L1" i="7" s="1"/>
  <c r="L24" s="1"/>
  <c r="O2" i="2"/>
  <c r="O5" i="8"/>
  <c r="N3" i="4"/>
  <c r="M6"/>
  <c r="M5" i="2"/>
  <c r="L17"/>
  <c r="L22" s="1"/>
  <c r="L26" s="1"/>
  <c r="L35" i="7" l="1"/>
  <c r="N6" i="8"/>
  <c r="M5" i="4"/>
  <c r="M16" s="1"/>
  <c r="M3" i="5" s="1"/>
  <c r="M1" i="7" s="1"/>
  <c r="M24" s="1"/>
  <c r="P2" i="2"/>
  <c r="P5" i="8"/>
  <c r="O3" i="4"/>
  <c r="N6"/>
  <c r="N5" i="2"/>
  <c r="M17"/>
  <c r="M22" s="1"/>
  <c r="M26" s="1"/>
  <c r="M35" i="7" l="1"/>
  <c r="O6" i="8"/>
  <c r="N5" i="4"/>
  <c r="N16" s="1"/>
  <c r="N3" i="5" s="1"/>
  <c r="N1" i="7" s="1"/>
  <c r="N24" s="1"/>
  <c r="Q2" i="2"/>
  <c r="Q5" i="8"/>
  <c r="P3" i="4"/>
  <c r="O6"/>
  <c r="O5" i="2"/>
  <c r="N17"/>
  <c r="N22" s="1"/>
  <c r="N26" s="1"/>
  <c r="N35" i="7" l="1"/>
  <c r="P6" i="8"/>
  <c r="O5" i="4"/>
  <c r="O16" s="1"/>
  <c r="O3" i="5" s="1"/>
  <c r="O1" i="7" s="1"/>
  <c r="O24" s="1"/>
  <c r="R2" i="2"/>
  <c r="R5" i="8"/>
  <c r="Q3" i="4"/>
  <c r="P6"/>
  <c r="P5" i="2"/>
  <c r="O17"/>
  <c r="O22" s="1"/>
  <c r="O26" s="1"/>
  <c r="O35" i="7" l="1"/>
  <c r="Q6" i="8"/>
  <c r="P5" i="4"/>
  <c r="P16" s="1"/>
  <c r="P3" i="5" s="1"/>
  <c r="P1" i="7" s="1"/>
  <c r="S2" i="2"/>
  <c r="S5" i="8"/>
  <c r="R3" i="4"/>
  <c r="Q6"/>
  <c r="Q5" i="2"/>
  <c r="P17"/>
  <c r="P22" s="1"/>
  <c r="P26" s="1"/>
  <c r="P24" i="7" l="1"/>
  <c r="B14"/>
  <c r="C14"/>
  <c r="D14"/>
  <c r="E14"/>
  <c r="F14"/>
  <c r="G14"/>
  <c r="P35"/>
  <c r="R6" i="8"/>
  <c r="Q5" i="4"/>
  <c r="Q16" s="1"/>
  <c r="Q3" i="5" s="1"/>
  <c r="Q1" i="7" s="1"/>
  <c r="Q24" s="1"/>
  <c r="T2" i="2"/>
  <c r="T5" i="8"/>
  <c r="S3" i="4"/>
  <c r="R6"/>
  <c r="R5" i="2"/>
  <c r="Q17"/>
  <c r="Q22" s="1"/>
  <c r="Q26" s="1"/>
  <c r="Q35" i="7" l="1"/>
  <c r="S6" i="8"/>
  <c r="R5" i="4"/>
  <c r="R16" s="1"/>
  <c r="R3" i="5" s="1"/>
  <c r="R1" i="7" s="1"/>
  <c r="R24" s="1"/>
  <c r="U2" i="2"/>
  <c r="U5" i="8"/>
  <c r="T3" i="4"/>
  <c r="S6"/>
  <c r="S5" i="2"/>
  <c r="R17"/>
  <c r="R22" s="1"/>
  <c r="R26" s="1"/>
  <c r="R35" i="7" l="1"/>
  <c r="T6" i="8"/>
  <c r="S5" i="4"/>
  <c r="S16" s="1"/>
  <c r="S3" i="5" s="1"/>
  <c r="S1" i="7" s="1"/>
  <c r="S24" s="1"/>
  <c r="V2" i="2"/>
  <c r="V5" i="8"/>
  <c r="U3" i="4"/>
  <c r="T6"/>
  <c r="T5" i="2"/>
  <c r="S17"/>
  <c r="S22" s="1"/>
  <c r="S26" s="1"/>
  <c r="S35" i="7" l="1"/>
  <c r="U6" i="8"/>
  <c r="T5" i="4"/>
  <c r="T16" s="1"/>
  <c r="T3" i="5" s="1"/>
  <c r="T1" i="7" s="1"/>
  <c r="T24" s="1"/>
  <c r="W2" i="2"/>
  <c r="W5" i="8"/>
  <c r="V3" i="4"/>
  <c r="U6"/>
  <c r="U5" i="2"/>
  <c r="T17"/>
  <c r="T22" s="1"/>
  <c r="T26" s="1"/>
  <c r="T35" i="7" l="1"/>
  <c r="V6" i="8"/>
  <c r="U5" i="4"/>
  <c r="U16" s="1"/>
  <c r="U3" i="5" s="1"/>
  <c r="U1" i="7" s="1"/>
  <c r="U24" s="1"/>
  <c r="X2" i="2"/>
  <c r="X5" i="8"/>
  <c r="W3" i="4"/>
  <c r="V6"/>
  <c r="V5" i="2"/>
  <c r="U17"/>
  <c r="U22" s="1"/>
  <c r="U26" s="1"/>
  <c r="U35" i="7" l="1"/>
  <c r="W6" i="8"/>
  <c r="V5" i="4"/>
  <c r="V16" s="1"/>
  <c r="V3" i="5" s="1"/>
  <c r="V1" i="7" s="1"/>
  <c r="V24" s="1"/>
  <c r="Y2" i="2"/>
  <c r="Y5" i="8"/>
  <c r="X3" i="4"/>
  <c r="W6"/>
  <c r="W5" i="2"/>
  <c r="V17"/>
  <c r="V22" s="1"/>
  <c r="V26" s="1"/>
  <c r="V35" i="7" l="1"/>
  <c r="X6" i="8"/>
  <c r="W5" i="4"/>
  <c r="W16" s="1"/>
  <c r="W3" i="5" s="1"/>
  <c r="W1" i="7" s="1"/>
  <c r="W24" s="1"/>
  <c r="Z2" i="2"/>
  <c r="Z5" i="8"/>
  <c r="Y3" i="4"/>
  <c r="X6"/>
  <c r="X5" i="2"/>
  <c r="W17"/>
  <c r="W22" s="1"/>
  <c r="W26" s="1"/>
  <c r="W35" i="7" l="1"/>
  <c r="Y6" i="8"/>
  <c r="X5" i="4"/>
  <c r="X16" s="1"/>
  <c r="X3" i="5" s="1"/>
  <c r="X1" i="7" s="1"/>
  <c r="X24" s="1"/>
  <c r="AA5" i="8"/>
  <c r="Z3" i="4"/>
  <c r="Y6"/>
  <c r="Y5" i="2"/>
  <c r="X17"/>
  <c r="X22" s="1"/>
  <c r="X26" s="1"/>
  <c r="X35" i="7" l="1"/>
  <c r="Z6" i="8"/>
  <c r="Y5" i="4"/>
  <c r="Y16" s="1"/>
  <c r="Y3" i="5" s="1"/>
  <c r="Y1" i="7" s="1"/>
  <c r="Y24" s="1"/>
  <c r="Z6" i="4"/>
  <c r="Z5" i="2"/>
  <c r="Y17"/>
  <c r="Y22" s="1"/>
  <c r="Y26" s="1"/>
  <c r="Y35" i="7" l="1"/>
  <c r="Z17" i="2"/>
  <c r="Z22" s="1"/>
  <c r="Z26" s="1"/>
  <c r="AA6" i="8"/>
  <c r="Z5" i="4"/>
  <c r="Z16" s="1"/>
  <c r="Z3" i="5" s="1"/>
  <c r="Z1" i="7" s="1"/>
  <c r="Z24" s="1"/>
  <c r="Z18" i="5"/>
  <c r="X18"/>
  <c r="V18"/>
  <c r="T18"/>
  <c r="R18"/>
  <c r="Y18"/>
  <c r="W18"/>
  <c r="U18"/>
  <c r="S18"/>
  <c r="Q18"/>
  <c r="Z35" i="7" l="1"/>
  <c r="B13" i="2"/>
  <c r="B14" l="1"/>
  <c r="B4" i="7"/>
  <c r="X4" i="2" l="1"/>
  <c r="P4"/>
  <c r="H4"/>
  <c r="T4"/>
  <c r="L4"/>
  <c r="D4"/>
  <c r="Y4"/>
  <c r="W4"/>
  <c r="U4"/>
  <c r="S4"/>
  <c r="Q4"/>
  <c r="Z4"/>
  <c r="V4"/>
  <c r="R4"/>
  <c r="N4"/>
  <c r="J4"/>
  <c r="F4"/>
  <c r="O4"/>
  <c r="M4"/>
  <c r="K4"/>
  <c r="I4"/>
  <c r="G4"/>
  <c r="E4"/>
  <c r="C4"/>
  <c r="H7" i="8" l="1"/>
  <c r="G3" i="2"/>
  <c r="G11" i="5" s="1"/>
  <c r="P7" i="8"/>
  <c r="O3" i="2"/>
  <c r="O11" i="5" s="1"/>
  <c r="S7" i="8"/>
  <c r="R3" i="2"/>
  <c r="R11" i="5" s="1"/>
  <c r="T7" i="8"/>
  <c r="S3" i="2"/>
  <c r="S11" i="5" s="1"/>
  <c r="F7" i="8"/>
  <c r="E3" i="2"/>
  <c r="E11" i="5" s="1"/>
  <c r="J7" i="8"/>
  <c r="I3" i="2"/>
  <c r="I11" i="5" s="1"/>
  <c r="N7" i="8"/>
  <c r="M3" i="2"/>
  <c r="M11" i="5" s="1"/>
  <c r="G7" i="8"/>
  <c r="F3" i="2"/>
  <c r="F11" i="5" s="1"/>
  <c r="O7" i="8"/>
  <c r="N3" i="2"/>
  <c r="N11" i="5" s="1"/>
  <c r="W7" i="8"/>
  <c r="V3" i="2"/>
  <c r="V11" i="5" s="1"/>
  <c r="R7" i="8"/>
  <c r="Q3" i="2"/>
  <c r="Q11" i="5" s="1"/>
  <c r="V7" i="8"/>
  <c r="U3" i="2"/>
  <c r="U11" i="5" s="1"/>
  <c r="Z7" i="8"/>
  <c r="Y3" i="2"/>
  <c r="Y11" i="5" s="1"/>
  <c r="M7" i="8"/>
  <c r="L3" i="2"/>
  <c r="L11" i="5" s="1"/>
  <c r="I7" i="8"/>
  <c r="H3" i="2"/>
  <c r="H11" i="5" s="1"/>
  <c r="Y7" i="8"/>
  <c r="X3" i="2"/>
  <c r="X11" i="5" s="1"/>
  <c r="D7" i="8"/>
  <c r="C3" i="2"/>
  <c r="C11" i="5" s="1"/>
  <c r="L7" i="8"/>
  <c r="K3" i="2"/>
  <c r="K11" i="5" s="1"/>
  <c r="K7" i="8"/>
  <c r="J3" i="2"/>
  <c r="J11" i="5" s="1"/>
  <c r="AA7" i="8"/>
  <c r="Z3" i="2"/>
  <c r="Z11" i="5" s="1"/>
  <c r="X7" i="8"/>
  <c r="W3" i="2"/>
  <c r="W11" i="5" s="1"/>
  <c r="E7" i="8"/>
  <c r="D3" i="2"/>
  <c r="D11" i="5" s="1"/>
  <c r="U7" i="8"/>
  <c r="T3" i="2"/>
  <c r="T11" i="5" s="1"/>
  <c r="Q7" i="8"/>
  <c r="P3" i="2"/>
  <c r="P11" i="5" s="1"/>
  <c r="E4" i="4"/>
  <c r="I4"/>
  <c r="M4"/>
  <c r="F4"/>
  <c r="N4"/>
  <c r="V4"/>
  <c r="Q4"/>
  <c r="U4"/>
  <c r="Y4"/>
  <c r="L4"/>
  <c r="H4"/>
  <c r="X4"/>
  <c r="C4"/>
  <c r="G4"/>
  <c r="K4"/>
  <c r="O4"/>
  <c r="J4"/>
  <c r="R4"/>
  <c r="Z4"/>
  <c r="S4"/>
  <c r="W4"/>
  <c r="D4"/>
  <c r="T4"/>
  <c r="P4"/>
  <c r="D17" i="1"/>
  <c r="B18" i="5"/>
  <c r="C18"/>
  <c r="D18"/>
  <c r="E18"/>
  <c r="F18"/>
  <c r="G18"/>
  <c r="H18"/>
  <c r="I18"/>
  <c r="J18"/>
  <c r="K18"/>
  <c r="L18"/>
  <c r="M18"/>
  <c r="N18"/>
  <c r="O18"/>
  <c r="P18"/>
  <c r="B11" i="4"/>
  <c r="C11" s="1"/>
  <c r="D11" s="1"/>
  <c r="E11" s="1"/>
  <c r="F11" s="1"/>
  <c r="G11" s="1"/>
  <c r="H11" s="1"/>
  <c r="I11" s="1"/>
  <c r="J11" s="1"/>
  <c r="K11" s="1"/>
  <c r="L11" s="1"/>
  <c r="M11" s="1"/>
  <c r="N11" s="1"/>
  <c r="O11" s="1"/>
  <c r="P11" s="1"/>
  <c r="Q11" s="1"/>
  <c r="R11" s="1"/>
  <c r="S11" s="1"/>
  <c r="T11" s="1"/>
  <c r="C59"/>
  <c r="D59" s="1"/>
  <c r="E59" s="1"/>
  <c r="F59" s="1"/>
  <c r="B54"/>
  <c r="C54" s="1"/>
  <c r="B58"/>
  <c r="C58" s="1"/>
  <c r="D58" s="1"/>
  <c r="E58" s="1"/>
  <c r="F58" s="1"/>
  <c r="G58" s="1"/>
  <c r="H58" s="1"/>
  <c r="I58" s="1"/>
  <c r="J58" s="1"/>
  <c r="K58" s="1"/>
  <c r="L58" s="1"/>
  <c r="M58" s="1"/>
  <c r="N58" s="1"/>
  <c r="O58" s="1"/>
  <c r="P58" s="1"/>
  <c r="Q58" s="1"/>
  <c r="R58" s="1"/>
  <c r="S58" s="1"/>
  <c r="T58" s="1"/>
  <c r="U58" s="1"/>
  <c r="V58" s="1"/>
  <c r="W58" s="1"/>
  <c r="X58" s="1"/>
  <c r="Y58" s="1"/>
  <c r="Z58" s="1"/>
  <c r="C12"/>
  <c r="A5" i="3"/>
  <c r="A6" s="1"/>
  <c r="A7" s="1"/>
  <c r="A8" s="1"/>
  <c r="A9" s="1"/>
  <c r="A10" s="1"/>
  <c r="A11" s="1"/>
  <c r="A12" s="1"/>
  <c r="A13" s="1"/>
  <c r="A14" s="1"/>
  <c r="A15" s="1"/>
  <c r="A16" s="1"/>
  <c r="A17" s="1"/>
  <c r="A18" s="1"/>
  <c r="A19" s="1"/>
  <c r="A20" s="1"/>
  <c r="A21" s="1"/>
  <c r="D18" i="1" l="1"/>
  <c r="K6" i="3"/>
  <c r="O6"/>
  <c r="K7"/>
  <c r="O7"/>
  <c r="K8"/>
  <c r="O8"/>
  <c r="K9"/>
  <c r="O9"/>
  <c r="K10"/>
  <c r="O10"/>
  <c r="K11"/>
  <c r="O11"/>
  <c r="K12"/>
  <c r="O12"/>
  <c r="K13"/>
  <c r="O13"/>
  <c r="K14"/>
  <c r="O14"/>
  <c r="K15"/>
  <c r="O15"/>
  <c r="M5"/>
  <c r="I5"/>
  <c r="I6"/>
  <c r="M6"/>
  <c r="I7"/>
  <c r="M7"/>
  <c r="I8"/>
  <c r="M8"/>
  <c r="I9"/>
  <c r="M9"/>
  <c r="I10"/>
  <c r="M10"/>
  <c r="I11"/>
  <c r="M11"/>
  <c r="I12"/>
  <c r="M12"/>
  <c r="I13"/>
  <c r="M13"/>
  <c r="I14"/>
  <c r="M14"/>
  <c r="I15"/>
  <c r="M15"/>
  <c r="O5"/>
  <c r="K5"/>
  <c r="P39" i="5"/>
  <c r="P42"/>
  <c r="D39"/>
  <c r="D42"/>
  <c r="Z39"/>
  <c r="Z42"/>
  <c r="K42"/>
  <c r="K39"/>
  <c r="X39"/>
  <c r="X42"/>
  <c r="L39"/>
  <c r="L42"/>
  <c r="U42"/>
  <c r="U39"/>
  <c r="Q42"/>
  <c r="Q39"/>
  <c r="F39"/>
  <c r="F42"/>
  <c r="R39"/>
  <c r="R42"/>
  <c r="T39"/>
  <c r="T42"/>
  <c r="W42"/>
  <c r="W39"/>
  <c r="J39"/>
  <c r="J42"/>
  <c r="C42"/>
  <c r="C39"/>
  <c r="H39"/>
  <c r="H42"/>
  <c r="Y42"/>
  <c r="Y39"/>
  <c r="V39"/>
  <c r="V42"/>
  <c r="N39"/>
  <c r="N42"/>
  <c r="M42"/>
  <c r="M39"/>
  <c r="I42"/>
  <c r="I39"/>
  <c r="E42"/>
  <c r="E39"/>
  <c r="S42"/>
  <c r="S39"/>
  <c r="O42"/>
  <c r="O39"/>
  <c r="G42"/>
  <c r="G39"/>
  <c r="B55" i="4"/>
  <c r="D54"/>
  <c r="D55" s="1"/>
  <c r="C62"/>
  <c r="C66" s="1"/>
  <c r="C70" s="1"/>
  <c r="U12"/>
  <c r="U11"/>
  <c r="C55"/>
  <c r="C13"/>
  <c r="D12"/>
  <c r="G59"/>
  <c r="E12"/>
  <c r="C25" i="3"/>
  <c r="B31" i="2" l="1"/>
  <c r="J19" i="8"/>
  <c r="G19"/>
  <c r="W19"/>
  <c r="V19"/>
  <c r="M19"/>
  <c r="Y19"/>
  <c r="H19"/>
  <c r="P19"/>
  <c r="S19"/>
  <c r="T19"/>
  <c r="E19"/>
  <c r="Q19"/>
  <c r="F19"/>
  <c r="N19"/>
  <c r="O19"/>
  <c r="R19"/>
  <c r="Z19"/>
  <c r="I19"/>
  <c r="D19"/>
  <c r="L19"/>
  <c r="K19"/>
  <c r="AA19"/>
  <c r="X19"/>
  <c r="U19"/>
  <c r="E54" i="4"/>
  <c r="E62" s="1"/>
  <c r="E66" s="1"/>
  <c r="D62"/>
  <c r="D63" s="1"/>
  <c r="D31" s="1"/>
  <c r="U13"/>
  <c r="R17" s="1"/>
  <c r="R20" s="1"/>
  <c r="R21" s="1"/>
  <c r="V11"/>
  <c r="V12"/>
  <c r="D13"/>
  <c r="C67"/>
  <c r="C63"/>
  <c r="C31" s="1"/>
  <c r="C71"/>
  <c r="F12"/>
  <c r="E13"/>
  <c r="B17" s="1"/>
  <c r="B20" s="1"/>
  <c r="B21" s="1"/>
  <c r="H59"/>
  <c r="C27" i="3"/>
  <c r="C26"/>
  <c r="F54" i="4" l="1"/>
  <c r="F55" s="1"/>
  <c r="E55"/>
  <c r="C28"/>
  <c r="D8" i="8"/>
  <c r="B4" i="3"/>
  <c r="H4"/>
  <c r="U41" i="8"/>
  <c r="U38"/>
  <c r="X41"/>
  <c r="X38"/>
  <c r="AA41"/>
  <c r="AA38"/>
  <c r="K41"/>
  <c r="K38"/>
  <c r="L41"/>
  <c r="L38"/>
  <c r="D41"/>
  <c r="D38"/>
  <c r="I41"/>
  <c r="I38"/>
  <c r="Z41"/>
  <c r="Z38"/>
  <c r="R41"/>
  <c r="R38"/>
  <c r="O41"/>
  <c r="O38"/>
  <c r="N41"/>
  <c r="N38"/>
  <c r="F41"/>
  <c r="F38"/>
  <c r="Q41"/>
  <c r="Q38"/>
  <c r="E41"/>
  <c r="E38"/>
  <c r="T41"/>
  <c r="T38"/>
  <c r="S41"/>
  <c r="S38"/>
  <c r="P41"/>
  <c r="P38"/>
  <c r="H41"/>
  <c r="H38"/>
  <c r="Y41"/>
  <c r="Y38"/>
  <c r="M41"/>
  <c r="M38"/>
  <c r="V41"/>
  <c r="V38"/>
  <c r="W41"/>
  <c r="W38"/>
  <c r="G41"/>
  <c r="G38"/>
  <c r="J41"/>
  <c r="J38"/>
  <c r="D32" i="4"/>
  <c r="D40"/>
  <c r="C32"/>
  <c r="C40"/>
  <c r="G54"/>
  <c r="G62" s="1"/>
  <c r="G66" s="1"/>
  <c r="E63"/>
  <c r="E31" s="1"/>
  <c r="D66"/>
  <c r="D67" s="1"/>
  <c r="F62"/>
  <c r="F66" s="1"/>
  <c r="V13"/>
  <c r="S17" s="1"/>
  <c r="S20" s="1"/>
  <c r="S21" s="1"/>
  <c r="W11"/>
  <c r="W12"/>
  <c r="I59"/>
  <c r="G12"/>
  <c r="F13"/>
  <c r="C17" s="1"/>
  <c r="C20" s="1"/>
  <c r="C21" s="1"/>
  <c r="E70"/>
  <c r="C18" i="2"/>
  <c r="C23" s="1"/>
  <c r="B19"/>
  <c r="J4" i="3" l="1"/>
  <c r="L4" s="1"/>
  <c r="N4" s="1"/>
  <c r="P4" s="1"/>
  <c r="H5" s="1"/>
  <c r="B7" i="2"/>
  <c r="E32" i="4"/>
  <c r="E40"/>
  <c r="C46"/>
  <c r="C47" s="1"/>
  <c r="C41"/>
  <c r="C33" s="1"/>
  <c r="C34" s="1"/>
  <c r="C23" s="1"/>
  <c r="C24" s="1"/>
  <c r="C25" s="1"/>
  <c r="D41"/>
  <c r="D33" s="1"/>
  <c r="D34" s="1"/>
  <c r="D23" s="1"/>
  <c r="D24" s="1"/>
  <c r="D46"/>
  <c r="D47" s="1"/>
  <c r="H54"/>
  <c r="H62" s="1"/>
  <c r="H66" s="1"/>
  <c r="F63"/>
  <c r="F31" s="1"/>
  <c r="D70"/>
  <c r="D71" s="1"/>
  <c r="E67"/>
  <c r="W13"/>
  <c r="T17" s="1"/>
  <c r="T20" s="1"/>
  <c r="T21" s="1"/>
  <c r="X12"/>
  <c r="X11"/>
  <c r="H12"/>
  <c r="G13"/>
  <c r="D17" s="1"/>
  <c r="D20" s="1"/>
  <c r="D21" s="1"/>
  <c r="D25" s="1"/>
  <c r="G63"/>
  <c r="G31" s="1"/>
  <c r="J59"/>
  <c r="E71"/>
  <c r="F70"/>
  <c r="G55"/>
  <c r="C12" i="2"/>
  <c r="D18"/>
  <c r="D23" s="1"/>
  <c r="C24"/>
  <c r="C8" s="1"/>
  <c r="C10" i="5" s="1"/>
  <c r="C19" i="2"/>
  <c r="J5" i="3" l="1"/>
  <c r="L5" s="1"/>
  <c r="N5" s="1"/>
  <c r="P5" s="1"/>
  <c r="H6" s="1"/>
  <c r="J6" s="1"/>
  <c r="L6" s="1"/>
  <c r="N6" s="1"/>
  <c r="P6" s="1"/>
  <c r="H7" s="1"/>
  <c r="D48" i="4"/>
  <c r="D26" s="1"/>
  <c r="C48"/>
  <c r="C26" s="1"/>
  <c r="C40" i="5"/>
  <c r="D39" i="8"/>
  <c r="C7" i="2"/>
  <c r="E28" i="4"/>
  <c r="F8" i="8"/>
  <c r="D28" i="4"/>
  <c r="E8" i="8"/>
  <c r="G32" i="4"/>
  <c r="G40"/>
  <c r="F32"/>
  <c r="F40"/>
  <c r="E46"/>
  <c r="E47" s="1"/>
  <c r="E41"/>
  <c r="E33" s="1"/>
  <c r="E34" s="1"/>
  <c r="E23" s="1"/>
  <c r="E24" s="1"/>
  <c r="H55"/>
  <c r="C5" i="3"/>
  <c r="C6" s="1"/>
  <c r="C7" s="1"/>
  <c r="C8" s="1"/>
  <c r="C9" s="1"/>
  <c r="C10" s="1"/>
  <c r="C11" s="1"/>
  <c r="C12" s="1"/>
  <c r="C13" s="1"/>
  <c r="C14" s="1"/>
  <c r="C15" s="1"/>
  <c r="I54" i="4"/>
  <c r="I62" s="1"/>
  <c r="I66" s="1"/>
  <c r="X13"/>
  <c r="U17" s="1"/>
  <c r="U20" s="1"/>
  <c r="U21" s="1"/>
  <c r="Y12"/>
  <c r="Y11"/>
  <c r="C13" i="2"/>
  <c r="F67" i="4"/>
  <c r="K59"/>
  <c r="G67"/>
  <c r="I12"/>
  <c r="H13"/>
  <c r="E17" s="1"/>
  <c r="E20" s="1"/>
  <c r="E21" s="1"/>
  <c r="E25" s="1"/>
  <c r="F71"/>
  <c r="G70"/>
  <c r="D24" i="2"/>
  <c r="D8" s="1"/>
  <c r="D10" i="5" s="1"/>
  <c r="D19" i="2"/>
  <c r="E18"/>
  <c r="E23" s="1"/>
  <c r="Q5" i="3" l="1"/>
  <c r="D26" i="8" s="1"/>
  <c r="Q6" i="3"/>
  <c r="D40" i="8"/>
  <c r="C41" i="5"/>
  <c r="C27" i="4"/>
  <c r="D20" i="8" s="1"/>
  <c r="D22" s="1"/>
  <c r="D41" i="5"/>
  <c r="E40" i="8"/>
  <c r="D27" i="4"/>
  <c r="E20" i="8" s="1"/>
  <c r="E22" s="1"/>
  <c r="E48" i="4"/>
  <c r="E26" s="1"/>
  <c r="D40" i="5"/>
  <c r="E39" i="8"/>
  <c r="F28" i="4"/>
  <c r="G8" i="8"/>
  <c r="D7" i="2"/>
  <c r="J7" i="3"/>
  <c r="L7" s="1"/>
  <c r="N7" s="1"/>
  <c r="P7" s="1"/>
  <c r="H8" s="1"/>
  <c r="J54" i="4"/>
  <c r="J62" s="1"/>
  <c r="J66" s="1"/>
  <c r="F39" i="8"/>
  <c r="F41" i="4"/>
  <c r="F33" s="1"/>
  <c r="F34" s="1"/>
  <c r="F23" s="1"/>
  <c r="F24" s="1"/>
  <c r="F46"/>
  <c r="F47" s="1"/>
  <c r="G46"/>
  <c r="G47" s="1"/>
  <c r="G41"/>
  <c r="G33" s="1"/>
  <c r="G34" s="1"/>
  <c r="G23" s="1"/>
  <c r="G24" s="1"/>
  <c r="C14" i="2"/>
  <c r="D12" s="1"/>
  <c r="D13" s="1"/>
  <c r="C4" i="7"/>
  <c r="Y13" i="4"/>
  <c r="V17" s="1"/>
  <c r="V20" s="1"/>
  <c r="V21" s="1"/>
  <c r="Z11"/>
  <c r="Z12"/>
  <c r="I63"/>
  <c r="I31" s="1"/>
  <c r="I70"/>
  <c r="H67"/>
  <c r="H70"/>
  <c r="J12"/>
  <c r="I13"/>
  <c r="F17" s="1"/>
  <c r="F20" s="1"/>
  <c r="F21" s="1"/>
  <c r="L59"/>
  <c r="G71"/>
  <c r="H63"/>
  <c r="H31" s="1"/>
  <c r="I55"/>
  <c r="E24" i="2"/>
  <c r="E8" s="1"/>
  <c r="E10" i="5" s="1"/>
  <c r="E19" i="2"/>
  <c r="F18"/>
  <c r="F23" s="1"/>
  <c r="Q7" i="3" l="1"/>
  <c r="C29" i="4"/>
  <c r="C5" i="5"/>
  <c r="C6" s="1"/>
  <c r="D29" i="4"/>
  <c r="D5" i="5"/>
  <c r="D6" s="1"/>
  <c r="F25" i="4"/>
  <c r="F40" i="8"/>
  <c r="E41" i="5"/>
  <c r="F48" i="4"/>
  <c r="F26" s="1"/>
  <c r="G48"/>
  <c r="G26" s="1"/>
  <c r="K54"/>
  <c r="K62" s="1"/>
  <c r="K66" s="1"/>
  <c r="E27"/>
  <c r="E5" i="5" s="1"/>
  <c r="E40"/>
  <c r="E26" i="8"/>
  <c r="E7" i="2"/>
  <c r="J55" i="4"/>
  <c r="G28"/>
  <c r="H8" i="8"/>
  <c r="J8" i="3"/>
  <c r="L8" s="1"/>
  <c r="N8" s="1"/>
  <c r="P8" s="1"/>
  <c r="H9" s="1"/>
  <c r="G39" i="8"/>
  <c r="H32" i="4"/>
  <c r="H40"/>
  <c r="I32"/>
  <c r="I40"/>
  <c r="D14" i="2"/>
  <c r="E12" s="1"/>
  <c r="E13" s="1"/>
  <c r="D4" i="7"/>
  <c r="Z13" i="4"/>
  <c r="W17" s="1"/>
  <c r="W20" s="1"/>
  <c r="W21" s="1"/>
  <c r="AA12"/>
  <c r="AA11"/>
  <c r="M59"/>
  <c r="K12"/>
  <c r="J13"/>
  <c r="G17" s="1"/>
  <c r="G20" s="1"/>
  <c r="G21" s="1"/>
  <c r="L54"/>
  <c r="J63"/>
  <c r="J31" s="1"/>
  <c r="I67"/>
  <c r="H71"/>
  <c r="G18" i="2"/>
  <c r="G23" s="1"/>
  <c r="F24"/>
  <c r="F8" s="1"/>
  <c r="F10" i="5" s="1"/>
  <c r="F19" i="2"/>
  <c r="Q8" i="3" l="1"/>
  <c r="K55" i="4"/>
  <c r="G41" i="5"/>
  <c r="H40" i="8"/>
  <c r="F41" i="5"/>
  <c r="G40" i="8"/>
  <c r="G25" i="4"/>
  <c r="H39" i="8" s="1"/>
  <c r="E6" i="5"/>
  <c r="E29" i="4"/>
  <c r="F20" i="8"/>
  <c r="F22" s="1"/>
  <c r="F27" i="4"/>
  <c r="F40" i="5"/>
  <c r="F7" i="2"/>
  <c r="F26" i="8"/>
  <c r="H28" i="4"/>
  <c r="I8" i="8"/>
  <c r="J9" i="3"/>
  <c r="L9" s="1"/>
  <c r="N9" s="1"/>
  <c r="P9" s="1"/>
  <c r="H10" s="1"/>
  <c r="J32" i="4"/>
  <c r="J40"/>
  <c r="I46"/>
  <c r="I47" s="1"/>
  <c r="I41"/>
  <c r="I33" s="1"/>
  <c r="I34" s="1"/>
  <c r="I23" s="1"/>
  <c r="I24" s="1"/>
  <c r="H41"/>
  <c r="H33" s="1"/>
  <c r="H34" s="1"/>
  <c r="H23" s="1"/>
  <c r="H24" s="1"/>
  <c r="H46"/>
  <c r="H47" s="1"/>
  <c r="E14" i="2"/>
  <c r="F12" s="1"/>
  <c r="E4" i="7"/>
  <c r="L62" i="4"/>
  <c r="L66" s="1"/>
  <c r="AA13"/>
  <c r="X17" s="1"/>
  <c r="X20" s="1"/>
  <c r="X21" s="1"/>
  <c r="AB11"/>
  <c r="AB12"/>
  <c r="I71"/>
  <c r="L12"/>
  <c r="K13"/>
  <c r="H17" s="1"/>
  <c r="H20" s="1"/>
  <c r="H21" s="1"/>
  <c r="H25" s="1"/>
  <c r="K63"/>
  <c r="K31" s="1"/>
  <c r="N59"/>
  <c r="K70"/>
  <c r="L55"/>
  <c r="M54"/>
  <c r="J70"/>
  <c r="H18" i="2"/>
  <c r="H23" s="1"/>
  <c r="G24"/>
  <c r="G8" s="1"/>
  <c r="G10" i="5" s="1"/>
  <c r="G19" i="2"/>
  <c r="Q9" i="3" l="1"/>
  <c r="F29" i="4"/>
  <c r="F5" i="5"/>
  <c r="F6" s="1"/>
  <c r="I48" i="4"/>
  <c r="I26" s="1"/>
  <c r="G27"/>
  <c r="H48"/>
  <c r="H26" s="1"/>
  <c r="G40" i="5"/>
  <c r="G20" i="8"/>
  <c r="G22" s="1"/>
  <c r="G26"/>
  <c r="G7" i="2"/>
  <c r="I28" i="4"/>
  <c r="J8" i="8"/>
  <c r="J10" i="3"/>
  <c r="L10" s="1"/>
  <c r="N10" s="1"/>
  <c r="P10" s="1"/>
  <c r="H11" s="1"/>
  <c r="I39" i="8"/>
  <c r="K32" i="4"/>
  <c r="K40"/>
  <c r="J41"/>
  <c r="J33" s="1"/>
  <c r="J34" s="1"/>
  <c r="J23" s="1"/>
  <c r="J24" s="1"/>
  <c r="J46"/>
  <c r="J47" s="1"/>
  <c r="M62"/>
  <c r="M66" s="1"/>
  <c r="AB13"/>
  <c r="Y17" s="1"/>
  <c r="Y20" s="1"/>
  <c r="Y21" s="1"/>
  <c r="AC12"/>
  <c r="AC11"/>
  <c r="F13" i="2"/>
  <c r="J67" i="4"/>
  <c r="J71"/>
  <c r="N54"/>
  <c r="L70"/>
  <c r="O59"/>
  <c r="K71"/>
  <c r="L63"/>
  <c r="L31" s="1"/>
  <c r="M12"/>
  <c r="L13"/>
  <c r="I17" s="1"/>
  <c r="I20" s="1"/>
  <c r="I21" s="1"/>
  <c r="K67"/>
  <c r="H24" i="2"/>
  <c r="H8" s="1"/>
  <c r="H10" i="5" s="1"/>
  <c r="H19" i="2"/>
  <c r="I18"/>
  <c r="I23" s="1"/>
  <c r="Q10" i="3" l="1"/>
  <c r="G29" i="4"/>
  <c r="G5" i="5"/>
  <c r="G6" s="1"/>
  <c r="I40" i="8"/>
  <c r="H41" i="5"/>
  <c r="J40" i="8"/>
  <c r="I41" i="5"/>
  <c r="J48" i="4"/>
  <c r="J26" s="1"/>
  <c r="H20" i="8"/>
  <c r="H22" s="1"/>
  <c r="I25" i="4"/>
  <c r="J39" i="8" s="1"/>
  <c r="H27" i="4"/>
  <c r="H40" i="5"/>
  <c r="H7" i="2"/>
  <c r="J28" i="4"/>
  <c r="K8" i="8"/>
  <c r="H26"/>
  <c r="K28" i="4"/>
  <c r="L8" i="8"/>
  <c r="J11" i="3"/>
  <c r="L11" s="1"/>
  <c r="N11" s="1"/>
  <c r="P11" s="1"/>
  <c r="H12" s="1"/>
  <c r="L32" i="4"/>
  <c r="L40"/>
  <c r="K46"/>
  <c r="K47" s="1"/>
  <c r="K41"/>
  <c r="K33" s="1"/>
  <c r="K34" s="1"/>
  <c r="K23" s="1"/>
  <c r="K24" s="1"/>
  <c r="F14" i="2"/>
  <c r="G12" s="1"/>
  <c r="G13" s="1"/>
  <c r="F4" i="7"/>
  <c r="N62" i="4"/>
  <c r="N66" s="1"/>
  <c r="AC13"/>
  <c r="Z17" s="1"/>
  <c r="Z20" s="1"/>
  <c r="Z21" s="1"/>
  <c r="AD11"/>
  <c r="AD12"/>
  <c r="N12"/>
  <c r="M13"/>
  <c r="J17" s="1"/>
  <c r="J20" s="1"/>
  <c r="J21" s="1"/>
  <c r="O54"/>
  <c r="M70"/>
  <c r="L71"/>
  <c r="N55"/>
  <c r="P59"/>
  <c r="Q59" s="1"/>
  <c r="L67"/>
  <c r="M55"/>
  <c r="J18" i="2"/>
  <c r="J23" s="1"/>
  <c r="I24"/>
  <c r="I8" s="1"/>
  <c r="I10" i="5" s="1"/>
  <c r="I19" i="2"/>
  <c r="Q11" i="3" l="1"/>
  <c r="H29" i="4"/>
  <c r="H5" i="5"/>
  <c r="I40"/>
  <c r="J41"/>
  <c r="K40" i="8"/>
  <c r="K48" i="4"/>
  <c r="K26" s="1"/>
  <c r="J25"/>
  <c r="K39" i="8" s="1"/>
  <c r="I27" i="4"/>
  <c r="I20" i="8"/>
  <c r="I22" s="1"/>
  <c r="H6" i="5"/>
  <c r="I7" i="2"/>
  <c r="J12" i="3"/>
  <c r="L12" s="1"/>
  <c r="N12" s="1"/>
  <c r="P12" s="1"/>
  <c r="H13" s="1"/>
  <c r="L28" i="4"/>
  <c r="M8" i="8"/>
  <c r="I26"/>
  <c r="L41" i="4"/>
  <c r="L33" s="1"/>
  <c r="L34" s="1"/>
  <c r="L23" s="1"/>
  <c r="L24" s="1"/>
  <c r="L46"/>
  <c r="L47" s="1"/>
  <c r="G14" i="2"/>
  <c r="H12" s="1"/>
  <c r="H13" s="1"/>
  <c r="G4" i="7"/>
  <c r="O62" i="4"/>
  <c r="O66" s="1"/>
  <c r="R59"/>
  <c r="AD13"/>
  <c r="M71"/>
  <c r="N63"/>
  <c r="N31" s="1"/>
  <c r="N70"/>
  <c r="P54"/>
  <c r="O55"/>
  <c r="O12"/>
  <c r="N13"/>
  <c r="K17" s="1"/>
  <c r="K20" s="1"/>
  <c r="K21" s="1"/>
  <c r="M63"/>
  <c r="M31" s="1"/>
  <c r="K18" i="2"/>
  <c r="K23" s="1"/>
  <c r="J24"/>
  <c r="J8" s="1"/>
  <c r="J10" i="5" s="1"/>
  <c r="J19" i="2"/>
  <c r="Q12" i="3" l="1"/>
  <c r="I29" i="4"/>
  <c r="I5" i="5"/>
  <c r="I6" s="1"/>
  <c r="J27" i="4"/>
  <c r="K20" i="8" s="1"/>
  <c r="K22" s="1"/>
  <c r="J20"/>
  <c r="J22" s="1"/>
  <c r="L40"/>
  <c r="K41" i="5"/>
  <c r="L48" i="4"/>
  <c r="L26" s="1"/>
  <c r="K25"/>
  <c r="L39" i="8" s="1"/>
  <c r="J40" i="5"/>
  <c r="J7" i="2"/>
  <c r="J26" i="8"/>
  <c r="M28" i="4"/>
  <c r="N8" i="8"/>
  <c r="J13" i="3"/>
  <c r="L13" s="1"/>
  <c r="N13" s="1"/>
  <c r="P13" s="1"/>
  <c r="H14" s="1"/>
  <c r="M32" i="4"/>
  <c r="M40"/>
  <c r="N32"/>
  <c r="N40"/>
  <c r="H14" i="2"/>
  <c r="I12" s="1"/>
  <c r="I13" s="1"/>
  <c r="H4" i="7"/>
  <c r="S59" i="4"/>
  <c r="Q54"/>
  <c r="R54" s="1"/>
  <c r="P62"/>
  <c r="P66" s="1"/>
  <c r="Q55"/>
  <c r="M67"/>
  <c r="P12"/>
  <c r="O13"/>
  <c r="L17" s="1"/>
  <c r="L20" s="1"/>
  <c r="L21" s="1"/>
  <c r="O70"/>
  <c r="N71"/>
  <c r="O63"/>
  <c r="O31" s="1"/>
  <c r="N67"/>
  <c r="L18" i="2"/>
  <c r="L23" s="1"/>
  <c r="K24"/>
  <c r="K8" s="1"/>
  <c r="K10" i="5" s="1"/>
  <c r="K19" i="2"/>
  <c r="Q13" i="3" l="1"/>
  <c r="J29" i="4"/>
  <c r="J5" i="5"/>
  <c r="K27" i="4"/>
  <c r="J6" i="5"/>
  <c r="L41"/>
  <c r="M40" i="8"/>
  <c r="L25" i="4"/>
  <c r="M39" i="8" s="1"/>
  <c r="K40" i="5"/>
  <c r="L20" i="8"/>
  <c r="L22" s="1"/>
  <c r="K7" i="2"/>
  <c r="J14" i="3"/>
  <c r="L14" s="1"/>
  <c r="N14" s="1"/>
  <c r="P14" s="1"/>
  <c r="H15" s="1"/>
  <c r="N28" i="4"/>
  <c r="O8" i="8"/>
  <c r="K26"/>
  <c r="O32" i="4"/>
  <c r="O40"/>
  <c r="N41"/>
  <c r="N33" s="1"/>
  <c r="N34" s="1"/>
  <c r="N23" s="1"/>
  <c r="N24" s="1"/>
  <c r="N46"/>
  <c r="N47" s="1"/>
  <c r="M46"/>
  <c r="M47" s="1"/>
  <c r="M41"/>
  <c r="M33" s="1"/>
  <c r="M34" s="1"/>
  <c r="M23" s="1"/>
  <c r="M24" s="1"/>
  <c r="I14" i="2"/>
  <c r="J12" s="1"/>
  <c r="J13" s="1"/>
  <c r="I4" i="7"/>
  <c r="R62" i="4"/>
  <c r="R66" s="1"/>
  <c r="R67" s="1"/>
  <c r="Q62"/>
  <c r="Q66" s="1"/>
  <c r="Q67" s="1"/>
  <c r="T59"/>
  <c r="R55"/>
  <c r="S54"/>
  <c r="P55"/>
  <c r="O67"/>
  <c r="P63"/>
  <c r="P31" s="1"/>
  <c r="P70"/>
  <c r="Q12"/>
  <c r="P13"/>
  <c r="M17" s="1"/>
  <c r="M20" s="1"/>
  <c r="M21" s="1"/>
  <c r="L24" i="2"/>
  <c r="L8" s="1"/>
  <c r="L10" i="5" s="1"/>
  <c r="M18" i="2"/>
  <c r="M23" s="1"/>
  <c r="L19"/>
  <c r="Q14" i="3" l="1"/>
  <c r="M25" i="4"/>
  <c r="L27"/>
  <c r="L29" s="1"/>
  <c r="K29"/>
  <c r="K5" i="5"/>
  <c r="K6" s="1"/>
  <c r="M48" i="4"/>
  <c r="M26" s="1"/>
  <c r="N48"/>
  <c r="N26" s="1"/>
  <c r="L40" i="5"/>
  <c r="M20" i="8"/>
  <c r="M22" s="1"/>
  <c r="R63" i="4"/>
  <c r="R31" s="1"/>
  <c r="R40" s="1"/>
  <c r="L7" i="2"/>
  <c r="L26" i="8"/>
  <c r="J15" i="3"/>
  <c r="L15" s="1"/>
  <c r="N15" s="1"/>
  <c r="P15" s="1"/>
  <c r="N39" i="8"/>
  <c r="P32" i="4"/>
  <c r="P40"/>
  <c r="O46"/>
  <c r="O47" s="1"/>
  <c r="O41"/>
  <c r="O33" s="1"/>
  <c r="O34" s="1"/>
  <c r="O23" s="1"/>
  <c r="O24" s="1"/>
  <c r="J14" i="2"/>
  <c r="K12" s="1"/>
  <c r="K13" s="1"/>
  <c r="J4" i="7"/>
  <c r="Q63" i="4"/>
  <c r="Q31" s="1"/>
  <c r="S62"/>
  <c r="S66" s="1"/>
  <c r="S67" s="1"/>
  <c r="R70"/>
  <c r="R71" s="1"/>
  <c r="Q70"/>
  <c r="Q71" s="1"/>
  <c r="U59"/>
  <c r="T54"/>
  <c r="S55"/>
  <c r="O71"/>
  <c r="R12"/>
  <c r="Q13"/>
  <c r="N17" s="1"/>
  <c r="N20" s="1"/>
  <c r="N21" s="1"/>
  <c r="P71"/>
  <c r="P67"/>
  <c r="M24" i="2"/>
  <c r="M8" s="1"/>
  <c r="M10" i="5" s="1"/>
  <c r="N18" i="2"/>
  <c r="M19"/>
  <c r="Q15" i="3" l="1"/>
  <c r="N26" i="8" s="1"/>
  <c r="L5" i="5"/>
  <c r="L6" s="1"/>
  <c r="O40" i="8"/>
  <c r="N41" i="5"/>
  <c r="N40" i="8"/>
  <c r="M41" i="5"/>
  <c r="O48" i="4"/>
  <c r="O26" s="1"/>
  <c r="N25"/>
  <c r="O39" i="8" s="1"/>
  <c r="R32" i="4"/>
  <c r="M27"/>
  <c r="M40" i="5"/>
  <c r="M7" i="2"/>
  <c r="M26" i="8"/>
  <c r="P28" i="4"/>
  <c r="Q8" i="8"/>
  <c r="R28" i="4"/>
  <c r="S8" i="8"/>
  <c r="O28" i="4"/>
  <c r="P8" i="8"/>
  <c r="Q28" i="4"/>
  <c r="R8" i="8"/>
  <c r="Q32" i="4"/>
  <c r="Q40"/>
  <c r="R41"/>
  <c r="R33" s="1"/>
  <c r="R46"/>
  <c r="R47" s="1"/>
  <c r="P41"/>
  <c r="P33" s="1"/>
  <c r="P34" s="1"/>
  <c r="P23" s="1"/>
  <c r="P24" s="1"/>
  <c r="P46"/>
  <c r="P47" s="1"/>
  <c r="S63"/>
  <c r="S31" s="1"/>
  <c r="K14" i="2"/>
  <c r="L12" s="1"/>
  <c r="L13" s="1"/>
  <c r="K4" i="7"/>
  <c r="T62" i="4"/>
  <c r="T63" s="1"/>
  <c r="T31" s="1"/>
  <c r="S70"/>
  <c r="S71" s="1"/>
  <c r="V59"/>
  <c r="T55"/>
  <c r="U54"/>
  <c r="S12"/>
  <c r="T12"/>
  <c r="T13" s="1"/>
  <c r="Q17" s="1"/>
  <c r="Q20" s="1"/>
  <c r="Q21" s="1"/>
  <c r="R13"/>
  <c r="O17" s="1"/>
  <c r="O20" s="1"/>
  <c r="O21" s="1"/>
  <c r="O18" i="2"/>
  <c r="N19"/>
  <c r="N27" i="4" l="1"/>
  <c r="N29" s="1"/>
  <c r="M29"/>
  <c r="M5" i="5"/>
  <c r="M6" s="1"/>
  <c r="O41"/>
  <c r="P40" i="8"/>
  <c r="P48" i="4"/>
  <c r="P26" s="1"/>
  <c r="R48"/>
  <c r="R26" s="1"/>
  <c r="O25"/>
  <c r="P39" i="8" s="1"/>
  <c r="N40" i="5"/>
  <c r="R34" i="4"/>
  <c r="R23" s="1"/>
  <c r="R24" s="1"/>
  <c r="N20" i="8"/>
  <c r="N22" s="1"/>
  <c r="N7" i="2"/>
  <c r="S28" i="4"/>
  <c r="T8" i="8"/>
  <c r="T32" i="4"/>
  <c r="T40"/>
  <c r="S32"/>
  <c r="S40"/>
  <c r="Q46"/>
  <c r="Q47" s="1"/>
  <c r="Q41"/>
  <c r="Q33" s="1"/>
  <c r="Q34" s="1"/>
  <c r="Q23" s="1"/>
  <c r="Q24" s="1"/>
  <c r="Q25" s="1"/>
  <c r="T66"/>
  <c r="T67" s="1"/>
  <c r="L4" i="7"/>
  <c r="U62" i="4"/>
  <c r="U63" s="1"/>
  <c r="U31" s="1"/>
  <c r="W59"/>
  <c r="V54"/>
  <c r="U55"/>
  <c r="S13"/>
  <c r="P17" s="1"/>
  <c r="P20" s="1"/>
  <c r="P21" s="1"/>
  <c r="L14" i="2"/>
  <c r="M12" s="1"/>
  <c r="P18"/>
  <c r="O19"/>
  <c r="N5" i="5" l="1"/>
  <c r="N6" s="1"/>
  <c r="O20" i="8"/>
  <c r="O22" s="1"/>
  <c r="Q40"/>
  <c r="P41" i="5"/>
  <c r="R41"/>
  <c r="S40" i="8"/>
  <c r="R25" i="4"/>
  <c r="R27" s="1"/>
  <c r="R5" i="5" s="1"/>
  <c r="Q48" i="4"/>
  <c r="Q26" s="1"/>
  <c r="O40" i="5"/>
  <c r="P25" i="4"/>
  <c r="Q39" i="8" s="1"/>
  <c r="O27" i="4"/>
  <c r="Q40" i="5"/>
  <c r="R39" i="8"/>
  <c r="O7" i="2"/>
  <c r="U32" i="4"/>
  <c r="U40"/>
  <c r="S46"/>
  <c r="S47" s="1"/>
  <c r="S41"/>
  <c r="S33" s="1"/>
  <c r="S34" s="1"/>
  <c r="S23" s="1"/>
  <c r="S24" s="1"/>
  <c r="S25" s="1"/>
  <c r="T41"/>
  <c r="T33" s="1"/>
  <c r="T34" s="1"/>
  <c r="T23" s="1"/>
  <c r="T24" s="1"/>
  <c r="T25" s="1"/>
  <c r="T46"/>
  <c r="T47" s="1"/>
  <c r="T70"/>
  <c r="T71" s="1"/>
  <c r="U66"/>
  <c r="U67" s="1"/>
  <c r="V62"/>
  <c r="V66" s="1"/>
  <c r="V67" s="1"/>
  <c r="X59"/>
  <c r="V55"/>
  <c r="W54"/>
  <c r="M13" i="2"/>
  <c r="Q18"/>
  <c r="P19"/>
  <c r="S39" i="8" l="1"/>
  <c r="O29" i="4"/>
  <c r="O5" i="5"/>
  <c r="O6" s="1"/>
  <c r="R40" i="8"/>
  <c r="Q41" i="5"/>
  <c r="Q27" i="4"/>
  <c r="P40" i="5"/>
  <c r="R40"/>
  <c r="S20" i="8"/>
  <c r="S22" s="1"/>
  <c r="R6" i="5"/>
  <c r="R29" i="4"/>
  <c r="S48"/>
  <c r="S26" s="1"/>
  <c r="P20" i="8"/>
  <c r="P22" s="1"/>
  <c r="T48" i="4"/>
  <c r="T26" s="1"/>
  <c r="P27"/>
  <c r="R20" i="8"/>
  <c r="R22" s="1"/>
  <c r="T40" i="5"/>
  <c r="U39" i="8"/>
  <c r="S40" i="5"/>
  <c r="T39" i="8"/>
  <c r="Q20"/>
  <c r="Q22" s="1"/>
  <c r="P7" i="2"/>
  <c r="U70" i="4"/>
  <c r="U71" s="1"/>
  <c r="U28" s="1"/>
  <c r="T28"/>
  <c r="U8" i="8"/>
  <c r="U46" i="4"/>
  <c r="U47" s="1"/>
  <c r="U41"/>
  <c r="U33" s="1"/>
  <c r="U34" s="1"/>
  <c r="U23" s="1"/>
  <c r="U24" s="1"/>
  <c r="U25" s="1"/>
  <c r="V63"/>
  <c r="V31" s="1"/>
  <c r="M4" i="7"/>
  <c r="Q19" i="2"/>
  <c r="R18"/>
  <c r="S18" s="1"/>
  <c r="W62" i="4"/>
  <c r="W66" s="1"/>
  <c r="W67" s="1"/>
  <c r="V70"/>
  <c r="V71" s="1"/>
  <c r="Y59"/>
  <c r="X54"/>
  <c r="W55"/>
  <c r="M14" i="2"/>
  <c r="N12" s="1"/>
  <c r="Q29" i="4" l="1"/>
  <c r="Q5" i="5"/>
  <c r="Q6" s="1"/>
  <c r="P29" i="4"/>
  <c r="P5" i="5"/>
  <c r="P6" s="1"/>
  <c r="T40" i="8"/>
  <c r="S27" i="4"/>
  <c r="S41" i="5"/>
  <c r="T41"/>
  <c r="U40" i="8"/>
  <c r="T27" i="4"/>
  <c r="U48"/>
  <c r="U26" s="1"/>
  <c r="U40" i="5"/>
  <c r="V39" i="8"/>
  <c r="Q7" i="2"/>
  <c r="V8" i="8"/>
  <c r="V28" i="4"/>
  <c r="W8" i="8"/>
  <c r="V32" i="4"/>
  <c r="V40"/>
  <c r="R19" i="2"/>
  <c r="W63" i="4"/>
  <c r="W31" s="1"/>
  <c r="X62"/>
  <c r="X66" s="1"/>
  <c r="X67" s="1"/>
  <c r="W70"/>
  <c r="W71" s="1"/>
  <c r="Z59"/>
  <c r="X55"/>
  <c r="Y54"/>
  <c r="N13" i="2"/>
  <c r="T18"/>
  <c r="S19"/>
  <c r="U20" i="8" l="1"/>
  <c r="U22" s="1"/>
  <c r="T5" i="5"/>
  <c r="S29" i="4"/>
  <c r="S5" i="5"/>
  <c r="S6" s="1"/>
  <c r="T20" i="8"/>
  <c r="T22" s="1"/>
  <c r="T6" i="5"/>
  <c r="T29" i="4"/>
  <c r="U41" i="5"/>
  <c r="V40" i="8"/>
  <c r="U27" i="4"/>
  <c r="R7" i="2"/>
  <c r="S7"/>
  <c r="W28" i="4"/>
  <c r="X8" i="8"/>
  <c r="W32" i="4"/>
  <c r="W40"/>
  <c r="V41"/>
  <c r="V33" s="1"/>
  <c r="V34" s="1"/>
  <c r="V23" s="1"/>
  <c r="V24" s="1"/>
  <c r="V25" s="1"/>
  <c r="V46"/>
  <c r="V47" s="1"/>
  <c r="X63"/>
  <c r="X31" s="1"/>
  <c r="N4" i="7"/>
  <c r="Y62" i="4"/>
  <c r="Y63" s="1"/>
  <c r="Y31" s="1"/>
  <c r="X70"/>
  <c r="X71" s="1"/>
  <c r="Z54"/>
  <c r="Y55"/>
  <c r="N14" i="2"/>
  <c r="O12" s="1"/>
  <c r="O13" s="1"/>
  <c r="U18"/>
  <c r="T19"/>
  <c r="V20" i="8" l="1"/>
  <c r="V22" s="1"/>
  <c r="U5" i="5"/>
  <c r="U6" s="1"/>
  <c r="U29" i="4"/>
  <c r="V48"/>
  <c r="V26" s="1"/>
  <c r="V40" i="5"/>
  <c r="W39" i="8"/>
  <c r="T7" i="2"/>
  <c r="X28" i="4"/>
  <c r="Y8" i="8"/>
  <c r="Y32" i="4"/>
  <c r="Y40"/>
  <c r="X32"/>
  <c r="X40"/>
  <c r="W46"/>
  <c r="W47" s="1"/>
  <c r="W41"/>
  <c r="W33" s="1"/>
  <c r="W34" s="1"/>
  <c r="W23" s="1"/>
  <c r="W24" s="1"/>
  <c r="W25" s="1"/>
  <c r="Y66"/>
  <c r="Y67" s="1"/>
  <c r="O4" i="7"/>
  <c r="Z55" i="4"/>
  <c r="Z62"/>
  <c r="O14" i="2"/>
  <c r="P12" s="1"/>
  <c r="V18"/>
  <c r="U19"/>
  <c r="U7" s="1"/>
  <c r="W40" i="8" l="1"/>
  <c r="V41" i="5"/>
  <c r="V27" i="4"/>
  <c r="W48"/>
  <c r="W26" s="1"/>
  <c r="V29"/>
  <c r="W40" i="5"/>
  <c r="X39" i="8"/>
  <c r="X41" i="4"/>
  <c r="X33" s="1"/>
  <c r="X34" s="1"/>
  <c r="X23" s="1"/>
  <c r="X24" s="1"/>
  <c r="X25" s="1"/>
  <c r="X46"/>
  <c r="X47" s="1"/>
  <c r="Y46"/>
  <c r="Y47" s="1"/>
  <c r="Y41"/>
  <c r="Y33" s="1"/>
  <c r="Y34" s="1"/>
  <c r="Y23" s="1"/>
  <c r="Y24" s="1"/>
  <c r="Y25" s="1"/>
  <c r="Y70"/>
  <c r="Y71" s="1"/>
  <c r="Z63"/>
  <c r="Z31" s="1"/>
  <c r="Z66"/>
  <c r="Z67" s="1"/>
  <c r="P13" i="2"/>
  <c r="P4" i="7" s="1"/>
  <c r="W18" i="2"/>
  <c r="V19"/>
  <c r="V7" s="1"/>
  <c r="W20" i="8" l="1"/>
  <c r="W22" s="1"/>
  <c r="V5" i="5"/>
  <c r="V6" s="1"/>
  <c r="X40" i="8"/>
  <c r="W41" i="5"/>
  <c r="Y48" i="4"/>
  <c r="Y26" s="1"/>
  <c r="X48"/>
  <c r="X26" s="1"/>
  <c r="W27"/>
  <c r="Y40" i="5"/>
  <c r="Z39" i="8"/>
  <c r="X40" i="5"/>
  <c r="Y39" i="8"/>
  <c r="Y28" i="4"/>
  <c r="Z8" i="8"/>
  <c r="Z32" i="4"/>
  <c r="Z40"/>
  <c r="P14" i="2"/>
  <c r="Q12" s="1"/>
  <c r="Z70" i="4"/>
  <c r="Z71" s="1"/>
  <c r="X18" i="2"/>
  <c r="W19"/>
  <c r="W7" s="1"/>
  <c r="X20" i="8" l="1"/>
  <c r="X22" s="1"/>
  <c r="W5" i="5"/>
  <c r="W6" s="1"/>
  <c r="W29" i="4"/>
  <c r="Y40" i="8"/>
  <c r="X41" i="5"/>
  <c r="X27" i="4"/>
  <c r="Y20" i="8" s="1"/>
  <c r="Y22" s="1"/>
  <c r="Z40"/>
  <c r="Y27" i="4"/>
  <c r="Y41" i="5"/>
  <c r="Z28" i="4"/>
  <c r="AA8" i="8"/>
  <c r="Z41" i="4"/>
  <c r="Z33" s="1"/>
  <c r="Z34" s="1"/>
  <c r="Z23" s="1"/>
  <c r="Z24" s="1"/>
  <c r="Z25" s="1"/>
  <c r="Z46"/>
  <c r="Z47" s="1"/>
  <c r="Q13" i="2"/>
  <c r="Q4" i="7" s="1"/>
  <c r="Y18" i="2"/>
  <c r="X19"/>
  <c r="X7" s="1"/>
  <c r="Y29" i="4" l="1"/>
  <c r="Y5" i="5"/>
  <c r="Y6" s="1"/>
  <c r="X29" i="4"/>
  <c r="X5" i="5"/>
  <c r="X6" s="1"/>
  <c r="Z20" i="8"/>
  <c r="Z22" s="1"/>
  <c r="Z48" i="4"/>
  <c r="Z26" s="1"/>
  <c r="Z40" i="5"/>
  <c r="AA39" i="8"/>
  <c r="Q14" i="2"/>
  <c r="R12" s="1"/>
  <c r="R13" s="1"/>
  <c r="Z18"/>
  <c r="Y19"/>
  <c r="Y7" s="1"/>
  <c r="Z41" i="5" l="1"/>
  <c r="Z27" i="4"/>
  <c r="AA40" i="8"/>
  <c r="R4" i="7"/>
  <c r="R14" i="2"/>
  <c r="S12" s="1"/>
  <c r="Z19"/>
  <c r="Z7" s="1"/>
  <c r="Z29" i="4" l="1"/>
  <c r="Z5" i="5"/>
  <c r="Z6" s="1"/>
  <c r="AA20" i="8"/>
  <c r="AA22" s="1"/>
  <c r="S13" i="2"/>
  <c r="S4" i="7" l="1"/>
  <c r="S14" i="2"/>
  <c r="T12" s="1"/>
  <c r="T13" l="1"/>
  <c r="T4" i="7" s="1"/>
  <c r="T14" i="2" l="1"/>
  <c r="U12" s="1"/>
  <c r="U13" l="1"/>
  <c r="U4" i="7" s="1"/>
  <c r="U14" i="2" l="1"/>
  <c r="V12" s="1"/>
  <c r="V13" l="1"/>
  <c r="V4" i="7" s="1"/>
  <c r="V14" i="2" l="1"/>
  <c r="W12" s="1"/>
  <c r="W13" l="1"/>
  <c r="W4" i="7" s="1"/>
  <c r="W14" i="2" l="1"/>
  <c r="X12" s="1"/>
  <c r="X13" l="1"/>
  <c r="X4" i="7" s="1"/>
  <c r="X14" i="2" l="1"/>
  <c r="Y12" s="1"/>
  <c r="Y13" l="1"/>
  <c r="Y4" i="7" s="1"/>
  <c r="Y14" i="2" l="1"/>
  <c r="Z12" s="1"/>
  <c r="Z13" l="1"/>
  <c r="Z4" i="7" s="1"/>
  <c r="Z14" i="2" l="1"/>
  <c r="C33" i="5" l="1"/>
  <c r="C28"/>
  <c r="D28" s="1"/>
  <c r="E28" s="1"/>
  <c r="F28" s="1"/>
  <c r="G28" s="1"/>
  <c r="H28" s="1"/>
  <c r="I28" s="1"/>
  <c r="J28" s="1"/>
  <c r="K28" s="1"/>
  <c r="L28" s="1"/>
  <c r="M28" s="1"/>
  <c r="N28" s="1"/>
  <c r="O28" s="1"/>
  <c r="P28" s="1"/>
  <c r="Q28" s="1"/>
  <c r="R28" s="1"/>
  <c r="S28" s="1"/>
  <c r="T28" s="1"/>
  <c r="U28" s="1"/>
  <c r="V28" s="1"/>
  <c r="W28" s="1"/>
  <c r="X28" s="1"/>
  <c r="Y28" s="1"/>
  <c r="Z28" s="1"/>
  <c r="D33" l="1"/>
  <c r="E33" l="1"/>
  <c r="F33" l="1"/>
  <c r="G33" l="1"/>
  <c r="H33" l="1"/>
  <c r="I33" l="1"/>
  <c r="J33" l="1"/>
  <c r="K33" l="1"/>
  <c r="L33" l="1"/>
  <c r="M33" l="1"/>
  <c r="N33" l="1"/>
  <c r="O33" l="1"/>
  <c r="P33" l="1"/>
  <c r="Q33" l="1"/>
  <c r="R33" l="1"/>
  <c r="S33" l="1"/>
  <c r="T33" l="1"/>
  <c r="U33" l="1"/>
  <c r="V33" l="1"/>
  <c r="W33" l="1"/>
  <c r="X33" l="1"/>
  <c r="Y33" l="1"/>
  <c r="Z33" l="1"/>
  <c r="B4" i="2" l="1"/>
  <c r="B23" l="1"/>
  <c r="B11" i="5"/>
  <c r="C19" i="8" s="1"/>
  <c r="B27" i="2"/>
  <c r="C7" i="8"/>
  <c r="F4" i="3"/>
  <c r="B4" i="4"/>
  <c r="Q4" i="3" l="1"/>
  <c r="C26" i="8" s="1"/>
  <c r="N23" i="2"/>
  <c r="N24" s="1"/>
  <c r="N8" s="1"/>
  <c r="N10" i="5" s="1"/>
  <c r="Q23" i="2"/>
  <c r="Q24" s="1"/>
  <c r="Q8" s="1"/>
  <c r="Q10" i="5" s="1"/>
  <c r="O23" i="2"/>
  <c r="O24" s="1"/>
  <c r="O8" s="1"/>
  <c r="O10" i="5" s="1"/>
  <c r="U23" i="2"/>
  <c r="T23"/>
  <c r="T24" s="1"/>
  <c r="T8" s="1"/>
  <c r="T10" i="5" s="1"/>
  <c r="V23" i="2"/>
  <c r="V24" s="1"/>
  <c r="V8" s="1"/>
  <c r="V10" i="5" s="1"/>
  <c r="Y23" i="2"/>
  <c r="Y24" s="1"/>
  <c r="Y8" s="1"/>
  <c r="Y10" i="5" s="1"/>
  <c r="W23" i="2"/>
  <c r="W24" s="1"/>
  <c r="W8" s="1"/>
  <c r="W10" i="5" s="1"/>
  <c r="R23" i="2"/>
  <c r="R24" s="1"/>
  <c r="R8" s="1"/>
  <c r="R10" i="5" s="1"/>
  <c r="P23" i="2"/>
  <c r="P24" s="1"/>
  <c r="P8" s="1"/>
  <c r="P10" i="5" s="1"/>
  <c r="Z23" i="2"/>
  <c r="Z24" s="1"/>
  <c r="Z8" s="1"/>
  <c r="Z10" i="5" s="1"/>
  <c r="S23" i="2"/>
  <c r="S24" s="1"/>
  <c r="S8" s="1"/>
  <c r="S10" i="5" s="1"/>
  <c r="X23" i="2"/>
  <c r="X24" s="1"/>
  <c r="X8" s="1"/>
  <c r="X10" i="5" s="1"/>
  <c r="B28" i="2"/>
  <c r="B29" s="1"/>
  <c r="C28" i="8"/>
  <c r="B3" i="7" s="1"/>
  <c r="C41" i="8"/>
  <c r="C38"/>
  <c r="U24" i="2"/>
  <c r="U8" s="1"/>
  <c r="U10" i="5" s="1"/>
  <c r="B24" i="2"/>
  <c r="B8" s="1"/>
  <c r="B62" i="4"/>
  <c r="B42" i="5"/>
  <c r="B39"/>
  <c r="B30" i="2" l="1"/>
  <c r="C27"/>
  <c r="D28" i="8" s="1"/>
  <c r="C3" i="7" s="1"/>
  <c r="B9" i="2"/>
  <c r="C9" s="1"/>
  <c r="D9" s="1"/>
  <c r="E9" s="1"/>
  <c r="F9" s="1"/>
  <c r="G9" s="1"/>
  <c r="H9" s="1"/>
  <c r="I9" s="1"/>
  <c r="J9" s="1"/>
  <c r="K9" s="1"/>
  <c r="L9" s="1"/>
  <c r="M9" s="1"/>
  <c r="N9" s="1"/>
  <c r="O9" s="1"/>
  <c r="P9" s="1"/>
  <c r="Q9" s="1"/>
  <c r="R9" s="1"/>
  <c r="S9" s="1"/>
  <c r="T9" s="1"/>
  <c r="U9" s="1"/>
  <c r="V9" s="1"/>
  <c r="W9" s="1"/>
  <c r="X9" s="1"/>
  <c r="Y9" s="1"/>
  <c r="Z9" s="1"/>
  <c r="C4" i="3"/>
  <c r="D4" s="1"/>
  <c r="B10" i="5"/>
  <c r="C16" i="3"/>
  <c r="C17" s="1"/>
  <c r="C18" s="1"/>
  <c r="B63" i="4"/>
  <c r="B31" s="1"/>
  <c r="B66"/>
  <c r="B67" s="1"/>
  <c r="C28" i="2" l="1"/>
  <c r="C29" s="1"/>
  <c r="B32" i="4"/>
  <c r="B40"/>
  <c r="B5" i="3"/>
  <c r="E4"/>
  <c r="B9" i="5" s="1"/>
  <c r="B70" i="4"/>
  <c r="B71" s="1"/>
  <c r="C30" i="2" l="1"/>
  <c r="D27"/>
  <c r="B28" i="4"/>
  <c r="C8" i="8"/>
  <c r="B41" i="4"/>
  <c r="B33" s="1"/>
  <c r="B46"/>
  <c r="B47" s="1"/>
  <c r="D5" i="3"/>
  <c r="B6" s="1"/>
  <c r="E28" i="8" l="1"/>
  <c r="D3" i="7" s="1"/>
  <c r="D28" i="2"/>
  <c r="D29" s="1"/>
  <c r="B48" i="4"/>
  <c r="B26" s="1"/>
  <c r="B34"/>
  <c r="E5" i="3"/>
  <c r="C9" i="5" s="1"/>
  <c r="D6" i="3"/>
  <c r="B7" s="1"/>
  <c r="D30" i="2" l="1"/>
  <c r="E27"/>
  <c r="B41" i="5"/>
  <c r="C40" i="8"/>
  <c r="B23" i="4"/>
  <c r="B24" s="1"/>
  <c r="B25" s="1"/>
  <c r="E6" i="3"/>
  <c r="D9" i="5" s="1"/>
  <c r="D7" i="3"/>
  <c r="B8" s="1"/>
  <c r="F28" i="8" l="1"/>
  <c r="E3" i="7" s="1"/>
  <c r="E28" i="2"/>
  <c r="E29" s="1"/>
  <c r="C39" i="8"/>
  <c r="E7" i="3"/>
  <c r="E9" i="5" s="1"/>
  <c r="D8" i="3"/>
  <c r="B9" s="1"/>
  <c r="E30" i="2" l="1"/>
  <c r="F27"/>
  <c r="B27" i="4"/>
  <c r="B40" i="5"/>
  <c r="E8" i="3"/>
  <c r="F9" i="5" s="1"/>
  <c r="D9" i="3"/>
  <c r="B10" s="1"/>
  <c r="B29" i="4" l="1"/>
  <c r="B5" i="5"/>
  <c r="B6" s="1"/>
  <c r="G28" i="8"/>
  <c r="F3" i="7" s="1"/>
  <c r="F28" i="2"/>
  <c r="F29" s="1"/>
  <c r="C20" i="8"/>
  <c r="C22" s="1"/>
  <c r="E9" i="3"/>
  <c r="G9" i="5" s="1"/>
  <c r="D10" i="3"/>
  <c r="B11" s="1"/>
  <c r="F30" i="2" l="1"/>
  <c r="G27"/>
  <c r="E10" i="3"/>
  <c r="H9" i="5" s="1"/>
  <c r="D11" i="3"/>
  <c r="B12" s="1"/>
  <c r="H28" i="8" l="1"/>
  <c r="G3" i="7" s="1"/>
  <c r="G28" i="2"/>
  <c r="G29" s="1"/>
  <c r="E11" i="3"/>
  <c r="I9" i="5" s="1"/>
  <c r="D12" i="3"/>
  <c r="B13" s="1"/>
  <c r="G30" i="2" l="1"/>
  <c r="H27"/>
  <c r="E12" i="3"/>
  <c r="J9" i="5" s="1"/>
  <c r="D13" i="3"/>
  <c r="B14" s="1"/>
  <c r="I28" i="8" l="1"/>
  <c r="H3" i="7" s="1"/>
  <c r="H28" i="2"/>
  <c r="H29" s="1"/>
  <c r="E13" i="3"/>
  <c r="K9" i="5" s="1"/>
  <c r="D14" i="3"/>
  <c r="B15" s="1"/>
  <c r="H30" i="2" l="1"/>
  <c r="I27"/>
  <c r="D15" i="3"/>
  <c r="B16" s="1"/>
  <c r="E14"/>
  <c r="L9" i="5" s="1"/>
  <c r="J28" i="8" l="1"/>
  <c r="I3" i="7" s="1"/>
  <c r="I28" i="2"/>
  <c r="I29" s="1"/>
  <c r="E15" i="3"/>
  <c r="M9" i="5" s="1"/>
  <c r="D16" i="3"/>
  <c r="B17" s="1"/>
  <c r="I30" i="2" l="1"/>
  <c r="J27"/>
  <c r="E16" i="3"/>
  <c r="N9" i="5" s="1"/>
  <c r="D17" i="3"/>
  <c r="B18" s="1"/>
  <c r="K28" i="8" l="1"/>
  <c r="J3" i="7" s="1"/>
  <c r="J28" i="2"/>
  <c r="J29" s="1"/>
  <c r="E17" i="3"/>
  <c r="O9" i="5" s="1"/>
  <c r="D18" i="3"/>
  <c r="B19" s="1"/>
  <c r="C19" s="1"/>
  <c r="J30" i="2" l="1"/>
  <c r="K27"/>
  <c r="E18" i="3"/>
  <c r="P9" i="5" s="1"/>
  <c r="D19" i="3"/>
  <c r="B20" s="1"/>
  <c r="L28" i="8" l="1"/>
  <c r="K3" i="7" s="1"/>
  <c r="K28" i="2"/>
  <c r="K29" s="1"/>
  <c r="E19" i="3"/>
  <c r="Q9" i="5" s="1"/>
  <c r="D20" i="3"/>
  <c r="B21" s="1"/>
  <c r="C21" s="1"/>
  <c r="D21" s="1"/>
  <c r="E21" s="1"/>
  <c r="S9" i="5" s="1"/>
  <c r="K30" i="2" l="1"/>
  <c r="L27"/>
  <c r="E20" i="3"/>
  <c r="R9" i="5" s="1"/>
  <c r="M28" i="8" l="1"/>
  <c r="L3" i="7" s="1"/>
  <c r="L28" i="2"/>
  <c r="L29" s="1"/>
  <c r="B34" i="5"/>
  <c r="C3" i="6"/>
  <c r="L30" i="2" l="1"/>
  <c r="M27"/>
  <c r="C34" i="5"/>
  <c r="D34"/>
  <c r="N28" i="8" l="1"/>
  <c r="M3" i="7" s="1"/>
  <c r="M28" i="2"/>
  <c r="M29" s="1"/>
  <c r="E34" i="5"/>
  <c r="M30" i="2" l="1"/>
  <c r="N27"/>
  <c r="F34" i="5"/>
  <c r="O28" i="8" l="1"/>
  <c r="N3" i="7" s="1"/>
  <c r="N28" i="2"/>
  <c r="N29" s="1"/>
  <c r="G34" i="5"/>
  <c r="N30" i="2" l="1"/>
  <c r="O27"/>
  <c r="H34" i="5"/>
  <c r="P28" i="8" l="1"/>
  <c r="O3" i="7" s="1"/>
  <c r="O28" i="2"/>
  <c r="O29" s="1"/>
  <c r="I34" i="5"/>
  <c r="O30" i="2" l="1"/>
  <c r="P27"/>
  <c r="J34" i="5"/>
  <c r="Q28" i="8" l="1"/>
  <c r="P3" i="7" s="1"/>
  <c r="P28" i="2"/>
  <c r="P29" s="1"/>
  <c r="K34" i="5"/>
  <c r="P30" i="2" l="1"/>
  <c r="Q27"/>
  <c r="L34" i="5"/>
  <c r="R28" i="8" l="1"/>
  <c r="Q3" i="7" s="1"/>
  <c r="Q28" i="2"/>
  <c r="Q29" s="1"/>
  <c r="M34" i="5"/>
  <c r="Q30" i="2" l="1"/>
  <c r="R27"/>
  <c r="N34" i="5"/>
  <c r="S28" i="8" l="1"/>
  <c r="R3" i="7" s="1"/>
  <c r="R28" i="2"/>
  <c r="R29" s="1"/>
  <c r="O34" i="5"/>
  <c r="R30" i="2" l="1"/>
  <c r="S27"/>
  <c r="P34" i="5"/>
  <c r="T28" i="8" l="1"/>
  <c r="S3" i="7" s="1"/>
  <c r="S28" i="2"/>
  <c r="S29" s="1"/>
  <c r="S30" s="1"/>
  <c r="T27" s="1"/>
  <c r="Q34" i="5"/>
  <c r="U28" i="8" l="1"/>
  <c r="T3" i="7" s="1"/>
  <c r="T28" i="2"/>
  <c r="T29" s="1"/>
  <c r="T30" s="1"/>
  <c r="U27" s="1"/>
  <c r="R34" i="5"/>
  <c r="V28" i="8" l="1"/>
  <c r="U3" i="7" s="1"/>
  <c r="U28" i="2"/>
  <c r="U29" s="1"/>
  <c r="U30" s="1"/>
  <c r="V27" s="1"/>
  <c r="S34" i="5"/>
  <c r="W28" i="8" l="1"/>
  <c r="V3" i="7" s="1"/>
  <c r="V28" i="2"/>
  <c r="V29" s="1"/>
  <c r="V30" s="1"/>
  <c r="W27" s="1"/>
  <c r="T34" i="5"/>
  <c r="X28" i="8" l="1"/>
  <c r="W3" i="7" s="1"/>
  <c r="W28" i="2"/>
  <c r="W29" s="1"/>
  <c r="W30" s="1"/>
  <c r="X27" s="1"/>
  <c r="U34" i="5"/>
  <c r="Y28" i="8" l="1"/>
  <c r="X3" i="7" s="1"/>
  <c r="X28" i="2"/>
  <c r="X29" s="1"/>
  <c r="X30" s="1"/>
  <c r="Y27" s="1"/>
  <c r="V34" i="5"/>
  <c r="Z28" i="8" l="1"/>
  <c r="Y3" i="7" s="1"/>
  <c r="Y28" i="2"/>
  <c r="Y29" s="1"/>
  <c r="Y30" s="1"/>
  <c r="Z27" s="1"/>
  <c r="W34" i="5"/>
  <c r="AA28" i="8" l="1"/>
  <c r="Z3" i="7" s="1"/>
  <c r="Z28" i="2"/>
  <c r="Z29" s="1"/>
  <c r="Z30" s="1"/>
  <c r="X34" i="5"/>
  <c r="Z34" l="1"/>
  <c r="Y34"/>
  <c r="B35" l="1"/>
  <c r="C3" i="9"/>
  <c r="C2"/>
  <c r="C6"/>
  <c r="C5"/>
  <c r="C4"/>
  <c r="D9" i="7"/>
  <c r="D40"/>
  <c r="F9"/>
  <c r="F40"/>
  <c r="H9"/>
  <c r="H40"/>
  <c r="J9"/>
  <c r="J40"/>
  <c r="L9"/>
  <c r="L40"/>
  <c r="N9"/>
  <c r="N40"/>
  <c r="P9"/>
  <c r="P40"/>
  <c r="R9"/>
  <c r="R40"/>
  <c r="T9"/>
  <c r="T40"/>
  <c r="V9"/>
  <c r="V40"/>
  <c r="X9"/>
  <c r="X40"/>
  <c r="Z9"/>
  <c r="Z40"/>
  <c r="C9"/>
  <c r="C40"/>
  <c r="E9"/>
  <c r="E40"/>
  <c r="G9"/>
  <c r="G40"/>
  <c r="I9"/>
  <c r="I40"/>
  <c r="K9"/>
  <c r="K40"/>
  <c r="M9"/>
  <c r="M40"/>
  <c r="O9"/>
  <c r="O40"/>
  <c r="Q9"/>
  <c r="Q40"/>
  <c r="S9"/>
  <c r="S40"/>
  <c r="U9"/>
  <c r="U40"/>
  <c r="W9"/>
  <c r="W40"/>
  <c r="Y9"/>
  <c r="Y40"/>
  <c r="F26"/>
  <c r="F31"/>
  <c r="N26"/>
  <c r="N31"/>
  <c r="V26"/>
  <c r="V31"/>
  <c r="F22"/>
  <c r="F25"/>
  <c r="N25"/>
  <c r="N22"/>
  <c r="V22"/>
  <c r="V25"/>
  <c r="L26"/>
  <c r="L31"/>
  <c r="L25"/>
  <c r="L22"/>
  <c r="X31"/>
  <c r="X26"/>
  <c r="X25"/>
  <c r="X22"/>
  <c r="I26"/>
  <c r="I31"/>
  <c r="I22"/>
  <c r="I25"/>
  <c r="R26"/>
  <c r="R31"/>
  <c r="R25"/>
  <c r="R22"/>
  <c r="D26"/>
  <c r="D31"/>
  <c r="K26"/>
  <c r="K31"/>
  <c r="D25"/>
  <c r="D22"/>
  <c r="G31"/>
  <c r="G26"/>
  <c r="Y26"/>
  <c r="Y31"/>
  <c r="K25"/>
  <c r="K22"/>
  <c r="G22"/>
  <c r="G25"/>
  <c r="J26"/>
  <c r="J31"/>
  <c r="U31"/>
  <c r="U26"/>
  <c r="B31"/>
  <c r="B26"/>
  <c r="P31"/>
  <c r="P26"/>
  <c r="P25"/>
  <c r="P22"/>
  <c r="U25"/>
  <c r="U22"/>
  <c r="J22"/>
  <c r="J25"/>
  <c r="Y22"/>
  <c r="Y25"/>
  <c r="J16"/>
  <c r="B22"/>
  <c r="B25"/>
  <c r="M31"/>
  <c r="M26"/>
  <c r="W28"/>
  <c r="W23"/>
  <c r="W25"/>
  <c r="M25"/>
  <c r="M22"/>
  <c r="J29"/>
  <c r="W31"/>
  <c r="W22"/>
  <c r="W26"/>
  <c r="Q25"/>
  <c r="F12"/>
  <c r="V37"/>
  <c r="H25"/>
  <c r="X15" i="5"/>
  <c r="F11" i="7"/>
  <c r="F15"/>
  <c r="F16"/>
  <c r="K23"/>
  <c r="K28"/>
  <c r="V23"/>
  <c r="V28"/>
  <c r="M27" i="8"/>
  <c r="S25" i="7"/>
  <c r="S27" i="8"/>
  <c r="C25" i="7"/>
  <c r="R12"/>
  <c r="I27" i="8"/>
  <c r="C27"/>
  <c r="U34"/>
  <c r="L12" i="7"/>
  <c r="N37"/>
  <c r="Q10"/>
  <c r="T29" i="5"/>
  <c r="M33" i="7"/>
  <c r="N32" i="8"/>
  <c r="T31" i="7"/>
  <c r="T26"/>
  <c r="H29" i="5"/>
  <c r="P23" i="7"/>
  <c r="P28"/>
  <c r="Z25"/>
  <c r="Y34" i="8"/>
  <c r="M12" i="7"/>
  <c r="E26"/>
  <c r="E31"/>
  <c r="B30" i="5"/>
  <c r="T37" i="7"/>
  <c r="N33"/>
  <c r="O32" i="8"/>
  <c r="X29" i="5"/>
  <c r="T25" i="7"/>
  <c r="T22"/>
  <c r="B29" i="5"/>
  <c r="S42" i="7"/>
  <c r="S33"/>
  <c r="T32" i="8"/>
  <c r="J15" i="5"/>
  <c r="Z27" i="8"/>
  <c r="Y23" i="7"/>
  <c r="Y28"/>
  <c r="Z43"/>
  <c r="O25"/>
  <c r="W29" i="5"/>
  <c r="X12" i="7"/>
  <c r="K34" i="8"/>
  <c r="T16" i="7"/>
  <c r="W12"/>
  <c r="L34" i="8"/>
  <c r="L33" i="7"/>
  <c r="M32" i="8"/>
  <c r="V15" i="5"/>
  <c r="J33" i="7"/>
  <c r="K32" i="8"/>
  <c r="O15" i="5"/>
  <c r="K10" i="7"/>
  <c r="V34" i="8"/>
  <c r="Q16" i="7"/>
  <c r="I34" i="8"/>
  <c r="X34"/>
  <c r="T27"/>
  <c r="B12" i="7"/>
  <c r="I10"/>
  <c r="L10"/>
  <c r="S12"/>
  <c r="Y12"/>
  <c r="H15" i="5"/>
  <c r="T33" i="7"/>
  <c r="U32" i="8"/>
  <c r="M16" i="7"/>
  <c r="J10"/>
  <c r="L27" i="8"/>
  <c r="AA27"/>
  <c r="Q29" i="5"/>
  <c r="P29"/>
  <c r="X45"/>
  <c r="P10" i="7"/>
  <c r="J29" i="5"/>
  <c r="B9" i="7"/>
  <c r="E25"/>
  <c r="E22"/>
  <c r="S16"/>
  <c r="H27" i="8"/>
  <c r="G33" i="7"/>
  <c r="H32" i="8"/>
  <c r="K21" i="7"/>
  <c r="K33"/>
  <c r="L32" i="8"/>
  <c r="E33" i="7"/>
  <c r="F32" i="8"/>
  <c r="X23" i="7"/>
  <c r="X28"/>
  <c r="C34" i="8"/>
  <c r="L29" i="5"/>
  <c r="W27" i="8"/>
  <c r="Y27"/>
  <c r="B33" i="7"/>
  <c r="C32" i="8"/>
  <c r="H34"/>
  <c r="G12" i="7"/>
  <c r="G44" i="8"/>
  <c r="G27"/>
  <c r="H16" i="7"/>
  <c r="C23"/>
  <c r="C28"/>
  <c r="Q37"/>
  <c r="D10"/>
  <c r="I12"/>
  <c r="G10"/>
  <c r="U12"/>
  <c r="C29" i="5"/>
  <c r="O29"/>
  <c r="Q33" i="7"/>
  <c r="R32" i="8"/>
  <c r="G15" i="5"/>
  <c r="Z26" i="7"/>
  <c r="Z22"/>
  <c r="Z31"/>
  <c r="H33"/>
  <c r="I32" i="8"/>
  <c r="P12" i="7"/>
  <c r="Q26"/>
  <c r="Q22"/>
  <c r="Q31"/>
  <c r="Y10"/>
  <c r="C31"/>
  <c r="C22"/>
  <c r="C26"/>
  <c r="S31"/>
  <c r="S22"/>
  <c r="S26"/>
  <c r="S44" i="8"/>
  <c r="Z37" i="7"/>
  <c r="P21"/>
  <c r="P33"/>
  <c r="Q32" i="8"/>
  <c r="K15" i="5"/>
  <c r="C33" i="7"/>
  <c r="D32" i="8"/>
  <c r="P44"/>
  <c r="P27"/>
  <c r="Z36" i="7"/>
  <c r="Z38"/>
  <c r="Z7"/>
  <c r="Z10"/>
  <c r="O33"/>
  <c r="P32" i="8"/>
  <c r="N15" i="5"/>
  <c r="U45"/>
  <c r="U15"/>
  <c r="B15"/>
  <c r="Q44" i="8"/>
  <c r="Q27"/>
  <c r="Q34"/>
  <c r="U33" i="7"/>
  <c r="V32" i="8"/>
  <c r="G29" i="5"/>
  <c r="V42" i="7"/>
  <c r="W37"/>
  <c r="N29"/>
  <c r="S10"/>
  <c r="Z32"/>
  <c r="K7"/>
  <c r="Y44" i="8"/>
  <c r="N29" i="5"/>
  <c r="U42" i="7"/>
  <c r="U27" i="8"/>
  <c r="C15" i="5"/>
  <c r="T44" i="8"/>
  <c r="O10" i="7"/>
  <c r="U16"/>
  <c r="U8"/>
  <c r="U39"/>
  <c r="L37"/>
  <c r="K12"/>
  <c r="F27" i="8"/>
  <c r="H43"/>
  <c r="H44"/>
  <c r="U29" i="5"/>
  <c r="Q42" i="7"/>
  <c r="R37"/>
  <c r="V8"/>
  <c r="V39"/>
  <c r="O26"/>
  <c r="O22"/>
  <c r="O31"/>
  <c r="S34" i="8"/>
  <c r="S7" i="7"/>
  <c r="W10"/>
  <c r="N12"/>
  <c r="S21"/>
  <c r="S23"/>
  <c r="S28"/>
  <c r="U44" i="5"/>
  <c r="N16" i="7"/>
  <c r="H15"/>
  <c r="T43" i="8"/>
  <c r="O37" i="7"/>
  <c r="N34" i="8"/>
  <c r="D27"/>
  <c r="X21" i="7"/>
  <c r="X33"/>
  <c r="Y32" i="8"/>
  <c r="E15" i="5"/>
  <c r="F34" i="8"/>
  <c r="Y16" i="7"/>
  <c r="E45" i="5"/>
  <c r="F15"/>
  <c r="D15"/>
  <c r="D12" i="7"/>
  <c r="G21"/>
  <c r="G23"/>
  <c r="G28"/>
  <c r="M44" i="8"/>
  <c r="Z29" i="5"/>
  <c r="V29"/>
  <c r="Z30" i="7"/>
  <c r="P43" i="8"/>
  <c r="I16" i="7"/>
  <c r="F29" i="5"/>
  <c r="I7" i="7"/>
  <c r="L7"/>
  <c r="E16"/>
  <c r="W34" i="8"/>
  <c r="X10" i="7"/>
  <c r="Y8"/>
  <c r="Y39"/>
  <c r="K29" i="5"/>
  <c r="S29"/>
  <c r="Z34" i="8"/>
  <c r="E12" i="7"/>
  <c r="E11"/>
  <c r="E15"/>
  <c r="E10"/>
  <c r="W7"/>
  <c r="F10"/>
  <c r="Y42"/>
  <c r="Z44" i="8"/>
  <c r="T42"/>
  <c r="R10" i="7"/>
  <c r="Q12"/>
  <c r="I11"/>
  <c r="I14"/>
  <c r="I15"/>
  <c r="I6"/>
  <c r="I8"/>
  <c r="I39"/>
  <c r="G43" i="8"/>
  <c r="P7" i="7"/>
  <c r="Z27"/>
  <c r="T12"/>
  <c r="I29"/>
  <c r="I29" i="5"/>
  <c r="D29"/>
  <c r="G34" i="8"/>
  <c r="AA34"/>
  <c r="P37" i="7"/>
  <c r="Z23"/>
  <c r="Z28"/>
  <c r="D44" i="8"/>
  <c r="Y21" i="7"/>
  <c r="Y33"/>
  <c r="Z32" i="8"/>
  <c r="I33" i="7"/>
  <c r="J32" i="8"/>
  <c r="X37" i="7"/>
  <c r="U10"/>
  <c r="S8"/>
  <c r="S39"/>
  <c r="S11"/>
  <c r="S14"/>
  <c r="S15"/>
  <c r="O23"/>
  <c r="O28"/>
  <c r="L15" i="5"/>
  <c r="E44"/>
  <c r="X16" i="7"/>
  <c r="O12"/>
  <c r="N45" i="5"/>
  <c r="M43" i="8"/>
  <c r="V27"/>
  <c r="T10" i="7"/>
  <c r="Y43" i="8"/>
  <c r="Y11" i="7"/>
  <c r="Y14"/>
  <c r="Y15"/>
  <c r="O45" i="5"/>
  <c r="V44" i="8"/>
  <c r="X8" i="7"/>
  <c r="X39"/>
  <c r="Z16"/>
  <c r="V10"/>
  <c r="B11"/>
  <c r="B15"/>
  <c r="B16"/>
  <c r="U11"/>
  <c r="U14"/>
  <c r="U15"/>
  <c r="M42"/>
  <c r="Q7"/>
  <c r="S6"/>
  <c r="Q43" i="8"/>
  <c r="O16" i="7"/>
  <c r="Q15" i="5"/>
  <c r="G45"/>
  <c r="M29" i="7"/>
  <c r="U37"/>
  <c r="M34" i="8"/>
  <c r="C10" i="7"/>
  <c r="F33"/>
  <c r="G32" i="8"/>
  <c r="J7" i="7"/>
  <c r="K27" i="8"/>
  <c r="Y7" i="7"/>
  <c r="Y43"/>
  <c r="X7"/>
  <c r="Y38"/>
  <c r="D33"/>
  <c r="E32" i="8"/>
  <c r="R27"/>
  <c r="Y15" i="5"/>
  <c r="P16" i="7"/>
  <c r="D43" i="8"/>
  <c r="F7" i="7"/>
  <c r="O27" i="8"/>
  <c r="J21" i="7"/>
  <c r="J23"/>
  <c r="J28"/>
  <c r="S43" i="8"/>
  <c r="V12" i="7"/>
  <c r="V16"/>
  <c r="E27" i="8"/>
  <c r="Q21" i="7"/>
  <c r="Q23"/>
  <c r="Q28"/>
  <c r="X27" i="8"/>
  <c r="W42" i="7"/>
  <c r="P42" i="8"/>
  <c r="C45" i="5"/>
  <c r="L16" i="7"/>
  <c r="H45" i="5"/>
  <c r="U7" i="7"/>
  <c r="P42"/>
  <c r="Z43" i="8"/>
  <c r="Z15" i="7"/>
  <c r="M8"/>
  <c r="M39"/>
  <c r="R15" i="5"/>
  <c r="I44" i="8"/>
  <c r="R7" i="7"/>
  <c r="T11"/>
  <c r="T14"/>
  <c r="T15"/>
  <c r="U6"/>
  <c r="Z42" i="8"/>
  <c r="Y6" i="7"/>
  <c r="O7"/>
  <c r="D7"/>
  <c r="D34" i="8"/>
  <c r="M29" i="5"/>
  <c r="P34" i="8"/>
  <c r="R34"/>
  <c r="E34"/>
  <c r="Z8" i="7"/>
  <c r="Z39"/>
  <c r="H12"/>
  <c r="H11"/>
  <c r="H14"/>
  <c r="M15" i="5"/>
  <c r="M7" i="7"/>
  <c r="M10"/>
  <c r="O34" i="8"/>
  <c r="H26" i="7"/>
  <c r="H22"/>
  <c r="H31"/>
  <c r="P8"/>
  <c r="P39"/>
  <c r="X42"/>
  <c r="Y37"/>
  <c r="W43" i="8"/>
  <c r="W44"/>
  <c r="R42" i="7"/>
  <c r="S37"/>
  <c r="D21"/>
  <c r="D23"/>
  <c r="D28"/>
  <c r="K29"/>
  <c r="Z21"/>
  <c r="Z33"/>
  <c r="AA32" i="8"/>
  <c r="C16" i="7"/>
  <c r="L21"/>
  <c r="L23"/>
  <c r="L28"/>
  <c r="M37"/>
  <c r="Z12"/>
  <c r="Z11"/>
  <c r="Z14"/>
  <c r="B10"/>
  <c r="G7"/>
  <c r="K42"/>
  <c r="F44" i="8"/>
  <c r="Y41" i="7"/>
  <c r="Z41"/>
  <c r="S45" i="5"/>
  <c r="S15"/>
  <c r="M6" i="7"/>
  <c r="M11"/>
  <c r="M14"/>
  <c r="M15"/>
  <c r="B45" i="5"/>
  <c r="L43" i="8"/>
  <c r="L44"/>
  <c r="AA44"/>
  <c r="C21" i="7"/>
  <c r="G11"/>
  <c r="G15"/>
  <c r="G16"/>
  <c r="N8"/>
  <c r="N39"/>
  <c r="H7"/>
  <c r="H10"/>
  <c r="V44" i="5"/>
  <c r="V45"/>
  <c r="K8" i="7"/>
  <c r="K39"/>
  <c r="F42" i="8"/>
  <c r="F43"/>
  <c r="N21" i="7"/>
  <c r="N23"/>
  <c r="N28"/>
  <c r="L42"/>
  <c r="E21"/>
  <c r="E23"/>
  <c r="E28"/>
  <c r="L29"/>
  <c r="Q11"/>
  <c r="Q14"/>
  <c r="Q15"/>
  <c r="U43" i="5"/>
  <c r="P45"/>
  <c r="P15"/>
  <c r="J15" i="7"/>
  <c r="C44" i="8"/>
  <c r="K45" i="5"/>
  <c r="T34" i="8"/>
  <c r="E7" i="7"/>
  <c r="H42" i="8"/>
  <c r="R29" i="5"/>
  <c r="G6" i="7"/>
  <c r="G8"/>
  <c r="G39"/>
  <c r="O42"/>
  <c r="U21"/>
  <c r="U23"/>
  <c r="U28"/>
  <c r="T45" i="5"/>
  <c r="T15"/>
  <c r="W44"/>
  <c r="W45"/>
  <c r="W15"/>
  <c r="R8" i="7"/>
  <c r="R39"/>
  <c r="Z42"/>
  <c r="M43" i="5"/>
  <c r="M44"/>
  <c r="M45"/>
  <c r="H21" i="7"/>
  <c r="H23"/>
  <c r="H28"/>
  <c r="O29"/>
  <c r="J42" i="8"/>
  <c r="J43"/>
  <c r="J44"/>
  <c r="J27"/>
  <c r="E29" i="5"/>
  <c r="I21" i="7"/>
  <c r="I23"/>
  <c r="I28"/>
  <c r="P29"/>
  <c r="W8"/>
  <c r="W39"/>
  <c r="L44" i="5"/>
  <c r="L45"/>
  <c r="E43"/>
  <c r="V21" i="7"/>
  <c r="V33"/>
  <c r="W32" i="8"/>
  <c r="W42"/>
  <c r="J12" i="7"/>
  <c r="J11"/>
  <c r="J14"/>
  <c r="J6"/>
  <c r="J8"/>
  <c r="J39"/>
  <c r="W21"/>
  <c r="W33"/>
  <c r="X32" i="8"/>
  <c r="R33" i="7"/>
  <c r="S32" i="8"/>
  <c r="W6" i="7"/>
  <c r="W11"/>
  <c r="W14"/>
  <c r="W15"/>
  <c r="W16"/>
  <c r="M42" i="8"/>
  <c r="C15" i="7"/>
  <c r="C11"/>
  <c r="C12"/>
  <c r="T7"/>
  <c r="Y42" i="8"/>
  <c r="N27"/>
  <c r="O43" i="5"/>
  <c r="O44"/>
  <c r="F6" i="7"/>
  <c r="F8"/>
  <c r="F39"/>
  <c r="N42"/>
  <c r="V42" i="8"/>
  <c r="V43"/>
  <c r="W43" i="5"/>
  <c r="M21" i="7"/>
  <c r="M23"/>
  <c r="M28"/>
  <c r="V7"/>
  <c r="E6"/>
  <c r="E8"/>
  <c r="E39"/>
  <c r="R6"/>
  <c r="R11"/>
  <c r="R14"/>
  <c r="R15"/>
  <c r="R16"/>
  <c r="J34" i="8"/>
  <c r="Q42"/>
  <c r="O11" i="7"/>
  <c r="O14"/>
  <c r="O15"/>
  <c r="Q43" i="5"/>
  <c r="Q44"/>
  <c r="Q45"/>
  <c r="G43"/>
  <c r="G44"/>
  <c r="U41" i="7"/>
  <c r="V41"/>
  <c r="W41"/>
  <c r="X41"/>
  <c r="F21"/>
  <c r="F23"/>
  <c r="F28"/>
  <c r="L8"/>
  <c r="L39"/>
  <c r="T42"/>
  <c r="R21"/>
  <c r="R23"/>
  <c r="R28"/>
  <c r="I43" i="5"/>
  <c r="I44"/>
  <c r="I45"/>
  <c r="I15"/>
  <c r="C7" i="7"/>
  <c r="Y29" i="5"/>
  <c r="O21" i="7"/>
  <c r="K43" i="8"/>
  <c r="K44"/>
  <c r="K6" i="7"/>
  <c r="K11"/>
  <c r="K14"/>
  <c r="K15"/>
  <c r="K16"/>
  <c r="X38"/>
  <c r="X43"/>
  <c r="Y36"/>
  <c r="D43" i="5"/>
  <c r="D44"/>
  <c r="D45"/>
  <c r="AA42" i="8"/>
  <c r="AA43"/>
  <c r="R43"/>
  <c r="R44"/>
  <c r="Y43" i="5"/>
  <c r="Y44"/>
  <c r="Y45"/>
  <c r="P6" i="7"/>
  <c r="P11"/>
  <c r="P14"/>
  <c r="P15"/>
  <c r="D42" i="8"/>
  <c r="O42"/>
  <c r="O43"/>
  <c r="O44"/>
  <c r="T21" i="7"/>
  <c r="T23"/>
  <c r="T28"/>
  <c r="B43" i="5"/>
  <c r="B44"/>
  <c r="K42" i="8"/>
  <c r="V43" i="5"/>
  <c r="S42" i="8"/>
  <c r="F43" i="5"/>
  <c r="F44"/>
  <c r="F45"/>
  <c r="X43"/>
  <c r="X44"/>
  <c r="V6" i="7"/>
  <c r="V11"/>
  <c r="V14"/>
  <c r="V15"/>
  <c r="N11"/>
  <c r="N14"/>
  <c r="N15"/>
  <c r="J43" i="5"/>
  <c r="J44"/>
  <c r="J45"/>
  <c r="X44" i="8"/>
  <c r="O6" i="7"/>
  <c r="O8"/>
  <c r="O39"/>
  <c r="S43" i="5"/>
  <c r="S44"/>
  <c r="T8" i="7"/>
  <c r="T39"/>
  <c r="L43" i="5"/>
  <c r="L42" i="8"/>
  <c r="X6" i="7"/>
  <c r="X11"/>
  <c r="X14"/>
  <c r="X15"/>
  <c r="V38"/>
  <c r="V43"/>
  <c r="W36"/>
  <c r="W38"/>
  <c r="W43"/>
  <c r="X36"/>
  <c r="N43" i="5"/>
  <c r="N44"/>
  <c r="X42" i="8"/>
  <c r="X43"/>
  <c r="C6" i="7"/>
  <c r="C8"/>
  <c r="C39"/>
  <c r="C43" i="5"/>
  <c r="C44"/>
  <c r="N42" i="8"/>
  <c r="N43"/>
  <c r="N44"/>
  <c r="E42"/>
  <c r="E43"/>
  <c r="E44"/>
  <c r="N6" i="7"/>
  <c r="L6"/>
  <c r="L11"/>
  <c r="L14"/>
  <c r="L15"/>
  <c r="U42" i="8"/>
  <c r="U43"/>
  <c r="U44"/>
  <c r="J42" i="7"/>
  <c r="K37"/>
  <c r="N7"/>
  <c r="N10"/>
  <c r="H43" i="5"/>
  <c r="H44"/>
  <c r="T41" i="7"/>
  <c r="D11"/>
  <c r="D15"/>
  <c r="D16"/>
  <c r="Z43" i="5"/>
  <c r="Z44"/>
  <c r="Z45"/>
  <c r="Z15"/>
  <c r="T43"/>
  <c r="T44"/>
  <c r="P43"/>
  <c r="P44"/>
  <c r="G42" i="8"/>
  <c r="D6" i="7"/>
  <c r="D8"/>
  <c r="D39"/>
  <c r="S38"/>
  <c r="S43"/>
  <c r="T36"/>
  <c r="T38"/>
  <c r="T43"/>
  <c r="U36"/>
  <c r="U38"/>
  <c r="U43"/>
  <c r="V36"/>
  <c r="H6"/>
  <c r="H8"/>
  <c r="H39"/>
  <c r="Z6"/>
  <c r="C42" i="8"/>
  <c r="C43"/>
  <c r="R43" i="5"/>
  <c r="R44"/>
  <c r="R45"/>
  <c r="W30" i="7"/>
  <c r="W32"/>
  <c r="X27"/>
  <c r="X30"/>
  <c r="X32"/>
  <c r="Y27"/>
  <c r="Y30"/>
  <c r="Y32"/>
  <c r="I42" i="8"/>
  <c r="I43"/>
  <c r="R42"/>
  <c r="K43" i="5"/>
  <c r="K44"/>
  <c r="Q6" i="7"/>
  <c r="Q8"/>
  <c r="Q39"/>
  <c r="P38"/>
  <c r="P43"/>
  <c r="Q36"/>
  <c r="Q38"/>
  <c r="Q43"/>
  <c r="R36"/>
  <c r="R38"/>
  <c r="R43"/>
  <c r="S36"/>
  <c r="T6"/>
  <c r="U32"/>
  <c r="V27"/>
  <c r="V30"/>
  <c r="V32"/>
  <c r="W27"/>
  <c r="O41"/>
  <c r="P41"/>
  <c r="Q41"/>
  <c r="R41"/>
  <c r="S41"/>
  <c r="T12" i="8"/>
  <c r="T14"/>
  <c r="T24"/>
  <c r="T30"/>
  <c r="S2" i="7"/>
  <c r="S19"/>
  <c r="S20"/>
  <c r="S45"/>
  <c r="S46"/>
  <c r="S13" i="5"/>
  <c r="S16"/>
  <c r="S20"/>
  <c r="S21"/>
  <c r="S24"/>
  <c r="T10" i="8"/>
  <c r="U13" i="5"/>
  <c r="U16"/>
  <c r="U20"/>
  <c r="U21"/>
  <c r="U24"/>
  <c r="V10" i="8"/>
  <c r="V12"/>
  <c r="V14"/>
  <c r="V24"/>
  <c r="V30"/>
  <c r="U2" i="7"/>
  <c r="U19"/>
  <c r="U20"/>
  <c r="U45"/>
  <c r="U46"/>
  <c r="X30" i="8"/>
  <c r="W2" i="7"/>
  <c r="W19"/>
  <c r="W20"/>
  <c r="W45"/>
  <c r="W46"/>
  <c r="W13" i="5"/>
  <c r="W16"/>
  <c r="W20"/>
  <c r="W21"/>
  <c r="W24"/>
  <c r="X10" i="8"/>
  <c r="X12"/>
  <c r="X14"/>
  <c r="X24"/>
  <c r="Y45" i="7"/>
  <c r="Y46"/>
  <c r="Y13" i="5"/>
  <c r="Y16"/>
  <c r="Y20"/>
  <c r="Y21"/>
  <c r="Y24"/>
  <c r="Z10" i="8"/>
  <c r="Z12"/>
  <c r="Z14"/>
  <c r="Z24"/>
  <c r="Z30"/>
  <c r="Y2" i="7"/>
  <c r="Y19"/>
  <c r="Y20"/>
  <c r="K38"/>
  <c r="K43"/>
  <c r="L36"/>
  <c r="L38"/>
  <c r="L43"/>
  <c r="M36"/>
  <c r="M38"/>
  <c r="M43"/>
  <c r="N36"/>
  <c r="N38"/>
  <c r="N43"/>
  <c r="O36"/>
  <c r="O38"/>
  <c r="O43"/>
  <c r="P36"/>
  <c r="B21"/>
  <c r="B23"/>
  <c r="B28"/>
  <c r="B30"/>
  <c r="B32"/>
  <c r="C27"/>
  <c r="C30"/>
  <c r="C32"/>
  <c r="D27"/>
  <c r="D30"/>
  <c r="D32"/>
  <c r="E27"/>
  <c r="E30"/>
  <c r="E32"/>
  <c r="F27"/>
  <c r="F30"/>
  <c r="F32"/>
  <c r="G27"/>
  <c r="G30"/>
  <c r="G32"/>
  <c r="H27"/>
  <c r="H30"/>
  <c r="H32"/>
  <c r="I27"/>
  <c r="I30"/>
  <c r="I32"/>
  <c r="J27"/>
  <c r="J30"/>
  <c r="J32"/>
  <c r="K27"/>
  <c r="K30"/>
  <c r="K32"/>
  <c r="L27"/>
  <c r="L30"/>
  <c r="L32"/>
  <c r="M27"/>
  <c r="M30"/>
  <c r="M32"/>
  <c r="N27"/>
  <c r="N30"/>
  <c r="N32"/>
  <c r="O27"/>
  <c r="O30"/>
  <c r="O32"/>
  <c r="P27"/>
  <c r="P30"/>
  <c r="P32"/>
  <c r="Q27"/>
  <c r="Q30"/>
  <c r="Q32"/>
  <c r="R27"/>
  <c r="R30"/>
  <c r="R32"/>
  <c r="S27"/>
  <c r="S30"/>
  <c r="S32"/>
  <c r="T27"/>
  <c r="T30"/>
  <c r="T32"/>
  <c r="U27"/>
  <c r="U30"/>
  <c r="B8"/>
  <c r="B39"/>
  <c r="B43"/>
  <c r="C36"/>
  <c r="C38"/>
  <c r="C43"/>
  <c r="D36"/>
  <c r="D38"/>
  <c r="D43"/>
  <c r="E36"/>
  <c r="E38"/>
  <c r="E43"/>
  <c r="F36"/>
  <c r="F38"/>
  <c r="F43"/>
  <c r="G36"/>
  <c r="G38"/>
  <c r="G43"/>
  <c r="H36"/>
  <c r="H38"/>
  <c r="H43"/>
  <c r="I36"/>
  <c r="I38"/>
  <c r="I43"/>
  <c r="J36"/>
  <c r="J38"/>
  <c r="J43"/>
  <c r="K36"/>
  <c r="B6"/>
  <c r="B40"/>
  <c r="B41"/>
  <c r="C41"/>
  <c r="D41"/>
  <c r="E41"/>
  <c r="F41"/>
  <c r="G41"/>
  <c r="H41"/>
  <c r="I41"/>
  <c r="J41"/>
  <c r="K41"/>
  <c r="L41"/>
  <c r="M41"/>
  <c r="N41"/>
  <c r="C16" i="5"/>
  <c r="C20"/>
  <c r="C21"/>
  <c r="C24"/>
  <c r="D10" i="8"/>
  <c r="D12"/>
  <c r="D14"/>
  <c r="D24"/>
  <c r="D30"/>
  <c r="C2" i="7"/>
  <c r="C19"/>
  <c r="C20"/>
  <c r="C45"/>
  <c r="C46"/>
  <c r="C13" i="5"/>
  <c r="E13"/>
  <c r="E16"/>
  <c r="E20"/>
  <c r="E21"/>
  <c r="E24"/>
  <c r="F10" i="8"/>
  <c r="F12"/>
  <c r="F14"/>
  <c r="F24"/>
  <c r="F30"/>
  <c r="E2" i="7"/>
  <c r="E19"/>
  <c r="E20"/>
  <c r="E45"/>
  <c r="E46"/>
  <c r="H12" i="8"/>
  <c r="H14"/>
  <c r="H24"/>
  <c r="H30"/>
  <c r="G2" i="7"/>
  <c r="G19"/>
  <c r="G20"/>
  <c r="G45"/>
  <c r="G46"/>
  <c r="G13" i="5"/>
  <c r="G16"/>
  <c r="G20"/>
  <c r="G21"/>
  <c r="G24"/>
  <c r="H10" i="8"/>
  <c r="J12"/>
  <c r="J14"/>
  <c r="J24"/>
  <c r="J30"/>
  <c r="I2" i="7"/>
  <c r="I19"/>
  <c r="I20"/>
  <c r="I45"/>
  <c r="I46"/>
  <c r="I13" i="5"/>
  <c r="I16"/>
  <c r="I20"/>
  <c r="I21"/>
  <c r="I24"/>
  <c r="J10" i="8"/>
  <c r="L12"/>
  <c r="L14"/>
  <c r="L24"/>
  <c r="L30"/>
  <c r="K2" i="7"/>
  <c r="K19"/>
  <c r="K20"/>
  <c r="K45"/>
  <c r="K46"/>
  <c r="K13" i="5"/>
  <c r="K16"/>
  <c r="K20"/>
  <c r="K21"/>
  <c r="K24"/>
  <c r="L10" i="8"/>
  <c r="N12"/>
  <c r="N14"/>
  <c r="N24"/>
  <c r="N30"/>
  <c r="M2" i="7"/>
  <c r="M19"/>
  <c r="M20"/>
  <c r="M45"/>
  <c r="M46"/>
  <c r="M13" i="5"/>
  <c r="M16"/>
  <c r="M20"/>
  <c r="M21"/>
  <c r="M24"/>
  <c r="N10" i="8"/>
  <c r="P30"/>
  <c r="O2" i="7"/>
  <c r="O19"/>
  <c r="O20"/>
  <c r="O45"/>
  <c r="O46"/>
  <c r="O13" i="5"/>
  <c r="O16"/>
  <c r="O20"/>
  <c r="O21"/>
  <c r="O24"/>
  <c r="P10" i="8"/>
  <c r="P12"/>
  <c r="P14"/>
  <c r="P24"/>
  <c r="Q16" i="5"/>
  <c r="Q20"/>
  <c r="Q21"/>
  <c r="Q24"/>
  <c r="R10" i="8"/>
  <c r="R12"/>
  <c r="R14"/>
  <c r="R24"/>
  <c r="R30"/>
  <c r="Q2" i="7"/>
  <c r="Q19"/>
  <c r="Q20"/>
  <c r="Q45"/>
  <c r="Q46"/>
  <c r="Q13" i="5"/>
  <c r="B2" i="7"/>
  <c r="B19"/>
  <c r="B20"/>
  <c r="B45"/>
  <c r="B46"/>
  <c r="B13" i="5"/>
  <c r="B16"/>
  <c r="B20"/>
  <c r="B21"/>
  <c r="B24"/>
  <c r="C10" i="8"/>
  <c r="C12"/>
  <c r="C14"/>
  <c r="C24"/>
  <c r="C30"/>
  <c r="D16" i="5"/>
  <c r="D20"/>
  <c r="D21"/>
  <c r="D24"/>
  <c r="E10" i="8"/>
  <c r="E12"/>
  <c r="E14"/>
  <c r="E24"/>
  <c r="E30"/>
  <c r="D2" i="7"/>
  <c r="D19"/>
  <c r="D20"/>
  <c r="D45"/>
  <c r="D46"/>
  <c r="D13" i="5"/>
  <c r="F2" i="7"/>
  <c r="F19"/>
  <c r="F20"/>
  <c r="F45"/>
  <c r="F46"/>
  <c r="F13" i="5"/>
  <c r="F16"/>
  <c r="F20"/>
  <c r="F21"/>
  <c r="F24"/>
  <c r="G10" i="8"/>
  <c r="G12"/>
  <c r="G14"/>
  <c r="G24"/>
  <c r="G30"/>
  <c r="H2" i="7"/>
  <c r="H19"/>
  <c r="H20"/>
  <c r="H45"/>
  <c r="H46"/>
  <c r="H13" i="5"/>
  <c r="H16"/>
  <c r="H20"/>
  <c r="H21"/>
  <c r="H24"/>
  <c r="I10" i="8"/>
  <c r="I12"/>
  <c r="I14"/>
  <c r="I24"/>
  <c r="I30"/>
  <c r="J2" i="7"/>
  <c r="J19"/>
  <c r="J20"/>
  <c r="J45"/>
  <c r="J46"/>
  <c r="J13" i="5"/>
  <c r="J16"/>
  <c r="J20"/>
  <c r="J21"/>
  <c r="J24"/>
  <c r="K10" i="8"/>
  <c r="K12"/>
  <c r="K14"/>
  <c r="K24"/>
  <c r="K30"/>
  <c r="L16" i="5"/>
  <c r="L20"/>
  <c r="L21"/>
  <c r="L24"/>
  <c r="M10" i="8"/>
  <c r="M12"/>
  <c r="M14"/>
  <c r="M24"/>
  <c r="M30"/>
  <c r="L2" i="7"/>
  <c r="L19"/>
  <c r="L20"/>
  <c r="L45"/>
  <c r="L46"/>
  <c r="L13" i="5"/>
  <c r="N2" i="7"/>
  <c r="N19"/>
  <c r="N20"/>
  <c r="N45"/>
  <c r="N46"/>
  <c r="N13" i="5"/>
  <c r="N16"/>
  <c r="N20"/>
  <c r="N21"/>
  <c r="N24"/>
  <c r="O10" i="8"/>
  <c r="O12"/>
  <c r="O14"/>
  <c r="O24"/>
  <c r="O30"/>
  <c r="P16" i="5"/>
  <c r="P20"/>
  <c r="P21"/>
  <c r="P24"/>
  <c r="Q10" i="8"/>
  <c r="Q12"/>
  <c r="Q14"/>
  <c r="Q24"/>
  <c r="Q30"/>
  <c r="P2" i="7"/>
  <c r="P19"/>
  <c r="P20"/>
  <c r="P45"/>
  <c r="P46"/>
  <c r="P13" i="5"/>
  <c r="R2" i="7"/>
  <c r="R19"/>
  <c r="R20"/>
  <c r="R45"/>
  <c r="R46"/>
  <c r="R13" i="5"/>
  <c r="R16"/>
  <c r="R20"/>
  <c r="R21"/>
  <c r="R24"/>
  <c r="S10" i="8"/>
  <c r="S12"/>
  <c r="S14"/>
  <c r="S24"/>
  <c r="S30"/>
  <c r="T16" i="5"/>
  <c r="T20"/>
  <c r="T21"/>
  <c r="T24"/>
  <c r="U10" i="8"/>
  <c r="U12"/>
  <c r="U14"/>
  <c r="U24"/>
  <c r="U30"/>
  <c r="T2" i="7"/>
  <c r="T19"/>
  <c r="T20"/>
  <c r="T45"/>
  <c r="T46"/>
  <c r="T13" i="5"/>
  <c r="V2" i="7"/>
  <c r="V19"/>
  <c r="V20"/>
  <c r="V45"/>
  <c r="V46"/>
  <c r="V13" i="5"/>
  <c r="V16"/>
  <c r="V20"/>
  <c r="V21"/>
  <c r="V24"/>
  <c r="W10" i="8"/>
  <c r="W12"/>
  <c r="W14"/>
  <c r="W24"/>
  <c r="W30"/>
  <c r="X24" i="5"/>
  <c r="Y10" i="8"/>
  <c r="Y12"/>
  <c r="Y14"/>
  <c r="Y24"/>
  <c r="Y30"/>
  <c r="X2" i="7"/>
  <c r="X19"/>
  <c r="X20"/>
  <c r="X45"/>
  <c r="X46"/>
  <c r="X13" i="5"/>
  <c r="X16"/>
  <c r="X20"/>
  <c r="X21"/>
  <c r="AA30" i="8"/>
  <c r="Z2" i="7"/>
  <c r="Z19"/>
  <c r="Z20"/>
  <c r="Z45"/>
  <c r="Z46"/>
  <c r="Z13" i="5"/>
  <c r="Z16"/>
  <c r="Z20"/>
  <c r="Z21"/>
  <c r="Z24"/>
  <c r="AA10" i="8"/>
  <c r="AA12"/>
  <c r="AA14"/>
  <c r="AA24"/>
</calcChain>
</file>

<file path=xl/sharedStrings.xml><?xml version="1.0" encoding="utf-8"?>
<sst xmlns="http://schemas.openxmlformats.org/spreadsheetml/2006/main" count="373" uniqueCount="305">
  <si>
    <t>Year Ending</t>
  </si>
  <si>
    <t>Particulars</t>
  </si>
  <si>
    <t>Operative Days</t>
  </si>
  <si>
    <t>Calculation Of Interest On Term Loan</t>
  </si>
  <si>
    <t>Year</t>
  </si>
  <si>
    <t>Depre</t>
  </si>
  <si>
    <t>Calculation Of Operation &amp; Maintainence Charges</t>
  </si>
  <si>
    <t>Calculation Of Applicable Exchange rate</t>
  </si>
  <si>
    <t>Calculation Of Fuel Charges</t>
  </si>
  <si>
    <t>Kcal</t>
  </si>
  <si>
    <t>Computation Of Heat rate &amp; Total Generation</t>
  </si>
  <si>
    <t>Net Generation</t>
  </si>
  <si>
    <t>Variable Cost</t>
  </si>
  <si>
    <t>Fixed Cost</t>
  </si>
  <si>
    <t>Interest On term Loan</t>
  </si>
  <si>
    <t>O &amp; M Charges</t>
  </si>
  <si>
    <t>Equity</t>
  </si>
  <si>
    <t>Return On Equity</t>
  </si>
  <si>
    <t>Fuel Cost</t>
  </si>
  <si>
    <t>Maintainence Exp.</t>
  </si>
  <si>
    <t>Total</t>
  </si>
  <si>
    <t>Interest on Loan</t>
  </si>
  <si>
    <t>Project Capacity</t>
  </si>
  <si>
    <t xml:space="preserve">AUX </t>
  </si>
  <si>
    <t>Phase Wise Capacity (Mw)</t>
  </si>
  <si>
    <t>Tariff Assumptions</t>
  </si>
  <si>
    <t>Operating And Maintainence Exp.</t>
  </si>
  <si>
    <t>Operating Days</t>
  </si>
  <si>
    <t>Tax Assumptions</t>
  </si>
  <si>
    <t>Corporate Tax</t>
  </si>
  <si>
    <t>MAT Tax</t>
  </si>
  <si>
    <t>Rate Of Interest On Working Capital</t>
  </si>
  <si>
    <t xml:space="preserve">Interest On Term Loan </t>
  </si>
  <si>
    <t>No. Of Quarterly Installments</t>
  </si>
  <si>
    <t xml:space="preserve">Repayment </t>
  </si>
  <si>
    <t>Repayment Counters Per Annum</t>
  </si>
  <si>
    <t>Present Vale Per Unit Cost</t>
  </si>
  <si>
    <t>Capacity Details</t>
  </si>
  <si>
    <t>Term Loan Details</t>
  </si>
  <si>
    <t>Variable cost</t>
  </si>
  <si>
    <t>Fuel (months)</t>
  </si>
  <si>
    <t>O &amp; M Expenses (months)</t>
  </si>
  <si>
    <t>Total project cost</t>
  </si>
  <si>
    <t>Gross Block</t>
  </si>
  <si>
    <t>Debt</t>
  </si>
  <si>
    <t>Present Value</t>
  </si>
  <si>
    <t>Total Capacity ( MW)</t>
  </si>
  <si>
    <t>Calculation Of Cost</t>
  </si>
  <si>
    <t>Fixed charges</t>
  </si>
  <si>
    <t xml:space="preserve">Levelised Cost </t>
  </si>
  <si>
    <t>Depreciation on plant</t>
  </si>
  <si>
    <t>CERC Depreciation</t>
  </si>
  <si>
    <t>Maintainence Exp.(As a % Of O&amp;M Cost)</t>
  </si>
  <si>
    <t>Working Capital Information</t>
  </si>
  <si>
    <t>No. of Year</t>
  </si>
  <si>
    <t>Year ending on</t>
  </si>
  <si>
    <t>Salvage Value of Plant</t>
  </si>
  <si>
    <t>Depreciable Value of Plant</t>
  </si>
  <si>
    <t>Ratio</t>
  </si>
  <si>
    <t>Total (MW)</t>
  </si>
  <si>
    <t>Auxiliary Consumption</t>
  </si>
  <si>
    <t>Total ( Million Units)</t>
  </si>
  <si>
    <t xml:space="preserve">V.C.Per Unit Of Net Genetation </t>
  </si>
  <si>
    <t>Interest on Working Capital</t>
  </si>
  <si>
    <t>Working Capital Requirement For Receivables (months)</t>
  </si>
  <si>
    <t>Receivables</t>
  </si>
  <si>
    <t xml:space="preserve">F.C. Per Unit Of Net Generation </t>
  </si>
  <si>
    <t>25 year levelized cost</t>
  </si>
  <si>
    <t>Levelized Fixed Cost</t>
  </si>
  <si>
    <t>Levelized Variable Cost.</t>
  </si>
  <si>
    <t xml:space="preserve">working capital </t>
  </si>
  <si>
    <t>interest on W.C</t>
  </si>
  <si>
    <t>=</t>
  </si>
  <si>
    <t>interest on VC</t>
  </si>
  <si>
    <t>+</t>
  </si>
  <si>
    <t>Interest on FC</t>
  </si>
  <si>
    <t>Book Profit</t>
  </si>
  <si>
    <t>Tax Payable as per</t>
  </si>
  <si>
    <t>Can be C/f Till</t>
  </si>
  <si>
    <t>Excess Tax Paid over MAT</t>
  </si>
  <si>
    <t>Tax Depreciation</t>
  </si>
  <si>
    <t>Loss to be C/f</t>
  </si>
  <si>
    <t>Opening Bal of loss</t>
  </si>
  <si>
    <t>Closing Balance of loss</t>
  </si>
  <si>
    <t xml:space="preserve">Normal Tax </t>
  </si>
  <si>
    <t>MAT</t>
  </si>
  <si>
    <t>Available Credit</t>
  </si>
  <si>
    <t>Calculation of Tax @ Normal Rates</t>
  </si>
  <si>
    <t xml:space="preserve">Taxable Profit </t>
  </si>
  <si>
    <t>Loss set off during the year</t>
  </si>
  <si>
    <t>PBT after setting off loss</t>
  </si>
  <si>
    <t>Calculation of MAT</t>
  </si>
  <si>
    <t>Tax Payable before MAT Credit</t>
  </si>
  <si>
    <t xml:space="preserve"> PLF (%)</t>
  </si>
  <si>
    <t xml:space="preserve"> Performance</t>
  </si>
  <si>
    <t xml:space="preserve"> PLF</t>
  </si>
  <si>
    <t xml:space="preserve"> Heat Rate ( Kcal/ KWh)</t>
  </si>
  <si>
    <t xml:space="preserve"> Generation</t>
  </si>
  <si>
    <t>1 Kg=</t>
  </si>
  <si>
    <t>1 Mt=</t>
  </si>
  <si>
    <t>Kg</t>
  </si>
  <si>
    <t>1 Litre=</t>
  </si>
  <si>
    <t>Useful Conversions</t>
  </si>
  <si>
    <t>Normative Net generation (MU)</t>
  </si>
  <si>
    <t>Compensation Allowance</t>
  </si>
  <si>
    <t>Year of Operation</t>
  </si>
  <si>
    <t>0-10</t>
  </si>
  <si>
    <t>16-20</t>
  </si>
  <si>
    <t>11-15</t>
  </si>
  <si>
    <t>21-25</t>
  </si>
  <si>
    <t>Compensatory Allowance</t>
  </si>
  <si>
    <t>Heat Rate ( Kcal/KWh)</t>
  </si>
  <si>
    <t>Shortage</t>
  </si>
  <si>
    <t>Secondary Fuel Oil Consumption (months)</t>
  </si>
  <si>
    <t>Kcal in 1 mt</t>
  </si>
  <si>
    <t>Total energy into the system (kcal)</t>
  </si>
  <si>
    <t>Energy of oil consumption (kcal)</t>
  </si>
  <si>
    <t>Gross generation (MU)</t>
  </si>
  <si>
    <t>Oil Consumption Cost-Kcal</t>
  </si>
  <si>
    <t>Cal.Value (kcal/kg)</t>
  </si>
  <si>
    <t>Oil consumption (Kg/kwh)</t>
  </si>
  <si>
    <t>Cal value of oil consumption (kcal/kwh)</t>
  </si>
  <si>
    <t>Total kwh( MU convert to KWh)</t>
  </si>
  <si>
    <t>Total kwh ( MU converted into KWh)</t>
  </si>
  <si>
    <t>Total consumption (ML)</t>
  </si>
  <si>
    <t xml:space="preserve">Secondary fuel </t>
  </si>
  <si>
    <t>Net energy input for Coal (kcal)</t>
  </si>
  <si>
    <t>Total no. of mt of Coal required ( MT)</t>
  </si>
  <si>
    <t>Net energy input for coal (kcal)</t>
  </si>
  <si>
    <t>Torrent Power Limited</t>
  </si>
  <si>
    <t>Projected Profitability Statement</t>
  </si>
  <si>
    <t xml:space="preserve"> </t>
  </si>
  <si>
    <t>Year ending</t>
  </si>
  <si>
    <t>Net Saleable electricity (in MUs)</t>
  </si>
  <si>
    <t>Operating Costs</t>
  </si>
  <si>
    <t>O &amp; M expenses</t>
  </si>
  <si>
    <t>Fuel cost</t>
  </si>
  <si>
    <t>Sub-total</t>
  </si>
  <si>
    <t>Gross profit (PBIDT)</t>
  </si>
  <si>
    <t>Interest on Term loan</t>
  </si>
  <si>
    <t>Interest on WC</t>
  </si>
  <si>
    <t xml:space="preserve">Book Depreciation </t>
  </si>
  <si>
    <t>Operating profit (PBT)</t>
  </si>
  <si>
    <t xml:space="preserve">Income Tax/MAT </t>
  </si>
  <si>
    <t>Profit after Tax (PAT)</t>
  </si>
  <si>
    <t>Interest on Working Capital Loan</t>
  </si>
  <si>
    <t>Sensitivity Analysis</t>
  </si>
  <si>
    <t>Fuel Price</t>
  </si>
  <si>
    <t>PLF</t>
  </si>
  <si>
    <t xml:space="preserve">Depreciation </t>
  </si>
  <si>
    <t>Depreciation on plant and Machinery as per Companies Act, 1956</t>
  </si>
  <si>
    <t>Depreciation as per Companies Act</t>
  </si>
  <si>
    <t>Net Block</t>
  </si>
  <si>
    <t>Calculation Of Interest On Term Loan (Actual)</t>
  </si>
  <si>
    <t>Secondary Fuel</t>
  </si>
  <si>
    <t>Depreciation on plant and Machinery as per Income tax Act, 1961</t>
  </si>
  <si>
    <t>Calculation Of CERC Depreciation</t>
  </si>
  <si>
    <t>Last year for loss c/f</t>
  </si>
  <si>
    <t>Expired loss</t>
  </si>
  <si>
    <t>Available loss</t>
  </si>
  <si>
    <t>Cumulative utilisation</t>
  </si>
  <si>
    <t>Expiring loss</t>
  </si>
  <si>
    <t>Capacity Utilization</t>
  </si>
  <si>
    <t>Grossed up rate of return on equity as per CERC Tariff Regulations, 2009</t>
  </si>
  <si>
    <t>CERC Margin on Heat Rate</t>
  </si>
  <si>
    <t>No. of Days in the Year</t>
  </si>
  <si>
    <t>Reference/Source</t>
  </si>
  <si>
    <t>RBI website (http://www.rbi.org.in/scripts/ReferenceRateArchive.aspx )</t>
  </si>
  <si>
    <t>CO2 Baseline Database for the Indian Power Sector, November, 2009, issued by Central Electricity Authority, Ministry of Power, Government of India (http://www.cea.nic.in/reports/planning/cdm_co2/cdm_co2.htm)</t>
  </si>
  <si>
    <t>Value</t>
  </si>
  <si>
    <t xml:space="preserve">Yearly Depreciaition </t>
  </si>
  <si>
    <t>Project Cost</t>
  </si>
  <si>
    <t>As per The Companies Act, 1956</t>
  </si>
  <si>
    <t>Operating and Maintenance Exp.</t>
  </si>
  <si>
    <t>Permissible increase in O &amp; M Per Annum</t>
  </si>
  <si>
    <t>Central Electricity Regulatory Commission (Terms  &amp; conditions of Tariff) Regulations, 2009 (www.cercind.gov.in) Page 13</t>
  </si>
  <si>
    <t>Heat rate for levellised cost ( Kcal/KWh)</t>
  </si>
  <si>
    <t>Number Of Units</t>
  </si>
  <si>
    <t>O&amp;M cost</t>
  </si>
  <si>
    <t>Heat Rate</t>
  </si>
  <si>
    <t>Unit 1 ( MW)</t>
  </si>
  <si>
    <t>Unit 1 ( Million Units)</t>
  </si>
  <si>
    <t>MAT Credit arising</t>
  </si>
  <si>
    <t>MAT credit available</t>
  </si>
  <si>
    <t>Opening Bal of MAT Credit</t>
  </si>
  <si>
    <t>MAT arising</t>
  </si>
  <si>
    <t>MAT credit utilised</t>
  </si>
  <si>
    <t>Closing Balance of MAT Credit</t>
  </si>
  <si>
    <t>Tax Payable after MAT credit</t>
  </si>
  <si>
    <t>Actual tax payable in %</t>
  </si>
  <si>
    <t>Discounting rate( factor)</t>
  </si>
  <si>
    <t>CERC (Terms and conditions of Tariff) Regulations, 2009 dated 19/01/2009 (www.cercind.gov.in)- Annexure III</t>
  </si>
  <si>
    <t>CERC (Terms and conditions of Tariff) Regulations, 2009 dated 19/01/2009 (www.cercind.gov.in)- Page 23</t>
  </si>
  <si>
    <t>Central Electricity Regulatory Commission (Terms  &amp; conditions of Tariff) Regulations, 2009 dated 19/01/2009 (www.cercind.gov.in) page 48</t>
  </si>
  <si>
    <t>Central Electricity Regulatory Commission (Terms  &amp; conditions of Tariff) Regulations, 2009 dated 19/01/2009 (www.cercind.gov.in) page 42</t>
  </si>
  <si>
    <t>Central Electricity Regulatory Commission (Terms  &amp; conditions of Tariff) Regulations, 2009 dated 19/01/2009 (www.cercind.gov.in) page 46</t>
  </si>
  <si>
    <t>calculated as per Central Electricity Regulatory Commission (Terms  &amp; conditions of Tariff) Regulations, 2009 dated 19/01/2009 (www.cercind.gov.in) page 46</t>
  </si>
  <si>
    <t>Central Electricity Regulatory Commission (Terms  &amp; conditions of Tariff) Regulations, 2009 dated 19/01/2009 (www.cercind.gov.in) Page 27</t>
  </si>
  <si>
    <t>Central Electricity Regulatory Commission (Terms  &amp; conditions of Tariff) Regulations, 2009 dated 19/01/2009  (www.cercind.gov.in) Page 27</t>
  </si>
  <si>
    <t>Central Electricity Regulatory Commission (Terms  &amp; conditions of Tariff) Regulations, 2009 dated 19/01/2009 (www.cercind.gov.in) Page 21</t>
  </si>
  <si>
    <t>Central Electricity Regulatory Commission (Terms  &amp; conditions of Tariff) Regulations, 2009 dated 19/01/2009  (www.cercind.gov.in) page 35</t>
  </si>
  <si>
    <t>Central Electricity Regulatory Commission (Terms  &amp; conditions of Tariff) Regulations, 2009 dated 19/01/2009 (www.cercind.gov.in) Page 25</t>
  </si>
  <si>
    <t>As per Central Electricity Regulatory Commission (Terms  &amp; conditions of Tariff) Regulations, 2009 dated 19/01/2009 (www.cercind.gov.in) page 26 , the Rate of interest on working capital shall be on normative basis and shall be equal to the short-term Prime Lending Rate of State Bank of India (http://in.reuters.com/article/2010/01/04/india-plr-idINSGE6030BH20100104)</t>
  </si>
  <si>
    <t>Central Electricity Regulatory Commission (Terms  &amp; conditions of Tariff) Regulations, 2009 dated 19/01/2009 (www.cercind.gov.in) Page 29</t>
  </si>
  <si>
    <t>whether 80IA applicable</t>
  </si>
  <si>
    <t>Tax after 80IA</t>
  </si>
  <si>
    <t>Expiry of MAT Credit</t>
  </si>
  <si>
    <t>+10%</t>
  </si>
  <si>
    <t>-10%</t>
  </si>
  <si>
    <t>USE 80 IA</t>
  </si>
  <si>
    <t>Income Tax Act, 1961</t>
  </si>
  <si>
    <t>Calculated based on RBI reference Rate for 03/01/2000 and 31/12/2009  (http://www.rbi.org.in)</t>
  </si>
  <si>
    <t xml:space="preserve">Expected salvage Value of Plant in % </t>
  </si>
  <si>
    <t xml:space="preserve">http://energytechnologyexpert.com/financial-models/how-to-evaluate-economic-feasibility-of-a-power-plant-project-use-project-finance-model/ </t>
  </si>
  <si>
    <t>Salvage Value</t>
  </si>
  <si>
    <t>No. of Operating Days in a year</t>
  </si>
  <si>
    <t>Note - 
1. In case the results are not changing or worksheet shows errors like '#NUM' and 'ERROR', please Go to Office Button &gt; Excel Options &gt; Formulas &gt; Calculation Options and tick Enable iterative calcuation for Excel 2007 and Go to Tools &gt; Options &gt; Calculation and check the "Iteration" box for Excel 2003 to ensure that 'iterative calculations' is enabled
2. Please set the maximum iteration value to 32767 (or maximum value permissible)
3. Please enusre that the 'iterative calculation' is enabled eachtime the worksheet is opened.</t>
  </si>
  <si>
    <t>* insert value in range ±10%</t>
  </si>
  <si>
    <t>% Change*</t>
  </si>
  <si>
    <t>As per Loan Sanction Letter of SBI dated 10/02/2011 for the project activity</t>
  </si>
  <si>
    <t>a) 02/04/2013 to 31/03/2014</t>
  </si>
  <si>
    <t xml:space="preserve">Based on the expected commissioing date of 02/04/2013 for the project activity </t>
  </si>
  <si>
    <t>b) 01/04/2014 to 31/03/2015</t>
  </si>
  <si>
    <t>Exchange rate (INR/US $) on 31/12/2009</t>
  </si>
  <si>
    <t>Exchange rate (INR/ US $) on 03/01/2000</t>
  </si>
  <si>
    <t>No. of Years</t>
  </si>
  <si>
    <t>Calculated for the period 03/01/2000 to 31/12/2009</t>
  </si>
  <si>
    <t>Discount rate as notified by Central Electricity Regulatory Commission on 30/09/2009 (http://cercind.gov.in/Escalation-rate/Notification-dated-30-09-09.pdf) page 1</t>
  </si>
  <si>
    <t>Cost per MW (in INRMillions)</t>
  </si>
  <si>
    <t>Total Project cost (in INRMillions)</t>
  </si>
  <si>
    <t>Quarterly Installment ( INR Million)</t>
  </si>
  <si>
    <t>Annual Installment ( INR Million)</t>
  </si>
  <si>
    <t xml:space="preserve">Landed Price of Coal (INR/MT) </t>
  </si>
  <si>
    <t>INR Million/MW/Year</t>
  </si>
  <si>
    <t>Gross Block ( INR Million)</t>
  </si>
  <si>
    <t>Total Depre  ( INR Million)</t>
  </si>
  <si>
    <t>Cumulative Depre.  ( INR Million)</t>
  </si>
  <si>
    <t>Opening Block  ( INR Million)</t>
  </si>
  <si>
    <t>Depre   ( INR Million)</t>
  </si>
  <si>
    <t>Closing Block  ( INR Million)</t>
  </si>
  <si>
    <t>Block I  ( INR Million)</t>
  </si>
  <si>
    <t>Salvage Value at the end (INR Million)</t>
  </si>
  <si>
    <t>Opening Debt ( INR Million)</t>
  </si>
  <si>
    <t>Installment (INR Million)</t>
  </si>
  <si>
    <t>Closing Debt (INR Million)</t>
  </si>
  <si>
    <t>Interest (INR Million)</t>
  </si>
  <si>
    <t>1st Quarterely Installment  ( INR Million)</t>
  </si>
  <si>
    <t>Closing Debt  ( INR Million)</t>
  </si>
  <si>
    <t>2nd Quarterely Installment  ( INR Million)</t>
  </si>
  <si>
    <t>3rd Quarterely Installment  ( INR Million)</t>
  </si>
  <si>
    <t>4th Quarterely Installment  ( INR Million)</t>
  </si>
  <si>
    <t>INR Millions</t>
  </si>
  <si>
    <t>Amount ( INR Million/ MW)</t>
  </si>
  <si>
    <t>Landed Price of Coal (INR/MT)</t>
  </si>
  <si>
    <t>Shortage on above cost ( INR/Mt)</t>
  </si>
  <si>
    <t>Total fuel cost (INR Millions)</t>
  </si>
  <si>
    <t>Total Fuel Cost(INR Million)</t>
  </si>
  <si>
    <t>Fixed Cost ( INR Million)</t>
  </si>
  <si>
    <t>Total cost INR/ KWh</t>
  </si>
  <si>
    <t>Calculation Of Working Capital Interest ( INR Million)</t>
  </si>
  <si>
    <t>Unit tariff rate (INR/unit)</t>
  </si>
  <si>
    <t>Revenue (INRin Millions)</t>
  </si>
  <si>
    <t>Salvage Value (INRin Millions)</t>
  </si>
  <si>
    <t>Total (INRin Millions)</t>
  </si>
  <si>
    <t>Levelized Tariff (INR/Kwh)</t>
  </si>
  <si>
    <t>Closing ( INR/US $)</t>
  </si>
  <si>
    <t>Opening  ( INR/US $)</t>
  </si>
  <si>
    <t>Average ( INR /US $)</t>
  </si>
  <si>
    <t>Exchange Rate ( INR/ US $)</t>
  </si>
  <si>
    <t>Cost without shortage (INR/mt)</t>
  </si>
  <si>
    <t>Landed price of Coal after shortage (INR/mt)</t>
  </si>
  <si>
    <t>Total cost of oil (INR Million)</t>
  </si>
  <si>
    <t>Variable cost per unit of generation (INR/unit)</t>
  </si>
  <si>
    <t>Oil Consumption Cost-INR</t>
  </si>
  <si>
    <t>Landed price of oil (INR/Liter)</t>
  </si>
  <si>
    <t>Landed price of oil (INR/ML)</t>
  </si>
  <si>
    <t>Total cost of Coal (INR Millions)</t>
  </si>
  <si>
    <t>Amravati TPP – M/s Indiabulls Power Limited (http://www.cea.nic.in/archives/thermal/bs/dec09.pdf ) (page no. 73)</t>
  </si>
  <si>
    <t>Amravati TPP – M/s Indiabulls Power Limited (http://www.cea.nic.in/archives/thermal/bs/dec09.pdf ) (page no. 73) (Total Project cost of INR 68880 million divided equally between 2 units of 660 MW each)</t>
  </si>
  <si>
    <t>Domestic Coal</t>
  </si>
  <si>
    <t>Source</t>
  </si>
  <si>
    <t>GCV</t>
  </si>
  <si>
    <t xml:space="preserve">UNSTARRED QUESTION NO 2628 TO BE ANSWERED ON 14.12.2009 for Coal Price in Rajya Sabha  by Government of India (Ministry of Coal) http://164.100.47.5:8080/members/website/quest.asp?qref=149034  </t>
  </si>
  <si>
    <t>In INR per Tonne</t>
  </si>
  <si>
    <t>MCL</t>
  </si>
  <si>
    <t>Basic Price</t>
  </si>
  <si>
    <t>Sizing / Transportation Charges</t>
  </si>
  <si>
    <t>Royalty</t>
  </si>
  <si>
    <t>Cess</t>
  </si>
  <si>
    <t>SED</t>
  </si>
  <si>
    <t>Central Sales Tax</t>
  </si>
  <si>
    <t xml:space="preserve">Pit Head </t>
  </si>
  <si>
    <t>Freight (500 km distance)</t>
  </si>
  <si>
    <t>Total Landed Cost</t>
  </si>
  <si>
    <t xml:space="preserve">Please refer to sheet “Fuel Pricing_Coal” </t>
  </si>
  <si>
    <t>Corrosponding Calorific Value of domestic coal (kcal/kg)</t>
  </si>
  <si>
    <t>Landed Cost of Secondary Fuel Oil (HSDO) (INR/Litre)</t>
  </si>
  <si>
    <t>CERC Draft Order dated September 2009 (http://cercind.gov.in/2009/August09/Draft-Order-on-price-cap.pdf) (Page no. 4)</t>
  </si>
  <si>
    <t>Corrosponding Calorific Value of Secondary Fuel Oil (HSDO) (kcal/kg)</t>
  </si>
  <si>
    <t>CO2 baseline Database for Indian Power Sector, November 2009 issued by Central Electricity Authority, Ministry of Power, Government of India.  ((http://www.cea.nic.in/reports/planning/cdm_co2/cdm_co2.htm)</t>
  </si>
  <si>
    <t>Secondary Fuel Oil (HSDO) consumption (ml/kwh)</t>
  </si>
  <si>
    <t>Income Tax Act, 1961(assessment year 2010-11)</t>
  </si>
  <si>
    <t>INR Million Per Mega Watt for the year 2013-14</t>
  </si>
  <si>
    <t>Modal BPLR of PSBs for October 2009 (Table 17 -) considered as being conservative vis-à-vis average BPLR of 12.25% offered by public sector bank in October 2009 (Table 16)  - (Second Quarter Review of Monetary Policy 2009-10 (http://rbi.org.in/scripts/NotificationUser.aspx?Id=5326&amp;Mode=0</t>
  </si>
  <si>
    <t>Tenure of Loan (in Years) (Excluding 1 year of moratorium period)</t>
  </si>
</sst>
</file>

<file path=xl/styles.xml><?xml version="1.0" encoding="utf-8"?>
<styleSheet xmlns="http://schemas.openxmlformats.org/spreadsheetml/2006/main">
  <numFmts count="20">
    <numFmt numFmtId="43" formatCode="_(* #,##0.00_);_(* \(#,##0.00\);_(* &quot;-&quot;??_);_(@_)"/>
    <numFmt numFmtId="164" formatCode="0.0000"/>
    <numFmt numFmtId="165" formatCode="0.000"/>
    <numFmt numFmtId="166" formatCode="0.0"/>
    <numFmt numFmtId="167" formatCode="dd/mm/yyyy;@"/>
    <numFmt numFmtId="168" formatCode="_(* #,##0_);_(* \(#,##0\);_(* &quot;-&quot;??_);_(@_)"/>
    <numFmt numFmtId="169" formatCode="_(* #,##0.000_);_(* \(#,##0.000\);_(* &quot;-&quot;??_);_(@_)"/>
    <numFmt numFmtId="170" formatCode="0.0%"/>
    <numFmt numFmtId="171" formatCode="_(* #,##0.0_);_(* \(#,##0.0\);_(* &quot;-&quot;??_);_(@_)"/>
    <numFmt numFmtId="172" formatCode="&quot;£&quot;#,##0.0_);\(&quot;£&quot;#,##0.0\)"/>
    <numFmt numFmtId="173" formatCode="_-&quot;Rs&quot;* #,##0.00_-;\-&quot;Rs&quot;* #,##0.00_-;_-&quot;Rs&quot;* &quot;-&quot;??_-;_-@_-"/>
    <numFmt numFmtId="174" formatCode="#,###.#;[Red]\-#,###.#"/>
    <numFmt numFmtId="175" formatCode="mm/dd/yy"/>
    <numFmt numFmtId="176" formatCode="0_)"/>
    <numFmt numFmtId="177" formatCode="0.00000"/>
    <numFmt numFmtId="178" formatCode="0.00000000"/>
    <numFmt numFmtId="179" formatCode="0.000000000"/>
    <numFmt numFmtId="180" formatCode="0.00000000000"/>
    <numFmt numFmtId="181" formatCode="_(* #,##0.0000_);_(* \(#,##0.0000\);_(* &quot;-&quot;??_);_(@_)"/>
    <numFmt numFmtId="182" formatCode="0.000%"/>
  </numFmts>
  <fonts count="27">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4"/>
      <name val="Arial"/>
      <family val="2"/>
    </font>
    <font>
      <sz val="10"/>
      <name val="Courier"/>
      <family val="3"/>
    </font>
    <font>
      <sz val="10"/>
      <name val="Helv"/>
      <family val="2"/>
    </font>
    <font>
      <sz val="10"/>
      <name val="Times New Roman"/>
      <family val="1"/>
    </font>
    <font>
      <sz val="12"/>
      <name val="Tms Rmn"/>
    </font>
    <font>
      <sz val="12"/>
      <name val="Arial Rounded MT"/>
    </font>
    <font>
      <sz val="10"/>
      <name val="MS Serif"/>
      <family val="1"/>
    </font>
    <font>
      <sz val="10"/>
      <color indexed="16"/>
      <name val="MS Serif"/>
      <family val="1"/>
    </font>
    <font>
      <b/>
      <sz val="12"/>
      <name val="Arial"/>
      <family val="2"/>
    </font>
    <font>
      <u/>
      <sz val="10"/>
      <color indexed="12"/>
      <name val="Arial"/>
      <family val="2"/>
    </font>
    <font>
      <sz val="8"/>
      <name val="Times New Roman"/>
      <family val="1"/>
    </font>
    <font>
      <sz val="7"/>
      <name val="Small Fonts"/>
      <family val="2"/>
    </font>
    <font>
      <sz val="8"/>
      <name val="Helv"/>
    </font>
    <font>
      <b/>
      <sz val="8"/>
      <color indexed="8"/>
      <name val="Helv"/>
    </font>
    <font>
      <sz val="8"/>
      <color indexed="8"/>
      <name val="Arial"/>
      <family val="2"/>
    </font>
    <font>
      <sz val="11"/>
      <name val="Arial"/>
      <family val="2"/>
    </font>
    <font>
      <u/>
      <sz val="10"/>
      <color theme="10"/>
      <name val="Arial"/>
      <family val="2"/>
    </font>
    <font>
      <b/>
      <u/>
      <sz val="11"/>
      <name val="Times New Roman"/>
      <family val="1"/>
    </font>
    <font>
      <sz val="11"/>
      <name val="Times New Roman"/>
      <family val="1"/>
    </font>
    <font>
      <b/>
      <sz val="11"/>
      <name val="Times New Roman"/>
      <family val="1"/>
    </font>
    <font>
      <u/>
      <sz val="11"/>
      <color theme="10"/>
      <name val="Times New Roman"/>
      <family val="1"/>
    </font>
  </fonts>
  <fills count="9">
    <fill>
      <patternFill patternType="none"/>
    </fill>
    <fill>
      <patternFill patternType="gray125"/>
    </fill>
    <fill>
      <patternFill patternType="solid">
        <fgColor theme="8" tint="0.39997558519241921"/>
        <bgColor indexed="64"/>
      </patternFill>
    </fill>
    <fill>
      <patternFill patternType="solid">
        <fgColor indexed="12"/>
        <bgColor indexed="12"/>
      </patternFill>
    </fill>
    <fill>
      <patternFill patternType="solid">
        <fgColor indexed="13"/>
        <bgColor indexed="13"/>
      </patternFill>
    </fill>
    <fill>
      <patternFill patternType="solid">
        <fgColor indexed="22"/>
        <bgColor indexed="64"/>
      </patternFill>
    </fill>
    <fill>
      <patternFill patternType="solid">
        <fgColor indexed="26"/>
        <bgColor indexed="64"/>
      </patternFill>
    </fill>
    <fill>
      <patternFill patternType="solid">
        <fgColor theme="0"/>
        <bgColor indexed="64"/>
      </patternFill>
    </fill>
    <fill>
      <patternFill patternType="solid">
        <fgColor theme="4"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double">
        <color indexed="8"/>
      </top>
      <bottom style="thin">
        <color indexed="8"/>
      </bottom>
      <diagonal/>
    </border>
    <border>
      <left/>
      <right/>
      <top style="medium">
        <color indexed="64"/>
      </top>
      <bottom style="medium">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100">
    <xf numFmtId="0" fontId="0" fillId="0" borderId="0"/>
    <xf numFmtId="43" fontId="4" fillId="0" borderId="0" applyFont="0" applyFill="0" applyBorder="0" applyAlignment="0" applyProtection="0"/>
    <xf numFmtId="9" fontId="4" fillId="0" borderId="0" applyFont="0" applyFill="0" applyBorder="0" applyAlignment="0" applyProtection="0"/>
    <xf numFmtId="0" fontId="7" fillId="0" borderId="0"/>
    <xf numFmtId="0" fontId="4" fillId="0" borderId="0"/>
    <xf numFmtId="0" fontId="4" fillId="0" borderId="0"/>
    <xf numFmtId="0" fontId="8" fillId="0" borderId="0"/>
    <xf numFmtId="0" fontId="9" fillId="0" borderId="0"/>
    <xf numFmtId="0" fontId="4" fillId="0" borderId="0"/>
    <xf numFmtId="0" fontId="4" fillId="0" borderId="0"/>
    <xf numFmtId="0" fontId="4" fillId="0" borderId="0"/>
    <xf numFmtId="0" fontId="10" fillId="0" borderId="0" applyNumberFormat="0" applyFill="0" applyBorder="0" applyAlignment="0" applyProtection="0"/>
    <xf numFmtId="0" fontId="4" fillId="0" borderId="0"/>
    <xf numFmtId="0" fontId="9" fillId="0" borderId="0"/>
    <xf numFmtId="172" fontId="11" fillId="0" borderId="0" applyFill="0" applyBorder="0" applyAlignment="0"/>
    <xf numFmtId="0" fontId="4" fillId="0" borderId="0"/>
    <xf numFmtId="43" fontId="4" fillId="0" borderId="0" applyFont="0" applyFill="0" applyBorder="0" applyAlignment="0" applyProtection="0"/>
    <xf numFmtId="43" fontId="3" fillId="0" borderId="0" applyFont="0" applyFill="0" applyBorder="0" applyAlignment="0" applyProtection="0"/>
    <xf numFmtId="0" fontId="12" fillId="0" borderId="0" applyNumberFormat="0" applyAlignment="0">
      <alignment horizontal="left"/>
    </xf>
    <xf numFmtId="0" fontId="4" fillId="0" borderId="0">
      <protection locked="0"/>
    </xf>
    <xf numFmtId="0" fontId="4" fillId="0" borderId="0"/>
    <xf numFmtId="0" fontId="4" fillId="0" borderId="8"/>
    <xf numFmtId="0" fontId="4" fillId="0" borderId="8"/>
    <xf numFmtId="0" fontId="4" fillId="3" borderId="0"/>
    <xf numFmtId="0" fontId="13" fillId="0" borderId="0" applyNumberFormat="0" applyAlignment="0">
      <alignment horizontal="left"/>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173" fontId="4" fillId="0" borderId="0">
      <protection locked="0"/>
    </xf>
    <xf numFmtId="0" fontId="4" fillId="0" borderId="9"/>
    <xf numFmtId="0" fontId="4" fillId="0" borderId="8"/>
    <xf numFmtId="0" fontId="4" fillId="4" borderId="8"/>
    <xf numFmtId="38" fontId="5" fillId="5" borderId="0" applyNumberFormat="0" applyBorder="0" applyAlignment="0" applyProtection="0"/>
    <xf numFmtId="0" fontId="14" fillId="0" borderId="10" applyNumberFormat="0" applyAlignment="0" applyProtection="0">
      <alignment horizontal="left" vertical="center"/>
    </xf>
    <xf numFmtId="0" fontId="14" fillId="0" borderId="3">
      <alignment horizontal="left" vertical="center"/>
    </xf>
    <xf numFmtId="0" fontId="4" fillId="0" borderId="0">
      <protection locked="0"/>
    </xf>
    <xf numFmtId="0" fontId="4" fillId="0" borderId="0">
      <protection locked="0"/>
    </xf>
    <xf numFmtId="0" fontId="15" fillId="0" borderId="0" applyNumberFormat="0" applyFill="0" applyBorder="0" applyAlignment="0" applyProtection="0">
      <alignment vertical="top"/>
      <protection locked="0"/>
    </xf>
    <xf numFmtId="10" fontId="5" fillId="6" borderId="1" applyNumberFormat="0" applyBorder="0" applyAlignment="0" applyProtection="0"/>
    <xf numFmtId="0" fontId="16" fillId="0" borderId="0"/>
    <xf numFmtId="37" fontId="17" fillId="0" borderId="0"/>
    <xf numFmtId="174" fontId="11" fillId="0" borderId="0"/>
    <xf numFmtId="0" fontId="4" fillId="0" borderId="0"/>
    <xf numFmtId="0" fontId="4" fillId="0" borderId="0"/>
    <xf numFmtId="0" fontId="3" fillId="0" borderId="0"/>
    <xf numFmtId="0" fontId="3" fillId="0" borderId="0"/>
    <xf numFmtId="0" fontId="7" fillId="0" borderId="0"/>
    <xf numFmtId="10" fontId="4" fillId="0" borderId="0" applyFont="0" applyFill="0" applyBorder="0" applyAlignment="0" applyProtection="0"/>
    <xf numFmtId="9" fontId="4" fillId="0" borderId="0" applyFont="0" applyFill="0" applyBorder="0" applyAlignment="0" applyProtection="0"/>
    <xf numFmtId="9" fontId="3" fillId="0" borderId="0" applyFont="0" applyFill="0" applyBorder="0" applyAlignment="0" applyProtection="0"/>
    <xf numFmtId="0" fontId="16" fillId="0" borderId="0"/>
    <xf numFmtId="0" fontId="4" fillId="0" borderId="0"/>
    <xf numFmtId="175" fontId="18" fillId="0" borderId="0" applyNumberFormat="0" applyFill="0" applyBorder="0" applyAlignment="0" applyProtection="0">
      <alignment horizontal="left"/>
    </xf>
    <xf numFmtId="0" fontId="4" fillId="0" borderId="0"/>
    <xf numFmtId="0" fontId="9" fillId="0" borderId="0"/>
    <xf numFmtId="40" fontId="19" fillId="0" borderId="0" applyBorder="0">
      <alignment horizontal="right"/>
    </xf>
    <xf numFmtId="0" fontId="20" fillId="0" borderId="0"/>
    <xf numFmtId="176" fontId="6" fillId="0" borderId="11"/>
    <xf numFmtId="0" fontId="9" fillId="0" borderId="0"/>
    <xf numFmtId="0" fontId="9" fillId="0" borderId="0"/>
    <xf numFmtId="0" fontId="5" fillId="0" borderId="0"/>
    <xf numFmtId="0" fontId="16" fillId="0" borderId="0"/>
    <xf numFmtId="0" fontId="16" fillId="0" borderId="0"/>
    <xf numFmtId="0" fontId="16" fillId="0" borderId="0"/>
    <xf numFmtId="0" fontId="4" fillId="0" borderId="0"/>
    <xf numFmtId="0" fontId="21" fillId="0" borderId="0"/>
    <xf numFmtId="0" fontId="4" fillId="0" borderId="0"/>
    <xf numFmtId="0" fontId="22" fillId="0" borderId="0" applyNumberFormat="0" applyFill="0" applyBorder="0" applyAlignment="0" applyProtection="0">
      <alignment vertical="top"/>
      <protection locked="0"/>
    </xf>
    <xf numFmtId="43" fontId="2" fillId="0" borderId="0" applyFont="0" applyFill="0" applyBorder="0" applyAlignment="0" applyProtection="0"/>
    <xf numFmtId="43" fontId="2" fillId="0" borderId="0" applyFont="0" applyFill="0" applyBorder="0" applyAlignment="0" applyProtection="0"/>
    <xf numFmtId="0" fontId="4" fillId="0" borderId="0"/>
    <xf numFmtId="0" fontId="2"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4" fillId="0" borderId="0"/>
    <xf numFmtId="9" fontId="2" fillId="0" borderId="0" applyFont="0" applyFill="0" applyBorder="0" applyAlignment="0" applyProtection="0"/>
    <xf numFmtId="9" fontId="2"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cellStyleXfs>
  <cellXfs count="197">
    <xf numFmtId="0" fontId="0" fillId="0" borderId="0" xfId="0"/>
    <xf numFmtId="43" fontId="0" fillId="0" borderId="0" xfId="1" applyFont="1"/>
    <xf numFmtId="43" fontId="0" fillId="0" borderId="0" xfId="1" applyFont="1" applyAlignment="1">
      <alignment horizontal="center"/>
    </xf>
    <xf numFmtId="43" fontId="0" fillId="0" borderId="0" xfId="1" quotePrefix="1" applyFont="1" applyAlignment="1">
      <alignment horizontal="center"/>
    </xf>
    <xf numFmtId="0" fontId="24" fillId="0" borderId="0" xfId="0" applyFont="1" applyFill="1"/>
    <xf numFmtId="0" fontId="23" fillId="0" borderId="0" xfId="0" applyFont="1" applyFill="1"/>
    <xf numFmtId="0" fontId="25" fillId="0" borderId="1" xfId="0" applyFont="1" applyFill="1" applyBorder="1" applyAlignment="1">
      <alignment horizontal="center"/>
    </xf>
    <xf numFmtId="0" fontId="24" fillId="2" borderId="1" xfId="0" applyFont="1" applyFill="1" applyBorder="1"/>
    <xf numFmtId="2" fontId="24" fillId="2" borderId="1" xfId="0" applyNumberFormat="1" applyFont="1" applyFill="1" applyBorder="1"/>
    <xf numFmtId="0" fontId="25" fillId="0" borderId="0" xfId="0" applyFont="1" applyFill="1" applyBorder="1" applyAlignment="1"/>
    <xf numFmtId="10" fontId="24" fillId="2" borderId="1" xfId="0" applyNumberFormat="1" applyFont="1" applyFill="1" applyBorder="1"/>
    <xf numFmtId="0" fontId="24" fillId="0" borderId="1" xfId="0" applyFont="1" applyFill="1" applyBorder="1"/>
    <xf numFmtId="10" fontId="24" fillId="0" borderId="0" xfId="0" applyNumberFormat="1" applyFont="1" applyFill="1"/>
    <xf numFmtId="0" fontId="26" fillId="0" borderId="1" xfId="71" applyFont="1" applyFill="1" applyBorder="1" applyAlignment="1" applyProtection="1">
      <alignment horizontal="left" vertical="center" wrapText="1"/>
    </xf>
    <xf numFmtId="9" fontId="24" fillId="2" borderId="1" xfId="0" applyNumberFormat="1" applyFont="1" applyFill="1" applyBorder="1"/>
    <xf numFmtId="0" fontId="24" fillId="0" borderId="1" xfId="0" applyFont="1" applyFill="1" applyBorder="1" applyAlignment="1">
      <alignment wrapText="1"/>
    </xf>
    <xf numFmtId="1" fontId="24" fillId="2" borderId="1" xfId="0" applyNumberFormat="1" applyFont="1" applyFill="1" applyBorder="1"/>
    <xf numFmtId="170" fontId="24" fillId="2" borderId="1" xfId="0" applyNumberFormat="1" applyFont="1" applyFill="1" applyBorder="1"/>
    <xf numFmtId="169" fontId="24" fillId="2" borderId="1" xfId="1" applyNumberFormat="1" applyFont="1" applyFill="1" applyBorder="1"/>
    <xf numFmtId="9" fontId="24" fillId="0" borderId="0" xfId="0" applyNumberFormat="1" applyFont="1" applyFill="1"/>
    <xf numFmtId="43" fontId="24" fillId="2" borderId="1" xfId="1" applyFont="1" applyFill="1" applyBorder="1" applyAlignment="1">
      <alignment horizontal="right"/>
    </xf>
    <xf numFmtId="0" fontId="25" fillId="2" borderId="1" xfId="0" applyFont="1" applyFill="1" applyBorder="1" applyAlignment="1">
      <alignment horizontal="center" vertical="center" wrapText="1"/>
    </xf>
    <xf numFmtId="181" fontId="24" fillId="2" borderId="1" xfId="1" applyNumberFormat="1" applyFont="1" applyFill="1" applyBorder="1"/>
    <xf numFmtId="165" fontId="24" fillId="2" borderId="1" xfId="0" applyNumberFormat="1" applyFont="1" applyFill="1" applyBorder="1"/>
    <xf numFmtId="43" fontId="24" fillId="2" borderId="1" xfId="1" applyFont="1" applyFill="1" applyBorder="1"/>
    <xf numFmtId="0" fontId="24" fillId="0" borderId="0" xfId="0" applyFont="1"/>
    <xf numFmtId="9" fontId="24" fillId="0" borderId="1" xfId="0" applyNumberFormat="1" applyFont="1" applyBorder="1"/>
    <xf numFmtId="43" fontId="24" fillId="0" borderId="0" xfId="1" applyFont="1"/>
    <xf numFmtId="0" fontId="24" fillId="0" borderId="1" xfId="0" applyFont="1" applyBorder="1"/>
    <xf numFmtId="167" fontId="24" fillId="0" borderId="1" xfId="0" applyNumberFormat="1" applyFont="1" applyBorder="1"/>
    <xf numFmtId="2" fontId="24" fillId="0" borderId="1" xfId="0" applyNumberFormat="1" applyFont="1" applyBorder="1"/>
    <xf numFmtId="2" fontId="24" fillId="0" borderId="0" xfId="0" applyNumberFormat="1" applyFont="1"/>
    <xf numFmtId="2" fontId="24" fillId="0" borderId="1" xfId="0" applyNumberFormat="1" applyFont="1" applyBorder="1" applyAlignment="1">
      <alignment horizontal="right" vertical="top" wrapText="1"/>
    </xf>
    <xf numFmtId="0" fontId="24" fillId="0" borderId="0" xfId="0" applyFont="1" applyAlignment="1">
      <alignment horizontal="right"/>
    </xf>
    <xf numFmtId="0" fontId="24" fillId="0" borderId="1" xfId="0" applyFont="1" applyBorder="1" applyAlignment="1">
      <alignment wrapText="1"/>
    </xf>
    <xf numFmtId="0" fontId="24" fillId="0" borderId="0" xfId="0" applyFont="1" applyAlignment="1"/>
    <xf numFmtId="10" fontId="24" fillId="0" borderId="0" xfId="0" applyNumberFormat="1" applyFont="1"/>
    <xf numFmtId="0" fontId="24" fillId="0" borderId="1" xfId="0" applyFont="1" applyBorder="1" applyAlignment="1">
      <alignment horizontal="center" vertical="center" wrapText="1"/>
    </xf>
    <xf numFmtId="1" fontId="24" fillId="0" borderId="1" xfId="0" applyNumberFormat="1" applyFont="1" applyBorder="1"/>
    <xf numFmtId="0" fontId="24" fillId="0" borderId="1" xfId="0" applyFont="1" applyBorder="1" applyAlignment="1">
      <alignment horizontal="right"/>
    </xf>
    <xf numFmtId="0" fontId="24" fillId="0" borderId="1" xfId="0" applyFont="1" applyFill="1" applyBorder="1" applyAlignment="1">
      <alignment horizontal="center"/>
    </xf>
    <xf numFmtId="0" fontId="24" fillId="0" borderId="0" xfId="0" applyFont="1" applyBorder="1"/>
    <xf numFmtId="167" fontId="24" fillId="0" borderId="0" xfId="0" applyNumberFormat="1" applyFont="1"/>
    <xf numFmtId="43" fontId="24" fillId="0" borderId="1" xfId="1" applyFont="1" applyBorder="1"/>
    <xf numFmtId="166" fontId="24" fillId="0" borderId="1" xfId="0" applyNumberFormat="1" applyFont="1" applyBorder="1"/>
    <xf numFmtId="168" fontId="24" fillId="0" borderId="1" xfId="1" applyNumberFormat="1" applyFont="1" applyBorder="1"/>
    <xf numFmtId="168" fontId="24" fillId="0" borderId="0" xfId="1" applyNumberFormat="1" applyFont="1"/>
    <xf numFmtId="43" fontId="24" fillId="0" borderId="1" xfId="0" applyNumberFormat="1" applyFont="1" applyBorder="1"/>
    <xf numFmtId="43" fontId="24" fillId="0" borderId="1" xfId="1" applyNumberFormat="1" applyFont="1" applyBorder="1"/>
    <xf numFmtId="43" fontId="24" fillId="0" borderId="0" xfId="1" applyNumberFormat="1" applyFont="1"/>
    <xf numFmtId="164" fontId="24" fillId="0" borderId="1" xfId="0" applyNumberFormat="1" applyFont="1" applyBorder="1"/>
    <xf numFmtId="180" fontId="24" fillId="0" borderId="0" xfId="0" applyNumberFormat="1" applyFont="1" applyBorder="1"/>
    <xf numFmtId="178" fontId="24" fillId="0" borderId="0" xfId="0" applyNumberFormat="1" applyFont="1" applyBorder="1"/>
    <xf numFmtId="165" fontId="24" fillId="0" borderId="1" xfId="0" applyNumberFormat="1" applyFont="1" applyBorder="1"/>
    <xf numFmtId="179" fontId="24" fillId="0" borderId="0" xfId="0" applyNumberFormat="1" applyFont="1" applyBorder="1"/>
    <xf numFmtId="165" fontId="24" fillId="0" borderId="0" xfId="0" applyNumberFormat="1" applyFont="1" applyBorder="1"/>
    <xf numFmtId="1" fontId="24" fillId="0" borderId="0" xfId="0" applyNumberFormat="1" applyFont="1"/>
    <xf numFmtId="169" fontId="24" fillId="0" borderId="1" xfId="1" applyNumberFormat="1" applyFont="1" applyBorder="1"/>
    <xf numFmtId="169" fontId="24" fillId="0" borderId="0" xfId="1" applyNumberFormat="1" applyFont="1"/>
    <xf numFmtId="1" fontId="24" fillId="0" borderId="1" xfId="0" applyNumberFormat="1" applyFont="1" applyBorder="1" applyAlignment="1">
      <alignment horizontal="right"/>
    </xf>
    <xf numFmtId="1" fontId="24" fillId="0" borderId="0" xfId="0" applyNumberFormat="1" applyFont="1" applyBorder="1" applyAlignment="1">
      <alignment horizontal="right"/>
    </xf>
    <xf numFmtId="166" fontId="24" fillId="0" borderId="0" xfId="0" applyNumberFormat="1" applyFont="1" applyBorder="1"/>
    <xf numFmtId="177" fontId="24" fillId="0" borderId="0" xfId="0" applyNumberFormat="1" applyFont="1" applyBorder="1"/>
    <xf numFmtId="1" fontId="24" fillId="0" borderId="0" xfId="0" applyNumberFormat="1" applyFont="1" applyBorder="1"/>
    <xf numFmtId="0" fontId="23" fillId="0" borderId="0" xfId="0" applyFont="1"/>
    <xf numFmtId="0" fontId="23" fillId="0" borderId="1" xfId="0" applyFont="1" applyBorder="1"/>
    <xf numFmtId="0" fontId="25" fillId="0" borderId="1" xfId="0" applyFont="1" applyBorder="1"/>
    <xf numFmtId="2" fontId="25" fillId="0" borderId="1" xfId="0" applyNumberFormat="1" applyFont="1" applyBorder="1"/>
    <xf numFmtId="0" fontId="25" fillId="0" borderId="0" xfId="0" applyFont="1"/>
    <xf numFmtId="2" fontId="25" fillId="0" borderId="0" xfId="0" applyNumberFormat="1" applyFont="1"/>
    <xf numFmtId="166" fontId="25" fillId="0" borderId="0" xfId="0" applyNumberFormat="1" applyFont="1"/>
    <xf numFmtId="43" fontId="25" fillId="0" borderId="1" xfId="1" applyFont="1" applyBorder="1"/>
    <xf numFmtId="165" fontId="25" fillId="0" borderId="0" xfId="0" applyNumberFormat="1" applyFont="1"/>
    <xf numFmtId="165" fontId="24" fillId="0" borderId="0" xfId="0" applyNumberFormat="1" applyFont="1"/>
    <xf numFmtId="2" fontId="24" fillId="0" borderId="7" xfId="0" applyNumberFormat="1" applyFont="1" applyBorder="1"/>
    <xf numFmtId="165" fontId="24" fillId="0" borderId="7" xfId="0" applyNumberFormat="1" applyFont="1" applyBorder="1"/>
    <xf numFmtId="0" fontId="24" fillId="0" borderId="7" xfId="0" applyFont="1" applyBorder="1"/>
    <xf numFmtId="0" fontId="25" fillId="0" borderId="0" xfId="3" applyFont="1" applyAlignment="1" applyProtection="1">
      <alignment horizontal="left"/>
    </xf>
    <xf numFmtId="0" fontId="25" fillId="0" borderId="0" xfId="3" applyFont="1"/>
    <xf numFmtId="0" fontId="25" fillId="0" borderId="0" xfId="3" applyFont="1" applyAlignment="1" applyProtection="1">
      <alignment horizontal="left" wrapText="1"/>
    </xf>
    <xf numFmtId="0" fontId="25" fillId="0" borderId="1" xfId="3" applyFont="1" applyBorder="1" applyAlignment="1" applyProtection="1">
      <alignment horizontal="left" wrapText="1"/>
    </xf>
    <xf numFmtId="0" fontId="25" fillId="0" borderId="1" xfId="3" applyFont="1" applyBorder="1" applyAlignment="1" applyProtection="1">
      <alignment horizontal="left"/>
    </xf>
    <xf numFmtId="0" fontId="25" fillId="0" borderId="1" xfId="3" applyFont="1" applyBorder="1"/>
    <xf numFmtId="0" fontId="24" fillId="0" borderId="1" xfId="0" applyFont="1" applyBorder="1" applyAlignment="1">
      <alignment horizontal="left" wrapText="1"/>
    </xf>
    <xf numFmtId="0" fontId="24" fillId="0" borderId="1" xfId="3" applyFont="1" applyBorder="1" applyAlignment="1" applyProtection="1">
      <alignment horizontal="left"/>
    </xf>
    <xf numFmtId="0" fontId="24" fillId="0" borderId="1" xfId="3" applyFont="1" applyBorder="1" applyAlignment="1" applyProtection="1">
      <alignment horizontal="left" wrapText="1"/>
    </xf>
    <xf numFmtId="0" fontId="24" fillId="0" borderId="1" xfId="0" applyFont="1" applyFill="1" applyBorder="1" applyAlignment="1">
      <alignment horizontal="left" wrapText="1"/>
    </xf>
    <xf numFmtId="2" fontId="24" fillId="0" borderId="1" xfId="0" applyNumberFormat="1" applyFont="1" applyFill="1" applyBorder="1"/>
    <xf numFmtId="0" fontId="25" fillId="0" borderId="1" xfId="0" applyFont="1" applyBorder="1" applyAlignment="1">
      <alignment horizontal="left" wrapText="1"/>
    </xf>
    <xf numFmtId="166" fontId="25" fillId="0" borderId="1" xfId="0" applyNumberFormat="1" applyFont="1" applyBorder="1"/>
    <xf numFmtId="171" fontId="24" fillId="0" borderId="1" xfId="1" applyNumberFormat="1" applyFont="1" applyBorder="1" applyAlignment="1"/>
    <xf numFmtId="171" fontId="24" fillId="0" borderId="0" xfId="1" applyNumberFormat="1" applyFont="1" applyAlignment="1"/>
    <xf numFmtId="0" fontId="25" fillId="0" borderId="0" xfId="0" applyFont="1" applyAlignment="1">
      <alignment horizontal="left" wrapText="1"/>
    </xf>
    <xf numFmtId="43" fontId="24" fillId="0" borderId="1" xfId="1" applyFont="1" applyBorder="1" applyAlignment="1">
      <alignment horizontal="left" wrapText="1"/>
    </xf>
    <xf numFmtId="0" fontId="24" fillId="0" borderId="12" xfId="0" applyFont="1" applyBorder="1" applyAlignment="1">
      <alignment horizontal="left" wrapText="1"/>
    </xf>
    <xf numFmtId="0" fontId="24" fillId="0" borderId="12" xfId="0" applyFont="1" applyBorder="1"/>
    <xf numFmtId="43" fontId="24" fillId="0" borderId="12" xfId="1" applyFont="1" applyBorder="1" applyAlignment="1">
      <alignment horizontal="left" wrapText="1"/>
    </xf>
    <xf numFmtId="43" fontId="24" fillId="0" borderId="0" xfId="1" applyFont="1" applyBorder="1" applyAlignment="1">
      <alignment horizontal="left" wrapText="1"/>
    </xf>
    <xf numFmtId="0" fontId="24" fillId="0" borderId="7" xfId="0" applyFont="1" applyBorder="1" applyAlignment="1">
      <alignment horizontal="left" wrapText="1"/>
    </xf>
    <xf numFmtId="43" fontId="24" fillId="0" borderId="7" xfId="1" applyFont="1" applyBorder="1" applyAlignment="1">
      <alignment horizontal="left" wrapText="1"/>
    </xf>
    <xf numFmtId="43" fontId="25" fillId="0" borderId="1" xfId="1" applyFont="1" applyBorder="1" applyAlignment="1">
      <alignment horizontal="left" wrapText="1"/>
    </xf>
    <xf numFmtId="0" fontId="24" fillId="0" borderId="0" xfId="0" applyFont="1" applyAlignment="1">
      <alignment horizontal="left" wrapText="1"/>
    </xf>
    <xf numFmtId="0" fontId="24" fillId="0" borderId="1" xfId="0" applyFont="1" applyBorder="1" applyAlignment="1">
      <alignment horizontal="center"/>
    </xf>
    <xf numFmtId="43" fontId="25" fillId="0" borderId="1" xfId="0" applyNumberFormat="1" applyFont="1" applyBorder="1"/>
    <xf numFmtId="43" fontId="24" fillId="0" borderId="1" xfId="0" applyNumberFormat="1" applyFont="1" applyFill="1" applyBorder="1"/>
    <xf numFmtId="43" fontId="24" fillId="0" borderId="1" xfId="1" applyFont="1" applyFill="1" applyBorder="1"/>
    <xf numFmtId="43" fontId="24" fillId="0" borderId="0" xfId="1" applyFont="1" applyFill="1"/>
    <xf numFmtId="10" fontId="24" fillId="0" borderId="1" xfId="2" applyNumberFormat="1" applyFont="1" applyBorder="1"/>
    <xf numFmtId="0" fontId="24" fillId="7" borderId="1" xfId="0" applyFont="1" applyFill="1" applyBorder="1" applyAlignment="1">
      <alignment horizontal="left" wrapText="1"/>
    </xf>
    <xf numFmtId="0" fontId="24" fillId="0" borderId="1" xfId="0" applyFont="1" applyFill="1" applyBorder="1" applyAlignment="1">
      <alignment vertical="center" wrapText="1"/>
    </xf>
    <xf numFmtId="43" fontId="24" fillId="0" borderId="1" xfId="0" applyNumberFormat="1" applyFont="1" applyFill="1" applyBorder="1" applyAlignment="1">
      <alignment horizontal="left" wrapText="1"/>
    </xf>
    <xf numFmtId="182" fontId="24" fillId="0" borderId="1" xfId="2" applyNumberFormat="1" applyFont="1" applyBorder="1"/>
    <xf numFmtId="0" fontId="25" fillId="0" borderId="13" xfId="0" applyFont="1" applyBorder="1" applyAlignment="1">
      <alignment horizontal="center"/>
    </xf>
    <xf numFmtId="0" fontId="25" fillId="0" borderId="15" xfId="0" quotePrefix="1" applyFont="1" applyBorder="1" applyAlignment="1">
      <alignment horizontal="center"/>
    </xf>
    <xf numFmtId="0" fontId="24" fillId="0" borderId="1" xfId="2" applyNumberFormat="1" applyFont="1" applyBorder="1" applyAlignment="1"/>
    <xf numFmtId="0" fontId="24" fillId="0" borderId="14" xfId="2" applyNumberFormat="1" applyFont="1" applyBorder="1" applyAlignment="1"/>
    <xf numFmtId="0" fontId="24" fillId="0" borderId="16" xfId="2" applyNumberFormat="1" applyFont="1" applyBorder="1"/>
    <xf numFmtId="9" fontId="25" fillId="0" borderId="18" xfId="0" quotePrefix="1" applyNumberFormat="1" applyFont="1" applyBorder="1" applyAlignment="1">
      <alignment horizontal="center"/>
    </xf>
    <xf numFmtId="0" fontId="24" fillId="0" borderId="7" xfId="2" applyNumberFormat="1" applyFont="1" applyBorder="1" applyAlignment="1"/>
    <xf numFmtId="0" fontId="24" fillId="0" borderId="19" xfId="2" applyNumberFormat="1" applyFont="1" applyBorder="1" applyAlignment="1"/>
    <xf numFmtId="0" fontId="24" fillId="0" borderId="20" xfId="0" applyFont="1" applyBorder="1"/>
    <xf numFmtId="0" fontId="25" fillId="0" borderId="21" xfId="0" applyFont="1" applyBorder="1" applyAlignment="1">
      <alignment horizontal="center"/>
    </xf>
    <xf numFmtId="0" fontId="25" fillId="0" borderId="22" xfId="0" applyFont="1" applyBorder="1" applyAlignment="1">
      <alignment horizontal="center"/>
    </xf>
    <xf numFmtId="2" fontId="24" fillId="0" borderId="17" xfId="2" applyNumberFormat="1" applyFont="1" applyBorder="1"/>
    <xf numFmtId="2" fontId="24" fillId="0" borderId="7" xfId="2" applyNumberFormat="1" applyFont="1" applyBorder="1" applyAlignment="1"/>
    <xf numFmtId="0" fontId="24" fillId="0" borderId="1" xfId="0" applyFont="1" applyFill="1" applyBorder="1" applyAlignment="1">
      <alignment horizontal="center" vertical="center"/>
    </xf>
    <xf numFmtId="9" fontId="24" fillId="2" borderId="1" xfId="0" applyNumberFormat="1" applyFont="1" applyFill="1" applyBorder="1" applyAlignment="1">
      <alignment vertical="center"/>
    </xf>
    <xf numFmtId="168" fontId="24" fillId="2" borderId="1" xfId="1" applyNumberFormat="1" applyFont="1" applyFill="1" applyBorder="1"/>
    <xf numFmtId="43" fontId="24" fillId="0" borderId="1" xfId="0" applyNumberFormat="1" applyFont="1" applyFill="1" applyBorder="1" applyAlignment="1">
      <alignment horizontal="center"/>
    </xf>
    <xf numFmtId="43" fontId="25" fillId="0" borderId="1" xfId="0" applyNumberFormat="1" applyFont="1" applyFill="1" applyBorder="1"/>
    <xf numFmtId="43" fontId="24" fillId="0" borderId="1" xfId="1" applyFont="1" applyFill="1" applyBorder="1" applyAlignment="1">
      <alignment horizontal="center"/>
    </xf>
    <xf numFmtId="43" fontId="24" fillId="0" borderId="0" xfId="1" applyFont="1" applyFill="1" applyAlignment="1">
      <alignment horizontal="center"/>
    </xf>
    <xf numFmtId="167" fontId="24" fillId="0" borderId="1" xfId="0" applyNumberFormat="1" applyFont="1" applyFill="1" applyBorder="1"/>
    <xf numFmtId="0" fontId="24" fillId="0" borderId="1" xfId="0" applyFont="1" applyFill="1" applyBorder="1" applyAlignment="1">
      <alignment horizontal="center" vertical="center" wrapText="1"/>
    </xf>
    <xf numFmtId="0" fontId="24" fillId="0" borderId="1" xfId="0" applyFont="1" applyFill="1" applyBorder="1" applyAlignment="1">
      <alignment horizontal="left" vertical="center" wrapText="1"/>
    </xf>
    <xf numFmtId="0" fontId="24" fillId="0" borderId="1" xfId="0" applyFont="1" applyBorder="1" applyAlignment="1">
      <alignment horizontal="center"/>
    </xf>
    <xf numFmtId="0" fontId="24" fillId="0" borderId="1" xfId="0" applyFont="1" applyBorder="1" applyAlignment="1">
      <alignment horizontal="left"/>
    </xf>
    <xf numFmtId="2" fontId="24" fillId="0" borderId="16" xfId="2" applyNumberFormat="1" applyFont="1" applyBorder="1"/>
    <xf numFmtId="43" fontId="24" fillId="2" borderId="1" xfId="1" applyFont="1" applyFill="1" applyBorder="1" applyAlignment="1">
      <alignment vertical="center"/>
    </xf>
    <xf numFmtId="43" fontId="24" fillId="2" borderId="1" xfId="0" applyNumberFormat="1" applyFont="1" applyFill="1" applyBorder="1"/>
    <xf numFmtId="0" fontId="24" fillId="2" borderId="1" xfId="0" applyFont="1" applyFill="1" applyBorder="1" applyAlignment="1">
      <alignment vertical="center"/>
    </xf>
    <xf numFmtId="171" fontId="24" fillId="2" borderId="1" xfId="1" applyNumberFormat="1" applyFont="1" applyFill="1" applyBorder="1" applyAlignment="1">
      <alignment vertical="center"/>
    </xf>
    <xf numFmtId="169" fontId="24" fillId="2" borderId="1" xfId="0" applyNumberFormat="1" applyFont="1" applyFill="1" applyBorder="1"/>
    <xf numFmtId="0" fontId="24" fillId="0" borderId="0" xfId="46" applyFont="1"/>
    <xf numFmtId="0" fontId="24" fillId="0" borderId="13" xfId="46" applyFont="1" applyBorder="1" applyAlignment="1">
      <alignment horizontal="center"/>
    </xf>
    <xf numFmtId="0" fontId="24" fillId="0" borderId="1" xfId="46" applyFont="1" applyBorder="1" applyAlignment="1">
      <alignment horizontal="center"/>
    </xf>
    <xf numFmtId="0" fontId="24" fillId="0" borderId="14" xfId="46" applyFont="1" applyBorder="1" applyAlignment="1">
      <alignment horizontal="center"/>
    </xf>
    <xf numFmtId="0" fontId="24" fillId="0" borderId="0" xfId="46" applyFont="1" applyAlignment="1"/>
    <xf numFmtId="0" fontId="24" fillId="0" borderId="13" xfId="0" applyFont="1" applyBorder="1"/>
    <xf numFmtId="0" fontId="24" fillId="0" borderId="15" xfId="0" applyFont="1" applyBorder="1"/>
    <xf numFmtId="43" fontId="24" fillId="0" borderId="16" xfId="0" applyNumberFormat="1" applyFont="1" applyBorder="1"/>
    <xf numFmtId="168" fontId="24" fillId="2" borderId="1" xfId="0" applyNumberFormat="1" applyFont="1" applyFill="1" applyBorder="1"/>
    <xf numFmtId="0" fontId="24" fillId="0" borderId="1" xfId="0" applyNumberFormat="1" applyFont="1" applyFill="1" applyBorder="1" applyAlignment="1">
      <alignment vertical="center" wrapText="1"/>
    </xf>
    <xf numFmtId="0" fontId="24" fillId="0" borderId="1" xfId="0" applyFont="1" applyFill="1" applyBorder="1" applyAlignment="1">
      <alignment horizontal="left" vertical="center" wrapText="1"/>
    </xf>
    <xf numFmtId="0" fontId="24" fillId="0" borderId="12"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5" fillId="0" borderId="2" xfId="0" applyFont="1" applyFill="1" applyBorder="1" applyAlignment="1">
      <alignment horizontal="left"/>
    </xf>
    <xf numFmtId="0" fontId="25" fillId="0" borderId="3" xfId="0" applyFont="1" applyFill="1" applyBorder="1" applyAlignment="1">
      <alignment horizontal="left"/>
    </xf>
    <xf numFmtId="0" fontId="25" fillId="0" borderId="4" xfId="0" applyFont="1" applyFill="1" applyBorder="1" applyAlignment="1">
      <alignment horizontal="left"/>
    </xf>
    <xf numFmtId="0" fontId="25" fillId="0" borderId="2" xfId="0" applyFont="1" applyFill="1" applyBorder="1" applyAlignment="1"/>
    <xf numFmtId="0" fontId="25" fillId="0" borderId="3" xfId="0" applyFont="1" applyFill="1" applyBorder="1" applyAlignment="1"/>
    <xf numFmtId="0" fontId="25" fillId="0" borderId="4" xfId="0" applyFont="1" applyFill="1" applyBorder="1" applyAlignment="1"/>
    <xf numFmtId="0" fontId="24" fillId="0" borderId="1" xfId="0" applyFont="1" applyFill="1" applyBorder="1" applyAlignment="1">
      <alignment horizontal="left" vertical="center"/>
    </xf>
    <xf numFmtId="0" fontId="24" fillId="0" borderId="1" xfId="0" applyFont="1" applyBorder="1" applyAlignment="1">
      <alignment horizontal="left" vertical="center"/>
    </xf>
    <xf numFmtId="0" fontId="24" fillId="0" borderId="1" xfId="0" applyFont="1" applyFill="1" applyBorder="1" applyAlignment="1">
      <alignment horizontal="left"/>
    </xf>
    <xf numFmtId="0" fontId="24" fillId="0" borderId="1" xfId="0" applyFont="1" applyBorder="1" applyAlignment="1">
      <alignment horizontal="left"/>
    </xf>
    <xf numFmtId="0" fontId="23" fillId="0" borderId="0" xfId="0" applyFont="1" applyFill="1" applyAlignment="1">
      <alignment horizontal="left"/>
    </xf>
    <xf numFmtId="0" fontId="24" fillId="0" borderId="2" xfId="0" applyFont="1" applyFill="1" applyBorder="1" applyAlignment="1">
      <alignment horizontal="left" vertical="center"/>
    </xf>
    <xf numFmtId="0" fontId="24" fillId="0" borderId="3" xfId="0" applyFont="1" applyFill="1" applyBorder="1" applyAlignment="1">
      <alignment horizontal="left" vertical="center"/>
    </xf>
    <xf numFmtId="0" fontId="24" fillId="0" borderId="4" xfId="0" applyFont="1" applyFill="1" applyBorder="1" applyAlignment="1">
      <alignment horizontal="left" vertical="center"/>
    </xf>
    <xf numFmtId="0" fontId="25" fillId="0" borderId="2" xfId="0" applyFont="1" applyFill="1" applyBorder="1" applyAlignment="1">
      <alignment horizontal="left" vertical="center"/>
    </xf>
    <xf numFmtId="0" fontId="25" fillId="0" borderId="3" xfId="0" applyFont="1" applyFill="1" applyBorder="1" applyAlignment="1">
      <alignment horizontal="left" vertical="center"/>
    </xf>
    <xf numFmtId="0" fontId="25" fillId="0" borderId="4" xfId="0" applyFont="1" applyFill="1" applyBorder="1" applyAlignment="1">
      <alignment horizontal="left" vertical="center"/>
    </xf>
    <xf numFmtId="0" fontId="24" fillId="0" borderId="2" xfId="0" applyFont="1" applyFill="1" applyBorder="1" applyAlignment="1">
      <alignment horizontal="center" vertical="center"/>
    </xf>
    <xf numFmtId="0" fontId="24" fillId="0" borderId="3" xfId="0" applyFont="1" applyFill="1" applyBorder="1" applyAlignment="1">
      <alignment horizontal="center" vertical="center"/>
    </xf>
    <xf numFmtId="0" fontId="24" fillId="0" borderId="4" xfId="0" applyFont="1" applyFill="1" applyBorder="1" applyAlignment="1">
      <alignment horizontal="center" vertical="center"/>
    </xf>
    <xf numFmtId="0" fontId="25" fillId="0" borderId="1" xfId="0" applyFont="1" applyFill="1" applyBorder="1" applyAlignment="1">
      <alignment horizontal="center" vertical="center"/>
    </xf>
    <xf numFmtId="0" fontId="25" fillId="0" borderId="1" xfId="0" applyFont="1" applyFill="1" applyBorder="1" applyAlignment="1">
      <alignment horizontal="left"/>
    </xf>
    <xf numFmtId="0" fontId="24" fillId="0" borderId="3" xfId="0" applyFont="1" applyBorder="1" applyAlignment="1">
      <alignment horizontal="left" vertical="center"/>
    </xf>
    <xf numFmtId="0" fontId="24" fillId="0" borderId="4" xfId="0" applyFont="1" applyBorder="1" applyAlignment="1">
      <alignment horizontal="left" vertical="center"/>
    </xf>
    <xf numFmtId="0" fontId="25" fillId="0" borderId="2" xfId="0" applyFont="1" applyFill="1" applyBorder="1" applyAlignment="1">
      <alignment horizontal="center"/>
    </xf>
    <xf numFmtId="0" fontId="25" fillId="0" borderId="3" xfId="0" applyFont="1" applyFill="1" applyBorder="1" applyAlignment="1">
      <alignment horizontal="center"/>
    </xf>
    <xf numFmtId="0" fontId="25" fillId="0" borderId="4" xfId="0" applyFont="1" applyFill="1" applyBorder="1" applyAlignment="1">
      <alignment horizontal="center"/>
    </xf>
    <xf numFmtId="0" fontId="24" fillId="0" borderId="1" xfId="0" applyFont="1" applyBorder="1" applyAlignment="1">
      <alignment horizontal="left" vertical="center" wrapText="1"/>
    </xf>
    <xf numFmtId="0" fontId="25" fillId="8" borderId="0" xfId="0" applyFont="1" applyFill="1" applyAlignment="1">
      <alignment horizontal="left" wrapText="1"/>
    </xf>
    <xf numFmtId="0" fontId="25" fillId="8" borderId="23" xfId="0" applyFont="1" applyFill="1" applyBorder="1" applyAlignment="1">
      <alignment horizontal="left"/>
    </xf>
    <xf numFmtId="0" fontId="24" fillId="0" borderId="24" xfId="46" applyFont="1" applyBorder="1" applyAlignment="1">
      <alignment horizontal="center"/>
    </xf>
    <xf numFmtId="0" fontId="24" fillId="0" borderId="25" xfId="46" applyFont="1" applyBorder="1" applyAlignment="1">
      <alignment horizontal="center"/>
    </xf>
    <xf numFmtId="0" fontId="24" fillId="0" borderId="26" xfId="46" applyFont="1" applyBorder="1" applyAlignment="1">
      <alignment horizontal="center"/>
    </xf>
    <xf numFmtId="0" fontId="24" fillId="0" borderId="27" xfId="0" applyFont="1" applyBorder="1" applyAlignment="1">
      <alignment horizontal="center" wrapText="1"/>
    </xf>
    <xf numFmtId="0" fontId="24" fillId="0" borderId="28" xfId="0" applyFont="1" applyBorder="1" applyAlignment="1">
      <alignment horizontal="center" wrapText="1"/>
    </xf>
    <xf numFmtId="0" fontId="24" fillId="0" borderId="29" xfId="0" applyFont="1" applyBorder="1" applyAlignment="1">
      <alignment horizontal="center" wrapText="1"/>
    </xf>
    <xf numFmtId="0" fontId="24" fillId="0" borderId="1" xfId="0" applyFont="1" applyBorder="1" applyAlignment="1">
      <alignment horizontal="center"/>
    </xf>
    <xf numFmtId="0" fontId="24" fillId="0" borderId="1" xfId="0" applyFont="1" applyBorder="1" applyAlignment="1">
      <alignment horizontal="center" wrapText="1"/>
    </xf>
    <xf numFmtId="165" fontId="24" fillId="0" borderId="1" xfId="0" applyNumberFormat="1" applyFont="1" applyBorder="1" applyAlignment="1">
      <alignment horizontal="left"/>
    </xf>
    <xf numFmtId="0" fontId="25" fillId="0" borderId="5" xfId="0" applyFont="1" applyBorder="1" applyAlignment="1">
      <alignment horizontal="left" vertical="top" wrapText="1"/>
    </xf>
    <xf numFmtId="0" fontId="25" fillId="0" borderId="6" xfId="0" applyFont="1" applyBorder="1" applyAlignment="1">
      <alignment horizontal="left" vertical="top" wrapText="1"/>
    </xf>
  </cellXfs>
  <cellStyles count="100">
    <cellStyle name=" Names" xfId="4"/>
    <cellStyle name=" Task]_x000d__x000a_TaskName=Scan At_x000d__x000a_TaskID=3_x000d__x000a_WorkstationName=SmarTone_x000d__x000a_LastExecuted=0_x000d__x000a_LastSt" xfId="5"/>
    <cellStyle name="_aux detail 13 9 07" xfId="6"/>
    <cellStyle name="⋢b愼¢⋲b慠¢⌂b憄¢⌒b憨¢⌢b懌¢⌲b_x0005_DocumentSummaryInformation" xfId="7"/>
    <cellStyle name="⇢b㐤¢⇲b䮜¢∂b䮼¢−b䯜¢∢b䯼¢∲b_x0005_SummaryInformation" xfId="8"/>
    <cellStyle name="ↂb䭔¢→b䭸¢↢b㎄¢↲b㏄¢⇂b㏤¢⇒b㐄¢⇢b㐤¢⇲b䮜¢∂b䮼¢−b䯜¢∢b䯼¢∲b_x0005_SummaryInformation" xfId="9"/>
    <cellStyle name="AS" xfId="10"/>
    <cellStyle name="Body" xfId="11"/>
    <cellStyle name="⛲b哔£✂b哸£✒b啐£✢b啴£✲bUser Names" xfId="12"/>
    <cellStyle name="⎲b拄¢⏂b拸¢⏒b笌¢⏢b筀¢⏲b筬¢␂b箔¢␒b篌¢␢b捠¢␲b_x0001_CompObj" xfId="13"/>
    <cellStyle name="Calc Currency (0)" xfId="14"/>
    <cellStyle name="ⓒb擤¢ⓢb攨¢⓲b敜¢│b斔¢┒b絴¢┢b綜¢┲bCtls" xfId="15"/>
    <cellStyle name="Comma" xfId="1" builtinId="3"/>
    <cellStyle name="Comma 2" xfId="16"/>
    <cellStyle name="Comma 3" xfId="17"/>
    <cellStyle name="Comma 3 2" xfId="72"/>
    <cellStyle name="Comma 3 2 2" xfId="91"/>
    <cellStyle name="Comma 3 3" xfId="73"/>
    <cellStyle name="Comma 3 3 2" xfId="92"/>
    <cellStyle name="Comma 3 4" xfId="87"/>
    <cellStyle name="Copied" xfId="18"/>
    <cellStyle name="Date" xfId="19"/>
    <cellStyle name="Define your own named style" xfId="20"/>
    <cellStyle name="Draw lines around data in range" xfId="21"/>
    <cellStyle name="Draw shadow and lines within range" xfId="22"/>
    <cellStyle name="Enlarge title text, yellow on blue" xfId="23"/>
    <cellStyle name="Entered" xfId="24"/>
    <cellStyle name="F2" xfId="25"/>
    <cellStyle name="F3" xfId="26"/>
    <cellStyle name="F4" xfId="27"/>
    <cellStyle name="F5" xfId="28"/>
    <cellStyle name="F6" xfId="29"/>
    <cellStyle name="F7" xfId="30"/>
    <cellStyle name="F8" xfId="31"/>
    <cellStyle name="Fixed" xfId="32"/>
    <cellStyle name="Format a column of totals" xfId="33"/>
    <cellStyle name="Format a row of totals" xfId="34"/>
    <cellStyle name="Format text as bold, black on yello" xfId="35"/>
    <cellStyle name="Grey" xfId="36"/>
    <cellStyle name="Header1" xfId="37"/>
    <cellStyle name="Header2" xfId="38"/>
    <cellStyle name="Heading1" xfId="39"/>
    <cellStyle name="Heading2" xfId="40"/>
    <cellStyle name="Hyperlink" xfId="71" builtinId="8"/>
    <cellStyle name="Hyperlink 2" xfId="41"/>
    <cellStyle name="Input [yellow]" xfId="42"/>
    <cellStyle name="ls" xfId="43"/>
    <cellStyle name="no dec" xfId="44"/>
    <cellStyle name="Normal" xfId="0" builtinId="0"/>
    <cellStyle name="Normal - Style1" xfId="45"/>
    <cellStyle name="Normal 2" xfId="46"/>
    <cellStyle name="Normal 2 2" xfId="74"/>
    <cellStyle name="Normal 2 2 2" xfId="75"/>
    <cellStyle name="Normal 2 2 2 2" xfId="76"/>
    <cellStyle name="Normal 2 2 2 3" xfId="93"/>
    <cellStyle name="Normal 2 3" xfId="77"/>
    <cellStyle name="Normal 2 4" xfId="78"/>
    <cellStyle name="Normal 2 5" xfId="79"/>
    <cellStyle name="Normal 3" xfId="47"/>
    <cellStyle name="Normal 4" xfId="48"/>
    <cellStyle name="Normal 4 2" xfId="80"/>
    <cellStyle name="Normal 4 2 2" xfId="94"/>
    <cellStyle name="Normal 4 3" xfId="81"/>
    <cellStyle name="Normal 4 3 2" xfId="95"/>
    <cellStyle name="Normal 4 4" xfId="88"/>
    <cellStyle name="Normal 5" xfId="49"/>
    <cellStyle name="Normal 5 2" xfId="82"/>
    <cellStyle name="Normal 5 2 2" xfId="96"/>
    <cellStyle name="Normal 5 3" xfId="83"/>
    <cellStyle name="Normal 5 3 2" xfId="97"/>
    <cellStyle name="Normal 5 4" xfId="89"/>
    <cellStyle name="Normal 6" xfId="84"/>
    <cellStyle name="Normal_Sheet2" xfId="3"/>
    <cellStyle name="original cost" xfId="50"/>
    <cellStyle name="Percent" xfId="2" builtinId="5"/>
    <cellStyle name="Percent [2]" xfId="51"/>
    <cellStyle name="Percent 2" xfId="52"/>
    <cellStyle name="Percent 3" xfId="53"/>
    <cellStyle name="Percent 3 2" xfId="85"/>
    <cellStyle name="Percent 3 2 2" xfId="98"/>
    <cellStyle name="Percent 3 3" xfId="86"/>
    <cellStyle name="Percent 3 3 2" xfId="99"/>
    <cellStyle name="Percent 3 4" xfId="90"/>
    <cellStyle name="pObj" xfId="54"/>
    <cellStyle name="Reset range style to defaults" xfId="55"/>
    <cellStyle name="RevList" xfId="56"/>
    <cellStyle name="sion Log" xfId="57"/>
    <cellStyle name="Style 1" xfId="58"/>
    <cellStyle name="Subtotal" xfId="59"/>
    <cellStyle name="TextNormal" xfId="60"/>
    <cellStyle name="totalmarch" xfId="61"/>
    <cellStyle name="umentSummaryInformation" xfId="62"/>
    <cellStyle name="ummaryInformation" xfId="63"/>
    <cellStyle name="즠¢➲b진¢⟂b짬¢⟒b쨈¢⟢b阨¢⟲b限¢⠂b陴¢⠒b隠¢⠢b雄¢⠲bBook" xfId="64"/>
    <cellStyle name="篌¢␢b捠¢␲b_x0001_CompObj" xfId="65"/>
    <cellStyle name="籄¢⒒b粰¢⒢b糤¢⒲b経¢Ⓜb撬¢ⓒb擤¢ⓢb攨¢⓲b敜¢│b斔¢┒b絴¢┢b綜¢┲bCtls" xfId="66"/>
    <cellStyle name="纐¢◒b纴¢◢b绘¢◲b缐¢☂b钰¢☒b铰¢☢b锘¢☲bRevision Log" xfId="67"/>
    <cellStyle name="鐄¢▂b鐴¢▒b鑜¢▢b针¢▲b繜¢◂b纐¢◒b纴¢◢b绘¢◲b缐¢☂b钰¢☒b铰¢☢b锘¢☲bRevision Log" xfId="68"/>
    <cellStyle name="門¢⚲b閤¢⛂b闼¢⛒b⯐¤⛢b⯴¤⛲b哔£✂b哸£✒b啐£✢b啴£✲bUser Names" xfId="69"/>
    <cellStyle name="陴¢⠒b隠¢⠢b雄¢⠲bBook" xfId="7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1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usil\c\SAPpc\ccrcop010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Priya/Work/Workings%20-%20priya%20for%20CDM/Benchmark%20Analysis/IRR%20Calculation.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Uppili\c\Monthly%20P&amp;L\May'01\provisional%20P&amp;L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Uppili\c\My%20Documents\15th%20shipment\calculation%20sheet%20-%20provisiona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ndranil\c\UPPILI\december\Provisional%20Profit%20&amp;Loss%20account-till%20dat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Pareek\c\SAPpc\pmp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INDOWS\Desktop\Book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OCT%20P&amp;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khilesh\akhilesh_c\uppili\BUDGET%2000-01\refinery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ant\d\MIS%202003-04\Mis-Copper-April%20200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is-ddc\c\Emails\Dipak\CarbonblackMi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areek\c\SAPpc\CC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Uppili\c\Monthly%20P&amp;L\sept'00\profit%20&amp;%20loss%20accoun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1\0040\LOCALS~1\Temp\Purta%20Main%20&amp;%20Monthlly%20%200506%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inancial Perfor"/>
      <sheetName val="Top Sheet"/>
      <sheetName val="Assumptions"/>
      <sheetName val="prs"/>
      <sheetName val="Stores"/>
      <sheetName val="Petroleum"/>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Assumption"/>
      <sheetName val="depre"/>
      <sheetName val="term loan "/>
      <sheetName val="fuel"/>
      <sheetName val="Sheet1"/>
      <sheetName val="Fuel Pricing"/>
      <sheetName val="Financials-Project IRR - change"/>
      <sheetName val="Tax without CDM "/>
      <sheetName val="Financials-PIRR with CDM change"/>
      <sheetName val="Tax with CDM"/>
      <sheetName val="WACC"/>
      <sheetName val="Financials-Equity IRR"/>
      <sheetName val="Financials-Equity with CDM"/>
      <sheetName val="Financials with CDM"/>
      <sheetName val="ROE for Benchmark Calculation"/>
      <sheetName val="T119"/>
      <sheetName val="Beta Value"/>
      <sheetName val="BSE-500"/>
      <sheetName val="Summary"/>
      <sheetName val="Beta Screenshots"/>
      <sheetName val="Benchmark Calculation"/>
      <sheetName val="Sensitivity"/>
      <sheetName val="term loan - for CDM"/>
      <sheetName val="fixed cost"/>
      <sheetName val="Tax"/>
      <sheetName val="Tax for PIRR - change"/>
      <sheetName val="Tax for PIRR - with CDM change"/>
      <sheetName val="Tax for EIRR "/>
      <sheetName val="Tax for EIRR with CDM"/>
      <sheetName val="Beta by Bloomberg"/>
      <sheetName val="Beta of power companies"/>
      <sheetName val="power companies share prices fo"/>
      <sheetName val="POWER-1"/>
      <sheetName val="Beta on bse 500"/>
      <sheetName val="Sheet3"/>
      <sheetName val="Financials-Project IRR"/>
      <sheetName val="Tax for IRR"/>
      <sheetName val="Financials-Project IRR with CDM"/>
      <sheetName val="Tax for IRR - with CDM"/>
      <sheetName val="Sheet8"/>
      <sheetName val="YEARLY SENSEX DATA"/>
      <sheetName val="Nifty values"/>
      <sheetName val="Beta, RRR-sensex"/>
      <sheetName val="Sheet1 (2)"/>
      <sheetName val="Sheet7"/>
      <sheetName val="Sheet9"/>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FWP "/>
      <sheetName val="CASHFLOW "/>
      <sheetName val="Sheet3"/>
      <sheetName val="CONTANGO (3)"/>
      <sheetName val="margin."/>
      <sheetName val="workings"/>
      <sheetName val="PM VALUE TABLE"/>
      <sheetName val="Break up of RMcost"/>
      <sheetName val="RawmaterialCost"/>
      <sheetName val="RM cons adj"/>
      <sheetName val="sales"/>
      <sheetName val="P &amp; L"/>
    </sheetNames>
    <sheetDataSet>
      <sheetData sheetId="0"/>
      <sheetData sheetId="1"/>
      <sheetData sheetId="2"/>
      <sheetData sheetId="3"/>
      <sheetData sheetId="4" refreshError="1">
        <row r="17">
          <cell r="I17">
            <v>-46027.598784338683</v>
          </cell>
        </row>
      </sheetData>
      <sheetData sheetId="5"/>
      <sheetData sheetId="6"/>
      <sheetData sheetId="7"/>
      <sheetData sheetId="8"/>
      <sheetData sheetId="9"/>
      <sheetData sheetId="10"/>
      <sheetData sheetId="1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da"/>
      <sheetName val="lot no 86"/>
      <sheetName val="lot no 87"/>
      <sheetName val="lot no 88"/>
      <sheetName val="lot no 89"/>
      <sheetName val="lot no 90"/>
      <sheetName val="lot no 91"/>
      <sheetName val="lot no 92"/>
      <sheetName val="lot no 93"/>
      <sheetName val="lot no 94"/>
      <sheetName val="TOTAL"/>
      <sheetName val="EXPORTS-FIN-FINPERF"/>
      <sheetName val="IMP-FP"/>
      <sheetName val="FP -Import"/>
      <sheetName val="Finance _PAP"/>
      <sheetName val="Finan- SMT"/>
      <sheetName val="Finan- sap"/>
      <sheetName val="Fin-CPP"/>
      <sheetName val="Chpd Variance"/>
      <sheetName val="MKT (2)"/>
      <sheetName val="CCR FP (2)"/>
      <sheetName val="Ref FP (2)"/>
      <sheetName val="ACP (2)"/>
      <sheetName val="PM (2)"/>
    </sheetNames>
    <sheetDataSet>
      <sheetData sheetId="0" refreshError="1"/>
      <sheetData sheetId="1" refreshError="1">
        <row r="28">
          <cell r="K28">
            <v>583.70000000000005</v>
          </cell>
        </row>
        <row r="29">
          <cell r="K29">
            <v>735.35</v>
          </cell>
        </row>
        <row r="31">
          <cell r="K31">
            <v>1934.8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summary (2)"/>
      <sheetName val="Sheet2"/>
      <sheetName val="margin working"/>
      <sheetName val="CONTANGO (2)"/>
      <sheetName val="CASHFLOW lacs"/>
      <sheetName val="P &amp; L (2)"/>
      <sheetName val="margin."/>
      <sheetName val="workings"/>
      <sheetName val="PM VALUE TABLE"/>
      <sheetName val="Break up of RMcost"/>
      <sheetName val="RawmaterialCost"/>
      <sheetName val="P &amp; L"/>
      <sheetName val="Sheet3"/>
      <sheetName val="Sheet1"/>
      <sheetName val="variance till date"/>
      <sheetName val="FWP"/>
      <sheetName val="sales"/>
      <sheetName val="P &amp; L (3)"/>
      <sheetName val="P &amp; L pareek"/>
      <sheetName val="nord"/>
      <sheetName val="summary-new"/>
    </sheetNames>
    <sheetDataSet>
      <sheetData sheetId="0" refreshError="1"/>
      <sheetData sheetId="1" refreshError="1"/>
      <sheetData sheetId="2" refreshError="1"/>
      <sheetData sheetId="3" refreshError="1"/>
      <sheetData sheetId="4" refreshError="1"/>
      <sheetData sheetId="5" refreshError="1"/>
      <sheetData sheetId="6" refreshError="1">
        <row r="4">
          <cell r="L4">
            <v>46.25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CONSUMPTION"/>
      <sheetName val="PROCESS LOSS"/>
      <sheetName val="margin."/>
      <sheetName val="DETAILS"/>
      <sheetName val="marginRawmaterialCost"/>
      <sheetName val="July'00"/>
      <sheetName val="GOLD SILVER"/>
      <sheetName val="calculation"/>
      <sheetName val="CONTANGO"/>
      <sheetName val="P &amp; L"/>
      <sheetName val="CASHFLOW lacs"/>
    </sheetNames>
    <sheetDataSet>
      <sheetData sheetId="0" refreshError="1"/>
      <sheetData sheetId="1" refreshError="1"/>
      <sheetData sheetId="2" refreshError="1"/>
      <sheetData sheetId="3" refreshError="1">
        <row r="5">
          <cell r="C5">
            <v>32.150722587490151</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Details"/>
      <sheetName val="margin."/>
      <sheetName val="CONTANGO"/>
      <sheetName val="Book1"/>
      <sheetName val="#REF"/>
      <sheetName val="REFNCOMPARE"/>
      <sheetName val="Cons-Division"/>
      <sheetName val="CVK p&amp;L"/>
      <sheetName val="lot no 86"/>
      <sheetName val="Sales &amp;Sale Cost"/>
      <sheetName val="Stock Cal"/>
      <sheetName val="Lme-REV"/>
      <sheetName val="CU-P&amp;L-Work"/>
      <sheetName val="GROUPING"/>
      <sheetName val="rawmat break up"/>
      <sheetName val="cell rel"/>
      <sheetName val="Contract Details"/>
      <sheetName val="COST SHEET"/>
      <sheetName val="OTHER RM"/>
      <sheetName val="assumption"/>
      <sheetName val="BREAKUP"/>
      <sheetName val="Top Sheet"/>
      <sheetName val="Break up of RMcost"/>
      <sheetName val="YTD (2)"/>
      <sheetName val="March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heet4"/>
      <sheetName val="CASHFLOW lacs"/>
      <sheetName val="CONTANGO (2)"/>
      <sheetName val="reasons"/>
      <sheetName val="variance till date"/>
      <sheetName val="P &amp; L (2)"/>
      <sheetName val="TOTAL"/>
      <sheetName val="workings"/>
      <sheetName val="margin."/>
      <sheetName val="PM VALUE TABLE"/>
      <sheetName val="Break up of RMcost"/>
      <sheetName val="Raw MaterialCost"/>
      <sheetName val="P &amp; L"/>
      <sheetName val="Sheet2"/>
      <sheetName val="P &amp; L revised"/>
      <sheetName val="P &amp; L (4)"/>
      <sheetName val="P &amp; L pareek"/>
      <sheetName val="nord"/>
      <sheetName val="summary-new"/>
    </sheetNames>
    <sheetDataSet>
      <sheetData sheetId="0"/>
      <sheetData sheetId="1"/>
      <sheetData sheetId="2"/>
      <sheetData sheetId="3"/>
      <sheetData sheetId="4"/>
      <sheetData sheetId="5"/>
      <sheetData sheetId="6"/>
      <sheetData sheetId="7"/>
      <sheetData sheetId="8"/>
      <sheetData sheetId="9"/>
      <sheetData sheetId="10" refreshError="1">
        <row r="5">
          <cell r="D5">
            <v>31.1035</v>
          </cell>
        </row>
      </sheetData>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Details"/>
      <sheetName val="PACKING"/>
      <sheetName val="cell house"/>
      <sheetName val="slime&amp;purification (2)"/>
      <sheetName val="PREC"/>
      <sheetName val="REFLAB"/>
      <sheetName val="ISO"/>
      <sheetName val="PKG"/>
      <sheetName val="WATP"/>
      <sheetName val="COMP"/>
      <sheetName val="BOIHOU"/>
      <sheetName val="MATL"/>
      <sheetName val="REFINS"/>
      <sheetName val="REFMEC"/>
      <sheetName val="REFELE"/>
      <sheetName val="CELLHOU"/>
      <sheetName val="SLMPUR"/>
      <sheetName val="CAPITAL"/>
      <sheetName val="UPKEEP"/>
      <sheetName val="SAFETY"/>
      <sheetName val="POWER (2)"/>
      <sheetName val="POWER (3)"/>
      <sheetName val="Sheet2"/>
      <sheetName val="anex-power (2)"/>
      <sheetName val="norms"/>
      <sheetName val="TOP"/>
      <sheetName val="assumption"/>
      <sheetName val="P&amp;l"/>
      <sheetName val="power final"/>
      <sheetName val="Summery"/>
      <sheetName val="refinery"/>
      <sheetName val="elec-1"/>
      <sheetName val="elec-2"/>
      <sheetName val="elec-4"/>
      <sheetName val="elec-6"/>
      <sheetName val="elec-5"/>
      <sheetName val="elec-7"/>
      <sheetName val="elec-3"/>
    </sheetNames>
    <sheetDataSet>
      <sheetData sheetId="0" refreshError="1">
        <row r="156">
          <cell r="D156">
            <v>2070300</v>
          </cell>
        </row>
        <row r="187">
          <cell r="D187">
            <v>14070668.216039279</v>
          </cell>
        </row>
        <row r="195">
          <cell r="D195">
            <v>1342087.3846153845</v>
          </cell>
        </row>
        <row r="205">
          <cell r="D205">
            <v>585253.84615384613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Copper P&amp;L FTM"/>
      <sheetName val="Copper P&amp;L YTD"/>
      <sheetName val="SIIL-P&amp;L-FTM"/>
      <sheetName val="SIIL-P&amp;L-YTD"/>
      <sheetName val="BS Final"/>
      <sheetName val="FI-New"/>
      <sheetName val="Mfg admin SIIL"/>
      <sheetName val="Mfg admin final-Copper"/>
      <sheetName val="Sheet1"/>
      <sheetName val="Cu-P&amp;L"/>
      <sheetName val="Sales"/>
      <sheetName val="Conc"/>
      <sheetName val="Mfg &amp; Adm-Consol"/>
      <sheetName val="Mfg &amp; Adm-Others"/>
      <sheetName val="Mfg &amp; Adm-COPPER"/>
      <sheetName val="Bud P&amp;L-Work YTD"/>
      <sheetName val="Bud P&amp;L-Work FTM"/>
      <sheetName val="Fund Inv."/>
      <sheetName val="CLBS"/>
      <sheetName val="Variables"/>
      <sheetName val="Budget P&amp;L-Worksheet"/>
      <sheetName val="Fund Inv"/>
      <sheetName val="TUTY FI"/>
      <sheetName val="TUTY BS"/>
      <sheetName val="Mfg admin final"/>
      <sheetName val="Mfg admin Consol"/>
      <sheetName val="Mfg admin others"/>
      <sheetName val="Mfg admin Copper"/>
      <sheetName val="CVK-BS-fUNDFLO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v>100</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pldt"/>
      <sheetName val="Report Setup Sheet"/>
      <sheetName val="Business Summary Financial"/>
      <sheetName val="Unit Breakup"/>
      <sheetName val="Segment"/>
      <sheetName val="Ughai"/>
      <sheetName val="KPM"/>
      <sheetName val="Project Progress"/>
      <sheetName val="Initiative Progress"/>
      <sheetName val="Business Position Paper"/>
      <sheetName val="Consolidated Business"/>
      <sheetName val="Unit1"/>
      <sheetName val="Unit2"/>
      <sheetName val="Unit3"/>
      <sheetName val="Unit4"/>
      <sheetName val="Unit5"/>
      <sheetName val="Unit6"/>
      <sheetName val="Unit7"/>
      <sheetName val="Unit8"/>
      <sheetName val="Unit9"/>
      <sheetName val="Unit10"/>
      <sheetName val="Unit11"/>
      <sheetName val="Unit12"/>
      <sheetName val="Unit13"/>
      <sheetName val="Unit14"/>
      <sheetName val="Unit15"/>
    </sheetNames>
    <sheetDataSet>
      <sheetData sheetId="0" refreshError="1"/>
      <sheetData sheetId="1" refreshError="1">
        <row r="50">
          <cell r="B50" t="str">
            <v>Carbon Black</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CCRCOP"/>
      <sheetName val="REFNRY"/>
      <sheetName val="INDCOST"/>
      <sheetName val="INDANNEX"/>
      <sheetName val="CCRCOPAFTER"/>
      <sheetName val="CCRCOP AS IS"/>
      <sheetName val="SUMMARY CVK"/>
      <sheetName val="schedules"/>
      <sheetName val="assumptions"/>
      <sheetName val="Summery"/>
      <sheetName val="CCR "/>
      <sheetName val="REFNCOMPA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PROCESS LOSS"/>
      <sheetName val="CONSUMPTION"/>
      <sheetName val="margin."/>
      <sheetName val="PM VALUE TABLE"/>
      <sheetName val="DETAILS"/>
      <sheetName val="marginRawmaterialCost"/>
      <sheetName val="sep'00"/>
      <sheetName val="calculation"/>
      <sheetName val="CONTANGO"/>
      <sheetName val="CONTANGO (2)"/>
      <sheetName val="P &amp; L"/>
      <sheetName val="P &amp; L (2)"/>
      <sheetName val="Sheet2"/>
      <sheetName val="P &amp; L pareek"/>
      <sheetName val="nord"/>
      <sheetName val="CASHFLOW lacs"/>
      <sheetName val="operating performance"/>
      <sheetName val="Sheet1"/>
      <sheetName val="summary-new"/>
      <sheetName val="P &amp; L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8">
          <cell r="I38">
            <v>817606.62494253123</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LE04 vs Budget05"/>
      <sheetName val="Main Sheet"/>
      <sheetName val="Monthly Break Up"/>
      <sheetName val="Detail Working"/>
      <sheetName val=" MonthhlyWORKING"/>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energytechnologyexpert.com/financial-models/how-to-evaluate-economic-feasibility-of-a-power-plant-project-use-project-finance-model/" TargetMode="Externa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dimension ref="A1:F80"/>
  <sheetViews>
    <sheetView tabSelected="1" workbookViewId="0">
      <selection activeCell="A14" sqref="A14:C14"/>
    </sheetView>
  </sheetViews>
  <sheetFormatPr defaultRowHeight="15"/>
  <cols>
    <col min="1" max="1" width="10" style="4" bestFit="1" customWidth="1"/>
    <col min="2" max="2" width="9.140625" style="4"/>
    <col min="3" max="3" width="49.7109375" style="4" customWidth="1"/>
    <col min="4" max="4" width="17.7109375" style="4" bestFit="1" customWidth="1"/>
    <col min="5" max="5" width="153" style="4" customWidth="1"/>
    <col min="6" max="6" width="10.7109375" style="4" customWidth="1"/>
    <col min="7" max="16384" width="9.140625" style="4"/>
  </cols>
  <sheetData>
    <row r="1" spans="1:6">
      <c r="A1" s="166"/>
      <c r="B1" s="166"/>
      <c r="C1" s="166"/>
      <c r="D1" s="166"/>
    </row>
    <row r="2" spans="1:6">
      <c r="A2" s="5"/>
    </row>
    <row r="3" spans="1:6">
      <c r="A3" s="170" t="s">
        <v>37</v>
      </c>
      <c r="B3" s="171"/>
      <c r="C3" s="172"/>
      <c r="D3" s="6" t="s">
        <v>169</v>
      </c>
      <c r="E3" s="6" t="s">
        <v>166</v>
      </c>
    </row>
    <row r="4" spans="1:6">
      <c r="A4" s="167" t="s">
        <v>24</v>
      </c>
      <c r="B4" s="168"/>
      <c r="C4" s="169"/>
      <c r="D4" s="7">
        <v>660</v>
      </c>
      <c r="E4" s="153" t="s">
        <v>277</v>
      </c>
    </row>
    <row r="5" spans="1:6">
      <c r="A5" s="167" t="s">
        <v>177</v>
      </c>
      <c r="B5" s="168"/>
      <c r="C5" s="169"/>
      <c r="D5" s="7">
        <v>1</v>
      </c>
      <c r="E5" s="153"/>
    </row>
    <row r="6" spans="1:6">
      <c r="A6" s="167" t="s">
        <v>46</v>
      </c>
      <c r="B6" s="168"/>
      <c r="C6" s="169"/>
      <c r="D6" s="7">
        <f>D5*D4</f>
        <v>660</v>
      </c>
      <c r="E6" s="153"/>
    </row>
    <row r="9" spans="1:6">
      <c r="A9" s="167" t="s">
        <v>228</v>
      </c>
      <c r="B9" s="168"/>
      <c r="C9" s="169"/>
      <c r="D9" s="24">
        <f>D10/D4</f>
        <v>52.18181818181818</v>
      </c>
      <c r="E9" s="153" t="s">
        <v>278</v>
      </c>
    </row>
    <row r="10" spans="1:6">
      <c r="A10" s="167" t="s">
        <v>229</v>
      </c>
      <c r="B10" s="168"/>
      <c r="C10" s="169"/>
      <c r="D10" s="24">
        <f>(68880/2)*(1+'Sensitivity Analysis'!$B$4)</f>
        <v>34440</v>
      </c>
      <c r="E10" s="153"/>
    </row>
    <row r="12" spans="1:6">
      <c r="A12" s="156" t="s">
        <v>38</v>
      </c>
      <c r="B12" s="157"/>
      <c r="C12" s="157"/>
      <c r="D12" s="157"/>
      <c r="E12" s="158"/>
      <c r="F12" s="9"/>
    </row>
    <row r="13" spans="1:6" ht="30">
      <c r="A13" s="162" t="s">
        <v>32</v>
      </c>
      <c r="B13" s="163"/>
      <c r="C13" s="163"/>
      <c r="D13" s="10">
        <v>0.12</v>
      </c>
      <c r="E13" s="152" t="s">
        <v>303</v>
      </c>
    </row>
    <row r="14" spans="1:6">
      <c r="A14" s="164" t="s">
        <v>304</v>
      </c>
      <c r="B14" s="164"/>
      <c r="C14" s="164"/>
      <c r="D14" s="138">
        <v>11</v>
      </c>
      <c r="E14" s="153" t="s">
        <v>219</v>
      </c>
    </row>
    <row r="15" spans="1:6">
      <c r="A15" s="162" t="s">
        <v>35</v>
      </c>
      <c r="B15" s="163"/>
      <c r="C15" s="163"/>
      <c r="D15" s="7">
        <v>4</v>
      </c>
      <c r="E15" s="153"/>
    </row>
    <row r="16" spans="1:6">
      <c r="A16" s="162" t="s">
        <v>33</v>
      </c>
      <c r="B16" s="163"/>
      <c r="C16" s="163"/>
      <c r="D16" s="139">
        <f>D14*D15</f>
        <v>44</v>
      </c>
      <c r="E16" s="153"/>
    </row>
    <row r="17" spans="1:6">
      <c r="A17" s="162" t="s">
        <v>230</v>
      </c>
      <c r="B17" s="163"/>
      <c r="C17" s="163"/>
      <c r="D17" s="8">
        <f>(D10*0.7)/D16</f>
        <v>547.90909090909088</v>
      </c>
      <c r="E17" s="153"/>
    </row>
    <row r="18" spans="1:6">
      <c r="A18" s="162" t="s">
        <v>231</v>
      </c>
      <c r="B18" s="163"/>
      <c r="C18" s="163"/>
      <c r="D18" s="8">
        <f>D17*4</f>
        <v>2191.6363636363635</v>
      </c>
      <c r="E18" s="153"/>
    </row>
    <row r="21" spans="1:6">
      <c r="A21" s="177" t="s">
        <v>27</v>
      </c>
      <c r="B21" s="177"/>
      <c r="C21" s="177"/>
      <c r="D21" s="177"/>
      <c r="E21" s="177"/>
      <c r="F21" s="9"/>
    </row>
    <row r="22" spans="1:6">
      <c r="A22" s="164" t="s">
        <v>220</v>
      </c>
      <c r="B22" s="165"/>
      <c r="C22" s="165"/>
      <c r="D22" s="7">
        <v>364</v>
      </c>
      <c r="E22" s="11" t="s">
        <v>221</v>
      </c>
    </row>
    <row r="23" spans="1:6">
      <c r="A23" s="162" t="s">
        <v>222</v>
      </c>
      <c r="B23" s="162"/>
      <c r="C23" s="162"/>
      <c r="D23" s="7">
        <v>365</v>
      </c>
      <c r="E23" s="11"/>
    </row>
    <row r="26" spans="1:6">
      <c r="A26" s="156" t="s">
        <v>51</v>
      </c>
      <c r="B26" s="157"/>
      <c r="C26" s="157"/>
      <c r="D26" s="157"/>
      <c r="E26" s="158"/>
    </row>
    <row r="27" spans="1:6" ht="15" customHeight="1">
      <c r="A27" s="162" t="s">
        <v>50</v>
      </c>
      <c r="B27" s="163"/>
      <c r="C27" s="163"/>
      <c r="D27" s="10">
        <v>5.28E-2</v>
      </c>
      <c r="E27" s="109" t="s">
        <v>191</v>
      </c>
    </row>
    <row r="28" spans="1:6">
      <c r="A28" s="162" t="s">
        <v>56</v>
      </c>
      <c r="B28" s="163"/>
      <c r="C28" s="163"/>
      <c r="D28" s="10">
        <v>0.1</v>
      </c>
      <c r="E28" s="109" t="s">
        <v>192</v>
      </c>
    </row>
    <row r="29" spans="1:6">
      <c r="A29" s="162" t="s">
        <v>57</v>
      </c>
      <c r="B29" s="163"/>
      <c r="C29" s="163"/>
      <c r="D29" s="10">
        <f>1-D28</f>
        <v>0.9</v>
      </c>
      <c r="E29" s="109" t="s">
        <v>192</v>
      </c>
    </row>
    <row r="30" spans="1:6">
      <c r="D30" s="12"/>
    </row>
    <row r="31" spans="1:6">
      <c r="A31" s="159" t="s">
        <v>149</v>
      </c>
      <c r="B31" s="160"/>
      <c r="C31" s="160"/>
      <c r="D31" s="160"/>
      <c r="E31" s="161"/>
    </row>
    <row r="32" spans="1:6">
      <c r="A32" s="153" t="s">
        <v>155</v>
      </c>
      <c r="B32" s="153"/>
      <c r="C32" s="153"/>
      <c r="D32" s="10">
        <v>0.15</v>
      </c>
      <c r="E32" s="109" t="s">
        <v>210</v>
      </c>
    </row>
    <row r="33" spans="1:5">
      <c r="A33" s="153" t="s">
        <v>150</v>
      </c>
      <c r="B33" s="183"/>
      <c r="C33" s="183"/>
      <c r="D33" s="10">
        <v>5.28E-2</v>
      </c>
      <c r="E33" s="154" t="s">
        <v>172</v>
      </c>
    </row>
    <row r="34" spans="1:5">
      <c r="A34" s="162" t="str">
        <f>A28  &amp; " as per Companies Act, 1956"</f>
        <v>Salvage Value of Plant as per Companies Act, 1956</v>
      </c>
      <c r="B34" s="162"/>
      <c r="C34" s="162"/>
      <c r="D34" s="14">
        <v>0</v>
      </c>
      <c r="E34" s="155"/>
    </row>
    <row r="35" spans="1:5">
      <c r="A35" s="173"/>
      <c r="B35" s="174"/>
      <c r="C35" s="174"/>
      <c r="D35" s="174"/>
      <c r="E35" s="175"/>
    </row>
    <row r="36" spans="1:5">
      <c r="A36" s="162" t="s">
        <v>212</v>
      </c>
      <c r="B36" s="162"/>
      <c r="C36" s="162"/>
      <c r="D36" s="126">
        <v>0.1</v>
      </c>
      <c r="E36" s="13" t="s">
        <v>213</v>
      </c>
    </row>
    <row r="37" spans="1:5">
      <c r="A37" s="180"/>
      <c r="B37" s="181"/>
      <c r="C37" s="181"/>
      <c r="D37" s="181"/>
      <c r="E37" s="182"/>
    </row>
    <row r="38" spans="1:5">
      <c r="A38" s="167" t="s">
        <v>223</v>
      </c>
      <c r="B38" s="178"/>
      <c r="C38" s="179"/>
      <c r="D38" s="140">
        <v>46.68</v>
      </c>
      <c r="E38" s="154" t="s">
        <v>167</v>
      </c>
    </row>
    <row r="39" spans="1:5">
      <c r="A39" s="167" t="s">
        <v>224</v>
      </c>
      <c r="B39" s="178"/>
      <c r="C39" s="179"/>
      <c r="D39" s="140">
        <v>43.48</v>
      </c>
      <c r="E39" s="155"/>
    </row>
    <row r="40" spans="1:5">
      <c r="A40" s="167" t="s">
        <v>225</v>
      </c>
      <c r="B40" s="178"/>
      <c r="C40" s="179"/>
      <c r="D40" s="141">
        <f>DAYS360(DATE(2000,1,3),DATE(2009,12,31))/360</f>
        <v>9.9944444444444436</v>
      </c>
      <c r="E40" s="134" t="s">
        <v>226</v>
      </c>
    </row>
    <row r="41" spans="1:5">
      <c r="A41" s="162" t="s">
        <v>170</v>
      </c>
      <c r="B41" s="163"/>
      <c r="C41" s="163"/>
      <c r="D41" s="142">
        <f>1+ROUND((D38/D39)^(1/D40)-1,3)</f>
        <v>1.0069999999999999</v>
      </c>
      <c r="E41" s="15" t="s">
        <v>211</v>
      </c>
    </row>
    <row r="42" spans="1:5">
      <c r="A42" s="167" t="s">
        <v>232</v>
      </c>
      <c r="B42" s="168"/>
      <c r="C42" s="169"/>
      <c r="D42" s="151">
        <f>'Fuel Pricing_Coal'!B13*(1+'Sensitivity Analysis'!$B$2)</f>
        <v>1133.18</v>
      </c>
      <c r="E42" s="134" t="s">
        <v>294</v>
      </c>
    </row>
    <row r="43" spans="1:5" ht="30">
      <c r="A43" s="167" t="s">
        <v>295</v>
      </c>
      <c r="B43" s="168"/>
      <c r="C43" s="169"/>
      <c r="D43" s="151">
        <v>3755</v>
      </c>
      <c r="E43" s="134" t="s">
        <v>168</v>
      </c>
    </row>
    <row r="44" spans="1:5">
      <c r="A44" s="167" t="s">
        <v>296</v>
      </c>
      <c r="B44" s="168"/>
      <c r="C44" s="169"/>
      <c r="D44" s="139">
        <v>30.600999999999999</v>
      </c>
      <c r="E44" s="134" t="s">
        <v>297</v>
      </c>
    </row>
    <row r="45" spans="1:5" ht="30">
      <c r="A45" s="167" t="s">
        <v>298</v>
      </c>
      <c r="B45" s="168"/>
      <c r="C45" s="169"/>
      <c r="D45" s="151">
        <v>10500</v>
      </c>
      <c r="E45" s="134" t="s">
        <v>299</v>
      </c>
    </row>
    <row r="46" spans="1:5">
      <c r="A46" s="167" t="s">
        <v>300</v>
      </c>
      <c r="B46" s="168"/>
      <c r="C46" s="169"/>
      <c r="D46" s="151">
        <v>1</v>
      </c>
      <c r="E46" s="134" t="s">
        <v>193</v>
      </c>
    </row>
    <row r="48" spans="1:5">
      <c r="A48" s="177" t="s">
        <v>25</v>
      </c>
      <c r="B48" s="177"/>
      <c r="C48" s="177"/>
      <c r="D48" s="177"/>
      <c r="E48" s="177"/>
    </row>
    <row r="49" spans="1:6" ht="15" customHeight="1">
      <c r="A49" s="162" t="s">
        <v>162</v>
      </c>
      <c r="B49" s="162"/>
      <c r="C49" s="162"/>
      <c r="D49" s="14">
        <f>85%*(1+'Sensitivity Analysis'!$B$3)</f>
        <v>0.85</v>
      </c>
      <c r="E49" s="109" t="s">
        <v>194</v>
      </c>
    </row>
    <row r="50" spans="1:6">
      <c r="A50" s="162" t="s">
        <v>111</v>
      </c>
      <c r="B50" s="162"/>
      <c r="C50" s="162"/>
      <c r="D50" s="16">
        <f>2176*(1+'Sensitivity Analysis'!$B$6)</f>
        <v>2176</v>
      </c>
      <c r="E50" s="109" t="s">
        <v>195</v>
      </c>
    </row>
    <row r="51" spans="1:6">
      <c r="A51" s="162" t="s">
        <v>23</v>
      </c>
      <c r="B51" s="162"/>
      <c r="C51" s="162"/>
      <c r="D51" s="17">
        <v>8.5000000000000006E-2</v>
      </c>
      <c r="E51" s="109" t="s">
        <v>193</v>
      </c>
    </row>
    <row r="52" spans="1:6">
      <c r="A52" s="162" t="s">
        <v>164</v>
      </c>
      <c r="B52" s="162"/>
      <c r="C52" s="162"/>
      <c r="D52" s="18">
        <v>1.0649999999999999</v>
      </c>
      <c r="E52" s="109" t="s">
        <v>195</v>
      </c>
    </row>
    <row r="53" spans="1:6">
      <c r="A53" s="162" t="s">
        <v>176</v>
      </c>
      <c r="B53" s="162"/>
      <c r="C53" s="162"/>
      <c r="D53" s="24">
        <f>D50*D52</f>
        <v>2317.44</v>
      </c>
      <c r="E53" s="109" t="s">
        <v>196</v>
      </c>
    </row>
    <row r="54" spans="1:6">
      <c r="D54" s="19"/>
    </row>
    <row r="55" spans="1:6">
      <c r="A55" s="156" t="s">
        <v>26</v>
      </c>
      <c r="B55" s="157"/>
      <c r="C55" s="157"/>
      <c r="D55" s="157"/>
      <c r="E55" s="158"/>
    </row>
    <row r="56" spans="1:6">
      <c r="A56" s="162" t="s">
        <v>302</v>
      </c>
      <c r="B56" s="163"/>
      <c r="C56" s="163"/>
      <c r="D56" s="23">
        <f>1.462*(1+'Sensitivity Analysis'!$B$5)</f>
        <v>1.462</v>
      </c>
      <c r="E56" s="15" t="s">
        <v>197</v>
      </c>
    </row>
    <row r="57" spans="1:6">
      <c r="A57" s="162" t="s">
        <v>174</v>
      </c>
      <c r="B57" s="162"/>
      <c r="C57" s="162"/>
      <c r="D57" s="7">
        <v>1.0571999999999999</v>
      </c>
      <c r="E57" s="15" t="s">
        <v>198</v>
      </c>
      <c r="F57" s="19"/>
    </row>
    <row r="58" spans="1:6">
      <c r="A58" s="162" t="s">
        <v>17</v>
      </c>
      <c r="B58" s="162"/>
      <c r="C58" s="162"/>
      <c r="D58" s="17">
        <v>0.155</v>
      </c>
      <c r="E58" s="15" t="s">
        <v>199</v>
      </c>
    </row>
    <row r="59" spans="1:6">
      <c r="A59" s="162" t="s">
        <v>190</v>
      </c>
      <c r="B59" s="162"/>
      <c r="C59" s="162"/>
      <c r="D59" s="7">
        <v>1.1019000000000001</v>
      </c>
      <c r="E59" s="134" t="s">
        <v>227</v>
      </c>
    </row>
    <row r="60" spans="1:6">
      <c r="A60" s="162" t="s">
        <v>112</v>
      </c>
      <c r="B60" s="162"/>
      <c r="C60" s="162"/>
      <c r="D60" s="10">
        <v>8.0000000000000002E-3</v>
      </c>
      <c r="E60" s="108" t="s">
        <v>200</v>
      </c>
    </row>
    <row r="62" spans="1:6">
      <c r="A62" s="156" t="s">
        <v>28</v>
      </c>
      <c r="B62" s="157"/>
      <c r="C62" s="157"/>
      <c r="D62" s="157"/>
      <c r="E62" s="158"/>
    </row>
    <row r="63" spans="1:6">
      <c r="A63" s="162" t="s">
        <v>29</v>
      </c>
      <c r="B63" s="162"/>
      <c r="C63" s="162"/>
      <c r="D63" s="10">
        <f>30/100*(1.1*1.03)</f>
        <v>0.33990000000000004</v>
      </c>
      <c r="E63" s="153" t="s">
        <v>301</v>
      </c>
    </row>
    <row r="64" spans="1:6">
      <c r="A64" s="162" t="s">
        <v>30</v>
      </c>
      <c r="B64" s="162"/>
      <c r="C64" s="162"/>
      <c r="D64" s="10">
        <f>15/100*(1.1*1.03)</f>
        <v>0.16995000000000002</v>
      </c>
      <c r="E64" s="153"/>
    </row>
    <row r="67" spans="1:5">
      <c r="A67" s="156" t="s">
        <v>53</v>
      </c>
      <c r="B67" s="157"/>
      <c r="C67" s="157"/>
      <c r="D67" s="157"/>
      <c r="E67" s="158"/>
    </row>
    <row r="68" spans="1:5">
      <c r="A68" s="162" t="s">
        <v>64</v>
      </c>
      <c r="B68" s="162"/>
      <c r="C68" s="162"/>
      <c r="D68" s="127">
        <v>2</v>
      </c>
      <c r="E68" s="108" t="s">
        <v>201</v>
      </c>
    </row>
    <row r="69" spans="1:5">
      <c r="A69" s="167" t="s">
        <v>40</v>
      </c>
      <c r="B69" s="168"/>
      <c r="C69" s="169"/>
      <c r="D69" s="7">
        <v>2</v>
      </c>
      <c r="E69" s="109" t="s">
        <v>201</v>
      </c>
    </row>
    <row r="70" spans="1:5">
      <c r="A70" s="167" t="s">
        <v>41</v>
      </c>
      <c r="B70" s="168"/>
      <c r="C70" s="169"/>
      <c r="D70" s="7">
        <v>1</v>
      </c>
      <c r="E70" s="109" t="s">
        <v>201</v>
      </c>
    </row>
    <row r="71" spans="1:5">
      <c r="A71" s="167" t="s">
        <v>52</v>
      </c>
      <c r="B71" s="168"/>
      <c r="C71" s="169"/>
      <c r="D71" s="14">
        <v>0.2</v>
      </c>
      <c r="E71" s="109" t="s">
        <v>201</v>
      </c>
    </row>
    <row r="72" spans="1:5">
      <c r="A72" s="167" t="s">
        <v>113</v>
      </c>
      <c r="B72" s="168"/>
      <c r="C72" s="169"/>
      <c r="D72" s="20">
        <v>2</v>
      </c>
      <c r="E72" s="109" t="s">
        <v>201</v>
      </c>
    </row>
    <row r="73" spans="1:5" ht="45">
      <c r="A73" s="167" t="s">
        <v>31</v>
      </c>
      <c r="B73" s="168"/>
      <c r="C73" s="169"/>
      <c r="D73" s="10">
        <v>0.11749999999999999</v>
      </c>
      <c r="E73" s="109" t="s">
        <v>202</v>
      </c>
    </row>
    <row r="75" spans="1:5">
      <c r="A75" s="177" t="s">
        <v>104</v>
      </c>
      <c r="B75" s="177"/>
      <c r="C75" s="177"/>
      <c r="D75" s="177"/>
      <c r="E75" s="177"/>
    </row>
    <row r="76" spans="1:5" ht="28.5">
      <c r="A76" s="176" t="s">
        <v>105</v>
      </c>
      <c r="B76" s="176"/>
      <c r="C76" s="176" t="s">
        <v>105</v>
      </c>
      <c r="D76" s="21" t="s">
        <v>233</v>
      </c>
      <c r="E76" s="11"/>
    </row>
    <row r="77" spans="1:5">
      <c r="A77" s="164" t="s">
        <v>106</v>
      </c>
      <c r="B77" s="164"/>
      <c r="C77" s="164"/>
      <c r="D77" s="22">
        <v>0</v>
      </c>
      <c r="E77" s="109" t="s">
        <v>203</v>
      </c>
    </row>
    <row r="78" spans="1:5">
      <c r="A78" s="164" t="s">
        <v>108</v>
      </c>
      <c r="B78" s="164"/>
      <c r="C78" s="164"/>
      <c r="D78" s="22">
        <v>1.4999999999999999E-2</v>
      </c>
      <c r="E78" s="109" t="s">
        <v>203</v>
      </c>
    </row>
    <row r="79" spans="1:5">
      <c r="A79" s="164" t="s">
        <v>107</v>
      </c>
      <c r="B79" s="164"/>
      <c r="C79" s="164"/>
      <c r="D79" s="22">
        <v>3.5000000000000003E-2</v>
      </c>
      <c r="E79" s="109" t="s">
        <v>203</v>
      </c>
    </row>
    <row r="80" spans="1:5">
      <c r="A80" s="164" t="s">
        <v>109</v>
      </c>
      <c r="B80" s="164"/>
      <c r="C80" s="164"/>
      <c r="D80" s="22">
        <v>6.5000000000000002E-2</v>
      </c>
      <c r="E80" s="109" t="s">
        <v>203</v>
      </c>
    </row>
  </sheetData>
  <customSheetViews>
    <customSheetView guid="{6D27EB6A-3939-4201-8E4B-897AA8118F21}" scale="80" showPageBreaks="1" printArea="1" hiddenColumns="1" topLeftCell="A37">
      <selection activeCell="D50" sqref="D50"/>
      <colBreaks count="1" manualBreakCount="1">
        <brk id="9" max="111" man="1"/>
      </colBreaks>
      <pageMargins left="0.7" right="0.16" top="1" bottom="0.55000000000000004" header="0.5" footer="0.5"/>
      <pageSetup paperSize="9" scale="70" orientation="landscape" r:id="rId1"/>
      <headerFooter alignWithMargins="0"/>
    </customSheetView>
  </customSheetViews>
  <mergeCells count="71">
    <mergeCell ref="E14:E18"/>
    <mergeCell ref="A21:E21"/>
    <mergeCell ref="E38:E39"/>
    <mergeCell ref="A39:C39"/>
    <mergeCell ref="A40:C40"/>
    <mergeCell ref="A33:C33"/>
    <mergeCell ref="A16:C16"/>
    <mergeCell ref="A48:E48"/>
    <mergeCell ref="A38:C38"/>
    <mergeCell ref="A41:C41"/>
    <mergeCell ref="A37:E37"/>
    <mergeCell ref="A62:E62"/>
    <mergeCell ref="A43:C43"/>
    <mergeCell ref="A45:C45"/>
    <mergeCell ref="A56:C56"/>
    <mergeCell ref="A44:C44"/>
    <mergeCell ref="A52:C52"/>
    <mergeCell ref="A49:C49"/>
    <mergeCell ref="A50:C50"/>
    <mergeCell ref="A51:C51"/>
    <mergeCell ref="A53:C53"/>
    <mergeCell ref="A46:C46"/>
    <mergeCell ref="A57:C57"/>
    <mergeCell ref="A58:C58"/>
    <mergeCell ref="A59:C59"/>
    <mergeCell ref="A55:E55"/>
    <mergeCell ref="A80:C80"/>
    <mergeCell ref="A76:C76"/>
    <mergeCell ref="A77:C77"/>
    <mergeCell ref="A71:C71"/>
    <mergeCell ref="A72:C72"/>
    <mergeCell ref="A73:C73"/>
    <mergeCell ref="A78:C78"/>
    <mergeCell ref="A79:C79"/>
    <mergeCell ref="A75:E75"/>
    <mergeCell ref="A68:C68"/>
    <mergeCell ref="A70:C70"/>
    <mergeCell ref="A60:C60"/>
    <mergeCell ref="A69:C69"/>
    <mergeCell ref="A67:E67"/>
    <mergeCell ref="E63:E64"/>
    <mergeCell ref="A1:D1"/>
    <mergeCell ref="A63:C63"/>
    <mergeCell ref="A64:C64"/>
    <mergeCell ref="A9:C9"/>
    <mergeCell ref="A10:C10"/>
    <mergeCell ref="A42:C42"/>
    <mergeCell ref="A3:C3"/>
    <mergeCell ref="A4:C4"/>
    <mergeCell ref="A5:C5"/>
    <mergeCell ref="A6:C6"/>
    <mergeCell ref="A34:C34"/>
    <mergeCell ref="A13:C13"/>
    <mergeCell ref="A35:E35"/>
    <mergeCell ref="A36:C36"/>
    <mergeCell ref="E4:E6"/>
    <mergeCell ref="E9:E10"/>
    <mergeCell ref="E33:E34"/>
    <mergeCell ref="A12:E12"/>
    <mergeCell ref="A26:E26"/>
    <mergeCell ref="A31:E31"/>
    <mergeCell ref="A29:C29"/>
    <mergeCell ref="A32:C32"/>
    <mergeCell ref="A17:C17"/>
    <mergeCell ref="A18:C18"/>
    <mergeCell ref="A15:C15"/>
    <mergeCell ref="A22:C22"/>
    <mergeCell ref="A23:C23"/>
    <mergeCell ref="A14:C14"/>
    <mergeCell ref="A27:C27"/>
    <mergeCell ref="A28:C28"/>
  </mergeCells>
  <phoneticPr fontId="5" type="noConversion"/>
  <hyperlinks>
    <hyperlink ref="E36" r:id="rId2"/>
  </hyperlinks>
  <pageMargins left="0.7" right="0.16" top="1" bottom="0.55000000000000004" header="0.5" footer="0.5"/>
  <pageSetup paperSize="9" scale="70" orientation="landscape" r:id="rId3"/>
  <headerFooter alignWithMargins="0"/>
</worksheet>
</file>

<file path=xl/worksheets/sheet10.xml><?xml version="1.0" encoding="utf-8"?>
<worksheet xmlns="http://schemas.openxmlformats.org/spreadsheetml/2006/main" xmlns:r="http://schemas.openxmlformats.org/officeDocument/2006/relationships">
  <sheetPr codeName="Sheet8">
    <pageSetUpPr fitToPage="1"/>
  </sheetPr>
  <dimension ref="A1:AA50"/>
  <sheetViews>
    <sheetView workbookViewId="0">
      <pane xSplit="2" ySplit="6" topLeftCell="C7" activePane="bottomRight" state="frozen"/>
      <selection activeCell="F20" sqref="F20"/>
      <selection pane="topRight" activeCell="F20" sqref="F20"/>
      <selection pane="bottomLeft" activeCell="F20" sqref="F20"/>
      <selection pane="bottomRight" activeCell="A37" sqref="A37:E37"/>
    </sheetView>
  </sheetViews>
  <sheetFormatPr defaultRowHeight="14.25" customHeight="1"/>
  <cols>
    <col min="1" max="1" width="31.7109375" style="101" customWidth="1"/>
    <col min="2" max="2" width="12.42578125" style="25" customWidth="1"/>
    <col min="3" max="27" width="10.140625" style="25" bestFit="1" customWidth="1"/>
    <col min="28" max="256" width="9.140625" style="25"/>
    <col min="257" max="257" width="27.42578125" style="25" customWidth="1"/>
    <col min="258" max="258" width="12.42578125" style="25" customWidth="1"/>
    <col min="259" max="259" width="12.28515625" style="25" bestFit="1" customWidth="1"/>
    <col min="260" max="268" width="8.42578125" style="25" customWidth="1"/>
    <col min="269" max="512" width="9.140625" style="25"/>
    <col min="513" max="513" width="27.42578125" style="25" customWidth="1"/>
    <col min="514" max="514" width="12.42578125" style="25" customWidth="1"/>
    <col min="515" max="515" width="12.28515625" style="25" bestFit="1" customWidth="1"/>
    <col min="516" max="524" width="8.42578125" style="25" customWidth="1"/>
    <col min="525" max="768" width="9.140625" style="25"/>
    <col min="769" max="769" width="27.42578125" style="25" customWidth="1"/>
    <col min="770" max="770" width="12.42578125" style="25" customWidth="1"/>
    <col min="771" max="771" width="12.28515625" style="25" bestFit="1" customWidth="1"/>
    <col min="772" max="780" width="8.42578125" style="25" customWidth="1"/>
    <col min="781" max="1024" width="9.140625" style="25"/>
    <col min="1025" max="1025" width="27.42578125" style="25" customWidth="1"/>
    <col min="1026" max="1026" width="12.42578125" style="25" customWidth="1"/>
    <col min="1027" max="1027" width="12.28515625" style="25" bestFit="1" customWidth="1"/>
    <col min="1028" max="1036" width="8.42578125" style="25" customWidth="1"/>
    <col min="1037" max="1280" width="9.140625" style="25"/>
    <col min="1281" max="1281" width="27.42578125" style="25" customWidth="1"/>
    <col min="1282" max="1282" width="12.42578125" style="25" customWidth="1"/>
    <col min="1283" max="1283" width="12.28515625" style="25" bestFit="1" customWidth="1"/>
    <col min="1284" max="1292" width="8.42578125" style="25" customWidth="1"/>
    <col min="1293" max="1536" width="9.140625" style="25"/>
    <col min="1537" max="1537" width="27.42578125" style="25" customWidth="1"/>
    <col min="1538" max="1538" width="12.42578125" style="25" customWidth="1"/>
    <col min="1539" max="1539" width="12.28515625" style="25" bestFit="1" customWidth="1"/>
    <col min="1540" max="1548" width="8.42578125" style="25" customWidth="1"/>
    <col min="1549" max="1792" width="9.140625" style="25"/>
    <col min="1793" max="1793" width="27.42578125" style="25" customWidth="1"/>
    <col min="1794" max="1794" width="12.42578125" style="25" customWidth="1"/>
    <col min="1795" max="1795" width="12.28515625" style="25" bestFit="1" customWidth="1"/>
    <col min="1796" max="1804" width="8.42578125" style="25" customWidth="1"/>
    <col min="1805" max="2048" width="9.140625" style="25"/>
    <col min="2049" max="2049" width="27.42578125" style="25" customWidth="1"/>
    <col min="2050" max="2050" width="12.42578125" style="25" customWidth="1"/>
    <col min="2051" max="2051" width="12.28515625" style="25" bestFit="1" customWidth="1"/>
    <col min="2052" max="2060" width="8.42578125" style="25" customWidth="1"/>
    <col min="2061" max="2304" width="9.140625" style="25"/>
    <col min="2305" max="2305" width="27.42578125" style="25" customWidth="1"/>
    <col min="2306" max="2306" width="12.42578125" style="25" customWidth="1"/>
    <col min="2307" max="2307" width="12.28515625" style="25" bestFit="1" customWidth="1"/>
    <col min="2308" max="2316" width="8.42578125" style="25" customWidth="1"/>
    <col min="2317" max="2560" width="9.140625" style="25"/>
    <col min="2561" max="2561" width="27.42578125" style="25" customWidth="1"/>
    <col min="2562" max="2562" width="12.42578125" style="25" customWidth="1"/>
    <col min="2563" max="2563" width="12.28515625" style="25" bestFit="1" customWidth="1"/>
    <col min="2564" max="2572" width="8.42578125" style="25" customWidth="1"/>
    <col min="2573" max="2816" width="9.140625" style="25"/>
    <col min="2817" max="2817" width="27.42578125" style="25" customWidth="1"/>
    <col min="2818" max="2818" width="12.42578125" style="25" customWidth="1"/>
    <col min="2819" max="2819" width="12.28515625" style="25" bestFit="1" customWidth="1"/>
    <col min="2820" max="2828" width="8.42578125" style="25" customWidth="1"/>
    <col min="2829" max="3072" width="9.140625" style="25"/>
    <col min="3073" max="3073" width="27.42578125" style="25" customWidth="1"/>
    <col min="3074" max="3074" width="12.42578125" style="25" customWidth="1"/>
    <col min="3075" max="3075" width="12.28515625" style="25" bestFit="1" customWidth="1"/>
    <col min="3076" max="3084" width="8.42578125" style="25" customWidth="1"/>
    <col min="3085" max="3328" width="9.140625" style="25"/>
    <col min="3329" max="3329" width="27.42578125" style="25" customWidth="1"/>
    <col min="3330" max="3330" width="12.42578125" style="25" customWidth="1"/>
    <col min="3331" max="3331" width="12.28515625" style="25" bestFit="1" customWidth="1"/>
    <col min="3332" max="3340" width="8.42578125" style="25" customWidth="1"/>
    <col min="3341" max="3584" width="9.140625" style="25"/>
    <col min="3585" max="3585" width="27.42578125" style="25" customWidth="1"/>
    <col min="3586" max="3586" width="12.42578125" style="25" customWidth="1"/>
    <col min="3587" max="3587" width="12.28515625" style="25" bestFit="1" customWidth="1"/>
    <col min="3588" max="3596" width="8.42578125" style="25" customWidth="1"/>
    <col min="3597" max="3840" width="9.140625" style="25"/>
    <col min="3841" max="3841" width="27.42578125" style="25" customWidth="1"/>
    <col min="3842" max="3842" width="12.42578125" style="25" customWidth="1"/>
    <col min="3843" max="3843" width="12.28515625" style="25" bestFit="1" customWidth="1"/>
    <col min="3844" max="3852" width="8.42578125" style="25" customWidth="1"/>
    <col min="3853" max="4096" width="9.140625" style="25"/>
    <col min="4097" max="4097" width="27.42578125" style="25" customWidth="1"/>
    <col min="4098" max="4098" width="12.42578125" style="25" customWidth="1"/>
    <col min="4099" max="4099" width="12.28515625" style="25" bestFit="1" customWidth="1"/>
    <col min="4100" max="4108" width="8.42578125" style="25" customWidth="1"/>
    <col min="4109" max="4352" width="9.140625" style="25"/>
    <col min="4353" max="4353" width="27.42578125" style="25" customWidth="1"/>
    <col min="4354" max="4354" width="12.42578125" style="25" customWidth="1"/>
    <col min="4355" max="4355" width="12.28515625" style="25" bestFit="1" customWidth="1"/>
    <col min="4356" max="4364" width="8.42578125" style="25" customWidth="1"/>
    <col min="4365" max="4608" width="9.140625" style="25"/>
    <col min="4609" max="4609" width="27.42578125" style="25" customWidth="1"/>
    <col min="4610" max="4610" width="12.42578125" style="25" customWidth="1"/>
    <col min="4611" max="4611" width="12.28515625" style="25" bestFit="1" customWidth="1"/>
    <col min="4612" max="4620" width="8.42578125" style="25" customWidth="1"/>
    <col min="4621" max="4864" width="9.140625" style="25"/>
    <col min="4865" max="4865" width="27.42578125" style="25" customWidth="1"/>
    <col min="4866" max="4866" width="12.42578125" style="25" customWidth="1"/>
    <col min="4867" max="4867" width="12.28515625" style="25" bestFit="1" customWidth="1"/>
    <col min="4868" max="4876" width="8.42578125" style="25" customWidth="1"/>
    <col min="4877" max="5120" width="9.140625" style="25"/>
    <col min="5121" max="5121" width="27.42578125" style="25" customWidth="1"/>
    <col min="5122" max="5122" width="12.42578125" style="25" customWidth="1"/>
    <col min="5123" max="5123" width="12.28515625" style="25" bestFit="1" customWidth="1"/>
    <col min="5124" max="5132" width="8.42578125" style="25" customWidth="1"/>
    <col min="5133" max="5376" width="9.140625" style="25"/>
    <col min="5377" max="5377" width="27.42578125" style="25" customWidth="1"/>
    <col min="5378" max="5378" width="12.42578125" style="25" customWidth="1"/>
    <col min="5379" max="5379" width="12.28515625" style="25" bestFit="1" customWidth="1"/>
    <col min="5380" max="5388" width="8.42578125" style="25" customWidth="1"/>
    <col min="5389" max="5632" width="9.140625" style="25"/>
    <col min="5633" max="5633" width="27.42578125" style="25" customWidth="1"/>
    <col min="5634" max="5634" width="12.42578125" style="25" customWidth="1"/>
    <col min="5635" max="5635" width="12.28515625" style="25" bestFit="1" customWidth="1"/>
    <col min="5636" max="5644" width="8.42578125" style="25" customWidth="1"/>
    <col min="5645" max="5888" width="9.140625" style="25"/>
    <col min="5889" max="5889" width="27.42578125" style="25" customWidth="1"/>
    <col min="5890" max="5890" width="12.42578125" style="25" customWidth="1"/>
    <col min="5891" max="5891" width="12.28515625" style="25" bestFit="1" customWidth="1"/>
    <col min="5892" max="5900" width="8.42578125" style="25" customWidth="1"/>
    <col min="5901" max="6144" width="9.140625" style="25"/>
    <col min="6145" max="6145" width="27.42578125" style="25" customWidth="1"/>
    <col min="6146" max="6146" width="12.42578125" style="25" customWidth="1"/>
    <col min="6147" max="6147" width="12.28515625" style="25" bestFit="1" customWidth="1"/>
    <col min="6148" max="6156" width="8.42578125" style="25" customWidth="1"/>
    <col min="6157" max="6400" width="9.140625" style="25"/>
    <col min="6401" max="6401" width="27.42578125" style="25" customWidth="1"/>
    <col min="6402" max="6402" width="12.42578125" style="25" customWidth="1"/>
    <col min="6403" max="6403" width="12.28515625" style="25" bestFit="1" customWidth="1"/>
    <col min="6404" max="6412" width="8.42578125" style="25" customWidth="1"/>
    <col min="6413" max="6656" width="9.140625" style="25"/>
    <col min="6657" max="6657" width="27.42578125" style="25" customWidth="1"/>
    <col min="6658" max="6658" width="12.42578125" style="25" customWidth="1"/>
    <col min="6659" max="6659" width="12.28515625" style="25" bestFit="1" customWidth="1"/>
    <col min="6660" max="6668" width="8.42578125" style="25" customWidth="1"/>
    <col min="6669" max="6912" width="9.140625" style="25"/>
    <col min="6913" max="6913" width="27.42578125" style="25" customWidth="1"/>
    <col min="6914" max="6914" width="12.42578125" style="25" customWidth="1"/>
    <col min="6915" max="6915" width="12.28515625" style="25" bestFit="1" customWidth="1"/>
    <col min="6916" max="6924" width="8.42578125" style="25" customWidth="1"/>
    <col min="6925" max="7168" width="9.140625" style="25"/>
    <col min="7169" max="7169" width="27.42578125" style="25" customWidth="1"/>
    <col min="7170" max="7170" width="12.42578125" style="25" customWidth="1"/>
    <col min="7171" max="7171" width="12.28515625" style="25" bestFit="1" customWidth="1"/>
    <col min="7172" max="7180" width="8.42578125" style="25" customWidth="1"/>
    <col min="7181" max="7424" width="9.140625" style="25"/>
    <col min="7425" max="7425" width="27.42578125" style="25" customWidth="1"/>
    <col min="7426" max="7426" width="12.42578125" style="25" customWidth="1"/>
    <col min="7427" max="7427" width="12.28515625" style="25" bestFit="1" customWidth="1"/>
    <col min="7428" max="7436" width="8.42578125" style="25" customWidth="1"/>
    <col min="7437" max="7680" width="9.140625" style="25"/>
    <col min="7681" max="7681" width="27.42578125" style="25" customWidth="1"/>
    <col min="7682" max="7682" width="12.42578125" style="25" customWidth="1"/>
    <col min="7683" max="7683" width="12.28515625" style="25" bestFit="1" customWidth="1"/>
    <col min="7684" max="7692" width="8.42578125" style="25" customWidth="1"/>
    <col min="7693" max="7936" width="9.140625" style="25"/>
    <col min="7937" max="7937" width="27.42578125" style="25" customWidth="1"/>
    <col min="7938" max="7938" width="12.42578125" style="25" customWidth="1"/>
    <col min="7939" max="7939" width="12.28515625" style="25" bestFit="1" customWidth="1"/>
    <col min="7940" max="7948" width="8.42578125" style="25" customWidth="1"/>
    <col min="7949" max="8192" width="9.140625" style="25"/>
    <col min="8193" max="8193" width="27.42578125" style="25" customWidth="1"/>
    <col min="8194" max="8194" width="12.42578125" style="25" customWidth="1"/>
    <col min="8195" max="8195" width="12.28515625" style="25" bestFit="1" customWidth="1"/>
    <col min="8196" max="8204" width="8.42578125" style="25" customWidth="1"/>
    <col min="8205" max="8448" width="9.140625" style="25"/>
    <col min="8449" max="8449" width="27.42578125" style="25" customWidth="1"/>
    <col min="8450" max="8450" width="12.42578125" style="25" customWidth="1"/>
    <col min="8451" max="8451" width="12.28515625" style="25" bestFit="1" customWidth="1"/>
    <col min="8452" max="8460" width="8.42578125" style="25" customWidth="1"/>
    <col min="8461" max="8704" width="9.140625" style="25"/>
    <col min="8705" max="8705" width="27.42578125" style="25" customWidth="1"/>
    <col min="8706" max="8706" width="12.42578125" style="25" customWidth="1"/>
    <col min="8707" max="8707" width="12.28515625" style="25" bestFit="1" customWidth="1"/>
    <col min="8708" max="8716" width="8.42578125" style="25" customWidth="1"/>
    <col min="8717" max="8960" width="9.140625" style="25"/>
    <col min="8961" max="8961" width="27.42578125" style="25" customWidth="1"/>
    <col min="8962" max="8962" width="12.42578125" style="25" customWidth="1"/>
    <col min="8963" max="8963" width="12.28515625" style="25" bestFit="1" customWidth="1"/>
    <col min="8964" max="8972" width="8.42578125" style="25" customWidth="1"/>
    <col min="8973" max="9216" width="9.140625" style="25"/>
    <col min="9217" max="9217" width="27.42578125" style="25" customWidth="1"/>
    <col min="9218" max="9218" width="12.42578125" style="25" customWidth="1"/>
    <col min="9219" max="9219" width="12.28515625" style="25" bestFit="1" customWidth="1"/>
    <col min="9220" max="9228" width="8.42578125" style="25" customWidth="1"/>
    <col min="9229" max="9472" width="9.140625" style="25"/>
    <col min="9473" max="9473" width="27.42578125" style="25" customWidth="1"/>
    <col min="9474" max="9474" width="12.42578125" style="25" customWidth="1"/>
    <col min="9475" max="9475" width="12.28515625" style="25" bestFit="1" customWidth="1"/>
    <col min="9476" max="9484" width="8.42578125" style="25" customWidth="1"/>
    <col min="9485" max="9728" width="9.140625" style="25"/>
    <col min="9729" max="9729" width="27.42578125" style="25" customWidth="1"/>
    <col min="9730" max="9730" width="12.42578125" style="25" customWidth="1"/>
    <col min="9731" max="9731" width="12.28515625" style="25" bestFit="1" customWidth="1"/>
    <col min="9732" max="9740" width="8.42578125" style="25" customWidth="1"/>
    <col min="9741" max="9984" width="9.140625" style="25"/>
    <col min="9985" max="9985" width="27.42578125" style="25" customWidth="1"/>
    <col min="9986" max="9986" width="12.42578125" style="25" customWidth="1"/>
    <col min="9987" max="9987" width="12.28515625" style="25" bestFit="1" customWidth="1"/>
    <col min="9988" max="9996" width="8.42578125" style="25" customWidth="1"/>
    <col min="9997" max="10240" width="9.140625" style="25"/>
    <col min="10241" max="10241" width="27.42578125" style="25" customWidth="1"/>
    <col min="10242" max="10242" width="12.42578125" style="25" customWidth="1"/>
    <col min="10243" max="10243" width="12.28515625" style="25" bestFit="1" customWidth="1"/>
    <col min="10244" max="10252" width="8.42578125" style="25" customWidth="1"/>
    <col min="10253" max="10496" width="9.140625" style="25"/>
    <col min="10497" max="10497" width="27.42578125" style="25" customWidth="1"/>
    <col min="10498" max="10498" width="12.42578125" style="25" customWidth="1"/>
    <col min="10499" max="10499" width="12.28515625" style="25" bestFit="1" customWidth="1"/>
    <col min="10500" max="10508" width="8.42578125" style="25" customWidth="1"/>
    <col min="10509" max="10752" width="9.140625" style="25"/>
    <col min="10753" max="10753" width="27.42578125" style="25" customWidth="1"/>
    <col min="10754" max="10754" width="12.42578125" style="25" customWidth="1"/>
    <col min="10755" max="10755" width="12.28515625" style="25" bestFit="1" customWidth="1"/>
    <col min="10756" max="10764" width="8.42578125" style="25" customWidth="1"/>
    <col min="10765" max="11008" width="9.140625" style="25"/>
    <col min="11009" max="11009" width="27.42578125" style="25" customWidth="1"/>
    <col min="11010" max="11010" width="12.42578125" style="25" customWidth="1"/>
    <col min="11011" max="11011" width="12.28515625" style="25" bestFit="1" customWidth="1"/>
    <col min="11012" max="11020" width="8.42578125" style="25" customWidth="1"/>
    <col min="11021" max="11264" width="9.140625" style="25"/>
    <col min="11265" max="11265" width="27.42578125" style="25" customWidth="1"/>
    <col min="11266" max="11266" width="12.42578125" style="25" customWidth="1"/>
    <col min="11267" max="11267" width="12.28515625" style="25" bestFit="1" customWidth="1"/>
    <col min="11268" max="11276" width="8.42578125" style="25" customWidth="1"/>
    <col min="11277" max="11520" width="9.140625" style="25"/>
    <col min="11521" max="11521" width="27.42578125" style="25" customWidth="1"/>
    <col min="11522" max="11522" width="12.42578125" style="25" customWidth="1"/>
    <col min="11523" max="11523" width="12.28515625" style="25" bestFit="1" customWidth="1"/>
    <col min="11524" max="11532" width="8.42578125" style="25" customWidth="1"/>
    <col min="11533" max="11776" width="9.140625" style="25"/>
    <col min="11777" max="11777" width="27.42578125" style="25" customWidth="1"/>
    <col min="11778" max="11778" width="12.42578125" style="25" customWidth="1"/>
    <col min="11779" max="11779" width="12.28515625" style="25" bestFit="1" customWidth="1"/>
    <col min="11780" max="11788" width="8.42578125" style="25" customWidth="1"/>
    <col min="11789" max="12032" width="9.140625" style="25"/>
    <col min="12033" max="12033" width="27.42578125" style="25" customWidth="1"/>
    <col min="12034" max="12034" width="12.42578125" style="25" customWidth="1"/>
    <col min="12035" max="12035" width="12.28515625" style="25" bestFit="1" customWidth="1"/>
    <col min="12036" max="12044" width="8.42578125" style="25" customWidth="1"/>
    <col min="12045" max="12288" width="9.140625" style="25"/>
    <col min="12289" max="12289" width="27.42578125" style="25" customWidth="1"/>
    <col min="12290" max="12290" width="12.42578125" style="25" customWidth="1"/>
    <col min="12291" max="12291" width="12.28515625" style="25" bestFit="1" customWidth="1"/>
    <col min="12292" max="12300" width="8.42578125" style="25" customWidth="1"/>
    <col min="12301" max="12544" width="9.140625" style="25"/>
    <col min="12545" max="12545" width="27.42578125" style="25" customWidth="1"/>
    <col min="12546" max="12546" width="12.42578125" style="25" customWidth="1"/>
    <col min="12547" max="12547" width="12.28515625" style="25" bestFit="1" customWidth="1"/>
    <col min="12548" max="12556" width="8.42578125" style="25" customWidth="1"/>
    <col min="12557" max="12800" width="9.140625" style="25"/>
    <col min="12801" max="12801" width="27.42578125" style="25" customWidth="1"/>
    <col min="12802" max="12802" width="12.42578125" style="25" customWidth="1"/>
    <col min="12803" max="12803" width="12.28515625" style="25" bestFit="1" customWidth="1"/>
    <col min="12804" max="12812" width="8.42578125" style="25" customWidth="1"/>
    <col min="12813" max="13056" width="9.140625" style="25"/>
    <col min="13057" max="13057" width="27.42578125" style="25" customWidth="1"/>
    <col min="13058" max="13058" width="12.42578125" style="25" customWidth="1"/>
    <col min="13059" max="13059" width="12.28515625" style="25" bestFit="1" customWidth="1"/>
    <col min="13060" max="13068" width="8.42578125" style="25" customWidth="1"/>
    <col min="13069" max="13312" width="9.140625" style="25"/>
    <col min="13313" max="13313" width="27.42578125" style="25" customWidth="1"/>
    <col min="13314" max="13314" width="12.42578125" style="25" customWidth="1"/>
    <col min="13315" max="13315" width="12.28515625" style="25" bestFit="1" customWidth="1"/>
    <col min="13316" max="13324" width="8.42578125" style="25" customWidth="1"/>
    <col min="13325" max="13568" width="9.140625" style="25"/>
    <col min="13569" max="13569" width="27.42578125" style="25" customWidth="1"/>
    <col min="13570" max="13570" width="12.42578125" style="25" customWidth="1"/>
    <col min="13571" max="13571" width="12.28515625" style="25" bestFit="1" customWidth="1"/>
    <col min="13572" max="13580" width="8.42578125" style="25" customWidth="1"/>
    <col min="13581" max="13824" width="9.140625" style="25"/>
    <col min="13825" max="13825" width="27.42578125" style="25" customWidth="1"/>
    <col min="13826" max="13826" width="12.42578125" style="25" customWidth="1"/>
    <col min="13827" max="13827" width="12.28515625" style="25" bestFit="1" customWidth="1"/>
    <col min="13828" max="13836" width="8.42578125" style="25" customWidth="1"/>
    <col min="13837" max="14080" width="9.140625" style="25"/>
    <col min="14081" max="14081" width="27.42578125" style="25" customWidth="1"/>
    <col min="14082" max="14082" width="12.42578125" style="25" customWidth="1"/>
    <col min="14083" max="14083" width="12.28515625" style="25" bestFit="1" customWidth="1"/>
    <col min="14084" max="14092" width="8.42578125" style="25" customWidth="1"/>
    <col min="14093" max="14336" width="9.140625" style="25"/>
    <col min="14337" max="14337" width="27.42578125" style="25" customWidth="1"/>
    <col min="14338" max="14338" width="12.42578125" style="25" customWidth="1"/>
    <col min="14339" max="14339" width="12.28515625" style="25" bestFit="1" customWidth="1"/>
    <col min="14340" max="14348" width="8.42578125" style="25" customWidth="1"/>
    <col min="14349" max="14592" width="9.140625" style="25"/>
    <col min="14593" max="14593" width="27.42578125" style="25" customWidth="1"/>
    <col min="14594" max="14594" width="12.42578125" style="25" customWidth="1"/>
    <col min="14595" max="14595" width="12.28515625" style="25" bestFit="1" customWidth="1"/>
    <col min="14596" max="14604" width="8.42578125" style="25" customWidth="1"/>
    <col min="14605" max="14848" width="9.140625" style="25"/>
    <col min="14849" max="14849" width="27.42578125" style="25" customWidth="1"/>
    <col min="14850" max="14850" width="12.42578125" style="25" customWidth="1"/>
    <col min="14851" max="14851" width="12.28515625" style="25" bestFit="1" customWidth="1"/>
    <col min="14852" max="14860" width="8.42578125" style="25" customWidth="1"/>
    <col min="14861" max="15104" width="9.140625" style="25"/>
    <col min="15105" max="15105" width="27.42578125" style="25" customWidth="1"/>
    <col min="15106" max="15106" width="12.42578125" style="25" customWidth="1"/>
    <col min="15107" max="15107" width="12.28515625" style="25" bestFit="1" customWidth="1"/>
    <col min="15108" max="15116" width="8.42578125" style="25" customWidth="1"/>
    <col min="15117" max="15360" width="9.140625" style="25"/>
    <col min="15361" max="15361" width="27.42578125" style="25" customWidth="1"/>
    <col min="15362" max="15362" width="12.42578125" style="25" customWidth="1"/>
    <col min="15363" max="15363" width="12.28515625" style="25" bestFit="1" customWidth="1"/>
    <col min="15364" max="15372" width="8.42578125" style="25" customWidth="1"/>
    <col min="15373" max="15616" width="9.140625" style="25"/>
    <col min="15617" max="15617" width="27.42578125" style="25" customWidth="1"/>
    <col min="15618" max="15618" width="12.42578125" style="25" customWidth="1"/>
    <col min="15619" max="15619" width="12.28515625" style="25" bestFit="1" customWidth="1"/>
    <col min="15620" max="15628" width="8.42578125" style="25" customWidth="1"/>
    <col min="15629" max="15872" width="9.140625" style="25"/>
    <col min="15873" max="15873" width="27.42578125" style="25" customWidth="1"/>
    <col min="15874" max="15874" width="12.42578125" style="25" customWidth="1"/>
    <col min="15875" max="15875" width="12.28515625" style="25" bestFit="1" customWidth="1"/>
    <col min="15876" max="15884" width="8.42578125" style="25" customWidth="1"/>
    <col min="15885" max="16128" width="9.140625" style="25"/>
    <col min="16129" max="16129" width="27.42578125" style="25" customWidth="1"/>
    <col min="16130" max="16130" width="12.42578125" style="25" customWidth="1"/>
    <col min="16131" max="16131" width="12.28515625" style="25" bestFit="1" customWidth="1"/>
    <col min="16132" max="16140" width="8.42578125" style="25" customWidth="1"/>
    <col min="16141" max="16384" width="9.140625" style="25"/>
  </cols>
  <sheetData>
    <row r="1" spans="1:27" ht="15">
      <c r="A1" s="68" t="s">
        <v>129</v>
      </c>
      <c r="B1" s="77"/>
      <c r="C1" s="78"/>
    </row>
    <row r="2" spans="1:27" ht="15.75" customHeight="1">
      <c r="A2" s="79"/>
      <c r="B2" s="77"/>
      <c r="C2" s="78"/>
    </row>
    <row r="3" spans="1:27" ht="15">
      <c r="A3" s="79"/>
      <c r="B3" s="77"/>
      <c r="C3" s="78"/>
    </row>
    <row r="4" spans="1:27" ht="29.25">
      <c r="A4" s="80" t="s">
        <v>130</v>
      </c>
      <c r="B4" s="81"/>
      <c r="C4" s="82"/>
      <c r="D4" s="28"/>
      <c r="E4" s="28"/>
      <c r="F4" s="28"/>
      <c r="G4" s="28"/>
      <c r="H4" s="28"/>
      <c r="I4" s="28" t="s">
        <v>131</v>
      </c>
      <c r="J4" s="28"/>
      <c r="K4" s="28"/>
      <c r="L4" s="28"/>
      <c r="M4" s="28"/>
      <c r="N4" s="28"/>
      <c r="O4" s="28"/>
      <c r="P4" s="28"/>
      <c r="Q4" s="28"/>
      <c r="R4" s="28"/>
      <c r="S4" s="28"/>
      <c r="T4" s="28"/>
      <c r="U4" s="28"/>
      <c r="V4" s="28"/>
      <c r="W4" s="28"/>
      <c r="X4" s="28"/>
      <c r="Y4" s="28"/>
      <c r="Z4" s="28"/>
      <c r="AA4" s="28"/>
    </row>
    <row r="5" spans="1:27" ht="15">
      <c r="A5" s="83" t="s">
        <v>54</v>
      </c>
      <c r="B5" s="84">
        <v>0</v>
      </c>
      <c r="C5" s="28">
        <f>depre!B2</f>
        <v>1</v>
      </c>
      <c r="D5" s="28">
        <f>depre!C2</f>
        <v>2</v>
      </c>
      <c r="E5" s="28">
        <f>depre!D2</f>
        <v>3</v>
      </c>
      <c r="F5" s="28">
        <f>depre!E2</f>
        <v>4</v>
      </c>
      <c r="G5" s="28">
        <f>depre!F2</f>
        <v>5</v>
      </c>
      <c r="H5" s="28">
        <f>depre!G2</f>
        <v>6</v>
      </c>
      <c r="I5" s="28">
        <f>depre!H2</f>
        <v>7</v>
      </c>
      <c r="J5" s="28">
        <f>depre!I2</f>
        <v>8</v>
      </c>
      <c r="K5" s="28">
        <f>depre!J2</f>
        <v>9</v>
      </c>
      <c r="L5" s="28">
        <f>depre!K2</f>
        <v>10</v>
      </c>
      <c r="M5" s="28">
        <f>depre!L2</f>
        <v>11</v>
      </c>
      <c r="N5" s="28">
        <f>depre!M2</f>
        <v>12</v>
      </c>
      <c r="O5" s="28">
        <f>depre!N2</f>
        <v>13</v>
      </c>
      <c r="P5" s="28">
        <f>depre!O2</f>
        <v>14</v>
      </c>
      <c r="Q5" s="28">
        <f>depre!P2</f>
        <v>15</v>
      </c>
      <c r="R5" s="28">
        <f>depre!Q2</f>
        <v>16</v>
      </c>
      <c r="S5" s="28">
        <f>depre!R2</f>
        <v>17</v>
      </c>
      <c r="T5" s="28">
        <f>depre!S2</f>
        <v>18</v>
      </c>
      <c r="U5" s="28">
        <f>depre!T2</f>
        <v>19</v>
      </c>
      <c r="V5" s="28">
        <f>depre!U2</f>
        <v>20</v>
      </c>
      <c r="W5" s="28">
        <f>depre!V2</f>
        <v>21</v>
      </c>
      <c r="X5" s="28">
        <f>depre!W2</f>
        <v>22</v>
      </c>
      <c r="Y5" s="28">
        <f>depre!X2</f>
        <v>23</v>
      </c>
      <c r="Z5" s="28">
        <f>depre!Y2</f>
        <v>24</v>
      </c>
      <c r="AA5" s="28">
        <f>depre!Z2</f>
        <v>25</v>
      </c>
    </row>
    <row r="6" spans="1:27" ht="15">
      <c r="A6" s="85" t="s">
        <v>132</v>
      </c>
      <c r="B6" s="84"/>
      <c r="C6" s="29">
        <f>depre!B5</f>
        <v>41729</v>
      </c>
      <c r="D6" s="29">
        <f>depre!C5</f>
        <v>42094</v>
      </c>
      <c r="E6" s="29">
        <f>depre!D5</f>
        <v>42460</v>
      </c>
      <c r="F6" s="29">
        <f>depre!E5</f>
        <v>42825</v>
      </c>
      <c r="G6" s="29">
        <f>depre!F5</f>
        <v>43190</v>
      </c>
      <c r="H6" s="29">
        <f>depre!G5</f>
        <v>43555</v>
      </c>
      <c r="I6" s="29">
        <f>depre!H5</f>
        <v>43921</v>
      </c>
      <c r="J6" s="29">
        <f>depre!I5</f>
        <v>44286</v>
      </c>
      <c r="K6" s="29">
        <f>depre!J5</f>
        <v>44651</v>
      </c>
      <c r="L6" s="29">
        <f>depre!K5</f>
        <v>45016</v>
      </c>
      <c r="M6" s="29">
        <f>depre!L5</f>
        <v>45382</v>
      </c>
      <c r="N6" s="29">
        <f>depre!M5</f>
        <v>45747</v>
      </c>
      <c r="O6" s="29">
        <f>depre!N5</f>
        <v>46112</v>
      </c>
      <c r="P6" s="29">
        <f>depre!O5</f>
        <v>46477</v>
      </c>
      <c r="Q6" s="29">
        <f>depre!P5</f>
        <v>46843</v>
      </c>
      <c r="R6" s="29">
        <f>depre!Q5</f>
        <v>47208</v>
      </c>
      <c r="S6" s="29">
        <f>depre!R5</f>
        <v>47573</v>
      </c>
      <c r="T6" s="29">
        <f>depre!S5</f>
        <v>47938</v>
      </c>
      <c r="U6" s="29">
        <f>depre!T5</f>
        <v>48304</v>
      </c>
      <c r="V6" s="29">
        <f>depre!U5</f>
        <v>48669</v>
      </c>
      <c r="W6" s="29">
        <f>depre!V5</f>
        <v>49034</v>
      </c>
      <c r="X6" s="29">
        <f>depre!W5</f>
        <v>49399</v>
      </c>
      <c r="Y6" s="29">
        <f>depre!X5</f>
        <v>49765</v>
      </c>
      <c r="Z6" s="29">
        <f>depre!Y5</f>
        <v>50130</v>
      </c>
      <c r="AA6" s="29">
        <f>depre!Z5</f>
        <v>50495</v>
      </c>
    </row>
    <row r="7" spans="1:27" ht="15">
      <c r="A7" s="85" t="s">
        <v>2</v>
      </c>
      <c r="B7" s="28"/>
      <c r="C7" s="28">
        <f>depre!B4</f>
        <v>364</v>
      </c>
      <c r="D7" s="28">
        <f>depre!C4</f>
        <v>365</v>
      </c>
      <c r="E7" s="28">
        <f>depre!D4</f>
        <v>366</v>
      </c>
      <c r="F7" s="28">
        <f>depre!E4</f>
        <v>365</v>
      </c>
      <c r="G7" s="28">
        <f>depre!F4</f>
        <v>365</v>
      </c>
      <c r="H7" s="28">
        <f>depre!G4</f>
        <v>365</v>
      </c>
      <c r="I7" s="28">
        <f>depre!H4</f>
        <v>366</v>
      </c>
      <c r="J7" s="28">
        <f>depre!I4</f>
        <v>365</v>
      </c>
      <c r="K7" s="28">
        <f>depre!J4</f>
        <v>365</v>
      </c>
      <c r="L7" s="28">
        <f>depre!K4</f>
        <v>365</v>
      </c>
      <c r="M7" s="28">
        <f>depre!L4</f>
        <v>366</v>
      </c>
      <c r="N7" s="28">
        <f>depre!M4</f>
        <v>365</v>
      </c>
      <c r="O7" s="28">
        <f>depre!N4</f>
        <v>365</v>
      </c>
      <c r="P7" s="28">
        <f>depre!O4</f>
        <v>365</v>
      </c>
      <c r="Q7" s="28">
        <f>depre!P4</f>
        <v>366</v>
      </c>
      <c r="R7" s="28">
        <f>depre!Q4</f>
        <v>365</v>
      </c>
      <c r="S7" s="28">
        <f>depre!R4</f>
        <v>365</v>
      </c>
      <c r="T7" s="28">
        <f>depre!S4</f>
        <v>365</v>
      </c>
      <c r="U7" s="28">
        <f>depre!T4</f>
        <v>366</v>
      </c>
      <c r="V7" s="28">
        <f>depre!U4</f>
        <v>365</v>
      </c>
      <c r="W7" s="28">
        <f>depre!V4</f>
        <v>365</v>
      </c>
      <c r="X7" s="28">
        <f>depre!W4</f>
        <v>365</v>
      </c>
      <c r="Y7" s="28">
        <f>depre!X4</f>
        <v>366</v>
      </c>
      <c r="Z7" s="28">
        <f>depre!Y4</f>
        <v>365</v>
      </c>
      <c r="AA7" s="28">
        <f>depre!Z4</f>
        <v>365</v>
      </c>
    </row>
    <row r="8" spans="1:27" ht="19.5" customHeight="1">
      <c r="A8" s="83" t="s">
        <v>133</v>
      </c>
      <c r="B8" s="28"/>
      <c r="C8" s="38">
        <f>fuel!B71</f>
        <v>4484.3198400000001</v>
      </c>
      <c r="D8" s="38">
        <f>fuel!C71</f>
        <v>4496.6394</v>
      </c>
      <c r="E8" s="38">
        <f>fuel!D71</f>
        <v>4508.9589599999999</v>
      </c>
      <c r="F8" s="38">
        <f>fuel!E71</f>
        <v>4496.6394</v>
      </c>
      <c r="G8" s="38">
        <f>fuel!F71</f>
        <v>4496.6394</v>
      </c>
      <c r="H8" s="38">
        <f>fuel!G71</f>
        <v>4496.6394</v>
      </c>
      <c r="I8" s="38">
        <f>fuel!H71</f>
        <v>4508.9589599999999</v>
      </c>
      <c r="J8" s="38">
        <f>fuel!I71</f>
        <v>4496.6394</v>
      </c>
      <c r="K8" s="38">
        <f>fuel!J71</f>
        <v>4496.6394</v>
      </c>
      <c r="L8" s="38">
        <f>fuel!K71</f>
        <v>4496.6394</v>
      </c>
      <c r="M8" s="38">
        <f>fuel!L71</f>
        <v>4508.9589599999999</v>
      </c>
      <c r="N8" s="38">
        <f>fuel!M71</f>
        <v>4496.6394</v>
      </c>
      <c r="O8" s="38">
        <f>fuel!N71</f>
        <v>4496.6394</v>
      </c>
      <c r="P8" s="38">
        <f>fuel!O71</f>
        <v>4496.6394</v>
      </c>
      <c r="Q8" s="38">
        <f>fuel!P71</f>
        <v>4508.9589599999999</v>
      </c>
      <c r="R8" s="38">
        <f>fuel!Q71</f>
        <v>4496.6394</v>
      </c>
      <c r="S8" s="38">
        <f>fuel!R71</f>
        <v>4496.6394</v>
      </c>
      <c r="T8" s="38">
        <f>fuel!S71</f>
        <v>4496.6394</v>
      </c>
      <c r="U8" s="38">
        <f>fuel!T71</f>
        <v>4508.9589599999999</v>
      </c>
      <c r="V8" s="38">
        <f>fuel!U71</f>
        <v>4496.6394</v>
      </c>
      <c r="W8" s="38">
        <f>fuel!V71</f>
        <v>4496.6394</v>
      </c>
      <c r="X8" s="38">
        <f>fuel!W71</f>
        <v>4496.6394</v>
      </c>
      <c r="Y8" s="38">
        <f>fuel!X71</f>
        <v>4508.9589599999999</v>
      </c>
      <c r="Z8" s="38">
        <f>fuel!Y71</f>
        <v>4496.6394</v>
      </c>
      <c r="AA8" s="38">
        <f>fuel!Z71</f>
        <v>4496.6394</v>
      </c>
    </row>
    <row r="9" spans="1:27" ht="15">
      <c r="A9" s="83"/>
      <c r="B9" s="28"/>
      <c r="C9" s="38"/>
      <c r="D9" s="38"/>
      <c r="E9" s="38"/>
      <c r="F9" s="38"/>
      <c r="G9" s="38"/>
      <c r="H9" s="38"/>
      <c r="I9" s="38"/>
      <c r="J9" s="38"/>
      <c r="K9" s="38"/>
      <c r="L9" s="38"/>
      <c r="M9" s="28"/>
      <c r="N9" s="28"/>
      <c r="O9" s="28"/>
      <c r="P9" s="28"/>
      <c r="Q9" s="28"/>
      <c r="R9" s="28"/>
      <c r="S9" s="28"/>
      <c r="T9" s="28"/>
      <c r="U9" s="28"/>
      <c r="V9" s="28"/>
      <c r="W9" s="28"/>
      <c r="X9" s="28"/>
      <c r="Y9" s="28"/>
      <c r="Z9" s="28"/>
      <c r="AA9" s="28"/>
    </row>
    <row r="10" spans="1:27" ht="15">
      <c r="A10" s="86" t="s">
        <v>260</v>
      </c>
      <c r="B10" s="87"/>
      <c r="C10" s="87">
        <f ca="1">'fixed cost'!B24</f>
        <v>2.5405807025821918</v>
      </c>
      <c r="D10" s="87">
        <f ca="1">'fixed cost'!C24</f>
        <v>2.5042906006952474</v>
      </c>
      <c r="E10" s="87">
        <f ca="1">'fixed cost'!D24</f>
        <v>2.4656574966379408</v>
      </c>
      <c r="F10" s="87">
        <f ca="1">'fixed cost'!E24</f>
        <v>2.4334313318285385</v>
      </c>
      <c r="G10" s="87">
        <f ca="1">'fixed cost'!F24</f>
        <v>2.3992198707479515</v>
      </c>
      <c r="H10" s="87">
        <f ca="1">'fixed cost'!G24</f>
        <v>2.3658827469731865</v>
      </c>
      <c r="I10" s="87">
        <f ca="1">'fixed cost'!H24</f>
        <v>2.3304836931235</v>
      </c>
      <c r="J10" s="87">
        <f ca="1">'fixed cost'!I24</f>
        <v>2.3020344204084644</v>
      </c>
      <c r="K10" s="87">
        <f ca="1">'fixed cost'!J24</f>
        <v>2.2716319875131754</v>
      </c>
      <c r="L10" s="87">
        <f ca="1">'fixed cost'!K24</f>
        <v>2.2423217683359078</v>
      </c>
      <c r="M10" s="87">
        <f ca="1">'fixed cost'!L24</f>
        <v>2.210987754936049</v>
      </c>
      <c r="N10" s="87">
        <f ca="1">'fixed cost'!M24</f>
        <v>2.187253899391961</v>
      </c>
      <c r="O10" s="87">
        <f ca="1">'fixed cost'!N24</f>
        <v>1.9244457691034598</v>
      </c>
      <c r="P10" s="87">
        <f ca="1">'fixed cost'!O24</f>
        <v>1.9304421626335639</v>
      </c>
      <c r="Q10" s="87">
        <f ca="1">'fixed cost'!P24</f>
        <v>1.9350943897693638</v>
      </c>
      <c r="R10" s="87">
        <f ca="1">'fixed cost'!Q24</f>
        <v>1.9541253794040918</v>
      </c>
      <c r="S10" s="87">
        <f ca="1">'fixed cost'!R24</f>
        <v>1.9815624118672288</v>
      </c>
      <c r="T10" s="87">
        <f ca="1">'fixed cost'!S24</f>
        <v>2.1257377437624876</v>
      </c>
      <c r="U10" s="87">
        <f ca="1">'fixed cost'!T24</f>
        <v>2.1556335989563342</v>
      </c>
      <c r="V10" s="87">
        <f ca="1">'fixed cost'!U24</f>
        <v>2.1942486414978717</v>
      </c>
      <c r="W10" s="87">
        <f ca="1">'fixed cost'!V24</f>
        <v>2.2315153608054485</v>
      </c>
      <c r="X10" s="87">
        <f ca="1">'fixed cost'!W24</f>
        <v>2.270866255048452</v>
      </c>
      <c r="Y10" s="87">
        <f ca="1">'fixed cost'!X24</f>
        <v>2.3086635686325532</v>
      </c>
      <c r="Z10" s="87">
        <f ca="1">'fixed cost'!Y24</f>
        <v>2.3564494068163775</v>
      </c>
      <c r="AA10" s="87">
        <f ca="1">'fixed cost'!Z24</f>
        <v>1.621742640940095</v>
      </c>
    </row>
    <row r="11" spans="1:27" ht="15">
      <c r="A11" s="83"/>
      <c r="B11" s="28"/>
      <c r="C11" s="30"/>
      <c r="D11" s="30"/>
      <c r="E11" s="30"/>
      <c r="F11" s="30"/>
      <c r="G11" s="30"/>
      <c r="H11" s="30"/>
      <c r="I11" s="30"/>
      <c r="J11" s="30"/>
      <c r="K11" s="30"/>
      <c r="L11" s="30"/>
      <c r="M11" s="28"/>
      <c r="N11" s="28"/>
      <c r="O11" s="28"/>
      <c r="P11" s="28"/>
      <c r="Q11" s="28"/>
      <c r="R11" s="28"/>
      <c r="S11" s="28"/>
      <c r="T11" s="28"/>
      <c r="U11" s="28"/>
      <c r="V11" s="28"/>
      <c r="W11" s="28"/>
      <c r="X11" s="28"/>
      <c r="Y11" s="28"/>
      <c r="Z11" s="28"/>
      <c r="AA11" s="28"/>
    </row>
    <row r="12" spans="1:27" ht="15">
      <c r="A12" s="83" t="s">
        <v>261</v>
      </c>
      <c r="B12" s="28"/>
      <c r="C12" s="44">
        <f ca="1">(C8*C10)</f>
        <v>11392.776449710462</v>
      </c>
      <c r="D12" s="44">
        <f t="shared" ref="D12:AA12" ca="1" si="0">(D8*D10)</f>
        <v>11260.891784135918</v>
      </c>
      <c r="E12" s="44">
        <f t="shared" ca="1" si="0"/>
        <v>11117.548461756813</v>
      </c>
      <c r="F12" s="44">
        <f t="shared" ca="1" si="0"/>
        <v>10942.263203894681</v>
      </c>
      <c r="G12" s="44">
        <f t="shared" ca="1" si="0"/>
        <v>10788.426600068145</v>
      </c>
      <c r="H12" s="44">
        <f t="shared" ca="1" si="0"/>
        <v>10638.521575819861</v>
      </c>
      <c r="I12" s="44">
        <f t="shared" ca="1" si="0"/>
        <v>10508.055329243096</v>
      </c>
      <c r="J12" s="44">
        <f t="shared" ca="1" si="0"/>
        <v>10351.418674964865</v>
      </c>
      <c r="K12" s="44">
        <f t="shared" ca="1" si="0"/>
        <v>10214.709897352053</v>
      </c>
      <c r="L12" s="44">
        <f t="shared" ca="1" si="0"/>
        <v>10082.912410976916</v>
      </c>
      <c r="M12" s="44">
        <f t="shared" ca="1" si="0"/>
        <v>9969.2530480691821</v>
      </c>
      <c r="N12" s="44">
        <f t="shared" ca="1" si="0"/>
        <v>9835.2920618095286</v>
      </c>
      <c r="O12" s="44">
        <f t="shared" ca="1" si="0"/>
        <v>8653.5386685139201</v>
      </c>
      <c r="P12" s="44">
        <f t="shared" ca="1" si="0"/>
        <v>8680.5022879192911</v>
      </c>
      <c r="Q12" s="44">
        <f t="shared" ca="1" si="0"/>
        <v>8725.2611871963054</v>
      </c>
      <c r="R12" s="44">
        <f t="shared" ca="1" si="0"/>
        <v>8786.9971735683885</v>
      </c>
      <c r="S12" s="44">
        <f t="shared" ca="1" si="0"/>
        <v>8910.3716147612085</v>
      </c>
      <c r="T12" s="44">
        <f t="shared" ca="1" si="0"/>
        <v>9558.676092669506</v>
      </c>
      <c r="U12" s="44">
        <f t="shared" ca="1" si="0"/>
        <v>9719.6634304912095</v>
      </c>
      <c r="V12" s="44">
        <f t="shared" ca="1" si="0"/>
        <v>9866.7448947558041</v>
      </c>
      <c r="W12" s="44">
        <f t="shared" ca="1" si="0"/>
        <v>10034.319893102997</v>
      </c>
      <c r="X12" s="44">
        <f t="shared" ca="1" si="0"/>
        <v>10211.266674581319</v>
      </c>
      <c r="Y12" s="44">
        <f t="shared" ca="1" si="0"/>
        <v>10409.669283411326</v>
      </c>
      <c r="Z12" s="44">
        <f t="shared" ca="1" si="0"/>
        <v>10596.103246797151</v>
      </c>
      <c r="AA12" s="44">
        <f t="shared" ca="1" si="0"/>
        <v>7292.3918559112844</v>
      </c>
    </row>
    <row r="13" spans="1:27" ht="15">
      <c r="A13" s="83" t="s">
        <v>262</v>
      </c>
      <c r="B13" s="28"/>
      <c r="C13" s="43">
        <v>0</v>
      </c>
      <c r="D13" s="43">
        <v>0</v>
      </c>
      <c r="E13" s="43">
        <v>0</v>
      </c>
      <c r="F13" s="43">
        <v>0</v>
      </c>
      <c r="G13" s="43">
        <v>0</v>
      </c>
      <c r="H13" s="43">
        <v>0</v>
      </c>
      <c r="I13" s="43">
        <v>0</v>
      </c>
      <c r="J13" s="43">
        <v>0</v>
      </c>
      <c r="K13" s="43">
        <v>0</v>
      </c>
      <c r="L13" s="43">
        <v>0</v>
      </c>
      <c r="M13" s="43">
        <v>0</v>
      </c>
      <c r="N13" s="43">
        <v>0</v>
      </c>
      <c r="O13" s="43">
        <v>0</v>
      </c>
      <c r="P13" s="43">
        <v>0</v>
      </c>
      <c r="Q13" s="43">
        <v>0</v>
      </c>
      <c r="R13" s="43">
        <v>0</v>
      </c>
      <c r="S13" s="43">
        <v>0</v>
      </c>
      <c r="T13" s="43">
        <v>0</v>
      </c>
      <c r="U13" s="43">
        <v>0</v>
      </c>
      <c r="V13" s="43">
        <v>0</v>
      </c>
      <c r="W13" s="43">
        <v>0</v>
      </c>
      <c r="X13" s="43">
        <v>0</v>
      </c>
      <c r="Y13" s="43">
        <v>0</v>
      </c>
      <c r="Z13" s="43">
        <v>0</v>
      </c>
      <c r="AA13" s="47">
        <f>Assumption!$D$10*Assumption!$D$36</f>
        <v>3444</v>
      </c>
    </row>
    <row r="14" spans="1:27" ht="15">
      <c r="A14" s="88" t="s">
        <v>263</v>
      </c>
      <c r="B14" s="66"/>
      <c r="C14" s="89">
        <f ca="1">C12+C13</f>
        <v>11392.776449710462</v>
      </c>
      <c r="D14" s="89">
        <f t="shared" ref="D14:AA14" ca="1" si="1">D12+D13</f>
        <v>11260.891784135918</v>
      </c>
      <c r="E14" s="89">
        <f t="shared" ca="1" si="1"/>
        <v>11117.548461756813</v>
      </c>
      <c r="F14" s="89">
        <f t="shared" ca="1" si="1"/>
        <v>10942.263203894681</v>
      </c>
      <c r="G14" s="89">
        <f t="shared" ca="1" si="1"/>
        <v>10788.426600068145</v>
      </c>
      <c r="H14" s="89">
        <f t="shared" ca="1" si="1"/>
        <v>10638.521575819861</v>
      </c>
      <c r="I14" s="89">
        <f t="shared" ca="1" si="1"/>
        <v>10508.055329243096</v>
      </c>
      <c r="J14" s="89">
        <f t="shared" ca="1" si="1"/>
        <v>10351.418674964865</v>
      </c>
      <c r="K14" s="89">
        <f t="shared" ca="1" si="1"/>
        <v>10214.709897352053</v>
      </c>
      <c r="L14" s="89">
        <f t="shared" ca="1" si="1"/>
        <v>10082.912410976916</v>
      </c>
      <c r="M14" s="89">
        <f t="shared" ca="1" si="1"/>
        <v>9969.2530480691821</v>
      </c>
      <c r="N14" s="89">
        <f t="shared" ca="1" si="1"/>
        <v>9835.2920618095286</v>
      </c>
      <c r="O14" s="89">
        <f t="shared" ca="1" si="1"/>
        <v>8653.5386685139201</v>
      </c>
      <c r="P14" s="89">
        <f t="shared" ca="1" si="1"/>
        <v>8680.5022879192911</v>
      </c>
      <c r="Q14" s="89">
        <f t="shared" ca="1" si="1"/>
        <v>8725.2611871963054</v>
      </c>
      <c r="R14" s="89">
        <f t="shared" ca="1" si="1"/>
        <v>8786.9971735683885</v>
      </c>
      <c r="S14" s="89">
        <f t="shared" ca="1" si="1"/>
        <v>8910.3716147612085</v>
      </c>
      <c r="T14" s="89">
        <f t="shared" ca="1" si="1"/>
        <v>9558.676092669506</v>
      </c>
      <c r="U14" s="89">
        <f t="shared" ca="1" si="1"/>
        <v>9719.6634304912095</v>
      </c>
      <c r="V14" s="89">
        <f t="shared" ca="1" si="1"/>
        <v>9866.7448947558041</v>
      </c>
      <c r="W14" s="89">
        <f t="shared" ca="1" si="1"/>
        <v>10034.319893102997</v>
      </c>
      <c r="X14" s="89">
        <f t="shared" ca="1" si="1"/>
        <v>10211.266674581319</v>
      </c>
      <c r="Y14" s="89">
        <f t="shared" ca="1" si="1"/>
        <v>10409.669283411326</v>
      </c>
      <c r="Z14" s="89">
        <f t="shared" ca="1" si="1"/>
        <v>10596.103246797151</v>
      </c>
      <c r="AA14" s="89">
        <f t="shared" ca="1" si="1"/>
        <v>10736.391855911284</v>
      </c>
    </row>
    <row r="15" spans="1:27" ht="15">
      <c r="A15" s="83"/>
      <c r="B15" s="28"/>
      <c r="C15" s="28"/>
      <c r="D15" s="28"/>
      <c r="E15" s="28"/>
      <c r="F15" s="28"/>
      <c r="G15" s="28"/>
      <c r="H15" s="28"/>
      <c r="I15" s="28"/>
      <c r="J15" s="28"/>
      <c r="K15" s="28"/>
      <c r="L15" s="28"/>
      <c r="M15" s="28"/>
      <c r="N15" s="28"/>
      <c r="O15" s="28"/>
      <c r="P15" s="28"/>
      <c r="Q15" s="28"/>
      <c r="R15" s="28"/>
      <c r="S15" s="28"/>
      <c r="T15" s="28"/>
      <c r="U15" s="28"/>
      <c r="V15" s="28"/>
      <c r="W15" s="28"/>
      <c r="X15" s="28"/>
      <c r="Y15" s="28"/>
      <c r="Z15" s="28"/>
      <c r="AA15" s="28"/>
    </row>
    <row r="16" spans="1:27" ht="15">
      <c r="A16" s="83"/>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row>
    <row r="17" spans="1:27" ht="15">
      <c r="A17" s="88" t="s">
        <v>134</v>
      </c>
      <c r="B17" s="66"/>
      <c r="C17" s="28"/>
      <c r="D17" s="28"/>
      <c r="E17" s="28"/>
      <c r="F17" s="28"/>
      <c r="G17" s="28"/>
      <c r="H17" s="28"/>
      <c r="I17" s="28"/>
      <c r="J17" s="28"/>
      <c r="K17" s="28"/>
      <c r="L17" s="28"/>
      <c r="M17" s="28"/>
      <c r="N17" s="28"/>
      <c r="O17" s="28"/>
      <c r="P17" s="28"/>
      <c r="Q17" s="28"/>
      <c r="R17" s="28"/>
      <c r="S17" s="28"/>
      <c r="T17" s="28"/>
      <c r="U17" s="28"/>
      <c r="V17" s="28"/>
      <c r="W17" s="28"/>
      <c r="X17" s="28"/>
      <c r="Y17" s="28"/>
      <c r="Z17" s="28"/>
      <c r="AA17" s="28"/>
    </row>
    <row r="18" spans="1:27" ht="15">
      <c r="A18" s="88"/>
      <c r="B18" s="66"/>
      <c r="C18" s="28"/>
      <c r="D18" s="28"/>
      <c r="E18" s="28"/>
      <c r="F18" s="28"/>
      <c r="G18" s="28"/>
      <c r="H18" s="28"/>
      <c r="I18" s="28"/>
      <c r="J18" s="28"/>
      <c r="K18" s="28"/>
      <c r="L18" s="28"/>
      <c r="M18" s="28"/>
      <c r="N18" s="28"/>
      <c r="O18" s="28"/>
      <c r="P18" s="28"/>
      <c r="Q18" s="28"/>
      <c r="R18" s="28"/>
      <c r="S18" s="28"/>
      <c r="T18" s="28"/>
      <c r="U18" s="28"/>
      <c r="V18" s="28"/>
      <c r="W18" s="28"/>
      <c r="X18" s="28"/>
      <c r="Y18" s="28"/>
      <c r="Z18" s="28"/>
      <c r="AA18" s="28"/>
    </row>
    <row r="19" spans="1:27" ht="15">
      <c r="A19" s="83" t="s">
        <v>135</v>
      </c>
      <c r="B19" s="28"/>
      <c r="C19" s="30">
        <f>'fixed cost'!B11</f>
        <v>962.2763835616438</v>
      </c>
      <c r="D19" s="30">
        <f>'fixed cost'!C11</f>
        <v>1020.1134239999999</v>
      </c>
      <c r="E19" s="30">
        <f>'fixed cost'!D11</f>
        <v>1078.4639118527998</v>
      </c>
      <c r="F19" s="30">
        <f>'fixed cost'!E11</f>
        <v>1140.1520476107798</v>
      </c>
      <c r="G19" s="30">
        <f>'fixed cost'!F11</f>
        <v>1205.3687447341163</v>
      </c>
      <c r="H19" s="30">
        <f>'fixed cost'!G11</f>
        <v>1274.3158369329076</v>
      </c>
      <c r="I19" s="30">
        <f>'fixed cost'!H11</f>
        <v>1347.2067028054696</v>
      </c>
      <c r="J19" s="30">
        <f>'fixed cost'!I11</f>
        <v>1424.2669262059424</v>
      </c>
      <c r="K19" s="30">
        <f>'fixed cost'!J11</f>
        <v>1505.7349943849224</v>
      </c>
      <c r="L19" s="30">
        <f>'fixed cost'!K11</f>
        <v>1591.8630360637396</v>
      </c>
      <c r="M19" s="30">
        <f>'fixed cost'!L11</f>
        <v>1682.9176017265854</v>
      </c>
      <c r="N19" s="30">
        <f>'fixed cost'!M11</f>
        <v>1779.1804885453462</v>
      </c>
      <c r="O19" s="30">
        <f>'fixed cost'!N11</f>
        <v>1880.9496124901398</v>
      </c>
      <c r="P19" s="30">
        <f>'fixed cost'!O11</f>
        <v>1988.5399303245756</v>
      </c>
      <c r="Q19" s="30">
        <f>'fixed cost'!P11</f>
        <v>2102.2844143391412</v>
      </c>
      <c r="R19" s="30">
        <f>'fixed cost'!Q11</f>
        <v>2222.5350828393398</v>
      </c>
      <c r="S19" s="30">
        <f>'fixed cost'!R11</f>
        <v>2349.66408957775</v>
      </c>
      <c r="T19" s="30">
        <f>'fixed cost'!S11</f>
        <v>2484.0648755015968</v>
      </c>
      <c r="U19" s="30">
        <f>'fixed cost'!T11</f>
        <v>2626.1533863802883</v>
      </c>
      <c r="V19" s="30">
        <f>'fixed cost'!U11</f>
        <v>2776.3693600812408</v>
      </c>
      <c r="W19" s="30">
        <f>'fixed cost'!V11</f>
        <v>2935.177687477887</v>
      </c>
      <c r="X19" s="30">
        <f>'fixed cost'!W11</f>
        <v>3103.069851201622</v>
      </c>
      <c r="Y19" s="30">
        <f>'fixed cost'!X11</f>
        <v>3280.5654466903547</v>
      </c>
      <c r="Z19" s="30">
        <f>'fixed cost'!Y11</f>
        <v>3468.2137902410427</v>
      </c>
      <c r="AA19" s="30">
        <f>'fixed cost'!Z11</f>
        <v>3666.5956190428301</v>
      </c>
    </row>
    <row r="20" spans="1:27" ht="15">
      <c r="A20" s="83" t="s">
        <v>136</v>
      </c>
      <c r="B20" s="28"/>
      <c r="C20" s="30">
        <f>fuel!B27</f>
        <v>3591.8638833413534</v>
      </c>
      <c r="D20" s="30">
        <f>fuel!C27</f>
        <v>3601.7316412626219</v>
      </c>
      <c r="E20" s="30">
        <f>fuel!D27</f>
        <v>3611.5993991838895</v>
      </c>
      <c r="F20" s="30">
        <f>fuel!E27</f>
        <v>3601.7316412626219</v>
      </c>
      <c r="G20" s="30">
        <f>fuel!F27</f>
        <v>3601.7316412626219</v>
      </c>
      <c r="H20" s="30">
        <f>fuel!G27</f>
        <v>3601.7316412626219</v>
      </c>
      <c r="I20" s="30">
        <f>fuel!H27</f>
        <v>3611.5993991838895</v>
      </c>
      <c r="J20" s="30">
        <f>fuel!I27</f>
        <v>3601.7316412626219</v>
      </c>
      <c r="K20" s="30">
        <f>fuel!J27</f>
        <v>3601.7316412626219</v>
      </c>
      <c r="L20" s="30">
        <f>fuel!K27</f>
        <v>3601.7316412626219</v>
      </c>
      <c r="M20" s="30">
        <f>fuel!L27</f>
        <v>3611.5993991838895</v>
      </c>
      <c r="N20" s="30">
        <f>fuel!M27</f>
        <v>3601.7316412626219</v>
      </c>
      <c r="O20" s="30">
        <f>fuel!N27</f>
        <v>3601.7316412626219</v>
      </c>
      <c r="P20" s="30">
        <f>fuel!O27</f>
        <v>3601.7316412626219</v>
      </c>
      <c r="Q20" s="30">
        <f>fuel!P27</f>
        <v>3611.5993991838895</v>
      </c>
      <c r="R20" s="30">
        <f>fuel!Q27</f>
        <v>3601.7316412626219</v>
      </c>
      <c r="S20" s="30">
        <f>fuel!R27</f>
        <v>3601.7316412626219</v>
      </c>
      <c r="T20" s="30">
        <f>fuel!S27</f>
        <v>3601.7316412626219</v>
      </c>
      <c r="U20" s="30">
        <f>fuel!T27</f>
        <v>3611.5993991838895</v>
      </c>
      <c r="V20" s="30">
        <f>fuel!U27</f>
        <v>3601.7316412626219</v>
      </c>
      <c r="W20" s="30">
        <f>fuel!V27</f>
        <v>3601.7316412626219</v>
      </c>
      <c r="X20" s="30">
        <f>fuel!W27</f>
        <v>3601.7316412626219</v>
      </c>
      <c r="Y20" s="30">
        <f>fuel!X27</f>
        <v>3611.5993991838895</v>
      </c>
      <c r="Z20" s="30">
        <f>fuel!Y27</f>
        <v>3601.7316412626219</v>
      </c>
      <c r="AA20" s="30">
        <f>fuel!Z27</f>
        <v>3601.7316412626219</v>
      </c>
    </row>
    <row r="21" spans="1:27" ht="15">
      <c r="A21" s="28" t="s">
        <v>110</v>
      </c>
      <c r="B21" s="28"/>
      <c r="C21" s="43">
        <f>'fixed cost'!B12</f>
        <v>0</v>
      </c>
      <c r="D21" s="43">
        <f>'fixed cost'!C12</f>
        <v>0</v>
      </c>
      <c r="E21" s="43">
        <f>'fixed cost'!D12</f>
        <v>0</v>
      </c>
      <c r="F21" s="43">
        <f>'fixed cost'!E12</f>
        <v>0</v>
      </c>
      <c r="G21" s="43">
        <f>'fixed cost'!F12</f>
        <v>0</v>
      </c>
      <c r="H21" s="43">
        <f>'fixed cost'!G12</f>
        <v>0</v>
      </c>
      <c r="I21" s="43">
        <f>'fixed cost'!H12</f>
        <v>0</v>
      </c>
      <c r="J21" s="43">
        <f>'fixed cost'!I12</f>
        <v>0</v>
      </c>
      <c r="K21" s="43">
        <f>'fixed cost'!J12</f>
        <v>0</v>
      </c>
      <c r="L21" s="43">
        <f>'fixed cost'!K12</f>
        <v>0</v>
      </c>
      <c r="M21" s="43">
        <f>'fixed cost'!L12</f>
        <v>9.9000000000000005E-2</v>
      </c>
      <c r="N21" s="43">
        <f>'fixed cost'!M12</f>
        <v>9.9000000000000005E-2</v>
      </c>
      <c r="O21" s="43">
        <f>'fixed cost'!N12</f>
        <v>9.9000000000000005E-2</v>
      </c>
      <c r="P21" s="43">
        <f>'fixed cost'!O12</f>
        <v>9.9000000000000005E-2</v>
      </c>
      <c r="Q21" s="43">
        <f>'fixed cost'!P12</f>
        <v>9.9000000000000005E-2</v>
      </c>
      <c r="R21" s="43">
        <f>'fixed cost'!Q12</f>
        <v>0.23100000000000001</v>
      </c>
      <c r="S21" s="43">
        <f>'fixed cost'!R12</f>
        <v>0.23100000000000001</v>
      </c>
      <c r="T21" s="43">
        <f>'fixed cost'!S12</f>
        <v>0.23100000000000001</v>
      </c>
      <c r="U21" s="43">
        <f>'fixed cost'!T12</f>
        <v>0.23100000000000001</v>
      </c>
      <c r="V21" s="43">
        <f>'fixed cost'!U12</f>
        <v>0.23100000000000001</v>
      </c>
      <c r="W21" s="43">
        <f>'fixed cost'!V12</f>
        <v>0.42899999999999999</v>
      </c>
      <c r="X21" s="43">
        <f>'fixed cost'!W12</f>
        <v>0.42899999999999999</v>
      </c>
      <c r="Y21" s="43">
        <f>'fixed cost'!X12</f>
        <v>0.42899999999999999</v>
      </c>
      <c r="Z21" s="43">
        <f>'fixed cost'!Y12</f>
        <v>0.42899999999999999</v>
      </c>
      <c r="AA21" s="43">
        <f>'fixed cost'!Z12</f>
        <v>0.42899999999999999</v>
      </c>
    </row>
    <row r="22" spans="1:27" ht="15">
      <c r="A22" s="83" t="s">
        <v>137</v>
      </c>
      <c r="B22" s="28"/>
      <c r="C22" s="43">
        <f>SUM(C19:C21)</f>
        <v>4554.1402669029976</v>
      </c>
      <c r="D22" s="43">
        <f t="shared" ref="D22:AA22" si="2">SUM(D19:D21)</f>
        <v>4621.8450652626216</v>
      </c>
      <c r="E22" s="43">
        <f t="shared" si="2"/>
        <v>4690.0633110366889</v>
      </c>
      <c r="F22" s="43">
        <f t="shared" si="2"/>
        <v>4741.8836888734022</v>
      </c>
      <c r="G22" s="43">
        <f t="shared" si="2"/>
        <v>4807.1003859967386</v>
      </c>
      <c r="H22" s="43">
        <f t="shared" si="2"/>
        <v>4876.047478195529</v>
      </c>
      <c r="I22" s="43">
        <f t="shared" si="2"/>
        <v>4958.8061019893594</v>
      </c>
      <c r="J22" s="43">
        <f t="shared" si="2"/>
        <v>5025.998567468564</v>
      </c>
      <c r="K22" s="43">
        <f t="shared" si="2"/>
        <v>5107.4666356475445</v>
      </c>
      <c r="L22" s="43">
        <f t="shared" si="2"/>
        <v>5193.5946773263613</v>
      </c>
      <c r="M22" s="43">
        <f t="shared" si="2"/>
        <v>5294.6160009104751</v>
      </c>
      <c r="N22" s="43">
        <f t="shared" si="2"/>
        <v>5381.0111298079682</v>
      </c>
      <c r="O22" s="43">
        <f t="shared" si="2"/>
        <v>5482.7802537527623</v>
      </c>
      <c r="P22" s="43">
        <f t="shared" si="2"/>
        <v>5590.3705715871974</v>
      </c>
      <c r="Q22" s="43">
        <f t="shared" si="2"/>
        <v>5713.9828135230309</v>
      </c>
      <c r="R22" s="43">
        <f t="shared" si="2"/>
        <v>5824.4977241019615</v>
      </c>
      <c r="S22" s="43">
        <f t="shared" si="2"/>
        <v>5951.6267308403712</v>
      </c>
      <c r="T22" s="43">
        <f t="shared" si="2"/>
        <v>6086.0275167642185</v>
      </c>
      <c r="U22" s="43">
        <f t="shared" si="2"/>
        <v>6237.9837855641781</v>
      </c>
      <c r="V22" s="43">
        <f t="shared" si="2"/>
        <v>6378.3320013438624</v>
      </c>
      <c r="W22" s="43">
        <f t="shared" si="2"/>
        <v>6537.3383287405086</v>
      </c>
      <c r="X22" s="43">
        <f t="shared" si="2"/>
        <v>6705.230492464244</v>
      </c>
      <c r="Y22" s="43">
        <f t="shared" si="2"/>
        <v>6892.5938458742439</v>
      </c>
      <c r="Z22" s="43">
        <f t="shared" si="2"/>
        <v>7070.3744315036647</v>
      </c>
      <c r="AA22" s="43">
        <f t="shared" si="2"/>
        <v>7268.7562603054521</v>
      </c>
    </row>
    <row r="23" spans="1:27" ht="15">
      <c r="A23" s="83"/>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row>
    <row r="24" spans="1:27" ht="15">
      <c r="A24" s="88" t="s">
        <v>138</v>
      </c>
      <c r="B24" s="66"/>
      <c r="C24" s="89">
        <f t="shared" ref="C24:AA24" ca="1" si="3">C14-C22</f>
        <v>6838.6361828074641</v>
      </c>
      <c r="D24" s="89">
        <f t="shared" ca="1" si="3"/>
        <v>6639.0467188732964</v>
      </c>
      <c r="E24" s="89">
        <f t="shared" ca="1" si="3"/>
        <v>6427.4851507201238</v>
      </c>
      <c r="F24" s="89">
        <f t="shared" ca="1" si="3"/>
        <v>6200.3795150212791</v>
      </c>
      <c r="G24" s="89">
        <f t="shared" ca="1" si="3"/>
        <v>5981.3262140714069</v>
      </c>
      <c r="H24" s="89">
        <f t="shared" ca="1" si="3"/>
        <v>5762.474097624332</v>
      </c>
      <c r="I24" s="89">
        <f t="shared" ca="1" si="3"/>
        <v>5549.2492272537365</v>
      </c>
      <c r="J24" s="89">
        <f t="shared" ca="1" si="3"/>
        <v>5325.4201074963012</v>
      </c>
      <c r="K24" s="89">
        <f t="shared" ca="1" si="3"/>
        <v>5107.2432617045088</v>
      </c>
      <c r="L24" s="89">
        <f t="shared" ca="1" si="3"/>
        <v>4889.3177336505551</v>
      </c>
      <c r="M24" s="89">
        <f t="shared" ca="1" si="3"/>
        <v>4674.637047158707</v>
      </c>
      <c r="N24" s="89">
        <f t="shared" ca="1" si="3"/>
        <v>4454.2809320015604</v>
      </c>
      <c r="O24" s="89">
        <f t="shared" ca="1" si="3"/>
        <v>3170.7584147611578</v>
      </c>
      <c r="P24" s="89">
        <f t="shared" ca="1" si="3"/>
        <v>3090.1317163320937</v>
      </c>
      <c r="Q24" s="89">
        <f t="shared" ca="1" si="3"/>
        <v>3011.2783736732745</v>
      </c>
      <c r="R24" s="89">
        <f t="shared" ca="1" si="3"/>
        <v>2962.499449466427</v>
      </c>
      <c r="S24" s="89">
        <f t="shared" ca="1" si="3"/>
        <v>2958.7448839208373</v>
      </c>
      <c r="T24" s="89">
        <f t="shared" ca="1" si="3"/>
        <v>3472.6485759052875</v>
      </c>
      <c r="U24" s="89">
        <f t="shared" ca="1" si="3"/>
        <v>3481.6796449270314</v>
      </c>
      <c r="V24" s="89">
        <f t="shared" ca="1" si="3"/>
        <v>3488.4128934119417</v>
      </c>
      <c r="W24" s="89">
        <f t="shared" ca="1" si="3"/>
        <v>3496.9815643624879</v>
      </c>
      <c r="X24" s="89">
        <f t="shared" ca="1" si="3"/>
        <v>3506.0361821170745</v>
      </c>
      <c r="Y24" s="89">
        <f t="shared" ca="1" si="3"/>
        <v>3517.0754375370816</v>
      </c>
      <c r="Z24" s="89">
        <f t="shared" ca="1" si="3"/>
        <v>3525.7288152934862</v>
      </c>
      <c r="AA24" s="89">
        <f t="shared" ca="1" si="3"/>
        <v>3467.6355956058323</v>
      </c>
    </row>
    <row r="25" spans="1:27" ht="15">
      <c r="A25" s="83"/>
      <c r="B25" s="28"/>
      <c r="C25" s="28"/>
      <c r="D25" s="28"/>
      <c r="E25" s="28"/>
      <c r="F25" s="28"/>
      <c r="G25" s="28"/>
      <c r="H25" s="28"/>
      <c r="I25" s="28"/>
      <c r="J25" s="28"/>
      <c r="K25" s="28"/>
      <c r="L25" s="28"/>
      <c r="M25" s="28"/>
      <c r="N25" s="28"/>
      <c r="O25" s="28"/>
      <c r="P25" s="28"/>
      <c r="Q25" s="28"/>
      <c r="R25" s="28"/>
      <c r="S25" s="28"/>
      <c r="T25" s="28"/>
      <c r="U25" s="28"/>
      <c r="V25" s="28"/>
      <c r="W25" s="28"/>
      <c r="X25" s="28"/>
      <c r="Y25" s="28"/>
      <c r="Z25" s="28"/>
      <c r="AA25" s="28"/>
    </row>
    <row r="26" spans="1:27" ht="15">
      <c r="A26" s="83" t="s">
        <v>139</v>
      </c>
      <c r="B26" s="30"/>
      <c r="C26" s="44">
        <f>'term loan '!Q4</f>
        <v>2885.0340821917807</v>
      </c>
      <c r="D26" s="44">
        <f>'term loan '!Q5</f>
        <v>2761.4618181818178</v>
      </c>
      <c r="E26" s="44">
        <f>'term loan '!Q6</f>
        <v>2505.3105653798248</v>
      </c>
      <c r="F26" s="44">
        <f>'term loan '!Q7</f>
        <v>2235.4690909090896</v>
      </c>
      <c r="G26" s="44">
        <f>'term loan '!Q8</f>
        <v>1972.4727272727255</v>
      </c>
      <c r="H26" s="44">
        <f>'term loan '!$Q$9</f>
        <v>1709.4763636363623</v>
      </c>
      <c r="I26" s="44">
        <f>'term loan '!$Q$10</f>
        <v>1450.4429589041088</v>
      </c>
      <c r="J26" s="44">
        <f>'term loan '!$Q$11</f>
        <v>1183.4836363636359</v>
      </c>
      <c r="K26" s="44">
        <f>'term loan '!$Q$12</f>
        <v>920.48727272727251</v>
      </c>
      <c r="L26" s="44">
        <f>'term loan '!$Q$13</f>
        <v>657.49090909090887</v>
      </c>
      <c r="M26" s="44">
        <f>'term loan '!$Q$14</f>
        <v>395.57535242839322</v>
      </c>
      <c r="N26" s="44">
        <f>'term loan '!$Q$15</f>
        <v>131.49818181818151</v>
      </c>
      <c r="O26" s="44">
        <v>0</v>
      </c>
      <c r="P26" s="44">
        <v>0</v>
      </c>
      <c r="Q26" s="44">
        <v>0</v>
      </c>
      <c r="R26" s="44">
        <v>0</v>
      </c>
      <c r="S26" s="44">
        <v>0</v>
      </c>
      <c r="T26" s="44">
        <v>0</v>
      </c>
      <c r="U26" s="44">
        <v>0</v>
      </c>
      <c r="V26" s="44">
        <v>0</v>
      </c>
      <c r="W26" s="44">
        <v>0</v>
      </c>
      <c r="X26" s="44">
        <v>0</v>
      </c>
      <c r="Y26" s="44">
        <v>0</v>
      </c>
      <c r="Z26" s="44">
        <v>0</v>
      </c>
      <c r="AA26" s="44">
        <v>0</v>
      </c>
    </row>
    <row r="27" spans="1:27" s="91" customFormat="1" ht="15">
      <c r="A27" s="83" t="s">
        <v>140</v>
      </c>
      <c r="B27" s="90"/>
      <c r="C27" s="90">
        <f ca="1">C44</f>
        <v>324.59325142329209</v>
      </c>
      <c r="D27" s="90">
        <f t="shared" ref="D27:AA27" ca="1" si="4">D44</f>
        <v>325.02098482138803</v>
      </c>
      <c r="E27" s="90">
        <f t="shared" ca="1" si="4"/>
        <v>325.23830258422163</v>
      </c>
      <c r="F27" s="90">
        <f t="shared" ca="1" si="4"/>
        <v>322.77746096937273</v>
      </c>
      <c r="G27" s="90">
        <f t="shared" ca="1" si="4"/>
        <v>321.9360000195008</v>
      </c>
      <c r="H27" s="90">
        <f t="shared" ca="1" si="4"/>
        <v>321.2957235724233</v>
      </c>
      <c r="I27" s="90">
        <f t="shared" ca="1" si="4"/>
        <v>322.24110174797084</v>
      </c>
      <c r="J27" s="90">
        <f t="shared" ca="1" si="4"/>
        <v>320.6654134443944</v>
      </c>
      <c r="K27" s="90">
        <f t="shared" ca="1" si="4"/>
        <v>320.70040765260211</v>
      </c>
      <c r="L27" s="90">
        <f t="shared" ca="1" si="4"/>
        <v>320.98671959864623</v>
      </c>
      <c r="M27" s="90">
        <f t="shared" ca="1" si="4"/>
        <v>322.86764428308061</v>
      </c>
      <c r="N27" s="90">
        <f t="shared" ca="1" si="4"/>
        <v>322.37359794965175</v>
      </c>
      <c r="O27" s="90">
        <f t="shared" ca="1" si="4"/>
        <v>302.61899108227482</v>
      </c>
      <c r="P27" s="90">
        <f t="shared" ca="1" si="4"/>
        <v>306.72888962686812</v>
      </c>
      <c r="Q27" s="90">
        <f t="shared" ca="1" si="4"/>
        <v>312.4390637547915</v>
      </c>
      <c r="R27" s="90">
        <f t="shared" ca="1" si="4"/>
        <v>316.60450308996701</v>
      </c>
      <c r="S27" s="90">
        <f t="shared" ca="1" si="4"/>
        <v>323.25292241265925</v>
      </c>
      <c r="T27" s="90">
        <f t="shared" ca="1" si="4"/>
        <v>340.42331126974477</v>
      </c>
      <c r="U27" s="90">
        <f t="shared" ca="1" si="4"/>
        <v>349.45438029148892</v>
      </c>
      <c r="V27" s="90">
        <f t="shared" ca="1" si="4"/>
        <v>356.18762877639887</v>
      </c>
      <c r="W27" s="90">
        <f t="shared" ca="1" si="4"/>
        <v>364.75629972694463</v>
      </c>
      <c r="X27" s="90">
        <f t="shared" ca="1" si="4"/>
        <v>373.81091748153113</v>
      </c>
      <c r="Y27" s="90">
        <f t="shared" ca="1" si="4"/>
        <v>384.85017290153831</v>
      </c>
      <c r="Z27" s="90">
        <f t="shared" ca="1" si="4"/>
        <v>393.50355065794525</v>
      </c>
      <c r="AA27" s="90">
        <f t="shared" ca="1" si="4"/>
        <v>335.41033097028981</v>
      </c>
    </row>
    <row r="28" spans="1:27" ht="15">
      <c r="A28" s="86" t="s">
        <v>141</v>
      </c>
      <c r="B28" s="11"/>
      <c r="C28" s="87">
        <f>depre!B27</f>
        <v>1813.449994520548</v>
      </c>
      <c r="D28" s="87">
        <f>depre!C27</f>
        <v>1818.4320000000002</v>
      </c>
      <c r="E28" s="87">
        <f>depre!D27</f>
        <v>1818.432</v>
      </c>
      <c r="F28" s="87">
        <f>depre!E27</f>
        <v>1818.4320000000002</v>
      </c>
      <c r="G28" s="87">
        <f>depre!F27</f>
        <v>1818.4320000000002</v>
      </c>
      <c r="H28" s="87">
        <f>depre!G27</f>
        <v>1818.4320000000002</v>
      </c>
      <c r="I28" s="87">
        <f>depre!H27</f>
        <v>1818.432</v>
      </c>
      <c r="J28" s="87">
        <f>depre!I27</f>
        <v>1818.4320000000002</v>
      </c>
      <c r="K28" s="87">
        <f>depre!J27</f>
        <v>1818.4320000000002</v>
      </c>
      <c r="L28" s="87">
        <f>depre!K27</f>
        <v>1818.4320000000002</v>
      </c>
      <c r="M28" s="87">
        <f>depre!L27</f>
        <v>1818.432</v>
      </c>
      <c r="N28" s="87">
        <f>depre!M27</f>
        <v>1818.4320000000002</v>
      </c>
      <c r="O28" s="87">
        <f>depre!N27</f>
        <v>1818.4320000000002</v>
      </c>
      <c r="P28" s="87">
        <f>depre!O27</f>
        <v>1818.4320000000002</v>
      </c>
      <c r="Q28" s="87">
        <f>depre!P27</f>
        <v>1818.432</v>
      </c>
      <c r="R28" s="87">
        <f>depre!Q27</f>
        <v>1818.4320000000002</v>
      </c>
      <c r="S28" s="87">
        <f>depre!R27</f>
        <v>1818.4320000000002</v>
      </c>
      <c r="T28" s="87">
        <f>depre!S27</f>
        <v>1818.4320000000002</v>
      </c>
      <c r="U28" s="87">
        <f>depre!T27</f>
        <v>1713.206005479442</v>
      </c>
      <c r="V28" s="87">
        <f>depre!U27</f>
        <v>0</v>
      </c>
      <c r="W28" s="87">
        <f>depre!V27</f>
        <v>0</v>
      </c>
      <c r="X28" s="87">
        <f>depre!W27</f>
        <v>0</v>
      </c>
      <c r="Y28" s="87">
        <f>depre!X27</f>
        <v>0</v>
      </c>
      <c r="Z28" s="87">
        <f>depre!Y27</f>
        <v>0</v>
      </c>
      <c r="AA28" s="87">
        <f>depre!Z27</f>
        <v>0</v>
      </c>
    </row>
    <row r="29" spans="1:27" ht="15">
      <c r="A29" s="83"/>
      <c r="B29" s="28"/>
      <c r="C29" s="44"/>
      <c r="D29" s="44"/>
      <c r="E29" s="44"/>
      <c r="F29" s="44"/>
      <c r="G29" s="44"/>
      <c r="H29" s="44"/>
      <c r="I29" s="44"/>
      <c r="J29" s="44"/>
      <c r="K29" s="44"/>
      <c r="L29" s="44"/>
      <c r="M29" s="28"/>
      <c r="N29" s="28"/>
      <c r="O29" s="28"/>
      <c r="P29" s="28"/>
      <c r="Q29" s="28"/>
      <c r="R29" s="28"/>
      <c r="S29" s="28"/>
      <c r="T29" s="28"/>
      <c r="U29" s="28"/>
      <c r="V29" s="28"/>
      <c r="W29" s="28"/>
      <c r="X29" s="28"/>
      <c r="Y29" s="28"/>
      <c r="Z29" s="28"/>
      <c r="AA29" s="28"/>
    </row>
    <row r="30" spans="1:27" ht="15">
      <c r="A30" s="88" t="s">
        <v>142</v>
      </c>
      <c r="B30" s="66"/>
      <c r="C30" s="89">
        <f ca="1">C24-C26-C27-C28</f>
        <v>1815.5588546718432</v>
      </c>
      <c r="D30" s="89">
        <f t="shared" ref="D30:AA30" ca="1" si="5">D24-D26-D27-D28</f>
        <v>1734.1319158700903</v>
      </c>
      <c r="E30" s="89">
        <f t="shared" ca="1" si="5"/>
        <v>1778.5042827560771</v>
      </c>
      <c r="F30" s="89">
        <f t="shared" ca="1" si="5"/>
        <v>1823.7009631428164</v>
      </c>
      <c r="G30" s="89">
        <f t="shared" ca="1" si="5"/>
        <v>1868.4854867791805</v>
      </c>
      <c r="H30" s="89">
        <f t="shared" ca="1" si="5"/>
        <v>1913.270010415546</v>
      </c>
      <c r="I30" s="89">
        <f t="shared" ca="1" si="5"/>
        <v>1958.1331666016574</v>
      </c>
      <c r="J30" s="89">
        <f t="shared" ca="1" si="5"/>
        <v>2002.8390576882707</v>
      </c>
      <c r="K30" s="89">
        <f t="shared" ca="1" si="5"/>
        <v>2047.623581324634</v>
      </c>
      <c r="L30" s="89">
        <f t="shared" ca="1" si="5"/>
        <v>2092.4081049609999</v>
      </c>
      <c r="M30" s="89">
        <f t="shared" ca="1" si="5"/>
        <v>2137.7620504472325</v>
      </c>
      <c r="N30" s="89">
        <f t="shared" ca="1" si="5"/>
        <v>2181.9771522337269</v>
      </c>
      <c r="O30" s="89">
        <f t="shared" ca="1" si="5"/>
        <v>1049.7074236788826</v>
      </c>
      <c r="P30" s="89">
        <f t="shared" ca="1" si="5"/>
        <v>964.97082670522514</v>
      </c>
      <c r="Q30" s="89">
        <f t="shared" ca="1" si="5"/>
        <v>880.40730991848318</v>
      </c>
      <c r="R30" s="89">
        <f t="shared" ca="1" si="5"/>
        <v>827.46294637645997</v>
      </c>
      <c r="S30" s="89">
        <f t="shared" ca="1" si="5"/>
        <v>817.05996150817782</v>
      </c>
      <c r="T30" s="89">
        <f t="shared" ca="1" si="5"/>
        <v>1313.7932646355425</v>
      </c>
      <c r="U30" s="89">
        <f t="shared" ca="1" si="5"/>
        <v>1419.0192591561004</v>
      </c>
      <c r="V30" s="89">
        <f t="shared" ca="1" si="5"/>
        <v>3132.2252646355428</v>
      </c>
      <c r="W30" s="89">
        <f t="shared" ca="1" si="5"/>
        <v>3132.2252646355432</v>
      </c>
      <c r="X30" s="89">
        <f t="shared" ca="1" si="5"/>
        <v>3132.2252646355432</v>
      </c>
      <c r="Y30" s="89">
        <f t="shared" ca="1" si="5"/>
        <v>3132.2252646355432</v>
      </c>
      <c r="Z30" s="89">
        <f t="shared" ca="1" si="5"/>
        <v>3132.225264635541</v>
      </c>
      <c r="AA30" s="89">
        <f t="shared" ca="1" si="5"/>
        <v>3132.2252646355428</v>
      </c>
    </row>
    <row r="31" spans="1:27" ht="15">
      <c r="A31" s="83"/>
      <c r="B31" s="28"/>
      <c r="C31" s="44"/>
      <c r="D31" s="44"/>
      <c r="E31" s="44"/>
      <c r="F31" s="44"/>
      <c r="G31" s="44"/>
      <c r="H31" s="44"/>
      <c r="I31" s="44"/>
      <c r="J31" s="44"/>
      <c r="K31" s="44"/>
      <c r="L31" s="44"/>
      <c r="M31" s="28"/>
      <c r="N31" s="28"/>
      <c r="O31" s="28"/>
      <c r="P31" s="28"/>
      <c r="Q31" s="28"/>
      <c r="R31" s="28"/>
      <c r="S31" s="28"/>
      <c r="T31" s="28"/>
      <c r="U31" s="28"/>
      <c r="V31" s="28"/>
      <c r="W31" s="28"/>
      <c r="X31" s="28"/>
      <c r="Y31" s="28"/>
      <c r="Z31" s="28"/>
      <c r="AA31" s="28"/>
    </row>
    <row r="32" spans="1:27" ht="15">
      <c r="A32" s="83" t="s">
        <v>143</v>
      </c>
      <c r="B32" s="28"/>
      <c r="C32" s="44">
        <f ca="1">Tax!B33</f>
        <v>308.55422735147977</v>
      </c>
      <c r="D32" s="44">
        <f ca="1">Tax!C33</f>
        <v>294.71571910212191</v>
      </c>
      <c r="E32" s="44">
        <f ca="1">Tax!D33</f>
        <v>302.25680285439535</v>
      </c>
      <c r="F32" s="44">
        <f ca="1">Tax!E33</f>
        <v>309.93797868612165</v>
      </c>
      <c r="G32" s="44">
        <f ca="1">Tax!F33</f>
        <v>317.54910847812175</v>
      </c>
      <c r="H32" s="44">
        <f ca="1">Tax!G33</f>
        <v>325.16023827012208</v>
      </c>
      <c r="I32" s="44">
        <f ca="1">Tax!H33</f>
        <v>332.78473166395173</v>
      </c>
      <c r="J32" s="44">
        <f ca="1">Tax!I33</f>
        <v>340.38249785412165</v>
      </c>
      <c r="K32" s="44">
        <f ca="1">Tax!J33</f>
        <v>347.99362764612158</v>
      </c>
      <c r="L32" s="44">
        <f ca="1">Tax!K33</f>
        <v>355.60475743812196</v>
      </c>
      <c r="M32" s="44">
        <f ca="1">Tax!L33</f>
        <v>363.31266047350721</v>
      </c>
      <c r="N32" s="44">
        <f ca="1">Tax!M33</f>
        <v>370.82701702212194</v>
      </c>
      <c r="O32" s="44">
        <f ca="1">Tax!N33</f>
        <v>178.39777665422611</v>
      </c>
      <c r="P32" s="44">
        <f ca="1">Tax!O33</f>
        <v>163.99679199855302</v>
      </c>
      <c r="Q32" s="44">
        <f ca="1">Tax!P33</f>
        <v>149.62522232064623</v>
      </c>
      <c r="R32" s="44">
        <f ca="1">Tax!Q33</f>
        <v>140.62732773667938</v>
      </c>
      <c r="S32" s="44">
        <f ca="1">Tax!R33</f>
        <v>138.85934045831482</v>
      </c>
      <c r="T32" s="44">
        <f ca="1">Tax!S33</f>
        <v>255.95338165765634</v>
      </c>
      <c r="U32" s="44">
        <f ca="1">Tax!T33</f>
        <v>970.44438114605532</v>
      </c>
      <c r="V32" s="44">
        <f ca="1">Tax!U33</f>
        <v>984.57422909159038</v>
      </c>
      <c r="W32" s="44">
        <f ca="1">Tax!V33</f>
        <v>996.5845998452952</v>
      </c>
      <c r="X32" s="44">
        <f ca="1">Tax!W33</f>
        <v>1006.793414985944</v>
      </c>
      <c r="Y32" s="44">
        <f ca="1">Tax!X33</f>
        <v>1015.4709078554955</v>
      </c>
      <c r="Z32" s="44">
        <f ca="1">Tax!Y33</f>
        <v>1022.8467767946137</v>
      </c>
      <c r="AA32" s="44">
        <f ca="1">Tax!Z33</f>
        <v>1029.1162653928654</v>
      </c>
    </row>
    <row r="33" spans="1:27" ht="15">
      <c r="A33" s="83"/>
      <c r="B33" s="28"/>
      <c r="C33" s="44"/>
      <c r="D33" s="44"/>
      <c r="E33" s="44"/>
      <c r="F33" s="44"/>
      <c r="G33" s="44"/>
      <c r="H33" s="44"/>
      <c r="I33" s="44"/>
      <c r="J33" s="44"/>
      <c r="K33" s="44"/>
      <c r="L33" s="44"/>
      <c r="M33" s="44"/>
      <c r="N33" s="44"/>
      <c r="O33" s="44"/>
      <c r="P33" s="44"/>
      <c r="Q33" s="44"/>
      <c r="R33" s="44"/>
      <c r="S33" s="44"/>
      <c r="T33" s="44"/>
      <c r="U33" s="44"/>
      <c r="V33" s="44"/>
      <c r="W33" s="44"/>
      <c r="X33" s="44"/>
      <c r="Y33" s="44"/>
      <c r="Z33" s="44"/>
      <c r="AA33" s="44"/>
    </row>
    <row r="34" spans="1:27" ht="15">
      <c r="A34" s="88" t="s">
        <v>144</v>
      </c>
      <c r="B34" s="66"/>
      <c r="C34" s="89">
        <f ca="1">C30-C32-C33</f>
        <v>1507.0046273203634</v>
      </c>
      <c r="D34" s="89">
        <f t="shared" ref="D34:AA34" ca="1" si="6">D30-D32-D33</f>
        <v>1439.4161967679684</v>
      </c>
      <c r="E34" s="89">
        <f t="shared" ca="1" si="6"/>
        <v>1476.2474799016818</v>
      </c>
      <c r="F34" s="89">
        <f t="shared" ca="1" si="6"/>
        <v>1513.7629844566948</v>
      </c>
      <c r="G34" s="89">
        <f t="shared" ca="1" si="6"/>
        <v>1550.9363783010588</v>
      </c>
      <c r="H34" s="89">
        <f t="shared" ca="1" si="6"/>
        <v>1588.1097721454239</v>
      </c>
      <c r="I34" s="89">
        <f t="shared" ca="1" si="6"/>
        <v>1625.3484349377056</v>
      </c>
      <c r="J34" s="89">
        <f t="shared" ca="1" si="6"/>
        <v>1662.4565598341492</v>
      </c>
      <c r="K34" s="89">
        <f t="shared" ca="1" si="6"/>
        <v>1699.6299536785123</v>
      </c>
      <c r="L34" s="89">
        <f t="shared" ca="1" si="6"/>
        <v>1736.8033475228781</v>
      </c>
      <c r="M34" s="89">
        <f t="shared" ca="1" si="6"/>
        <v>1774.4493899737254</v>
      </c>
      <c r="N34" s="89">
        <f t="shared" ca="1" si="6"/>
        <v>1811.1501352116049</v>
      </c>
      <c r="O34" s="89">
        <f t="shared" ca="1" si="6"/>
        <v>871.30964702465644</v>
      </c>
      <c r="P34" s="89">
        <f t="shared" ca="1" si="6"/>
        <v>800.97403470667211</v>
      </c>
      <c r="Q34" s="89">
        <f t="shared" ca="1" si="6"/>
        <v>730.78208759783695</v>
      </c>
      <c r="R34" s="89">
        <f t="shared" ca="1" si="6"/>
        <v>686.83561863978059</v>
      </c>
      <c r="S34" s="89">
        <f t="shared" ca="1" si="6"/>
        <v>678.200621049863</v>
      </c>
      <c r="T34" s="89">
        <f t="shared" ca="1" si="6"/>
        <v>1057.8398829778862</v>
      </c>
      <c r="U34" s="89">
        <f t="shared" ca="1" si="6"/>
        <v>448.57487801004504</v>
      </c>
      <c r="V34" s="89">
        <f t="shared" ca="1" si="6"/>
        <v>2147.6510355439523</v>
      </c>
      <c r="W34" s="89">
        <f t="shared" ca="1" si="6"/>
        <v>2135.6406647902481</v>
      </c>
      <c r="X34" s="89">
        <f t="shared" ca="1" si="6"/>
        <v>2125.4318496495994</v>
      </c>
      <c r="Y34" s="89">
        <f t="shared" ca="1" si="6"/>
        <v>2116.7543567800476</v>
      </c>
      <c r="Z34" s="89">
        <f t="shared" ca="1" si="6"/>
        <v>2109.3784878409274</v>
      </c>
      <c r="AA34" s="89">
        <f t="shared" ca="1" si="6"/>
        <v>2103.1089992426773</v>
      </c>
    </row>
    <row r="35" spans="1:27" ht="15">
      <c r="A35" s="83"/>
      <c r="B35" s="28"/>
      <c r="C35" s="28"/>
      <c r="D35" s="28"/>
      <c r="E35" s="28"/>
      <c r="F35" s="28"/>
      <c r="G35" s="28"/>
      <c r="H35" s="28"/>
      <c r="I35" s="28"/>
      <c r="J35" s="28"/>
      <c r="K35" s="28"/>
      <c r="L35" s="28"/>
      <c r="M35" s="28"/>
      <c r="N35" s="28"/>
      <c r="O35" s="28"/>
      <c r="P35" s="28"/>
      <c r="Q35" s="28"/>
      <c r="R35" s="28"/>
      <c r="S35" s="28"/>
      <c r="T35" s="28"/>
      <c r="U35" s="28"/>
      <c r="V35" s="28"/>
      <c r="W35" s="28"/>
      <c r="X35" s="28"/>
      <c r="Y35" s="28"/>
      <c r="Z35" s="28"/>
      <c r="AA35" s="28"/>
    </row>
    <row r="36" spans="1:27" ht="15">
      <c r="A36" s="92"/>
      <c r="M36" s="41"/>
      <c r="N36" s="41"/>
      <c r="O36" s="41"/>
      <c r="P36" s="41"/>
    </row>
    <row r="37" spans="1:27" ht="15">
      <c r="A37" s="195" t="s">
        <v>259</v>
      </c>
      <c r="B37" s="196"/>
      <c r="C37" s="196"/>
      <c r="D37" s="196"/>
      <c r="E37" s="196"/>
    </row>
    <row r="38" spans="1:27" ht="15">
      <c r="A38" s="83" t="s">
        <v>173</v>
      </c>
      <c r="B38" s="28"/>
      <c r="C38" s="93">
        <f>C19/12*Assumption!$D$70</f>
        <v>80.189698630136988</v>
      </c>
      <c r="D38" s="93">
        <f>D19/12*Assumption!$D$70</f>
        <v>85.009451999999996</v>
      </c>
      <c r="E38" s="93">
        <f>E19/12*Assumption!$D$70</f>
        <v>89.871992654399989</v>
      </c>
      <c r="F38" s="93">
        <f>F19/12*Assumption!$D$70</f>
        <v>95.012670634231654</v>
      </c>
      <c r="G38" s="93">
        <f>G19/12*Assumption!$D$70</f>
        <v>100.44739539450968</v>
      </c>
      <c r="H38" s="93">
        <f>H19/12*Assumption!$D$70</f>
        <v>106.19298641107564</v>
      </c>
      <c r="I38" s="93">
        <f>I19/12*Assumption!$D$70</f>
        <v>112.26722523378913</v>
      </c>
      <c r="J38" s="93">
        <f>J19/12*Assumption!$D$70</f>
        <v>118.68891051716186</v>
      </c>
      <c r="K38" s="93">
        <f>K19/12*Assumption!$D$70</f>
        <v>125.47791619874353</v>
      </c>
      <c r="L38" s="93">
        <f>L19/12*Assumption!$D$70</f>
        <v>132.65525300531164</v>
      </c>
      <c r="M38" s="93">
        <f>M19/12*Assumption!$D$70</f>
        <v>140.24313347721545</v>
      </c>
      <c r="N38" s="93">
        <f>N19/12*Assumption!$D$70</f>
        <v>148.26504071211218</v>
      </c>
      <c r="O38" s="93">
        <f>O19/12*Assumption!$D$70</f>
        <v>156.74580104084498</v>
      </c>
      <c r="P38" s="93">
        <f>P19/12*Assumption!$D$70</f>
        <v>165.7116608603813</v>
      </c>
      <c r="Q38" s="93">
        <f>Q19/12*Assumption!$D$70</f>
        <v>175.19036786159509</v>
      </c>
      <c r="R38" s="93">
        <f>R19/12*Assumption!$D$70</f>
        <v>185.21125690327833</v>
      </c>
      <c r="S38" s="93">
        <f>S19/12*Assumption!$D$70</f>
        <v>195.80534079814583</v>
      </c>
      <c r="T38" s="93">
        <f>T19/12*Assumption!$D$70</f>
        <v>207.00540629179974</v>
      </c>
      <c r="U38" s="93">
        <f>U19/12*Assumption!$D$70</f>
        <v>218.84611553169069</v>
      </c>
      <c r="V38" s="93">
        <f>V19/12*Assumption!$D$70</f>
        <v>231.36411334010339</v>
      </c>
      <c r="W38" s="93">
        <f>W19/12*Assumption!$D$70</f>
        <v>244.59814062315726</v>
      </c>
      <c r="X38" s="93">
        <f>X19/12*Assumption!$D$70</f>
        <v>258.58915426680181</v>
      </c>
      <c r="Y38" s="93">
        <f>Y19/12*Assumption!$D$70</f>
        <v>273.3804538908629</v>
      </c>
      <c r="Z38" s="93">
        <f>Z19/12*Assumption!$D$70</f>
        <v>289.01781585342025</v>
      </c>
      <c r="AA38" s="93">
        <f>AA19/12*Assumption!$D$70</f>
        <v>305.54963492023586</v>
      </c>
    </row>
    <row r="39" spans="1:27" ht="15">
      <c r="A39" s="94" t="s">
        <v>18</v>
      </c>
      <c r="B39" s="95"/>
      <c r="C39" s="96">
        <f>fuel!B25/12*Assumption!$D$69</f>
        <v>573.64859414089221</v>
      </c>
      <c r="D39" s="96">
        <f>fuel!C25/12*Assumption!$D$69</f>
        <v>575.22455181710359</v>
      </c>
      <c r="E39" s="96">
        <f>fuel!D25/12*Assumption!$D$69</f>
        <v>576.80050949331496</v>
      </c>
      <c r="F39" s="96">
        <f>fuel!E25/12*Assumption!$D$69</f>
        <v>575.22455181710359</v>
      </c>
      <c r="G39" s="96">
        <f>fuel!F25/12*Assumption!$D$69</f>
        <v>575.22455181710359</v>
      </c>
      <c r="H39" s="96">
        <f>fuel!G25/12*Assumption!$D$69</f>
        <v>575.22455181710359</v>
      </c>
      <c r="I39" s="96">
        <f>fuel!H25/12*Assumption!$D$69</f>
        <v>576.80050949331496</v>
      </c>
      <c r="J39" s="96">
        <f>fuel!I25/12*Assumption!$D$69</f>
        <v>575.22455181710359</v>
      </c>
      <c r="K39" s="96">
        <f>fuel!J25/12*Assumption!$D$69</f>
        <v>575.22455181710359</v>
      </c>
      <c r="L39" s="96">
        <f>fuel!K25/12*Assumption!$D$69</f>
        <v>575.22455181710359</v>
      </c>
      <c r="M39" s="96">
        <f>fuel!L25/12*Assumption!$D$69</f>
        <v>576.80050949331496</v>
      </c>
      <c r="N39" s="96">
        <f>fuel!M25/12*Assumption!$D$69</f>
        <v>575.22455181710359</v>
      </c>
      <c r="O39" s="96">
        <f>fuel!N25/12*Assumption!$D$69</f>
        <v>575.22455181710359</v>
      </c>
      <c r="P39" s="96">
        <f>fuel!O25/12*Assumption!$D$69</f>
        <v>575.22455181710359</v>
      </c>
      <c r="Q39" s="96">
        <f>fuel!P25/12*Assumption!$D$69</f>
        <v>576.80050949331496</v>
      </c>
      <c r="R39" s="96">
        <f>fuel!Q25/12*Assumption!$D$69</f>
        <v>575.22455181710359</v>
      </c>
      <c r="S39" s="96">
        <f>fuel!R25/12*Assumption!$D$69</f>
        <v>575.22455181710359</v>
      </c>
      <c r="T39" s="96">
        <f>fuel!S25/12*Assumption!$D$69</f>
        <v>575.22455181710359</v>
      </c>
      <c r="U39" s="96">
        <f>fuel!T25/12*Assumption!$D$69</f>
        <v>576.80050949331496</v>
      </c>
      <c r="V39" s="96">
        <f>fuel!U25/12*Assumption!$D$69</f>
        <v>575.22455181710359</v>
      </c>
      <c r="W39" s="96">
        <f>fuel!V25/12*Assumption!$D$69</f>
        <v>575.22455181710359</v>
      </c>
      <c r="X39" s="96">
        <f>fuel!W25/12*Assumption!$D$69</f>
        <v>575.22455181710359</v>
      </c>
      <c r="Y39" s="96">
        <f>fuel!X25/12*Assumption!$D$69</f>
        <v>576.80050949331496</v>
      </c>
      <c r="Z39" s="96">
        <f>fuel!Y25/12*Assumption!$D$69</f>
        <v>575.22455181710359</v>
      </c>
      <c r="AA39" s="96">
        <f>fuel!Z25/12*Assumption!$D$69</f>
        <v>575.22455181710359</v>
      </c>
    </row>
    <row r="40" spans="1:27" s="97" customFormat="1" ht="17.25" customHeight="1">
      <c r="A40" s="93" t="s">
        <v>154</v>
      </c>
      <c r="B40" s="93"/>
      <c r="C40" s="93">
        <f>fuel!B26*Assumption!$D$72/12</f>
        <v>24.995386415999999</v>
      </c>
      <c r="D40" s="93">
        <f>fuel!C26*Assumption!$D$72/12</f>
        <v>25.064055059999998</v>
      </c>
      <c r="E40" s="93">
        <f>fuel!D26*Assumption!$D$72/12</f>
        <v>25.132723704</v>
      </c>
      <c r="F40" s="93">
        <f>fuel!E26*Assumption!$D$72/12</f>
        <v>25.064055059999998</v>
      </c>
      <c r="G40" s="93">
        <f>fuel!F26*Assumption!$D$72/12</f>
        <v>25.064055059999998</v>
      </c>
      <c r="H40" s="93">
        <f>fuel!G26*Assumption!$D$72/12</f>
        <v>25.064055059999998</v>
      </c>
      <c r="I40" s="93">
        <f>fuel!H26*Assumption!$D$72/12</f>
        <v>25.132723704</v>
      </c>
      <c r="J40" s="93">
        <f>fuel!I26*Assumption!$D$72/12</f>
        <v>25.064055059999998</v>
      </c>
      <c r="K40" s="93">
        <f>fuel!J26*Assumption!$D$72/12</f>
        <v>25.064055059999998</v>
      </c>
      <c r="L40" s="93">
        <f>fuel!K26*Assumption!$D$72/12</f>
        <v>25.064055059999998</v>
      </c>
      <c r="M40" s="93">
        <f>fuel!L26*Assumption!$D$72/12</f>
        <v>25.132723704</v>
      </c>
      <c r="N40" s="93">
        <f>fuel!M26*Assumption!$D$72/12</f>
        <v>25.064055059999998</v>
      </c>
      <c r="O40" s="93">
        <f>fuel!N26*Assumption!$D$72/12</f>
        <v>25.064055059999998</v>
      </c>
      <c r="P40" s="93">
        <f>fuel!O26*Assumption!$D$72/12</f>
        <v>25.064055059999998</v>
      </c>
      <c r="Q40" s="93">
        <f>fuel!P26*Assumption!$D$72/12</f>
        <v>25.132723704</v>
      </c>
      <c r="R40" s="93">
        <f>fuel!Q26*Assumption!$D$72/12</f>
        <v>25.064055059999998</v>
      </c>
      <c r="S40" s="93">
        <f>fuel!R26*Assumption!$D$72/12</f>
        <v>25.064055059999998</v>
      </c>
      <c r="T40" s="93">
        <f>fuel!S26*Assumption!$D$72/12</f>
        <v>25.064055059999998</v>
      </c>
      <c r="U40" s="93">
        <f>fuel!T26*Assumption!$D$72/12</f>
        <v>25.132723704</v>
      </c>
      <c r="V40" s="93">
        <f>fuel!U26*Assumption!$D$72/12</f>
        <v>25.064055059999998</v>
      </c>
      <c r="W40" s="93">
        <f>fuel!V26*Assumption!$D$72/12</f>
        <v>25.064055059999998</v>
      </c>
      <c r="X40" s="93">
        <f>fuel!W26*Assumption!$D$72/12</f>
        <v>25.064055059999998</v>
      </c>
      <c r="Y40" s="93">
        <f>fuel!X26*Assumption!$D$72/12</f>
        <v>25.132723704</v>
      </c>
      <c r="Z40" s="93">
        <f>fuel!Y26*Assumption!$D$72/12</f>
        <v>25.064055059999998</v>
      </c>
      <c r="AA40" s="93">
        <f>fuel!Z26*Assumption!$D$72/12</f>
        <v>25.064055059999998</v>
      </c>
    </row>
    <row r="41" spans="1:27" ht="15">
      <c r="A41" s="98" t="s">
        <v>19</v>
      </c>
      <c r="B41" s="76"/>
      <c r="C41" s="99">
        <f>C19*Assumption!$D$71</f>
        <v>192.45527671232878</v>
      </c>
      <c r="D41" s="99">
        <f>D19*Assumption!$D$71</f>
        <v>204.02268479999998</v>
      </c>
      <c r="E41" s="99">
        <f>E19*Assumption!$D$71</f>
        <v>215.69278237055997</v>
      </c>
      <c r="F41" s="99">
        <f>F19*Assumption!$D$71</f>
        <v>228.03040952215599</v>
      </c>
      <c r="G41" s="99">
        <f>G19*Assumption!$D$71</f>
        <v>241.07374894682326</v>
      </c>
      <c r="H41" s="99">
        <f>H19*Assumption!$D$71</f>
        <v>254.86316738658152</v>
      </c>
      <c r="I41" s="99">
        <f>I19*Assumption!$D$71</f>
        <v>269.44134056109391</v>
      </c>
      <c r="J41" s="99">
        <f>J19*Assumption!$D$71</f>
        <v>284.85338524118851</v>
      </c>
      <c r="K41" s="99">
        <f>K19*Assumption!$D$71</f>
        <v>301.14699887698447</v>
      </c>
      <c r="L41" s="99">
        <f>L19*Assumption!$D$71</f>
        <v>318.37260721274794</v>
      </c>
      <c r="M41" s="99">
        <f>M19*Assumption!$D$71</f>
        <v>336.58352034531708</v>
      </c>
      <c r="N41" s="99">
        <f>N19*Assumption!$D$71</f>
        <v>355.83609770906924</v>
      </c>
      <c r="O41" s="99">
        <f>O19*Assumption!$D$71</f>
        <v>376.18992249802795</v>
      </c>
      <c r="P41" s="99">
        <f>P19*Assumption!$D$71</f>
        <v>397.70798606491513</v>
      </c>
      <c r="Q41" s="99">
        <f>Q19*Assumption!$D$71</f>
        <v>420.45688286782826</v>
      </c>
      <c r="R41" s="99">
        <f>R19*Assumption!$D$71</f>
        <v>444.50701656786799</v>
      </c>
      <c r="S41" s="99">
        <f>S19*Assumption!$D$71</f>
        <v>469.93281791555</v>
      </c>
      <c r="T41" s="99">
        <f>T19*Assumption!$D$71</f>
        <v>496.81297510031936</v>
      </c>
      <c r="U41" s="99">
        <f>U19*Assumption!$D$71</f>
        <v>525.23067727605769</v>
      </c>
      <c r="V41" s="99">
        <f>V19*Assumption!$D$71</f>
        <v>555.27387201624822</v>
      </c>
      <c r="W41" s="99">
        <f>W19*Assumption!$D$71</f>
        <v>587.03553749557739</v>
      </c>
      <c r="X41" s="99">
        <f>X19*Assumption!$D$71</f>
        <v>620.61397024032442</v>
      </c>
      <c r="Y41" s="99">
        <f>Y19*Assumption!$D$71</f>
        <v>656.11308933807095</v>
      </c>
      <c r="Z41" s="99">
        <f>Z19*Assumption!$D$71</f>
        <v>693.64275804820863</v>
      </c>
      <c r="AA41" s="99">
        <f>AA19*Assumption!$D$71</f>
        <v>733.31912380856602</v>
      </c>
    </row>
    <row r="42" spans="1:27" ht="15">
      <c r="A42" s="83" t="s">
        <v>65</v>
      </c>
      <c r="B42" s="28"/>
      <c r="C42" s="93">
        <f ca="1">C12*Assumption!$D$68/12</f>
        <v>1898.7960749517435</v>
      </c>
      <c r="D42" s="93">
        <f ca="1">D12*Assumption!$D$68/12</f>
        <v>1876.8152973559863</v>
      </c>
      <c r="E42" s="93">
        <f ca="1">E12*Assumption!$D$68/12</f>
        <v>1852.9247436261355</v>
      </c>
      <c r="F42" s="93">
        <f ca="1">F12*Assumption!$D$68/12</f>
        <v>1823.7105339824468</v>
      </c>
      <c r="G42" s="93">
        <f ca="1">G12*Assumption!$D$68/12</f>
        <v>1798.0711000113577</v>
      </c>
      <c r="H42" s="93">
        <f ca="1">H12*Assumption!$D$68/12</f>
        <v>1773.0869293033102</v>
      </c>
      <c r="I42" s="93">
        <f ca="1">I12*Assumption!$D$68/12</f>
        <v>1751.3425548738494</v>
      </c>
      <c r="J42" s="93">
        <f ca="1">J12*Assumption!$D$68/12</f>
        <v>1725.2364458274776</v>
      </c>
      <c r="K42" s="93">
        <f ca="1">K12*Assumption!$D$68/12</f>
        <v>1702.4516495586756</v>
      </c>
      <c r="L42" s="93">
        <f ca="1">L12*Assumption!$D$68/12</f>
        <v>1680.4854018294861</v>
      </c>
      <c r="M42" s="93">
        <f ca="1">M12*Assumption!$D$68/12</f>
        <v>1661.5421746781969</v>
      </c>
      <c r="N42" s="93">
        <f ca="1">N12*Assumption!$D$68/12</f>
        <v>1639.2153436349215</v>
      </c>
      <c r="O42" s="93">
        <f ca="1">O12*Assumption!$D$68/12</f>
        <v>1442.25644475232</v>
      </c>
      <c r="P42" s="93">
        <f ca="1">P12*Assumption!$D$68/12</f>
        <v>1446.7503813198819</v>
      </c>
      <c r="Q42" s="93">
        <f ca="1">Q12*Assumption!$D$68/12</f>
        <v>1454.210197866051</v>
      </c>
      <c r="R42" s="93">
        <f ca="1">R12*Assumption!$D$68/12</f>
        <v>1464.4995289280648</v>
      </c>
      <c r="S42" s="93">
        <f ca="1">S12*Assumption!$D$68/12</f>
        <v>1485.0619357935348</v>
      </c>
      <c r="T42" s="93">
        <f ca="1">T12*Assumption!$D$68/12</f>
        <v>1593.1126821115843</v>
      </c>
      <c r="U42" s="93">
        <f ca="1">U12*Assumption!$D$68/12</f>
        <v>1619.9439050818683</v>
      </c>
      <c r="V42" s="93">
        <f ca="1">V12*Assumption!$D$68/12</f>
        <v>1644.4574824593008</v>
      </c>
      <c r="W42" s="93">
        <f ca="1">W12*Assumption!$D$68/12</f>
        <v>1672.3866488504993</v>
      </c>
      <c r="X42" s="93">
        <f ca="1">X12*Assumption!$D$68/12</f>
        <v>1701.8777790968863</v>
      </c>
      <c r="Y42" s="93">
        <f ca="1">Y12*Assumption!$D$68/12</f>
        <v>1734.9448805685543</v>
      </c>
      <c r="Z42" s="93">
        <f ca="1">Z12*Assumption!$D$68/12</f>
        <v>1766.0172077995251</v>
      </c>
      <c r="AA42" s="93">
        <f ca="1">AA12*Assumption!$D$68/12</f>
        <v>1215.3986426518807</v>
      </c>
    </row>
    <row r="43" spans="1:27" s="68" customFormat="1">
      <c r="A43" s="88" t="s">
        <v>20</v>
      </c>
      <c r="B43" s="66"/>
      <c r="C43" s="100">
        <f t="shared" ref="C43:AA43" ca="1" si="7">SUM(C38:C42)</f>
        <v>2770.0850308511017</v>
      </c>
      <c r="D43" s="100">
        <f t="shared" ca="1" si="7"/>
        <v>2766.1360410330899</v>
      </c>
      <c r="E43" s="100">
        <f t="shared" ca="1" si="7"/>
        <v>2760.4227518484104</v>
      </c>
      <c r="F43" s="100">
        <f t="shared" ca="1" si="7"/>
        <v>2747.0422210159381</v>
      </c>
      <c r="G43" s="100">
        <f t="shared" ca="1" si="7"/>
        <v>2739.8808512297942</v>
      </c>
      <c r="H43" s="100">
        <f t="shared" ca="1" si="7"/>
        <v>2734.4316899780706</v>
      </c>
      <c r="I43" s="100">
        <f t="shared" ca="1" si="7"/>
        <v>2734.9843538660475</v>
      </c>
      <c r="J43" s="100">
        <f t="shared" ca="1" si="7"/>
        <v>2729.0673484629315</v>
      </c>
      <c r="K43" s="100">
        <f t="shared" ca="1" si="7"/>
        <v>2729.3651715115075</v>
      </c>
      <c r="L43" s="100">
        <f t="shared" ca="1" si="7"/>
        <v>2731.8018689246492</v>
      </c>
      <c r="M43" s="100">
        <f t="shared" ca="1" si="7"/>
        <v>2740.3020616980448</v>
      </c>
      <c r="N43" s="100">
        <f t="shared" ca="1" si="7"/>
        <v>2743.6050889332064</v>
      </c>
      <c r="O43" s="100">
        <f t="shared" ca="1" si="7"/>
        <v>2575.4807751682965</v>
      </c>
      <c r="P43" s="100">
        <f t="shared" ca="1" si="7"/>
        <v>2610.458635122282</v>
      </c>
      <c r="Q43" s="100">
        <f t="shared" ca="1" si="7"/>
        <v>2651.7906817927892</v>
      </c>
      <c r="R43" s="100">
        <f t="shared" ca="1" si="7"/>
        <v>2694.506409276315</v>
      </c>
      <c r="S43" s="100">
        <f t="shared" ca="1" si="7"/>
        <v>2751.0887013843339</v>
      </c>
      <c r="T43" s="100">
        <f t="shared" ca="1" si="7"/>
        <v>2897.2196703808067</v>
      </c>
      <c r="U43" s="100">
        <f t="shared" ca="1" si="7"/>
        <v>2965.9539310869313</v>
      </c>
      <c r="V43" s="100">
        <f t="shared" ca="1" si="7"/>
        <v>3031.3840746927563</v>
      </c>
      <c r="W43" s="100">
        <f t="shared" ca="1" si="7"/>
        <v>3104.3089338463378</v>
      </c>
      <c r="X43" s="100">
        <f t="shared" ca="1" si="7"/>
        <v>3181.3695104811159</v>
      </c>
      <c r="Y43" s="100">
        <f t="shared" ca="1" si="7"/>
        <v>3266.3716569948028</v>
      </c>
      <c r="Z43" s="100">
        <f t="shared" ca="1" si="7"/>
        <v>3348.9663885782575</v>
      </c>
      <c r="AA43" s="100">
        <f t="shared" ca="1" si="7"/>
        <v>2854.5560082577858</v>
      </c>
    </row>
    <row r="44" spans="1:27" s="68" customFormat="1" ht="28.5">
      <c r="A44" s="88" t="s">
        <v>145</v>
      </c>
      <c r="B44" s="66"/>
      <c r="C44" s="100">
        <f ca="1">C43*Assumption!$D$73*C7/365</f>
        <v>324.59325142329209</v>
      </c>
      <c r="D44" s="100">
        <f ca="1">D43*Assumption!$D$73*D7/365</f>
        <v>325.02098482138803</v>
      </c>
      <c r="E44" s="100">
        <f ca="1">E43*Assumption!$D$73*E7/365</f>
        <v>325.23830258422163</v>
      </c>
      <c r="F44" s="100">
        <f ca="1">F43*Assumption!$D$73*F7/365</f>
        <v>322.77746096937273</v>
      </c>
      <c r="G44" s="100">
        <f ca="1">G43*Assumption!$D$73*G7/365</f>
        <v>321.9360000195008</v>
      </c>
      <c r="H44" s="100">
        <f ca="1">H43*Assumption!$D$73*H7/365</f>
        <v>321.2957235724233</v>
      </c>
      <c r="I44" s="100">
        <f ca="1">I43*Assumption!$D$73*I7/365</f>
        <v>322.24110174797084</v>
      </c>
      <c r="J44" s="100">
        <f ca="1">J43*Assumption!$D$73*J7/365</f>
        <v>320.6654134443944</v>
      </c>
      <c r="K44" s="100">
        <f ca="1">K43*Assumption!$D$73*K7/365</f>
        <v>320.70040765260211</v>
      </c>
      <c r="L44" s="100">
        <f ca="1">L43*Assumption!$D$73*L7/365</f>
        <v>320.98671959864623</v>
      </c>
      <c r="M44" s="100">
        <f ca="1">M43*Assumption!$D$73*M7/365</f>
        <v>322.86764428308061</v>
      </c>
      <c r="N44" s="100">
        <f ca="1">N43*Assumption!$D$73*N7/365</f>
        <v>322.37359794965175</v>
      </c>
      <c r="O44" s="100">
        <f ca="1">O43*Assumption!$D$73*O7/365</f>
        <v>302.61899108227482</v>
      </c>
      <c r="P44" s="100">
        <f ca="1">P43*Assumption!$D$73*P7/365</f>
        <v>306.72888962686812</v>
      </c>
      <c r="Q44" s="100">
        <f ca="1">Q43*Assumption!$D$73*Q7/365</f>
        <v>312.4390637547915</v>
      </c>
      <c r="R44" s="100">
        <f ca="1">R43*Assumption!$D$73*R7/365</f>
        <v>316.60450308996701</v>
      </c>
      <c r="S44" s="100">
        <f ca="1">S43*Assumption!$D$73*S7/365</f>
        <v>323.25292241265925</v>
      </c>
      <c r="T44" s="100">
        <f ca="1">T43*Assumption!$D$73*T7/365</f>
        <v>340.42331126974477</v>
      </c>
      <c r="U44" s="100">
        <f ca="1">U43*Assumption!$D$73*U7/365</f>
        <v>349.45438029148892</v>
      </c>
      <c r="V44" s="100">
        <f ca="1">V43*Assumption!$D$73*V7/365</f>
        <v>356.18762877639887</v>
      </c>
      <c r="W44" s="100">
        <f ca="1">W43*Assumption!$D$73*W7/365</f>
        <v>364.75629972694463</v>
      </c>
      <c r="X44" s="100">
        <f ca="1">X43*Assumption!$D$73*X7/365</f>
        <v>373.81091748153113</v>
      </c>
      <c r="Y44" s="100">
        <f ca="1">Y43*Assumption!$D$73*Y7/365</f>
        <v>384.85017290153831</v>
      </c>
      <c r="Z44" s="100">
        <f ca="1">Z43*Assumption!$D$73*Z7/365</f>
        <v>393.50355065794525</v>
      </c>
      <c r="AA44" s="100">
        <f ca="1">AA43*Assumption!$D$73*AA7/365</f>
        <v>335.41033097028981</v>
      </c>
    </row>
    <row r="45" spans="1:27" ht="14.25" customHeight="1">
      <c r="C45" s="27"/>
    </row>
    <row r="46" spans="1:27" ht="14.25" customHeight="1">
      <c r="C46" s="27"/>
    </row>
    <row r="47" spans="1:27" ht="14.25" customHeight="1">
      <c r="C47" s="27"/>
    </row>
    <row r="48" spans="1:27" ht="14.25" customHeight="1">
      <c r="C48" s="27"/>
    </row>
    <row r="49" spans="3:3" ht="14.25" customHeight="1">
      <c r="C49" s="27"/>
    </row>
    <row r="50" spans="3:3" ht="14.25" customHeight="1">
      <c r="C50" s="27"/>
    </row>
  </sheetData>
  <mergeCells count="1">
    <mergeCell ref="A37:E37"/>
  </mergeCells>
  <pageMargins left="0.25" right="0.05" top="1" bottom="1" header="0.5" footer="0.5"/>
  <pageSetup paperSize="9" scale="82" fitToWidth="2" orientation="landscape" r:id="rId1"/>
  <headerFooter alignWithMargins="0"/>
</worksheet>
</file>

<file path=xl/worksheets/sheet2.xml><?xml version="1.0" encoding="utf-8"?>
<worksheet xmlns="http://schemas.openxmlformats.org/spreadsheetml/2006/main" xmlns:r="http://schemas.openxmlformats.org/officeDocument/2006/relationships">
  <sheetPr codeName="Sheet9"/>
  <dimension ref="A1:J15"/>
  <sheetViews>
    <sheetView workbookViewId="0">
      <selection activeCell="F6" sqref="F6"/>
    </sheetView>
  </sheetViews>
  <sheetFormatPr defaultRowHeight="15"/>
  <cols>
    <col min="1" max="1" width="17.42578125" style="25" bestFit="1" customWidth="1"/>
    <col min="2" max="2" width="12.28515625" style="25" customWidth="1"/>
    <col min="3" max="3" width="24.5703125" style="25" bestFit="1" customWidth="1"/>
    <col min="4" max="4" width="14.42578125" style="25" customWidth="1"/>
    <col min="5" max="5" width="15.140625" style="25" customWidth="1"/>
    <col min="6" max="6" width="14.42578125" style="25" customWidth="1"/>
    <col min="7" max="16384" width="9.140625" style="25"/>
  </cols>
  <sheetData>
    <row r="1" spans="1:10">
      <c r="A1" s="28" t="s">
        <v>146</v>
      </c>
      <c r="B1" s="28" t="s">
        <v>218</v>
      </c>
      <c r="C1" s="28" t="s">
        <v>264</v>
      </c>
    </row>
    <row r="2" spans="1:10">
      <c r="A2" s="28" t="s">
        <v>147</v>
      </c>
      <c r="B2" s="26">
        <v>0</v>
      </c>
      <c r="C2" s="30">
        <f ca="1">ROUNDUP(('fixed cost'!$B$30+'fixed cost'!$B$35),2)</f>
        <v>2.3099999999999996</v>
      </c>
    </row>
    <row r="3" spans="1:10">
      <c r="A3" s="28" t="s">
        <v>148</v>
      </c>
      <c r="B3" s="26">
        <v>0</v>
      </c>
      <c r="C3" s="30">
        <f ca="1">ROUNDUP(('fixed cost'!$B$30+'fixed cost'!$B$35),2)</f>
        <v>2.3099999999999996</v>
      </c>
    </row>
    <row r="4" spans="1:10">
      <c r="A4" s="28" t="s">
        <v>171</v>
      </c>
      <c r="B4" s="26">
        <v>0</v>
      </c>
      <c r="C4" s="30">
        <f ca="1">ROUNDUP(('fixed cost'!$B$30+'fixed cost'!$B$35),2)</f>
        <v>2.3099999999999996</v>
      </c>
    </row>
    <row r="5" spans="1:10">
      <c r="A5" s="28" t="s">
        <v>178</v>
      </c>
      <c r="B5" s="26">
        <v>0</v>
      </c>
      <c r="C5" s="30">
        <f ca="1">ROUNDUP(('fixed cost'!$B$30+'fixed cost'!$B$35),2)</f>
        <v>2.3099999999999996</v>
      </c>
    </row>
    <row r="6" spans="1:10">
      <c r="A6" s="28" t="s">
        <v>179</v>
      </c>
      <c r="B6" s="26">
        <v>0</v>
      </c>
      <c r="C6" s="30">
        <f ca="1">ROUNDUP(('fixed cost'!$B$30+'fixed cost'!$B$35),2)</f>
        <v>2.3099999999999996</v>
      </c>
    </row>
    <row r="7" spans="1:10">
      <c r="B7" s="185" t="s">
        <v>217</v>
      </c>
      <c r="C7" s="185"/>
    </row>
    <row r="9" spans="1:10" ht="15.75" thickBot="1">
      <c r="A9" s="68" t="s">
        <v>146</v>
      </c>
    </row>
    <row r="10" spans="1:10" ht="15.75" thickBot="1">
      <c r="A10" s="120"/>
      <c r="B10" s="121" t="s">
        <v>147</v>
      </c>
      <c r="C10" s="121" t="s">
        <v>148</v>
      </c>
      <c r="D10" s="121" t="s">
        <v>171</v>
      </c>
      <c r="E10" s="121" t="s">
        <v>178</v>
      </c>
      <c r="F10" s="122" t="s">
        <v>179</v>
      </c>
    </row>
    <row r="11" spans="1:10">
      <c r="A11" s="117" t="s">
        <v>207</v>
      </c>
      <c r="B11" s="118">
        <v>2.39</v>
      </c>
      <c r="C11" s="118">
        <v>2.1800000000000002</v>
      </c>
      <c r="D11" s="124">
        <v>2.42</v>
      </c>
      <c r="E11" s="118">
        <v>2.35</v>
      </c>
      <c r="F11" s="119">
        <v>2.39</v>
      </c>
    </row>
    <row r="12" spans="1:10">
      <c r="A12" s="112">
        <v>0</v>
      </c>
      <c r="B12" s="114">
        <v>2.31</v>
      </c>
      <c r="C12" s="114">
        <v>2.31</v>
      </c>
      <c r="D12" s="114">
        <v>2.31</v>
      </c>
      <c r="E12" s="114">
        <v>2.31</v>
      </c>
      <c r="F12" s="115">
        <v>2.31</v>
      </c>
    </row>
    <row r="13" spans="1:10" ht="15.75" thickBot="1">
      <c r="A13" s="113" t="s">
        <v>208</v>
      </c>
      <c r="B13" s="116">
        <v>2.23</v>
      </c>
      <c r="C13" s="116">
        <v>2.48</v>
      </c>
      <c r="D13" s="137">
        <v>2.2000000000000002</v>
      </c>
      <c r="E13" s="116">
        <v>2.2799999999999998</v>
      </c>
      <c r="F13" s="123">
        <v>2.23</v>
      </c>
    </row>
    <row r="15" spans="1:10" ht="87" customHeight="1">
      <c r="A15" s="184" t="s">
        <v>216</v>
      </c>
      <c r="B15" s="184"/>
      <c r="C15" s="184"/>
      <c r="D15" s="184"/>
      <c r="E15" s="184"/>
      <c r="F15" s="184"/>
      <c r="G15" s="184"/>
      <c r="H15" s="184"/>
      <c r="I15" s="184"/>
      <c r="J15" s="184"/>
    </row>
  </sheetData>
  <mergeCells count="2">
    <mergeCell ref="A15:J15"/>
    <mergeCell ref="B7:C7"/>
  </mergeCells>
  <pageMargins left="0.7" right="0.7" top="0.75" bottom="0.75" header="0.3" footer="0.3"/>
  <pageSetup paperSize="9" orientation="portrait" horizontalDpi="300" verticalDpi="300" r:id="rId1"/>
  <ignoredErrors>
    <ignoredError sqref="A11 A13" numberStoredAsText="1"/>
  </ignoredErrors>
</worksheet>
</file>

<file path=xl/worksheets/sheet3.xml><?xml version="1.0" encoding="utf-8"?>
<worksheet xmlns="http://schemas.openxmlformats.org/spreadsheetml/2006/main" xmlns:r="http://schemas.openxmlformats.org/officeDocument/2006/relationships">
  <dimension ref="A1:D13"/>
  <sheetViews>
    <sheetView workbookViewId="0">
      <selection activeCell="B21" sqref="B21"/>
    </sheetView>
  </sheetViews>
  <sheetFormatPr defaultRowHeight="15"/>
  <cols>
    <col min="1" max="1" width="27.5703125" style="143" bestFit="1" customWidth="1"/>
    <col min="2" max="2" width="32.42578125" style="143" bestFit="1" customWidth="1"/>
    <col min="3" max="3" width="27.5703125" style="143" customWidth="1"/>
    <col min="4" max="4" width="35.42578125" style="143" customWidth="1"/>
    <col min="5" max="5" width="14.85546875" style="143" bestFit="1" customWidth="1"/>
    <col min="6" max="16384" width="9.140625" style="143"/>
  </cols>
  <sheetData>
    <row r="1" spans="1:4">
      <c r="A1" s="186" t="s">
        <v>279</v>
      </c>
      <c r="B1" s="187"/>
      <c r="C1" s="188"/>
    </row>
    <row r="2" spans="1:4">
      <c r="A2" s="144" t="s">
        <v>1</v>
      </c>
      <c r="B2" s="145" t="s">
        <v>169</v>
      </c>
      <c r="C2" s="146" t="s">
        <v>280</v>
      </c>
      <c r="D2" s="147"/>
    </row>
    <row r="3" spans="1:4">
      <c r="A3" s="148" t="s">
        <v>281</v>
      </c>
      <c r="B3" s="28">
        <v>3865</v>
      </c>
      <c r="C3" s="189" t="s">
        <v>282</v>
      </c>
    </row>
    <row r="4" spans="1:4">
      <c r="A4" s="148" t="s">
        <v>283</v>
      </c>
      <c r="B4" s="135" t="s">
        <v>284</v>
      </c>
      <c r="C4" s="190"/>
    </row>
    <row r="5" spans="1:4">
      <c r="A5" s="148" t="s">
        <v>285</v>
      </c>
      <c r="B5" s="43">
        <v>480</v>
      </c>
      <c r="C5" s="190"/>
    </row>
    <row r="6" spans="1:4">
      <c r="A6" s="148" t="s">
        <v>286</v>
      </c>
      <c r="B6" s="43">
        <v>83</v>
      </c>
      <c r="C6" s="190"/>
    </row>
    <row r="7" spans="1:4">
      <c r="A7" s="148" t="s">
        <v>287</v>
      </c>
      <c r="B7" s="43">
        <v>79</v>
      </c>
      <c r="C7" s="190"/>
    </row>
    <row r="8" spans="1:4">
      <c r="A8" s="148" t="s">
        <v>288</v>
      </c>
      <c r="B8" s="43">
        <v>0</v>
      </c>
      <c r="C8" s="190"/>
    </row>
    <row r="9" spans="1:4">
      <c r="A9" s="148" t="s">
        <v>289</v>
      </c>
      <c r="B9" s="43">
        <v>10</v>
      </c>
      <c r="C9" s="190"/>
    </row>
    <row r="10" spans="1:4">
      <c r="A10" s="148" t="s">
        <v>290</v>
      </c>
      <c r="B10" s="43">
        <v>26.08</v>
      </c>
      <c r="C10" s="190"/>
    </row>
    <row r="11" spans="1:4">
      <c r="A11" s="148" t="s">
        <v>291</v>
      </c>
      <c r="B11" s="43">
        <f t="shared" ref="B11" si="0">SUM(B5:B10)</f>
        <v>678.08</v>
      </c>
      <c r="C11" s="190"/>
    </row>
    <row r="12" spans="1:4">
      <c r="A12" s="148" t="s">
        <v>292</v>
      </c>
      <c r="B12" s="43">
        <v>455.1</v>
      </c>
      <c r="C12" s="190"/>
    </row>
    <row r="13" spans="1:4" ht="15.75" thickBot="1">
      <c r="A13" s="149" t="s">
        <v>293</v>
      </c>
      <c r="B13" s="150">
        <f t="shared" ref="B13" si="1">B11+B12</f>
        <v>1133.18</v>
      </c>
      <c r="C13" s="191"/>
    </row>
  </sheetData>
  <mergeCells count="2">
    <mergeCell ref="A1:C1"/>
    <mergeCell ref="C3:C13"/>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Z31"/>
  <sheetViews>
    <sheetView view="pageBreakPreview" topLeftCell="A15" zoomScaleSheetLayoutView="100" workbookViewId="0">
      <selection activeCell="A31" sqref="A31"/>
    </sheetView>
  </sheetViews>
  <sheetFormatPr defaultRowHeight="15"/>
  <cols>
    <col min="1" max="1" width="42.7109375" style="25" customWidth="1"/>
    <col min="2" max="26" width="10.140625" style="25" bestFit="1" customWidth="1"/>
    <col min="27" max="16384" width="9.140625" style="25"/>
  </cols>
  <sheetData>
    <row r="1" spans="1:26">
      <c r="A1" s="25" t="s">
        <v>156</v>
      </c>
    </row>
    <row r="2" spans="1:26">
      <c r="A2" s="28" t="s">
        <v>54</v>
      </c>
      <c r="B2" s="28">
        <v>1</v>
      </c>
      <c r="C2" s="28">
        <f>B2+1</f>
        <v>2</v>
      </c>
      <c r="D2" s="28">
        <f t="shared" ref="D2:P2" si="0">C2+1</f>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ref="Q2:Z2" si="1">P2+1</f>
        <v>16</v>
      </c>
      <c r="R2" s="28">
        <f t="shared" si="1"/>
        <v>17</v>
      </c>
      <c r="S2" s="28">
        <f t="shared" si="1"/>
        <v>18</v>
      </c>
      <c r="T2" s="28">
        <f t="shared" si="1"/>
        <v>19</v>
      </c>
      <c r="U2" s="28">
        <f t="shared" si="1"/>
        <v>20</v>
      </c>
      <c r="V2" s="28">
        <f t="shared" si="1"/>
        <v>21</v>
      </c>
      <c r="W2" s="28">
        <f t="shared" si="1"/>
        <v>22</v>
      </c>
      <c r="X2" s="28">
        <f t="shared" si="1"/>
        <v>23</v>
      </c>
      <c r="Y2" s="28">
        <f t="shared" si="1"/>
        <v>24</v>
      </c>
      <c r="Z2" s="28">
        <f t="shared" si="1"/>
        <v>25</v>
      </c>
    </row>
    <row r="3" spans="1:26">
      <c r="A3" s="28" t="s">
        <v>165</v>
      </c>
      <c r="B3" s="28">
        <v>365</v>
      </c>
      <c r="C3" s="28">
        <f>C4</f>
        <v>365</v>
      </c>
      <c r="D3" s="28">
        <f t="shared" ref="D3:Z3" si="2">D4</f>
        <v>366</v>
      </c>
      <c r="E3" s="28">
        <f t="shared" si="2"/>
        <v>365</v>
      </c>
      <c r="F3" s="28">
        <f t="shared" si="2"/>
        <v>365</v>
      </c>
      <c r="G3" s="28">
        <f t="shared" si="2"/>
        <v>365</v>
      </c>
      <c r="H3" s="28">
        <f t="shared" si="2"/>
        <v>366</v>
      </c>
      <c r="I3" s="28">
        <f t="shared" si="2"/>
        <v>365</v>
      </c>
      <c r="J3" s="28">
        <f t="shared" si="2"/>
        <v>365</v>
      </c>
      <c r="K3" s="28">
        <f t="shared" si="2"/>
        <v>365</v>
      </c>
      <c r="L3" s="28">
        <f t="shared" si="2"/>
        <v>366</v>
      </c>
      <c r="M3" s="28">
        <f t="shared" si="2"/>
        <v>365</v>
      </c>
      <c r="N3" s="28">
        <f t="shared" si="2"/>
        <v>365</v>
      </c>
      <c r="O3" s="28">
        <f t="shared" si="2"/>
        <v>365</v>
      </c>
      <c r="P3" s="28">
        <f t="shared" si="2"/>
        <v>366</v>
      </c>
      <c r="Q3" s="28">
        <f t="shared" si="2"/>
        <v>365</v>
      </c>
      <c r="R3" s="28">
        <f t="shared" si="2"/>
        <v>365</v>
      </c>
      <c r="S3" s="28">
        <f t="shared" si="2"/>
        <v>365</v>
      </c>
      <c r="T3" s="28">
        <f t="shared" si="2"/>
        <v>366</v>
      </c>
      <c r="U3" s="28">
        <f t="shared" si="2"/>
        <v>365</v>
      </c>
      <c r="V3" s="28">
        <f t="shared" si="2"/>
        <v>365</v>
      </c>
      <c r="W3" s="28">
        <f t="shared" si="2"/>
        <v>365</v>
      </c>
      <c r="X3" s="28">
        <f t="shared" si="2"/>
        <v>366</v>
      </c>
      <c r="Y3" s="28">
        <f t="shared" si="2"/>
        <v>365</v>
      </c>
      <c r="Z3" s="28">
        <f t="shared" si="2"/>
        <v>365</v>
      </c>
    </row>
    <row r="4" spans="1:26">
      <c r="A4" s="28" t="s">
        <v>2</v>
      </c>
      <c r="B4" s="28">
        <f>Assumption!D22</f>
        <v>364</v>
      </c>
      <c r="C4" s="28">
        <f>Assumption!$D$23</f>
        <v>365</v>
      </c>
      <c r="D4" s="28">
        <f>Assumption!$D$23+1</f>
        <v>366</v>
      </c>
      <c r="E4" s="28">
        <f>Assumption!$D$23</f>
        <v>365</v>
      </c>
      <c r="F4" s="28">
        <f>Assumption!$D$23</f>
        <v>365</v>
      </c>
      <c r="G4" s="28">
        <f>Assumption!$D$23</f>
        <v>365</v>
      </c>
      <c r="H4" s="28">
        <f>Assumption!$D$23+1</f>
        <v>366</v>
      </c>
      <c r="I4" s="28">
        <f>Assumption!$D$23</f>
        <v>365</v>
      </c>
      <c r="J4" s="28">
        <f>Assumption!$D$23</f>
        <v>365</v>
      </c>
      <c r="K4" s="28">
        <f>Assumption!$D$23</f>
        <v>365</v>
      </c>
      <c r="L4" s="28">
        <f>Assumption!$D$23+1</f>
        <v>366</v>
      </c>
      <c r="M4" s="28">
        <f>Assumption!$D$23</f>
        <v>365</v>
      </c>
      <c r="N4" s="28">
        <f>Assumption!$D$23</f>
        <v>365</v>
      </c>
      <c r="O4" s="28">
        <f>Assumption!$D$23</f>
        <v>365</v>
      </c>
      <c r="P4" s="28">
        <f>Assumption!$D$23+1</f>
        <v>366</v>
      </c>
      <c r="Q4" s="28">
        <f>Assumption!$D$23</f>
        <v>365</v>
      </c>
      <c r="R4" s="28">
        <f>Assumption!$D$23</f>
        <v>365</v>
      </c>
      <c r="S4" s="28">
        <f>Assumption!$D$23</f>
        <v>365</v>
      </c>
      <c r="T4" s="28">
        <f>Assumption!$D$23+1</f>
        <v>366</v>
      </c>
      <c r="U4" s="28">
        <f>Assumption!$D$23</f>
        <v>365</v>
      </c>
      <c r="V4" s="28">
        <f>Assumption!$D$23</f>
        <v>365</v>
      </c>
      <c r="W4" s="28">
        <f>Assumption!$D$23</f>
        <v>365</v>
      </c>
      <c r="X4" s="28">
        <f>Assumption!$D$23+1</f>
        <v>366</v>
      </c>
      <c r="Y4" s="28">
        <f>Assumption!$D$23</f>
        <v>365</v>
      </c>
      <c r="Z4" s="28">
        <f>Assumption!$D$23</f>
        <v>365</v>
      </c>
    </row>
    <row r="5" spans="1:26">
      <c r="A5" s="28" t="s">
        <v>0</v>
      </c>
      <c r="B5" s="29">
        <f>DATE(2014,3,31)</f>
        <v>41729</v>
      </c>
      <c r="C5" s="29">
        <f>DATE((YEAR(B5)+1),MONTH(B5),DAY(B5))</f>
        <v>42094</v>
      </c>
      <c r="D5" s="29">
        <f>DATE((YEAR(C5)+1),MONTH(C5),DAY(C5))</f>
        <v>42460</v>
      </c>
      <c r="E5" s="29">
        <f t="shared" ref="E5:P5" si="3">DATE((YEAR(D5)+1),MONTH(D5),DAY(D5))</f>
        <v>42825</v>
      </c>
      <c r="F5" s="29">
        <f t="shared" si="3"/>
        <v>43190</v>
      </c>
      <c r="G5" s="29">
        <f t="shared" si="3"/>
        <v>43555</v>
      </c>
      <c r="H5" s="29">
        <f t="shared" si="3"/>
        <v>43921</v>
      </c>
      <c r="I5" s="29">
        <f t="shared" si="3"/>
        <v>44286</v>
      </c>
      <c r="J5" s="29">
        <f t="shared" si="3"/>
        <v>44651</v>
      </c>
      <c r="K5" s="29">
        <f t="shared" si="3"/>
        <v>45016</v>
      </c>
      <c r="L5" s="29">
        <f t="shared" si="3"/>
        <v>45382</v>
      </c>
      <c r="M5" s="29">
        <f t="shared" si="3"/>
        <v>45747</v>
      </c>
      <c r="N5" s="29">
        <f t="shared" si="3"/>
        <v>46112</v>
      </c>
      <c r="O5" s="29">
        <f t="shared" si="3"/>
        <v>46477</v>
      </c>
      <c r="P5" s="29">
        <f t="shared" si="3"/>
        <v>46843</v>
      </c>
      <c r="Q5" s="29">
        <f t="shared" ref="Q5:Z5" si="4">DATE((YEAR(P5)+1),MONTH(P5),DAY(P5))</f>
        <v>47208</v>
      </c>
      <c r="R5" s="29">
        <f t="shared" si="4"/>
        <v>47573</v>
      </c>
      <c r="S5" s="29">
        <f t="shared" si="4"/>
        <v>47938</v>
      </c>
      <c r="T5" s="29">
        <f t="shared" si="4"/>
        <v>48304</v>
      </c>
      <c r="U5" s="29">
        <f t="shared" si="4"/>
        <v>48669</v>
      </c>
      <c r="V5" s="29">
        <f t="shared" si="4"/>
        <v>49034</v>
      </c>
      <c r="W5" s="29">
        <f t="shared" si="4"/>
        <v>49399</v>
      </c>
      <c r="X5" s="29">
        <f t="shared" si="4"/>
        <v>49765</v>
      </c>
      <c r="Y5" s="29">
        <f t="shared" si="4"/>
        <v>50130</v>
      </c>
      <c r="Z5" s="29">
        <f t="shared" si="4"/>
        <v>50495</v>
      </c>
    </row>
    <row r="6" spans="1:26">
      <c r="A6" s="25" t="s">
        <v>1</v>
      </c>
    </row>
    <row r="7" spans="1:26">
      <c r="A7" s="28" t="s">
        <v>234</v>
      </c>
      <c r="B7" s="30">
        <f>B19</f>
        <v>34440</v>
      </c>
      <c r="C7" s="30">
        <f t="shared" ref="C7:P7" si="5">C19</f>
        <v>34440</v>
      </c>
      <c r="D7" s="30">
        <f t="shared" si="5"/>
        <v>34440</v>
      </c>
      <c r="E7" s="30">
        <f t="shared" si="5"/>
        <v>34440</v>
      </c>
      <c r="F7" s="30">
        <f t="shared" si="5"/>
        <v>34440</v>
      </c>
      <c r="G7" s="30">
        <f t="shared" si="5"/>
        <v>34440</v>
      </c>
      <c r="H7" s="30">
        <f t="shared" si="5"/>
        <v>34440</v>
      </c>
      <c r="I7" s="30">
        <f t="shared" si="5"/>
        <v>34440</v>
      </c>
      <c r="J7" s="30">
        <f t="shared" si="5"/>
        <v>34440</v>
      </c>
      <c r="K7" s="30">
        <f t="shared" si="5"/>
        <v>34440</v>
      </c>
      <c r="L7" s="30">
        <f t="shared" si="5"/>
        <v>34440</v>
      </c>
      <c r="M7" s="30">
        <f t="shared" si="5"/>
        <v>34440</v>
      </c>
      <c r="N7" s="30">
        <f t="shared" si="5"/>
        <v>34440</v>
      </c>
      <c r="O7" s="30">
        <f t="shared" si="5"/>
        <v>34440</v>
      </c>
      <c r="P7" s="30">
        <f t="shared" si="5"/>
        <v>34440</v>
      </c>
      <c r="Q7" s="30">
        <f t="shared" ref="Q7:Z7" si="6">Q19</f>
        <v>34440</v>
      </c>
      <c r="R7" s="30">
        <f t="shared" si="6"/>
        <v>34440</v>
      </c>
      <c r="S7" s="30">
        <f t="shared" si="6"/>
        <v>34440</v>
      </c>
      <c r="T7" s="30">
        <f t="shared" si="6"/>
        <v>34440</v>
      </c>
      <c r="U7" s="30">
        <f t="shared" si="6"/>
        <v>34440</v>
      </c>
      <c r="V7" s="30">
        <f t="shared" si="6"/>
        <v>34440</v>
      </c>
      <c r="W7" s="30">
        <f t="shared" si="6"/>
        <v>34440</v>
      </c>
      <c r="X7" s="30">
        <f t="shared" si="6"/>
        <v>34440</v>
      </c>
      <c r="Y7" s="30">
        <f t="shared" si="6"/>
        <v>34440</v>
      </c>
      <c r="Z7" s="30">
        <f t="shared" si="6"/>
        <v>34440</v>
      </c>
    </row>
    <row r="8" spans="1:26">
      <c r="A8" s="28" t="s">
        <v>235</v>
      </c>
      <c r="B8" s="30">
        <f>B24</f>
        <v>1813.449994520548</v>
      </c>
      <c r="C8" s="30">
        <f t="shared" ref="C8:Y8" si="7">C24</f>
        <v>1818.4320000000002</v>
      </c>
      <c r="D8" s="30">
        <f t="shared" si="7"/>
        <v>1818.432</v>
      </c>
      <c r="E8" s="30">
        <f t="shared" si="7"/>
        <v>1818.4320000000002</v>
      </c>
      <c r="F8" s="30">
        <f t="shared" si="7"/>
        <v>1818.4320000000002</v>
      </c>
      <c r="G8" s="30">
        <f t="shared" si="7"/>
        <v>1818.4320000000002</v>
      </c>
      <c r="H8" s="30">
        <f t="shared" si="7"/>
        <v>1818.432</v>
      </c>
      <c r="I8" s="30">
        <f t="shared" si="7"/>
        <v>1818.4320000000002</v>
      </c>
      <c r="J8" s="30">
        <f t="shared" si="7"/>
        <v>1818.4320000000002</v>
      </c>
      <c r="K8" s="30">
        <f t="shared" si="7"/>
        <v>1818.4320000000002</v>
      </c>
      <c r="L8" s="30">
        <f t="shared" si="7"/>
        <v>1818.432</v>
      </c>
      <c r="M8" s="30">
        <f t="shared" si="7"/>
        <v>1818.4320000000002</v>
      </c>
      <c r="N8" s="30">
        <f t="shared" si="7"/>
        <v>706.13830811380353</v>
      </c>
      <c r="O8" s="30">
        <f t="shared" si="7"/>
        <v>706.13830811380353</v>
      </c>
      <c r="P8" s="30">
        <f t="shared" si="7"/>
        <v>706.13830811380353</v>
      </c>
      <c r="Q8" s="30">
        <f t="shared" si="7"/>
        <v>706.13830811380353</v>
      </c>
      <c r="R8" s="30">
        <f t="shared" si="7"/>
        <v>706.13830811380353</v>
      </c>
      <c r="S8" s="30">
        <f t="shared" si="7"/>
        <v>706.13830811380353</v>
      </c>
      <c r="T8" s="30">
        <f t="shared" si="7"/>
        <v>706.13830811380353</v>
      </c>
      <c r="U8" s="30">
        <f t="shared" si="7"/>
        <v>706.13830811380353</v>
      </c>
      <c r="V8" s="30">
        <f t="shared" si="7"/>
        <v>706.13830811380353</v>
      </c>
      <c r="W8" s="30">
        <f t="shared" si="7"/>
        <v>706.13830811380353</v>
      </c>
      <c r="X8" s="30">
        <f t="shared" si="7"/>
        <v>706.13830811380353</v>
      </c>
      <c r="Y8" s="30">
        <f t="shared" si="7"/>
        <v>706.13830811380353</v>
      </c>
      <c r="Z8" s="30">
        <f t="shared" ref="Z8" si="8">Z24</f>
        <v>706.13830811380353</v>
      </c>
    </row>
    <row r="9" spans="1:26">
      <c r="A9" s="28" t="s">
        <v>236</v>
      </c>
      <c r="B9" s="30">
        <f>B8</f>
        <v>1813.449994520548</v>
      </c>
      <c r="C9" s="30">
        <f t="shared" ref="C9:Q9" si="9">B9+C8</f>
        <v>3631.8819945205482</v>
      </c>
      <c r="D9" s="30">
        <f t="shared" si="9"/>
        <v>5450.3139945205485</v>
      </c>
      <c r="E9" s="30">
        <f t="shared" si="9"/>
        <v>7268.7459945205483</v>
      </c>
      <c r="F9" s="30">
        <f t="shared" si="9"/>
        <v>9087.177994520549</v>
      </c>
      <c r="G9" s="30">
        <f t="shared" si="9"/>
        <v>10905.60999452055</v>
      </c>
      <c r="H9" s="30">
        <f t="shared" si="9"/>
        <v>12724.04199452055</v>
      </c>
      <c r="I9" s="30">
        <f t="shared" si="9"/>
        <v>14542.473994520551</v>
      </c>
      <c r="J9" s="30">
        <f t="shared" si="9"/>
        <v>16360.905994520552</v>
      </c>
      <c r="K9" s="30">
        <f t="shared" si="9"/>
        <v>18179.337994520552</v>
      </c>
      <c r="L9" s="30">
        <f t="shared" si="9"/>
        <v>19997.769994520553</v>
      </c>
      <c r="M9" s="30">
        <f t="shared" si="9"/>
        <v>21816.201994520554</v>
      </c>
      <c r="N9" s="30">
        <f t="shared" si="9"/>
        <v>22522.340302634359</v>
      </c>
      <c r="O9" s="30">
        <f t="shared" si="9"/>
        <v>23228.478610748163</v>
      </c>
      <c r="P9" s="30">
        <f t="shared" si="9"/>
        <v>23934.616918861968</v>
      </c>
      <c r="Q9" s="30">
        <f t="shared" si="9"/>
        <v>24640.755226975773</v>
      </c>
      <c r="R9" s="30">
        <f t="shared" ref="R9" si="10">Q9+R8</f>
        <v>25346.893535089577</v>
      </c>
      <c r="S9" s="30">
        <f t="shared" ref="S9" si="11">R9+S8</f>
        <v>26053.031843203382</v>
      </c>
      <c r="T9" s="30">
        <f t="shared" ref="T9" si="12">S9+T8</f>
        <v>26759.170151317187</v>
      </c>
      <c r="U9" s="30">
        <f t="shared" ref="U9" si="13">T9+U8</f>
        <v>27465.308459430991</v>
      </c>
      <c r="V9" s="30">
        <f t="shared" ref="V9" si="14">U9+V8</f>
        <v>28171.446767544796</v>
      </c>
      <c r="W9" s="30">
        <f t="shared" ref="W9" si="15">V9+W8</f>
        <v>28877.585075658601</v>
      </c>
      <c r="X9" s="30">
        <f t="shared" ref="X9" si="16">W9+X8</f>
        <v>29583.723383772405</v>
      </c>
      <c r="Y9" s="30">
        <f t="shared" ref="Y9" si="17">X9+Y8</f>
        <v>30289.86169188621</v>
      </c>
      <c r="Z9" s="30">
        <f t="shared" ref="Z9" si="18">Y9+Z8</f>
        <v>30996.000000000015</v>
      </c>
    </row>
    <row r="11" spans="1:26">
      <c r="A11" s="25" t="s">
        <v>80</v>
      </c>
    </row>
    <row r="12" spans="1:26">
      <c r="A12" s="28" t="s">
        <v>237</v>
      </c>
      <c r="B12" s="30">
        <f>Assumption!D10</f>
        <v>34440</v>
      </c>
      <c r="C12" s="30">
        <f>B14</f>
        <v>29274</v>
      </c>
      <c r="D12" s="30">
        <f t="shared" ref="D12:Z12" si="19">C14</f>
        <v>24882.9</v>
      </c>
      <c r="E12" s="30">
        <f t="shared" si="19"/>
        <v>21150.465</v>
      </c>
      <c r="F12" s="30">
        <f t="shared" si="19"/>
        <v>17977.895250000001</v>
      </c>
      <c r="G12" s="30">
        <f t="shared" si="19"/>
        <v>15281.210962500001</v>
      </c>
      <c r="H12" s="30">
        <f t="shared" si="19"/>
        <v>12989.029318125002</v>
      </c>
      <c r="I12" s="30">
        <f t="shared" si="19"/>
        <v>11040.674920406251</v>
      </c>
      <c r="J12" s="30">
        <f t="shared" si="19"/>
        <v>9384.5736823453135</v>
      </c>
      <c r="K12" s="30">
        <f t="shared" si="19"/>
        <v>7976.8876299935164</v>
      </c>
      <c r="L12" s="30">
        <f t="shared" si="19"/>
        <v>6780.3544854944885</v>
      </c>
      <c r="M12" s="30">
        <f t="shared" si="19"/>
        <v>5763.3013126703154</v>
      </c>
      <c r="N12" s="30">
        <f t="shared" si="19"/>
        <v>4898.8061157697684</v>
      </c>
      <c r="O12" s="30">
        <f t="shared" si="19"/>
        <v>4163.9851984043034</v>
      </c>
      <c r="P12" s="30">
        <f t="shared" si="19"/>
        <v>3539.3874186436578</v>
      </c>
      <c r="Q12" s="30">
        <f t="shared" si="19"/>
        <v>3008.4793058471091</v>
      </c>
      <c r="R12" s="30">
        <f t="shared" si="19"/>
        <v>2557.2074099700426</v>
      </c>
      <c r="S12" s="30">
        <f t="shared" si="19"/>
        <v>2173.6262984745363</v>
      </c>
      <c r="T12" s="30">
        <f t="shared" si="19"/>
        <v>1847.5823537033559</v>
      </c>
      <c r="U12" s="30">
        <f t="shared" si="19"/>
        <v>1570.4450006478526</v>
      </c>
      <c r="V12" s="30">
        <f t="shared" si="19"/>
        <v>1334.8782505506747</v>
      </c>
      <c r="W12" s="30">
        <f t="shared" si="19"/>
        <v>1134.6465129680735</v>
      </c>
      <c r="X12" s="30">
        <f t="shared" si="19"/>
        <v>964.4495360228625</v>
      </c>
      <c r="Y12" s="30">
        <f t="shared" si="19"/>
        <v>819.7821056194332</v>
      </c>
      <c r="Z12" s="30">
        <f t="shared" si="19"/>
        <v>696.81478977651818</v>
      </c>
    </row>
    <row r="13" spans="1:26">
      <c r="A13" s="28" t="s">
        <v>238</v>
      </c>
      <c r="B13" s="30">
        <f>(B12*Assumption!$D$32)</f>
        <v>5166</v>
      </c>
      <c r="C13" s="30">
        <f>(C12*Assumption!$D$32)</f>
        <v>4391.0999999999995</v>
      </c>
      <c r="D13" s="30">
        <f>(D12*Assumption!$D$32)</f>
        <v>3732.4349999999999</v>
      </c>
      <c r="E13" s="30">
        <f>(E12*Assumption!$D$32)</f>
        <v>3172.5697500000001</v>
      </c>
      <c r="F13" s="30">
        <f>(F12*Assumption!$D$32)</f>
        <v>2696.6842875000002</v>
      </c>
      <c r="G13" s="30">
        <f>(G12*Assumption!$D$32)</f>
        <v>2292.1816443749999</v>
      </c>
      <c r="H13" s="30">
        <f>(H12*Assumption!$D$32)</f>
        <v>1948.3543977187501</v>
      </c>
      <c r="I13" s="30">
        <f>(I12*Assumption!$D$32)</f>
        <v>1656.1012380609375</v>
      </c>
      <c r="J13" s="30">
        <f>(J12*Assumption!$D$32)</f>
        <v>1407.6860523517969</v>
      </c>
      <c r="K13" s="30">
        <f>(K12*Assumption!$D$32)</f>
        <v>1196.5331444990275</v>
      </c>
      <c r="L13" s="30">
        <f>(L12*Assumption!$D$32)</f>
        <v>1017.0531728241732</v>
      </c>
      <c r="M13" s="30">
        <f>(M12*Assumption!$D$32)</f>
        <v>864.49519690054728</v>
      </c>
      <c r="N13" s="30">
        <f>(N12*Assumption!$D$32)</f>
        <v>734.82091736546522</v>
      </c>
      <c r="O13" s="30">
        <f>(O12*Assumption!$D$32)</f>
        <v>624.59777976064549</v>
      </c>
      <c r="P13" s="30">
        <f>(P12*Assumption!$D$32)</f>
        <v>530.90811279654861</v>
      </c>
      <c r="Q13" s="30">
        <f>(Q12*Assumption!$D$32)</f>
        <v>451.27189587706636</v>
      </c>
      <c r="R13" s="30">
        <f>(R12*Assumption!$D$32)</f>
        <v>383.58111149550638</v>
      </c>
      <c r="S13" s="30">
        <f>(S12*Assumption!$D$32)</f>
        <v>326.04394477118041</v>
      </c>
      <c r="T13" s="30">
        <f>(T12*Assumption!$D$32)</f>
        <v>277.13735305550335</v>
      </c>
      <c r="U13" s="30">
        <f>(U12*Assumption!$D$32)</f>
        <v>235.56675009717787</v>
      </c>
      <c r="V13" s="30">
        <f>(V12*Assumption!$D$32)</f>
        <v>200.2317375826012</v>
      </c>
      <c r="W13" s="30">
        <f>(W12*Assumption!$D$32)</f>
        <v>170.19697694521102</v>
      </c>
      <c r="X13" s="30">
        <f>(X12*Assumption!$D$32)</f>
        <v>144.66743040342936</v>
      </c>
      <c r="Y13" s="30">
        <f>(Y12*Assumption!$D$32)</f>
        <v>122.96731584291497</v>
      </c>
      <c r="Z13" s="30">
        <f>(Z12*Assumption!$D$32)</f>
        <v>104.52221846647772</v>
      </c>
    </row>
    <row r="14" spans="1:26">
      <c r="A14" s="28" t="s">
        <v>239</v>
      </c>
      <c r="B14" s="30">
        <f>B12-B13</f>
        <v>29274</v>
      </c>
      <c r="C14" s="30">
        <f t="shared" ref="C14:Z14" si="20">C12-C13</f>
        <v>24882.9</v>
      </c>
      <c r="D14" s="30">
        <f t="shared" si="20"/>
        <v>21150.465</v>
      </c>
      <c r="E14" s="30">
        <f t="shared" si="20"/>
        <v>17977.895250000001</v>
      </c>
      <c r="F14" s="30">
        <f t="shared" si="20"/>
        <v>15281.210962500001</v>
      </c>
      <c r="G14" s="30">
        <f t="shared" si="20"/>
        <v>12989.029318125002</v>
      </c>
      <c r="H14" s="30">
        <f t="shared" si="20"/>
        <v>11040.674920406251</v>
      </c>
      <c r="I14" s="30">
        <f t="shared" si="20"/>
        <v>9384.5736823453135</v>
      </c>
      <c r="J14" s="30">
        <f t="shared" si="20"/>
        <v>7976.8876299935164</v>
      </c>
      <c r="K14" s="30">
        <f t="shared" si="20"/>
        <v>6780.3544854944885</v>
      </c>
      <c r="L14" s="30">
        <f t="shared" si="20"/>
        <v>5763.3013126703154</v>
      </c>
      <c r="M14" s="30">
        <f t="shared" si="20"/>
        <v>4898.8061157697684</v>
      </c>
      <c r="N14" s="30">
        <f t="shared" si="20"/>
        <v>4163.9851984043034</v>
      </c>
      <c r="O14" s="30">
        <f t="shared" si="20"/>
        <v>3539.3874186436578</v>
      </c>
      <c r="P14" s="30">
        <f t="shared" si="20"/>
        <v>3008.4793058471091</v>
      </c>
      <c r="Q14" s="30">
        <f t="shared" si="20"/>
        <v>2557.2074099700426</v>
      </c>
      <c r="R14" s="30">
        <f t="shared" si="20"/>
        <v>2173.6262984745363</v>
      </c>
      <c r="S14" s="30">
        <f t="shared" si="20"/>
        <v>1847.5823537033559</v>
      </c>
      <c r="T14" s="30">
        <f t="shared" si="20"/>
        <v>1570.4450006478526</v>
      </c>
      <c r="U14" s="30">
        <f t="shared" si="20"/>
        <v>1334.8782505506747</v>
      </c>
      <c r="V14" s="30">
        <f t="shared" si="20"/>
        <v>1134.6465129680735</v>
      </c>
      <c r="W14" s="30">
        <f t="shared" si="20"/>
        <v>964.4495360228625</v>
      </c>
      <c r="X14" s="30">
        <f t="shared" si="20"/>
        <v>819.7821056194332</v>
      </c>
      <c r="Y14" s="30">
        <f t="shared" si="20"/>
        <v>696.81478977651818</v>
      </c>
      <c r="Z14" s="30">
        <f t="shared" si="20"/>
        <v>592.29257131004044</v>
      </c>
    </row>
    <row r="16" spans="1:26">
      <c r="A16" s="25" t="s">
        <v>43</v>
      </c>
    </row>
    <row r="17" spans="1:26">
      <c r="A17" s="28" t="s">
        <v>55</v>
      </c>
      <c r="B17" s="29">
        <f>B5</f>
        <v>41729</v>
      </c>
      <c r="C17" s="29">
        <f t="shared" ref="C17:Z17" si="21">C5</f>
        <v>42094</v>
      </c>
      <c r="D17" s="29">
        <f t="shared" si="21"/>
        <v>42460</v>
      </c>
      <c r="E17" s="29">
        <f t="shared" si="21"/>
        <v>42825</v>
      </c>
      <c r="F17" s="29">
        <f t="shared" si="21"/>
        <v>43190</v>
      </c>
      <c r="G17" s="29">
        <f t="shared" si="21"/>
        <v>43555</v>
      </c>
      <c r="H17" s="29">
        <f t="shared" si="21"/>
        <v>43921</v>
      </c>
      <c r="I17" s="29">
        <f t="shared" si="21"/>
        <v>44286</v>
      </c>
      <c r="J17" s="29">
        <f t="shared" si="21"/>
        <v>44651</v>
      </c>
      <c r="K17" s="29">
        <f t="shared" si="21"/>
        <v>45016</v>
      </c>
      <c r="L17" s="29">
        <f t="shared" si="21"/>
        <v>45382</v>
      </c>
      <c r="M17" s="29">
        <f t="shared" si="21"/>
        <v>45747</v>
      </c>
      <c r="N17" s="29">
        <f t="shared" si="21"/>
        <v>46112</v>
      </c>
      <c r="O17" s="29">
        <f t="shared" si="21"/>
        <v>46477</v>
      </c>
      <c r="P17" s="29">
        <f t="shared" si="21"/>
        <v>46843</v>
      </c>
      <c r="Q17" s="29">
        <f t="shared" si="21"/>
        <v>47208</v>
      </c>
      <c r="R17" s="29">
        <f t="shared" si="21"/>
        <v>47573</v>
      </c>
      <c r="S17" s="29">
        <f t="shared" si="21"/>
        <v>47938</v>
      </c>
      <c r="T17" s="29">
        <f t="shared" si="21"/>
        <v>48304</v>
      </c>
      <c r="U17" s="29">
        <f t="shared" si="21"/>
        <v>48669</v>
      </c>
      <c r="V17" s="29">
        <f t="shared" si="21"/>
        <v>49034</v>
      </c>
      <c r="W17" s="29">
        <f t="shared" si="21"/>
        <v>49399</v>
      </c>
      <c r="X17" s="29">
        <f t="shared" si="21"/>
        <v>49765</v>
      </c>
      <c r="Y17" s="29">
        <f t="shared" si="21"/>
        <v>50130</v>
      </c>
      <c r="Z17" s="29">
        <f t="shared" si="21"/>
        <v>50495</v>
      </c>
    </row>
    <row r="18" spans="1:26">
      <c r="A18" s="28" t="s">
        <v>240</v>
      </c>
      <c r="B18" s="30">
        <f>Assumption!D10</f>
        <v>34440</v>
      </c>
      <c r="C18" s="30">
        <f>B18</f>
        <v>34440</v>
      </c>
      <c r="D18" s="30">
        <f>C18</f>
        <v>34440</v>
      </c>
      <c r="E18" s="30">
        <f>D18</f>
        <v>34440</v>
      </c>
      <c r="F18" s="30">
        <f t="shared" ref="F18:Q18" si="22">E18</f>
        <v>34440</v>
      </c>
      <c r="G18" s="30">
        <f t="shared" si="22"/>
        <v>34440</v>
      </c>
      <c r="H18" s="30">
        <f t="shared" si="22"/>
        <v>34440</v>
      </c>
      <c r="I18" s="30">
        <f t="shared" si="22"/>
        <v>34440</v>
      </c>
      <c r="J18" s="30">
        <f t="shared" si="22"/>
        <v>34440</v>
      </c>
      <c r="K18" s="30">
        <f t="shared" si="22"/>
        <v>34440</v>
      </c>
      <c r="L18" s="30">
        <f t="shared" si="22"/>
        <v>34440</v>
      </c>
      <c r="M18" s="30">
        <f t="shared" si="22"/>
        <v>34440</v>
      </c>
      <c r="N18" s="30">
        <f t="shared" si="22"/>
        <v>34440</v>
      </c>
      <c r="O18" s="30">
        <f t="shared" si="22"/>
        <v>34440</v>
      </c>
      <c r="P18" s="30">
        <f t="shared" si="22"/>
        <v>34440</v>
      </c>
      <c r="Q18" s="30">
        <f t="shared" si="22"/>
        <v>34440</v>
      </c>
      <c r="R18" s="30">
        <f t="shared" ref="R18" si="23">Q18</f>
        <v>34440</v>
      </c>
      <c r="S18" s="30">
        <f t="shared" ref="S18" si="24">R18</f>
        <v>34440</v>
      </c>
      <c r="T18" s="30">
        <f t="shared" ref="T18" si="25">S18</f>
        <v>34440</v>
      </c>
      <c r="U18" s="30">
        <f t="shared" ref="U18" si="26">T18</f>
        <v>34440</v>
      </c>
      <c r="V18" s="30">
        <f t="shared" ref="V18" si="27">U18</f>
        <v>34440</v>
      </c>
      <c r="W18" s="30">
        <f t="shared" ref="W18" si="28">V18</f>
        <v>34440</v>
      </c>
      <c r="X18" s="30">
        <f t="shared" ref="X18" si="29">W18</f>
        <v>34440</v>
      </c>
      <c r="Y18" s="30">
        <f t="shared" ref="Y18" si="30">X18</f>
        <v>34440</v>
      </c>
      <c r="Z18" s="30">
        <f t="shared" ref="Z18" si="31">Y18</f>
        <v>34440</v>
      </c>
    </row>
    <row r="19" spans="1:26">
      <c r="A19" s="28"/>
      <c r="B19" s="30">
        <f t="shared" ref="B19:Z19" si="32">SUM(B18:B18)</f>
        <v>34440</v>
      </c>
      <c r="C19" s="30">
        <f t="shared" si="32"/>
        <v>34440</v>
      </c>
      <c r="D19" s="30">
        <f t="shared" si="32"/>
        <v>34440</v>
      </c>
      <c r="E19" s="30">
        <f t="shared" si="32"/>
        <v>34440</v>
      </c>
      <c r="F19" s="30">
        <f t="shared" si="32"/>
        <v>34440</v>
      </c>
      <c r="G19" s="30">
        <f t="shared" si="32"/>
        <v>34440</v>
      </c>
      <c r="H19" s="30">
        <f t="shared" si="32"/>
        <v>34440</v>
      </c>
      <c r="I19" s="30">
        <f t="shared" si="32"/>
        <v>34440</v>
      </c>
      <c r="J19" s="30">
        <f t="shared" si="32"/>
        <v>34440</v>
      </c>
      <c r="K19" s="30">
        <f t="shared" si="32"/>
        <v>34440</v>
      </c>
      <c r="L19" s="30">
        <f t="shared" si="32"/>
        <v>34440</v>
      </c>
      <c r="M19" s="30">
        <f t="shared" si="32"/>
        <v>34440</v>
      </c>
      <c r="N19" s="30">
        <f t="shared" si="32"/>
        <v>34440</v>
      </c>
      <c r="O19" s="30">
        <f t="shared" si="32"/>
        <v>34440</v>
      </c>
      <c r="P19" s="30">
        <f t="shared" si="32"/>
        <v>34440</v>
      </c>
      <c r="Q19" s="30">
        <f t="shared" si="32"/>
        <v>34440</v>
      </c>
      <c r="R19" s="30">
        <f t="shared" si="32"/>
        <v>34440</v>
      </c>
      <c r="S19" s="30">
        <f t="shared" si="32"/>
        <v>34440</v>
      </c>
      <c r="T19" s="30">
        <f t="shared" si="32"/>
        <v>34440</v>
      </c>
      <c r="U19" s="30">
        <f t="shared" si="32"/>
        <v>34440</v>
      </c>
      <c r="V19" s="30">
        <f t="shared" si="32"/>
        <v>34440</v>
      </c>
      <c r="W19" s="30">
        <f t="shared" si="32"/>
        <v>34440</v>
      </c>
      <c r="X19" s="30">
        <f t="shared" si="32"/>
        <v>34440</v>
      </c>
      <c r="Y19" s="30">
        <f t="shared" si="32"/>
        <v>34440</v>
      </c>
      <c r="Z19" s="30">
        <f t="shared" si="32"/>
        <v>34440</v>
      </c>
    </row>
    <row r="20" spans="1:26">
      <c r="B20" s="31"/>
    </row>
    <row r="21" spans="1:26">
      <c r="A21" s="25" t="s">
        <v>51</v>
      </c>
      <c r="B21" s="31"/>
    </row>
    <row r="22" spans="1:26">
      <c r="A22" s="28" t="str">
        <f>A17</f>
        <v>Year ending on</v>
      </c>
      <c r="B22" s="29">
        <f>B17</f>
        <v>41729</v>
      </c>
      <c r="C22" s="29">
        <f t="shared" ref="C22:Z22" si="33">C17</f>
        <v>42094</v>
      </c>
      <c r="D22" s="29">
        <f t="shared" si="33"/>
        <v>42460</v>
      </c>
      <c r="E22" s="29">
        <f t="shared" si="33"/>
        <v>42825</v>
      </c>
      <c r="F22" s="29">
        <f t="shared" si="33"/>
        <v>43190</v>
      </c>
      <c r="G22" s="29">
        <f t="shared" si="33"/>
        <v>43555</v>
      </c>
      <c r="H22" s="29">
        <f t="shared" si="33"/>
        <v>43921</v>
      </c>
      <c r="I22" s="29">
        <f t="shared" si="33"/>
        <v>44286</v>
      </c>
      <c r="J22" s="29">
        <f t="shared" si="33"/>
        <v>44651</v>
      </c>
      <c r="K22" s="29">
        <f t="shared" si="33"/>
        <v>45016</v>
      </c>
      <c r="L22" s="29">
        <f t="shared" si="33"/>
        <v>45382</v>
      </c>
      <c r="M22" s="29">
        <f t="shared" si="33"/>
        <v>45747</v>
      </c>
      <c r="N22" s="29">
        <f t="shared" si="33"/>
        <v>46112</v>
      </c>
      <c r="O22" s="29">
        <f t="shared" si="33"/>
        <v>46477</v>
      </c>
      <c r="P22" s="29">
        <f t="shared" si="33"/>
        <v>46843</v>
      </c>
      <c r="Q22" s="29">
        <f t="shared" si="33"/>
        <v>47208</v>
      </c>
      <c r="R22" s="29">
        <f t="shared" si="33"/>
        <v>47573</v>
      </c>
      <c r="S22" s="29">
        <f t="shared" si="33"/>
        <v>47938</v>
      </c>
      <c r="T22" s="29">
        <f t="shared" si="33"/>
        <v>48304</v>
      </c>
      <c r="U22" s="29">
        <f t="shared" si="33"/>
        <v>48669</v>
      </c>
      <c r="V22" s="29">
        <f t="shared" si="33"/>
        <v>49034</v>
      </c>
      <c r="W22" s="29">
        <f t="shared" si="33"/>
        <v>49399</v>
      </c>
      <c r="X22" s="29">
        <f t="shared" si="33"/>
        <v>49765</v>
      </c>
      <c r="Y22" s="29">
        <f t="shared" si="33"/>
        <v>50130</v>
      </c>
      <c r="Z22" s="29">
        <f t="shared" si="33"/>
        <v>50495</v>
      </c>
    </row>
    <row r="23" spans="1:26" s="33" customFormat="1">
      <c r="A23" s="136" t="s">
        <v>240</v>
      </c>
      <c r="B23" s="32">
        <f>IF(B2&lt;=12,B18*Assumption!$D$27*depre!B4/B3,(Assumption!$D$10-(Assumption!$D$10*Assumption!$D$28)-SUM($B$23:$M$23))/13)</f>
        <v>1813.449994520548</v>
      </c>
      <c r="C23" s="32">
        <f>IF(C2&lt;=12,C18*Assumption!$D$27*depre!C4/C3,(Assumption!$D$10-(Assumption!$D$10*Assumption!$D$28)-SUM($B$23:$M$23))/13)</f>
        <v>1818.4320000000002</v>
      </c>
      <c r="D23" s="32">
        <f>IF(D2&lt;=12,D18*Assumption!$D$27*depre!D4/D3,(Assumption!$D$10-(Assumption!$D$10*Assumption!$D$28)-SUM($B$23:$M$23))/13)</f>
        <v>1818.432</v>
      </c>
      <c r="E23" s="32">
        <f>IF(E2&lt;=12,E18*Assumption!$D$27*depre!E4/E3,(Assumption!$D$10-(Assumption!$D$10*Assumption!$D$28)-SUM($B$23:$M$23))/13)</f>
        <v>1818.4320000000002</v>
      </c>
      <c r="F23" s="32">
        <f>IF(F2&lt;=12,F18*Assumption!$D$27*depre!F4/F3,(Assumption!$D$10-(Assumption!$D$10*Assumption!$D$28)-SUM($B$23:$M$23))/13)</f>
        <v>1818.4320000000002</v>
      </c>
      <c r="G23" s="32">
        <f>IF(G2&lt;=12,G18*Assumption!$D$27*depre!G4/G3,(Assumption!$D$10-(Assumption!$D$10*Assumption!$D$28)-SUM($B$23:$M$23))/13)</f>
        <v>1818.4320000000002</v>
      </c>
      <c r="H23" s="32">
        <f>IF(H2&lt;=12,H18*Assumption!$D$27*depre!H4/H3,(Assumption!$D$10-(Assumption!$D$10*Assumption!$D$28)-SUM($B$23:$M$23))/13)</f>
        <v>1818.432</v>
      </c>
      <c r="I23" s="32">
        <f>IF(I2&lt;=12,I18*Assumption!$D$27*depre!I4/I3,(Assumption!$D$10-(Assumption!$D$10*Assumption!$D$28)-SUM($B$23:$M$23))/13)</f>
        <v>1818.4320000000002</v>
      </c>
      <c r="J23" s="32">
        <f>IF(J2&lt;=12,J18*Assumption!$D$27*depre!J4/J3,(Assumption!$D$10-(Assumption!$D$10*Assumption!$D$28)-SUM($B$23:$M$23))/13)</f>
        <v>1818.4320000000002</v>
      </c>
      <c r="K23" s="32">
        <f>IF(K2&lt;=12,K18*Assumption!$D$27*depre!K4/K3,(Assumption!$D$10-(Assumption!$D$10*Assumption!$D$28)-SUM($B$23:$M$23))/13)</f>
        <v>1818.4320000000002</v>
      </c>
      <c r="L23" s="32">
        <f>IF(L2&lt;=12,L18*Assumption!$D$27*depre!L4/L3,(Assumption!$D$10-(Assumption!$D$10*Assumption!$D$28)-SUM($B$23:$M$23))/13)</f>
        <v>1818.432</v>
      </c>
      <c r="M23" s="32">
        <f>IF(M2&lt;=12,M18*Assumption!$D$27*depre!M4/M3,(Assumption!$D$10-(Assumption!$D$10*Assumption!$D$28)-SUM($B$23:$M$23))/13)</f>
        <v>1818.4320000000002</v>
      </c>
      <c r="N23" s="32">
        <f>IF(N2&lt;=12,N18*Assumption!$D$27*depre!N4/N3,(Assumption!$D$10-(Assumption!$D$10*Assumption!$D$28)-SUM($B$23:$M$23))/13)</f>
        <v>706.13830811380353</v>
      </c>
      <c r="O23" s="32">
        <f>IF(O2&lt;=12,O18*Assumption!$D$27*depre!O4/O3,(Assumption!$D$10-(Assumption!$D$10*Assumption!$D$28)-SUM($B$23:$M$23))/13)</f>
        <v>706.13830811380353</v>
      </c>
      <c r="P23" s="32">
        <f>IF(P2&lt;=12,P18*Assumption!$D$27*depre!P4/P3,(Assumption!$D$10-(Assumption!$D$10*Assumption!$D$28)-SUM($B$23:$M$23))/13)</f>
        <v>706.13830811380353</v>
      </c>
      <c r="Q23" s="32">
        <f>IF(Q2&lt;=12,Q18*Assumption!$D$27*depre!Q4/Q3,(Assumption!$D$10-(Assumption!$D$10*Assumption!$D$28)-SUM($B$23:$M$23))/13)</f>
        <v>706.13830811380353</v>
      </c>
      <c r="R23" s="32">
        <f>IF(R2&lt;=12,R18*Assumption!$D$27*depre!R4/R3,(Assumption!$D$10-(Assumption!$D$10*Assumption!$D$28)-SUM($B$23:$M$23))/13)</f>
        <v>706.13830811380353</v>
      </c>
      <c r="S23" s="32">
        <f>IF(S2&lt;=12,S18*Assumption!$D$27*depre!S4/S3,(Assumption!$D$10-(Assumption!$D$10*Assumption!$D$28)-SUM($B$23:$M$23))/13)</f>
        <v>706.13830811380353</v>
      </c>
      <c r="T23" s="32">
        <f>IF(T2&lt;=12,T18*Assumption!$D$27*depre!T4/T3,(Assumption!$D$10-(Assumption!$D$10*Assumption!$D$28)-SUM($B$23:$M$23))/13)</f>
        <v>706.13830811380353</v>
      </c>
      <c r="U23" s="32">
        <f>IF(U2&lt;=12,U18*Assumption!$D$27*depre!U4/U3,(Assumption!$D$10-(Assumption!$D$10*Assumption!$D$28)-SUM($B$23:$M$23))/13)</f>
        <v>706.13830811380353</v>
      </c>
      <c r="V23" s="32">
        <f>IF(V2&lt;=12,V18*Assumption!$D$27*depre!V4/V3,(Assumption!$D$10-(Assumption!$D$10*Assumption!$D$28)-SUM($B$23:$M$23))/13)</f>
        <v>706.13830811380353</v>
      </c>
      <c r="W23" s="32">
        <f>IF(W2&lt;=12,W18*Assumption!$D$27*depre!W4/W3,(Assumption!$D$10-(Assumption!$D$10*Assumption!$D$28)-SUM($B$23:$M$23))/13)</f>
        <v>706.13830811380353</v>
      </c>
      <c r="X23" s="32">
        <f>IF(X2&lt;=12,X18*Assumption!$D$27*depre!X4/X3,(Assumption!$D$10-(Assumption!$D$10*Assumption!$D$28)-SUM($B$23:$M$23))/13)</f>
        <v>706.13830811380353</v>
      </c>
      <c r="Y23" s="32">
        <f>IF(Y2&lt;=12,Y18*Assumption!$D$27*depre!Y4/Y3,(Assumption!$D$10-(Assumption!$D$10*Assumption!$D$28)-SUM($B$23:$M$23))/13)</f>
        <v>706.13830811380353</v>
      </c>
      <c r="Z23" s="32">
        <f>IF(Z2&lt;=12,Z18*Assumption!$D$27*depre!Z4/Z3,(Assumption!$D$10-(Assumption!$D$10*Assumption!$D$28)-SUM($B$23:$M$23))/13)</f>
        <v>706.13830811380353</v>
      </c>
    </row>
    <row r="24" spans="1:26">
      <c r="A24" s="28"/>
      <c r="B24" s="32">
        <f t="shared" ref="B24:Z24" si="34">SUM(B23:B23)</f>
        <v>1813.449994520548</v>
      </c>
      <c r="C24" s="30">
        <f t="shared" si="34"/>
        <v>1818.4320000000002</v>
      </c>
      <c r="D24" s="30">
        <f t="shared" si="34"/>
        <v>1818.432</v>
      </c>
      <c r="E24" s="30">
        <f t="shared" si="34"/>
        <v>1818.4320000000002</v>
      </c>
      <c r="F24" s="30">
        <f t="shared" si="34"/>
        <v>1818.4320000000002</v>
      </c>
      <c r="G24" s="30">
        <f t="shared" si="34"/>
        <v>1818.4320000000002</v>
      </c>
      <c r="H24" s="30">
        <f t="shared" si="34"/>
        <v>1818.432</v>
      </c>
      <c r="I24" s="30">
        <f t="shared" si="34"/>
        <v>1818.4320000000002</v>
      </c>
      <c r="J24" s="30">
        <f t="shared" si="34"/>
        <v>1818.4320000000002</v>
      </c>
      <c r="K24" s="30">
        <f t="shared" si="34"/>
        <v>1818.4320000000002</v>
      </c>
      <c r="L24" s="30">
        <f t="shared" si="34"/>
        <v>1818.432</v>
      </c>
      <c r="M24" s="30">
        <f t="shared" si="34"/>
        <v>1818.4320000000002</v>
      </c>
      <c r="N24" s="30">
        <f t="shared" si="34"/>
        <v>706.13830811380353</v>
      </c>
      <c r="O24" s="30">
        <f t="shared" si="34"/>
        <v>706.13830811380353</v>
      </c>
      <c r="P24" s="30">
        <f t="shared" si="34"/>
        <v>706.13830811380353</v>
      </c>
      <c r="Q24" s="30">
        <f t="shared" si="34"/>
        <v>706.13830811380353</v>
      </c>
      <c r="R24" s="30">
        <f t="shared" si="34"/>
        <v>706.13830811380353</v>
      </c>
      <c r="S24" s="30">
        <f t="shared" si="34"/>
        <v>706.13830811380353</v>
      </c>
      <c r="T24" s="30">
        <f t="shared" si="34"/>
        <v>706.13830811380353</v>
      </c>
      <c r="U24" s="30">
        <f t="shared" si="34"/>
        <v>706.13830811380353</v>
      </c>
      <c r="V24" s="30">
        <f t="shared" si="34"/>
        <v>706.13830811380353</v>
      </c>
      <c r="W24" s="30">
        <f t="shared" si="34"/>
        <v>706.13830811380353</v>
      </c>
      <c r="X24" s="30">
        <f t="shared" si="34"/>
        <v>706.13830811380353</v>
      </c>
      <c r="Y24" s="30">
        <f t="shared" si="34"/>
        <v>706.13830811380353</v>
      </c>
      <c r="Z24" s="30">
        <f t="shared" si="34"/>
        <v>706.13830811380353</v>
      </c>
    </row>
    <row r="25" spans="1:26">
      <c r="A25" s="25" t="s">
        <v>151</v>
      </c>
    </row>
    <row r="26" spans="1:26">
      <c r="A26" s="28"/>
      <c r="B26" s="29">
        <f>B22</f>
        <v>41729</v>
      </c>
      <c r="C26" s="29">
        <f t="shared" ref="C26:Z26" si="35">C22</f>
        <v>42094</v>
      </c>
      <c r="D26" s="29">
        <f t="shared" si="35"/>
        <v>42460</v>
      </c>
      <c r="E26" s="29">
        <f t="shared" si="35"/>
        <v>42825</v>
      </c>
      <c r="F26" s="29">
        <f t="shared" si="35"/>
        <v>43190</v>
      </c>
      <c r="G26" s="29">
        <f t="shared" si="35"/>
        <v>43555</v>
      </c>
      <c r="H26" s="29">
        <f t="shared" si="35"/>
        <v>43921</v>
      </c>
      <c r="I26" s="29">
        <f t="shared" si="35"/>
        <v>44286</v>
      </c>
      <c r="J26" s="29">
        <f t="shared" si="35"/>
        <v>44651</v>
      </c>
      <c r="K26" s="29">
        <f t="shared" si="35"/>
        <v>45016</v>
      </c>
      <c r="L26" s="29">
        <f t="shared" si="35"/>
        <v>45382</v>
      </c>
      <c r="M26" s="29">
        <f t="shared" si="35"/>
        <v>45747</v>
      </c>
      <c r="N26" s="29">
        <f t="shared" si="35"/>
        <v>46112</v>
      </c>
      <c r="O26" s="29">
        <f t="shared" si="35"/>
        <v>46477</v>
      </c>
      <c r="P26" s="29">
        <f t="shared" si="35"/>
        <v>46843</v>
      </c>
      <c r="Q26" s="29">
        <f t="shared" si="35"/>
        <v>47208</v>
      </c>
      <c r="R26" s="29">
        <f t="shared" si="35"/>
        <v>47573</v>
      </c>
      <c r="S26" s="29">
        <f t="shared" si="35"/>
        <v>47938</v>
      </c>
      <c r="T26" s="29">
        <f t="shared" si="35"/>
        <v>48304</v>
      </c>
      <c r="U26" s="29">
        <f t="shared" si="35"/>
        <v>48669</v>
      </c>
      <c r="V26" s="29">
        <f t="shared" si="35"/>
        <v>49034</v>
      </c>
      <c r="W26" s="29">
        <f t="shared" si="35"/>
        <v>49399</v>
      </c>
      <c r="X26" s="29">
        <f t="shared" si="35"/>
        <v>49765</v>
      </c>
      <c r="Y26" s="29">
        <f t="shared" si="35"/>
        <v>50130</v>
      </c>
      <c r="Z26" s="29">
        <f t="shared" si="35"/>
        <v>50495</v>
      </c>
    </row>
    <row r="27" spans="1:26" s="33" customFormat="1">
      <c r="A27" s="136" t="s">
        <v>240</v>
      </c>
      <c r="B27" s="32">
        <f>MAX(MIN(B19*Assumption!$D$33*depre!B4/B3,B19-$B$31),0)</f>
        <v>1813.449994520548</v>
      </c>
      <c r="C27" s="32">
        <f>MAX(MIN(C19*Assumption!$D$33*depre!C4/C3,(C19-$B$31-B29)),0)</f>
        <v>1818.4320000000002</v>
      </c>
      <c r="D27" s="32">
        <f>MAX(MIN(D19*Assumption!$D$33*depre!D4/D3,(D19-$B$31-C29)),0)</f>
        <v>1818.432</v>
      </c>
      <c r="E27" s="32">
        <f>MAX(MIN(E19*Assumption!$D$33*depre!E4/E3,(E19-$B$31-D29)),0)</f>
        <v>1818.4320000000002</v>
      </c>
      <c r="F27" s="32">
        <f>MAX(MIN(F19*Assumption!$D$33*depre!F4/F3,(F19-$B$31-E29)),0)</f>
        <v>1818.4320000000002</v>
      </c>
      <c r="G27" s="32">
        <f>MAX(MIN(G19*Assumption!$D$33*depre!G4/G3,(G19-$B$31-F29)),0)</f>
        <v>1818.4320000000002</v>
      </c>
      <c r="H27" s="32">
        <f>MAX(MIN(H19*Assumption!$D$33*depre!H4/H3,(H19-$B$31-G29)),0)</f>
        <v>1818.432</v>
      </c>
      <c r="I27" s="32">
        <f>MAX(MIN(I19*Assumption!$D$33*depre!I4/I3,(I19-$B$31-H29)),0)</f>
        <v>1818.4320000000002</v>
      </c>
      <c r="J27" s="32">
        <f>MAX(MIN(J19*Assumption!$D$33*depre!J4/J3,(J19-$B$31-I29)),0)</f>
        <v>1818.4320000000002</v>
      </c>
      <c r="K27" s="32">
        <f>MAX(MIN(K19*Assumption!$D$33*depre!K4/K3,(K19-$B$31-J29)),0)</f>
        <v>1818.4320000000002</v>
      </c>
      <c r="L27" s="32">
        <f>MAX(MIN(L19*Assumption!$D$33*depre!L4/L3,(L19-$B$31-K29)),0)</f>
        <v>1818.432</v>
      </c>
      <c r="M27" s="32">
        <f>MAX(MIN(M19*Assumption!$D$33*depre!M4/M3,(M19-$B$31-L29)),0)</f>
        <v>1818.4320000000002</v>
      </c>
      <c r="N27" s="32">
        <f>MAX(MIN(N19*Assumption!$D$33*depre!N4/N3,(N19-$B$31-M29)),0)</f>
        <v>1818.4320000000002</v>
      </c>
      <c r="O27" s="32">
        <f>MAX(MIN(O19*Assumption!$D$33*depre!O4/O3,(O19-$B$31-N29)),0)</f>
        <v>1818.4320000000002</v>
      </c>
      <c r="P27" s="32">
        <f>MAX(MIN(P19*Assumption!$D$33*depre!P4/P3,(P19-$B$31-O29)),0)</f>
        <v>1818.432</v>
      </c>
      <c r="Q27" s="32">
        <f>MAX(MIN(Q19*Assumption!$D$33*depre!Q4/Q3,(Q19-$B$31-P29)),0)</f>
        <v>1818.4320000000002</v>
      </c>
      <c r="R27" s="32">
        <f>MAX(MIN(R19*Assumption!$D$33*depre!R4/R3,(R19-$B$31-Q29)),0)</f>
        <v>1818.4320000000002</v>
      </c>
      <c r="S27" s="32">
        <f>MAX(MIN(S19*Assumption!$D$33*depre!S4/S3,(S19-$B$31-R29)),0)</f>
        <v>1818.4320000000002</v>
      </c>
      <c r="T27" s="32">
        <f>MAX(MIN(T19*Assumption!$D$33*depre!T4/365,S30-$B$31),0)</f>
        <v>1713.206005479442</v>
      </c>
      <c r="U27" s="32">
        <f>MAX(MIN(U19*Assumption!$D$33*depre!U4/365,T30-$B$31),0)</f>
        <v>0</v>
      </c>
      <c r="V27" s="32">
        <f>MAX(MIN(V19*Assumption!$D$33*depre!V4/365,U30-$B$31),0)</f>
        <v>0</v>
      </c>
      <c r="W27" s="32">
        <f>MAX(MIN(W19*Assumption!$D$33*depre!W4/365,V30-$B$31),0)</f>
        <v>0</v>
      </c>
      <c r="X27" s="32">
        <f>MAX(MIN(X19*Assumption!$D$33*depre!X4/365,W30-$B$31),0)</f>
        <v>0</v>
      </c>
      <c r="Y27" s="32">
        <f>MAX(MIN(Y19*Assumption!$D$33*depre!Y4/365,X30-$B$31),0)</f>
        <v>0</v>
      </c>
      <c r="Z27" s="32">
        <f>MAX(MIN(Z19*Assumption!$D$33*depre!Z4/365,Y30-$B$31),0)</f>
        <v>0</v>
      </c>
    </row>
    <row r="28" spans="1:26">
      <c r="A28" s="28" t="s">
        <v>235</v>
      </c>
      <c r="B28" s="32">
        <f t="shared" ref="B28:Z28" si="36">SUM(B27:B27)</f>
        <v>1813.449994520548</v>
      </c>
      <c r="C28" s="30">
        <f t="shared" si="36"/>
        <v>1818.4320000000002</v>
      </c>
      <c r="D28" s="30">
        <f t="shared" si="36"/>
        <v>1818.432</v>
      </c>
      <c r="E28" s="30">
        <f t="shared" si="36"/>
        <v>1818.4320000000002</v>
      </c>
      <c r="F28" s="30">
        <f t="shared" si="36"/>
        <v>1818.4320000000002</v>
      </c>
      <c r="G28" s="30">
        <f t="shared" si="36"/>
        <v>1818.4320000000002</v>
      </c>
      <c r="H28" s="30">
        <f t="shared" si="36"/>
        <v>1818.432</v>
      </c>
      <c r="I28" s="30">
        <f t="shared" si="36"/>
        <v>1818.4320000000002</v>
      </c>
      <c r="J28" s="30">
        <f t="shared" si="36"/>
        <v>1818.4320000000002</v>
      </c>
      <c r="K28" s="30">
        <f t="shared" si="36"/>
        <v>1818.4320000000002</v>
      </c>
      <c r="L28" s="30">
        <f t="shared" si="36"/>
        <v>1818.432</v>
      </c>
      <c r="M28" s="30">
        <f t="shared" si="36"/>
        <v>1818.4320000000002</v>
      </c>
      <c r="N28" s="30">
        <f t="shared" si="36"/>
        <v>1818.4320000000002</v>
      </c>
      <c r="O28" s="30">
        <f t="shared" si="36"/>
        <v>1818.4320000000002</v>
      </c>
      <c r="P28" s="30">
        <f t="shared" si="36"/>
        <v>1818.432</v>
      </c>
      <c r="Q28" s="30">
        <f t="shared" si="36"/>
        <v>1818.4320000000002</v>
      </c>
      <c r="R28" s="30">
        <f t="shared" si="36"/>
        <v>1818.4320000000002</v>
      </c>
      <c r="S28" s="30">
        <f t="shared" si="36"/>
        <v>1818.4320000000002</v>
      </c>
      <c r="T28" s="30">
        <f t="shared" si="36"/>
        <v>1713.206005479442</v>
      </c>
      <c r="U28" s="30">
        <f t="shared" si="36"/>
        <v>0</v>
      </c>
      <c r="V28" s="30">
        <f t="shared" si="36"/>
        <v>0</v>
      </c>
      <c r="W28" s="30">
        <f t="shared" si="36"/>
        <v>0</v>
      </c>
      <c r="X28" s="30">
        <f t="shared" si="36"/>
        <v>0</v>
      </c>
      <c r="Y28" s="30">
        <f t="shared" si="36"/>
        <v>0</v>
      </c>
      <c r="Z28" s="30">
        <f t="shared" si="36"/>
        <v>0</v>
      </c>
    </row>
    <row r="29" spans="1:26">
      <c r="A29" s="28" t="s">
        <v>236</v>
      </c>
      <c r="B29" s="30">
        <f>B28</f>
        <v>1813.449994520548</v>
      </c>
      <c r="C29" s="30">
        <f>B29+C28</f>
        <v>3631.8819945205482</v>
      </c>
      <c r="D29" s="30">
        <f t="shared" ref="D29:Z29" si="37">C29+D28</f>
        <v>5450.3139945205485</v>
      </c>
      <c r="E29" s="30">
        <f t="shared" si="37"/>
        <v>7268.7459945205483</v>
      </c>
      <c r="F29" s="30">
        <f t="shared" si="37"/>
        <v>9087.177994520549</v>
      </c>
      <c r="G29" s="30">
        <f t="shared" si="37"/>
        <v>10905.60999452055</v>
      </c>
      <c r="H29" s="30">
        <f t="shared" si="37"/>
        <v>12724.04199452055</v>
      </c>
      <c r="I29" s="30">
        <f t="shared" si="37"/>
        <v>14542.473994520551</v>
      </c>
      <c r="J29" s="30">
        <f t="shared" si="37"/>
        <v>16360.905994520552</v>
      </c>
      <c r="K29" s="30">
        <f t="shared" si="37"/>
        <v>18179.337994520552</v>
      </c>
      <c r="L29" s="30">
        <f t="shared" si="37"/>
        <v>19997.769994520553</v>
      </c>
      <c r="M29" s="30">
        <f t="shared" si="37"/>
        <v>21816.201994520554</v>
      </c>
      <c r="N29" s="30">
        <f t="shared" si="37"/>
        <v>23634.633994520555</v>
      </c>
      <c r="O29" s="30">
        <f t="shared" si="37"/>
        <v>25453.065994520555</v>
      </c>
      <c r="P29" s="30">
        <f t="shared" si="37"/>
        <v>27271.497994520556</v>
      </c>
      <c r="Q29" s="30">
        <f t="shared" si="37"/>
        <v>29089.929994520557</v>
      </c>
      <c r="R29" s="30">
        <f t="shared" si="37"/>
        <v>30908.361994520557</v>
      </c>
      <c r="S29" s="30">
        <f t="shared" si="37"/>
        <v>32726.793994520558</v>
      </c>
      <c r="T29" s="30">
        <f t="shared" si="37"/>
        <v>34440</v>
      </c>
      <c r="U29" s="30">
        <f t="shared" si="37"/>
        <v>34440</v>
      </c>
      <c r="V29" s="30">
        <f t="shared" si="37"/>
        <v>34440</v>
      </c>
      <c r="W29" s="30">
        <f t="shared" si="37"/>
        <v>34440</v>
      </c>
      <c r="X29" s="30">
        <f t="shared" si="37"/>
        <v>34440</v>
      </c>
      <c r="Y29" s="30">
        <f t="shared" si="37"/>
        <v>34440</v>
      </c>
      <c r="Z29" s="30">
        <f t="shared" si="37"/>
        <v>34440</v>
      </c>
    </row>
    <row r="30" spans="1:26">
      <c r="A30" s="28" t="s">
        <v>152</v>
      </c>
      <c r="B30" s="30">
        <f>B19-B29</f>
        <v>32626.550005479454</v>
      </c>
      <c r="C30" s="30">
        <f t="shared" ref="C30:Z30" si="38">C19-C29</f>
        <v>30808.118005479453</v>
      </c>
      <c r="D30" s="30">
        <f t="shared" si="38"/>
        <v>28989.686005479452</v>
      </c>
      <c r="E30" s="30">
        <f t="shared" si="38"/>
        <v>27171.254005479452</v>
      </c>
      <c r="F30" s="30">
        <f t="shared" si="38"/>
        <v>25352.822005479451</v>
      </c>
      <c r="G30" s="30">
        <f t="shared" si="38"/>
        <v>23534.39000547945</v>
      </c>
      <c r="H30" s="30">
        <f t="shared" si="38"/>
        <v>21715.95800547945</v>
      </c>
      <c r="I30" s="30">
        <f t="shared" si="38"/>
        <v>19897.526005479449</v>
      </c>
      <c r="J30" s="30">
        <f t="shared" si="38"/>
        <v>18079.094005479448</v>
      </c>
      <c r="K30" s="30">
        <f t="shared" si="38"/>
        <v>16260.662005479448</v>
      </c>
      <c r="L30" s="30">
        <f t="shared" si="38"/>
        <v>14442.230005479447</v>
      </c>
      <c r="M30" s="30">
        <f t="shared" si="38"/>
        <v>12623.798005479446</v>
      </c>
      <c r="N30" s="30">
        <f t="shared" si="38"/>
        <v>10805.366005479445</v>
      </c>
      <c r="O30" s="30">
        <f t="shared" si="38"/>
        <v>8986.9340054794447</v>
      </c>
      <c r="P30" s="30">
        <f t="shared" si="38"/>
        <v>7168.5020054794441</v>
      </c>
      <c r="Q30" s="30">
        <f t="shared" si="38"/>
        <v>5350.0700054794434</v>
      </c>
      <c r="R30" s="30">
        <f t="shared" si="38"/>
        <v>3531.6380054794427</v>
      </c>
      <c r="S30" s="30">
        <f t="shared" si="38"/>
        <v>1713.206005479442</v>
      </c>
      <c r="T30" s="30">
        <f t="shared" si="38"/>
        <v>0</v>
      </c>
      <c r="U30" s="30">
        <f t="shared" si="38"/>
        <v>0</v>
      </c>
      <c r="V30" s="30">
        <f t="shared" si="38"/>
        <v>0</v>
      </c>
      <c r="W30" s="30">
        <f t="shared" si="38"/>
        <v>0</v>
      </c>
      <c r="X30" s="30">
        <f t="shared" si="38"/>
        <v>0</v>
      </c>
      <c r="Y30" s="30">
        <f t="shared" si="38"/>
        <v>0</v>
      </c>
      <c r="Z30" s="30">
        <f t="shared" si="38"/>
        <v>0</v>
      </c>
    </row>
    <row r="31" spans="1:26">
      <c r="A31" s="34" t="s">
        <v>241</v>
      </c>
      <c r="B31" s="28">
        <f>'term loan '!C25*Assumption!D34</f>
        <v>0</v>
      </c>
      <c r="C31" s="28"/>
      <c r="D31" s="28"/>
      <c r="E31" s="28"/>
      <c r="F31" s="28"/>
      <c r="G31" s="28"/>
      <c r="H31" s="28"/>
      <c r="I31" s="28"/>
      <c r="J31" s="28"/>
      <c r="K31" s="28"/>
      <c r="L31" s="28"/>
      <c r="M31" s="28"/>
      <c r="N31" s="28"/>
      <c r="O31" s="28"/>
      <c r="P31" s="28"/>
      <c r="Q31" s="30"/>
      <c r="R31" s="30"/>
      <c r="S31" s="30"/>
      <c r="T31" s="28"/>
      <c r="U31" s="28"/>
      <c r="V31" s="28"/>
      <c r="W31" s="28"/>
      <c r="X31" s="28"/>
      <c r="Y31" s="28"/>
      <c r="Z31" s="28"/>
    </row>
  </sheetData>
  <customSheetViews>
    <customSheetView guid="{6D27EB6A-3939-4201-8E4B-897AA8118F21}" scale="85" showPageBreaks="1" printArea="1" view="pageBreakPreview">
      <selection activeCell="A20" sqref="A20"/>
      <pageMargins left="0.75" right="0.75" top="1" bottom="0.63" header="0.5" footer="0.5"/>
      <pageSetup scale="70" orientation="landscape" r:id="rId1"/>
      <headerFooter alignWithMargins="0"/>
    </customSheetView>
  </customSheetViews>
  <phoneticPr fontId="5" type="noConversion"/>
  <pageMargins left="0.75" right="0.75" top="1" bottom="0.63" header="0.5" footer="0.5"/>
  <pageSetup scale="70" orientation="landscape" r:id="rId2"/>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S28"/>
  <sheetViews>
    <sheetView view="pageBreakPreview" topLeftCell="A12" zoomScaleSheetLayoutView="100" workbookViewId="0">
      <selection activeCell="C26" sqref="C26"/>
    </sheetView>
  </sheetViews>
  <sheetFormatPr defaultRowHeight="15"/>
  <cols>
    <col min="1" max="1" width="17.5703125" style="25" customWidth="1"/>
    <col min="2" max="4" width="19.28515625" style="25" customWidth="1"/>
    <col min="5" max="5" width="30.7109375" style="25" customWidth="1"/>
    <col min="6" max="6" width="10.28515625" style="25" customWidth="1"/>
    <col min="7" max="7" width="5.28515625" style="25" bestFit="1" customWidth="1"/>
    <col min="8" max="8" width="13.42578125" style="25" customWidth="1"/>
    <col min="9" max="9" width="12.5703125" style="25" customWidth="1"/>
    <col min="10" max="10" width="13.140625" style="25" customWidth="1"/>
    <col min="11" max="11" width="14.28515625" style="25" customWidth="1"/>
    <col min="12" max="12" width="12.140625" style="25" customWidth="1"/>
    <col min="13" max="13" width="13.28515625" style="25" customWidth="1"/>
    <col min="14" max="14" width="12.140625" style="25" customWidth="1"/>
    <col min="15" max="15" width="13.140625" style="25" customWidth="1"/>
    <col min="16" max="16" width="10.42578125" style="25" customWidth="1"/>
    <col min="17" max="17" width="14.140625" style="25" customWidth="1"/>
    <col min="18" max="19" width="24.7109375" style="25" customWidth="1"/>
    <col min="20" max="20" width="15.5703125" style="25" customWidth="1"/>
    <col min="21" max="21" width="12.28515625" style="25" bestFit="1" customWidth="1"/>
    <col min="22" max="22" width="12.28515625" style="25" customWidth="1"/>
    <col min="23" max="29" width="12.28515625" style="25" bestFit="1" customWidth="1"/>
    <col min="30" max="30" width="11.85546875" style="25" customWidth="1"/>
    <col min="31" max="31" width="11.7109375" style="25" customWidth="1"/>
    <col min="32" max="16384" width="9.140625" style="25"/>
  </cols>
  <sheetData>
    <row r="1" spans="1:19">
      <c r="A1" s="192" t="s">
        <v>3</v>
      </c>
      <c r="B1" s="192"/>
      <c r="C1" s="192"/>
      <c r="D1" s="192"/>
      <c r="E1" s="192"/>
      <c r="F1" s="193" t="s">
        <v>215</v>
      </c>
      <c r="G1" s="192" t="s">
        <v>153</v>
      </c>
      <c r="H1" s="192"/>
      <c r="I1" s="192"/>
      <c r="J1" s="192"/>
      <c r="K1" s="192"/>
      <c r="L1" s="192"/>
      <c r="M1" s="192"/>
      <c r="N1" s="192"/>
      <c r="O1" s="192"/>
      <c r="P1" s="192"/>
      <c r="Q1" s="192"/>
      <c r="R1" s="35"/>
      <c r="S1" s="35"/>
    </row>
    <row r="2" spans="1:19" ht="18.75" customHeight="1">
      <c r="A2" s="192" t="s">
        <v>34</v>
      </c>
      <c r="B2" s="192"/>
      <c r="C2" s="192"/>
      <c r="D2" s="192"/>
      <c r="E2" s="192"/>
      <c r="F2" s="193"/>
      <c r="G2" s="192" t="s">
        <v>34</v>
      </c>
      <c r="H2" s="192"/>
      <c r="I2" s="192"/>
      <c r="J2" s="192"/>
      <c r="K2" s="192"/>
      <c r="L2" s="192"/>
      <c r="M2" s="192"/>
      <c r="N2" s="192"/>
      <c r="O2" s="192"/>
      <c r="P2" s="192"/>
      <c r="Q2" s="192"/>
      <c r="R2" s="36"/>
      <c r="S2" s="36"/>
    </row>
    <row r="3" spans="1:19" ht="60" customHeight="1">
      <c r="A3" s="37" t="s">
        <v>4</v>
      </c>
      <c r="B3" s="37" t="s">
        <v>242</v>
      </c>
      <c r="C3" s="37" t="s">
        <v>243</v>
      </c>
      <c r="D3" s="37" t="s">
        <v>244</v>
      </c>
      <c r="E3" s="125" t="s">
        <v>245</v>
      </c>
      <c r="F3" s="193"/>
      <c r="G3" s="37" t="s">
        <v>4</v>
      </c>
      <c r="H3" s="37" t="s">
        <v>242</v>
      </c>
      <c r="I3" s="37" t="s">
        <v>246</v>
      </c>
      <c r="J3" s="37" t="s">
        <v>247</v>
      </c>
      <c r="K3" s="37" t="s">
        <v>248</v>
      </c>
      <c r="L3" s="37" t="s">
        <v>247</v>
      </c>
      <c r="M3" s="37" t="s">
        <v>249</v>
      </c>
      <c r="N3" s="37" t="s">
        <v>247</v>
      </c>
      <c r="O3" s="37" t="s">
        <v>250</v>
      </c>
      <c r="P3" s="37" t="s">
        <v>247</v>
      </c>
      <c r="Q3" s="133" t="s">
        <v>245</v>
      </c>
      <c r="R3" s="4"/>
      <c r="S3" s="4"/>
    </row>
    <row r="4" spans="1:19">
      <c r="A4" s="28">
        <v>2013</v>
      </c>
      <c r="B4" s="38">
        <f>C26</f>
        <v>24108</v>
      </c>
      <c r="C4" s="38">
        <f>depre!B8</f>
        <v>1813.449994520548</v>
      </c>
      <c r="D4" s="38">
        <f>B4-C4</f>
        <v>22294.550005479454</v>
      </c>
      <c r="E4" s="38">
        <f>((B4+D4)/2)*F4/365*Assumption!$D$13</f>
        <v>2776.5251838895101</v>
      </c>
      <c r="F4" s="28">
        <f>depre!B4</f>
        <v>364</v>
      </c>
      <c r="G4" s="28">
        <v>2013</v>
      </c>
      <c r="H4" s="38">
        <f>C26</f>
        <v>24108</v>
      </c>
      <c r="I4" s="38">
        <v>0</v>
      </c>
      <c r="J4" s="38">
        <f>H4-I4</f>
        <v>24108</v>
      </c>
      <c r="K4" s="38">
        <v>0</v>
      </c>
      <c r="L4" s="38">
        <f>J4-K4</f>
        <v>24108</v>
      </c>
      <c r="M4" s="38">
        <v>0</v>
      </c>
      <c r="N4" s="38">
        <f>L4-M4</f>
        <v>24108</v>
      </c>
      <c r="O4" s="38">
        <v>0</v>
      </c>
      <c r="P4" s="38">
        <f t="shared" ref="P4:P5" si="0">N4-O4</f>
        <v>24108</v>
      </c>
      <c r="Q4" s="38">
        <f>AVERAGE(H4,J4,L4,N4,P4)*F4/365*Assumption!$D$13</f>
        <v>2885.0340821917807</v>
      </c>
      <c r="R4" s="4"/>
      <c r="S4" s="4"/>
    </row>
    <row r="5" spans="1:19">
      <c r="A5" s="28">
        <f>A4+1</f>
        <v>2014</v>
      </c>
      <c r="B5" s="38">
        <f t="shared" ref="B5:B21" si="1">D4</f>
        <v>22294.550005479454</v>
      </c>
      <c r="C5" s="38">
        <f>depre!C8</f>
        <v>1818.4320000000002</v>
      </c>
      <c r="D5" s="38">
        <f t="shared" ref="D5:D21" si="2">B5-C5</f>
        <v>20476.118005479453</v>
      </c>
      <c r="E5" s="38">
        <f>((B5+D5)/2)*F5/365*Assumption!$D$13</f>
        <v>2566.2400806575342</v>
      </c>
      <c r="F5" s="28">
        <v>365</v>
      </c>
      <c r="G5" s="28">
        <f>G4+1</f>
        <v>2014</v>
      </c>
      <c r="H5" s="38">
        <f>P4</f>
        <v>24108</v>
      </c>
      <c r="I5" s="38">
        <f>Assumption!$D$17</f>
        <v>547.90909090909088</v>
      </c>
      <c r="J5" s="38">
        <f>H5-I5</f>
        <v>23560.090909090908</v>
      </c>
      <c r="K5" s="38">
        <f>Assumption!$D$17</f>
        <v>547.90909090909088</v>
      </c>
      <c r="L5" s="38">
        <f t="shared" ref="L5" si="3">J5-K5</f>
        <v>23012.181818181816</v>
      </c>
      <c r="M5" s="38">
        <f>Assumption!$D$17</f>
        <v>547.90909090909088</v>
      </c>
      <c r="N5" s="38">
        <f t="shared" ref="N5" si="4">L5-M5</f>
        <v>22464.272727272724</v>
      </c>
      <c r="O5" s="38">
        <f>Assumption!$D$17</f>
        <v>547.90909090909088</v>
      </c>
      <c r="P5" s="38">
        <f t="shared" si="0"/>
        <v>21916.363636363632</v>
      </c>
      <c r="Q5" s="38">
        <f>AVERAGE(H5,J5,L5,N5,P5)*F5/365*Assumption!$D$13</f>
        <v>2761.4618181818178</v>
      </c>
      <c r="R5" s="4"/>
      <c r="S5" s="4"/>
    </row>
    <row r="6" spans="1:19">
      <c r="A6" s="28">
        <f t="shared" ref="A6:A21" si="5">A5+1</f>
        <v>2015</v>
      </c>
      <c r="B6" s="38">
        <f t="shared" si="1"/>
        <v>20476.118005479453</v>
      </c>
      <c r="C6" s="38">
        <f>C5</f>
        <v>1818.4320000000002</v>
      </c>
      <c r="D6" s="38">
        <f t="shared" si="2"/>
        <v>18657.686005479452</v>
      </c>
      <c r="E6" s="38">
        <f>((B6+D6)/2)*F6/365*Assumption!$D$13</f>
        <v>2354.4611947415278</v>
      </c>
      <c r="F6" s="28">
        <v>366</v>
      </c>
      <c r="G6" s="28">
        <f t="shared" ref="G6:G21" si="6">G5+1</f>
        <v>2015</v>
      </c>
      <c r="H6" s="38">
        <f t="shared" ref="H6:H15" si="7">P5</f>
        <v>21916.363636363632</v>
      </c>
      <c r="I6" s="38">
        <f>Assumption!$D$17</f>
        <v>547.90909090909088</v>
      </c>
      <c r="J6" s="38">
        <f t="shared" ref="J6:J15" si="8">H6-I6</f>
        <v>21368.45454545454</v>
      </c>
      <c r="K6" s="38">
        <f>Assumption!$D$17</f>
        <v>547.90909090909088</v>
      </c>
      <c r="L6" s="38">
        <f t="shared" ref="L6:L15" si="9">J6-K6</f>
        <v>20820.545454545449</v>
      </c>
      <c r="M6" s="38">
        <f>Assumption!$D$17</f>
        <v>547.90909090909088</v>
      </c>
      <c r="N6" s="38">
        <f t="shared" ref="N6:N15" si="10">L6-M6</f>
        <v>20272.636363636357</v>
      </c>
      <c r="O6" s="38">
        <f>Assumption!$D$17</f>
        <v>547.90909090909088</v>
      </c>
      <c r="P6" s="38">
        <f t="shared" ref="P6:P15" si="11">N6-O6</f>
        <v>19724.727272727265</v>
      </c>
      <c r="Q6" s="38">
        <f>AVERAGE(H6,J6,L6,N6,P6)*F6/365*Assumption!$D$13</f>
        <v>2505.3105653798248</v>
      </c>
      <c r="R6" s="4"/>
      <c r="S6" s="4"/>
    </row>
    <row r="7" spans="1:19">
      <c r="A7" s="28">
        <f t="shared" si="5"/>
        <v>2016</v>
      </c>
      <c r="B7" s="38">
        <f t="shared" si="1"/>
        <v>18657.686005479452</v>
      </c>
      <c r="C7" s="38">
        <f>C6</f>
        <v>1818.4320000000002</v>
      </c>
      <c r="D7" s="38">
        <f t="shared" si="2"/>
        <v>16839.254005479452</v>
      </c>
      <c r="E7" s="38">
        <f>((B7+D7)/2)*F7/365*Assumption!$D$13</f>
        <v>2129.8164006575344</v>
      </c>
      <c r="F7" s="28">
        <v>365</v>
      </c>
      <c r="G7" s="28">
        <f t="shared" si="6"/>
        <v>2016</v>
      </c>
      <c r="H7" s="38">
        <f t="shared" si="7"/>
        <v>19724.727272727265</v>
      </c>
      <c r="I7" s="38">
        <f>Assumption!$D$17</f>
        <v>547.90909090909088</v>
      </c>
      <c r="J7" s="38">
        <f t="shared" si="8"/>
        <v>19176.818181818173</v>
      </c>
      <c r="K7" s="38">
        <f>Assumption!$D$17</f>
        <v>547.90909090909088</v>
      </c>
      <c r="L7" s="38">
        <f t="shared" si="9"/>
        <v>18628.909090909081</v>
      </c>
      <c r="M7" s="38">
        <f>Assumption!$D$17</f>
        <v>547.90909090909088</v>
      </c>
      <c r="N7" s="38">
        <f t="shared" si="10"/>
        <v>18080.999999999989</v>
      </c>
      <c r="O7" s="38">
        <f>Assumption!$D$17</f>
        <v>547.90909090909088</v>
      </c>
      <c r="P7" s="38">
        <f t="shared" si="11"/>
        <v>17533.090909090897</v>
      </c>
      <c r="Q7" s="38">
        <f>AVERAGE(H7,J7,L7,N7,P7)*F7/365*Assumption!$D$13</f>
        <v>2235.4690909090896</v>
      </c>
      <c r="R7" s="4"/>
      <c r="S7" s="4"/>
    </row>
    <row r="8" spans="1:19">
      <c r="A8" s="28">
        <f t="shared" si="5"/>
        <v>2017</v>
      </c>
      <c r="B8" s="38">
        <f t="shared" si="1"/>
        <v>16839.254005479452</v>
      </c>
      <c r="C8" s="38">
        <f t="shared" ref="C8:C15" si="12">C7</f>
        <v>1818.4320000000002</v>
      </c>
      <c r="D8" s="38">
        <f t="shared" si="2"/>
        <v>15020.822005479451</v>
      </c>
      <c r="E8" s="38">
        <f>((B8+D8)/2)*F8/365*Assumption!$D$13</f>
        <v>1911.6045606575342</v>
      </c>
      <c r="F8" s="28">
        <v>365</v>
      </c>
      <c r="G8" s="28">
        <f t="shared" si="6"/>
        <v>2017</v>
      </c>
      <c r="H8" s="38">
        <f t="shared" si="7"/>
        <v>17533.090909090897</v>
      </c>
      <c r="I8" s="38">
        <f>Assumption!$D$17</f>
        <v>547.90909090909088</v>
      </c>
      <c r="J8" s="38">
        <f t="shared" si="8"/>
        <v>16985.181818181805</v>
      </c>
      <c r="K8" s="38">
        <f>Assumption!$D$17</f>
        <v>547.90909090909088</v>
      </c>
      <c r="L8" s="38">
        <f t="shared" si="9"/>
        <v>16437.272727272713</v>
      </c>
      <c r="M8" s="38">
        <f>Assumption!$D$17</f>
        <v>547.90909090909088</v>
      </c>
      <c r="N8" s="38">
        <f t="shared" si="10"/>
        <v>15889.363636363623</v>
      </c>
      <c r="O8" s="38">
        <f>Assumption!$D$17</f>
        <v>547.90909090909088</v>
      </c>
      <c r="P8" s="38">
        <f t="shared" si="11"/>
        <v>15341.454545454533</v>
      </c>
      <c r="Q8" s="38">
        <f>AVERAGE(H8,J8,L8,N8,P8)*F8/365*Assumption!$D$13</f>
        <v>1972.4727272727255</v>
      </c>
      <c r="R8" s="4"/>
      <c r="S8" s="4"/>
    </row>
    <row r="9" spans="1:19">
      <c r="A9" s="28">
        <f t="shared" si="5"/>
        <v>2018</v>
      </c>
      <c r="B9" s="38">
        <f t="shared" si="1"/>
        <v>15020.822005479451</v>
      </c>
      <c r="C9" s="38">
        <f t="shared" si="12"/>
        <v>1818.4320000000002</v>
      </c>
      <c r="D9" s="38">
        <f t="shared" si="2"/>
        <v>13202.39000547945</v>
      </c>
      <c r="E9" s="38">
        <f>((B9+D9)/2)*F9/365*Assumption!$D$13</f>
        <v>1693.392720657534</v>
      </c>
      <c r="F9" s="28">
        <v>365</v>
      </c>
      <c r="G9" s="28">
        <f t="shared" si="6"/>
        <v>2018</v>
      </c>
      <c r="H9" s="38">
        <f t="shared" si="7"/>
        <v>15341.454545454533</v>
      </c>
      <c r="I9" s="38">
        <f>Assumption!$D$17</f>
        <v>547.90909090909088</v>
      </c>
      <c r="J9" s="38">
        <f t="shared" si="8"/>
        <v>14793.545454545443</v>
      </c>
      <c r="K9" s="38">
        <f>Assumption!$D$17</f>
        <v>547.90909090909088</v>
      </c>
      <c r="L9" s="38">
        <f t="shared" si="9"/>
        <v>14245.636363636353</v>
      </c>
      <c r="M9" s="38">
        <f>Assumption!$D$17</f>
        <v>547.90909090909088</v>
      </c>
      <c r="N9" s="38">
        <f t="shared" si="10"/>
        <v>13697.727272727263</v>
      </c>
      <c r="O9" s="38">
        <f>Assumption!$D$17</f>
        <v>547.90909090909088</v>
      </c>
      <c r="P9" s="38">
        <f t="shared" si="11"/>
        <v>13149.818181818173</v>
      </c>
      <c r="Q9" s="38">
        <f>AVERAGE(H9,J9,L9,N9,P9)*F9/365*Assumption!$D$13</f>
        <v>1709.4763636363623</v>
      </c>
      <c r="R9" s="4"/>
      <c r="S9" s="4"/>
    </row>
    <row r="10" spans="1:19">
      <c r="A10" s="28">
        <f t="shared" si="5"/>
        <v>2019</v>
      </c>
      <c r="B10" s="38">
        <f t="shared" si="1"/>
        <v>13202.39000547945</v>
      </c>
      <c r="C10" s="38">
        <f t="shared" si="12"/>
        <v>1818.4320000000002</v>
      </c>
      <c r="D10" s="38">
        <f t="shared" si="2"/>
        <v>11383.95800547945</v>
      </c>
      <c r="E10" s="38">
        <f>((B10+D10)/2)*F10/365*Assumption!$D$13</f>
        <v>1479.2224721113903</v>
      </c>
      <c r="F10" s="28">
        <v>366</v>
      </c>
      <c r="G10" s="28">
        <f t="shared" si="6"/>
        <v>2019</v>
      </c>
      <c r="H10" s="38">
        <f t="shared" si="7"/>
        <v>13149.818181818173</v>
      </c>
      <c r="I10" s="38">
        <f>Assumption!$D$17</f>
        <v>547.90909090909088</v>
      </c>
      <c r="J10" s="38">
        <f t="shared" si="8"/>
        <v>12601.909090909083</v>
      </c>
      <c r="K10" s="38">
        <f>Assumption!$D$17</f>
        <v>547.90909090909088</v>
      </c>
      <c r="L10" s="38">
        <f t="shared" si="9"/>
        <v>12053.999999999993</v>
      </c>
      <c r="M10" s="38">
        <f>Assumption!$D$17</f>
        <v>547.90909090909088</v>
      </c>
      <c r="N10" s="38">
        <f t="shared" si="10"/>
        <v>11506.090909090903</v>
      </c>
      <c r="O10" s="38">
        <f>Assumption!$D$17</f>
        <v>547.90909090909088</v>
      </c>
      <c r="P10" s="38">
        <f t="shared" si="11"/>
        <v>10958.181818181813</v>
      </c>
      <c r="Q10" s="38">
        <f>AVERAGE(H10,J10,L10,N10,P10)*F10/365*Assumption!$D$13</f>
        <v>1450.4429589041088</v>
      </c>
      <c r="R10" s="4"/>
      <c r="S10" s="4"/>
    </row>
    <row r="11" spans="1:19">
      <c r="A11" s="28">
        <f t="shared" si="5"/>
        <v>2020</v>
      </c>
      <c r="B11" s="38">
        <f t="shared" si="1"/>
        <v>11383.95800547945</v>
      </c>
      <c r="C11" s="38">
        <f t="shared" si="12"/>
        <v>1818.4320000000002</v>
      </c>
      <c r="D11" s="38">
        <f t="shared" si="2"/>
        <v>9565.5260054794489</v>
      </c>
      <c r="E11" s="38">
        <f>((B11+D11)/2)*F11/365*Assumption!$D$13</f>
        <v>1256.9690406575339</v>
      </c>
      <c r="F11" s="28">
        <v>365</v>
      </c>
      <c r="G11" s="28">
        <f t="shared" si="6"/>
        <v>2020</v>
      </c>
      <c r="H11" s="38">
        <f t="shared" si="7"/>
        <v>10958.181818181813</v>
      </c>
      <c r="I11" s="38">
        <f>Assumption!$D$17</f>
        <v>547.90909090909088</v>
      </c>
      <c r="J11" s="38">
        <f t="shared" si="8"/>
        <v>10410.272727272722</v>
      </c>
      <c r="K11" s="38">
        <f>Assumption!$D$17</f>
        <v>547.90909090909088</v>
      </c>
      <c r="L11" s="38">
        <f t="shared" si="9"/>
        <v>9862.3636363636324</v>
      </c>
      <c r="M11" s="38">
        <f>Assumption!$D$17</f>
        <v>547.90909090909088</v>
      </c>
      <c r="N11" s="38">
        <f t="shared" si="10"/>
        <v>9314.4545454545423</v>
      </c>
      <c r="O11" s="38">
        <f>Assumption!$D$17</f>
        <v>547.90909090909088</v>
      </c>
      <c r="P11" s="38">
        <f t="shared" si="11"/>
        <v>8766.5454545454522</v>
      </c>
      <c r="Q11" s="38">
        <f>AVERAGE(H11,J11,L11,N11,P11)*F11/365*Assumption!$D$13</f>
        <v>1183.4836363636359</v>
      </c>
      <c r="R11" s="4"/>
      <c r="S11" s="4"/>
    </row>
    <row r="12" spans="1:19">
      <c r="A12" s="28">
        <f t="shared" si="5"/>
        <v>2021</v>
      </c>
      <c r="B12" s="38">
        <f t="shared" si="1"/>
        <v>9565.5260054794489</v>
      </c>
      <c r="C12" s="38">
        <f t="shared" si="12"/>
        <v>1818.4320000000002</v>
      </c>
      <c r="D12" s="38">
        <f t="shared" si="2"/>
        <v>7747.0940054794482</v>
      </c>
      <c r="E12" s="38">
        <f>((B12+D12)/2)*F12/365*Assumption!$D$13</f>
        <v>1038.7572006575338</v>
      </c>
      <c r="F12" s="28">
        <v>365</v>
      </c>
      <c r="G12" s="28">
        <f t="shared" si="6"/>
        <v>2021</v>
      </c>
      <c r="H12" s="38">
        <f t="shared" si="7"/>
        <v>8766.5454545454522</v>
      </c>
      <c r="I12" s="38">
        <f>Assumption!$D$17</f>
        <v>547.90909090909088</v>
      </c>
      <c r="J12" s="38">
        <f t="shared" si="8"/>
        <v>8218.6363636363621</v>
      </c>
      <c r="K12" s="38">
        <f>Assumption!$D$17</f>
        <v>547.90909090909088</v>
      </c>
      <c r="L12" s="38">
        <f t="shared" si="9"/>
        <v>7670.7272727272712</v>
      </c>
      <c r="M12" s="38">
        <f>Assumption!$D$17</f>
        <v>547.90909090909088</v>
      </c>
      <c r="N12" s="38">
        <f t="shared" si="10"/>
        <v>7122.8181818181802</v>
      </c>
      <c r="O12" s="38">
        <f>Assumption!$D$17</f>
        <v>547.90909090909088</v>
      </c>
      <c r="P12" s="38">
        <f t="shared" si="11"/>
        <v>6574.9090909090892</v>
      </c>
      <c r="Q12" s="38">
        <f>AVERAGE(H12,J12,L12,N12,P12)*F12/365*Assumption!$D$13</f>
        <v>920.48727272727251</v>
      </c>
      <c r="R12" s="4"/>
      <c r="S12" s="4"/>
    </row>
    <row r="13" spans="1:19">
      <c r="A13" s="28">
        <f t="shared" si="5"/>
        <v>2022</v>
      </c>
      <c r="B13" s="38">
        <f t="shared" si="1"/>
        <v>7747.0940054794482</v>
      </c>
      <c r="C13" s="38">
        <f t="shared" si="12"/>
        <v>1818.4320000000002</v>
      </c>
      <c r="D13" s="38">
        <f t="shared" si="2"/>
        <v>5928.6620054794475</v>
      </c>
      <c r="E13" s="38">
        <f>((B13+D13)/2)*F13/365*Assumption!$D$13</f>
        <v>820.54536065753382</v>
      </c>
      <c r="F13" s="28">
        <v>365</v>
      </c>
      <c r="G13" s="28">
        <f t="shared" si="6"/>
        <v>2022</v>
      </c>
      <c r="H13" s="38">
        <f t="shared" si="7"/>
        <v>6574.9090909090892</v>
      </c>
      <c r="I13" s="38">
        <f>Assumption!$D$17</f>
        <v>547.90909090909088</v>
      </c>
      <c r="J13" s="38">
        <f t="shared" si="8"/>
        <v>6026.9999999999982</v>
      </c>
      <c r="K13" s="38">
        <f>Assumption!$D$17</f>
        <v>547.90909090909088</v>
      </c>
      <c r="L13" s="38">
        <f t="shared" si="9"/>
        <v>5479.0909090909072</v>
      </c>
      <c r="M13" s="38">
        <f>Assumption!$D$17</f>
        <v>547.90909090909088</v>
      </c>
      <c r="N13" s="38">
        <f t="shared" si="10"/>
        <v>4931.1818181818162</v>
      </c>
      <c r="O13" s="38">
        <f>Assumption!$D$17</f>
        <v>547.90909090909088</v>
      </c>
      <c r="P13" s="38">
        <f t="shared" si="11"/>
        <v>4383.2727272727252</v>
      </c>
      <c r="Q13" s="38">
        <f>AVERAGE(H13,J13,L13,N13,P13)*F13/365*Assumption!$D$13</f>
        <v>657.49090909090887</v>
      </c>
      <c r="R13" s="4"/>
      <c r="S13" s="4"/>
    </row>
    <row r="14" spans="1:19">
      <c r="A14" s="28">
        <f t="shared" si="5"/>
        <v>2023</v>
      </c>
      <c r="B14" s="38">
        <f t="shared" si="1"/>
        <v>5928.6620054794475</v>
      </c>
      <c r="C14" s="38">
        <f t="shared" si="12"/>
        <v>1818.4320000000002</v>
      </c>
      <c r="D14" s="38">
        <f t="shared" si="2"/>
        <v>4110.2300054794468</v>
      </c>
      <c r="E14" s="38">
        <f>((B14+D14)/2)*F14/365*Assumption!$D$13</f>
        <v>603.98374948125286</v>
      </c>
      <c r="F14" s="28">
        <v>366</v>
      </c>
      <c r="G14" s="28">
        <f t="shared" si="6"/>
        <v>2023</v>
      </c>
      <c r="H14" s="38">
        <f t="shared" si="7"/>
        <v>4383.2727272727252</v>
      </c>
      <c r="I14" s="38">
        <f>Assumption!$D$17</f>
        <v>547.90909090909088</v>
      </c>
      <c r="J14" s="38">
        <f t="shared" si="8"/>
        <v>3835.3636363636342</v>
      </c>
      <c r="K14" s="38">
        <f>Assumption!$D$17</f>
        <v>547.90909090909088</v>
      </c>
      <c r="L14" s="38">
        <f t="shared" si="9"/>
        <v>3287.4545454545432</v>
      </c>
      <c r="M14" s="38">
        <f>Assumption!$D$17</f>
        <v>547.90909090909088</v>
      </c>
      <c r="N14" s="38">
        <f t="shared" si="10"/>
        <v>2739.5454545454522</v>
      </c>
      <c r="O14" s="38">
        <f>Assumption!$D$17</f>
        <v>547.90909090909088</v>
      </c>
      <c r="P14" s="38">
        <f t="shared" si="11"/>
        <v>2191.6363636363612</v>
      </c>
      <c r="Q14" s="38">
        <f>AVERAGE(H14,J14,L14,N14,P14)*F14/365*Assumption!$D$13</f>
        <v>395.57535242839322</v>
      </c>
      <c r="R14" s="4"/>
      <c r="S14" s="4"/>
    </row>
    <row r="15" spans="1:19">
      <c r="A15" s="28">
        <f t="shared" si="5"/>
        <v>2024</v>
      </c>
      <c r="B15" s="38">
        <f t="shared" si="1"/>
        <v>4110.2300054794468</v>
      </c>
      <c r="C15" s="38">
        <f t="shared" si="12"/>
        <v>1818.4320000000002</v>
      </c>
      <c r="D15" s="38">
        <f t="shared" si="2"/>
        <v>2291.7980054794466</v>
      </c>
      <c r="E15" s="38">
        <f>((B15+D15)/2)*F15/365*Assumption!$D$13</f>
        <v>384.12168065753349</v>
      </c>
      <c r="F15" s="28">
        <v>365</v>
      </c>
      <c r="G15" s="28">
        <f t="shared" si="6"/>
        <v>2024</v>
      </c>
      <c r="H15" s="38">
        <f t="shared" si="7"/>
        <v>2191.6363636363612</v>
      </c>
      <c r="I15" s="38">
        <f>Assumption!$D$17</f>
        <v>547.90909090909088</v>
      </c>
      <c r="J15" s="38">
        <f t="shared" si="8"/>
        <v>1643.7272727272702</v>
      </c>
      <c r="K15" s="38">
        <f>Assumption!$D$17</f>
        <v>547.90909090909088</v>
      </c>
      <c r="L15" s="38">
        <f t="shared" si="9"/>
        <v>1095.8181818181793</v>
      </c>
      <c r="M15" s="38">
        <f>Assumption!$D$17</f>
        <v>547.90909090909088</v>
      </c>
      <c r="N15" s="38">
        <f t="shared" si="10"/>
        <v>547.90909090908838</v>
      </c>
      <c r="O15" s="38">
        <f>Assumption!$D$17</f>
        <v>547.90909090909088</v>
      </c>
      <c r="P15" s="38">
        <f t="shared" si="11"/>
        <v>-2.5011104298755527E-12</v>
      </c>
      <c r="Q15" s="38">
        <f>AVERAGE(H15,J15,L15,N15,P15)*F15/365*Assumption!$D$13</f>
        <v>131.49818181818151</v>
      </c>
      <c r="R15" s="4"/>
      <c r="S15" s="4"/>
    </row>
    <row r="16" spans="1:19">
      <c r="A16" s="28">
        <f t="shared" si="5"/>
        <v>2025</v>
      </c>
      <c r="B16" s="38">
        <f t="shared" si="1"/>
        <v>2291.7980054794466</v>
      </c>
      <c r="C16" s="38">
        <f>depre!N8</f>
        <v>706.13830811380353</v>
      </c>
      <c r="D16" s="38">
        <f t="shared" si="2"/>
        <v>1585.6596973656431</v>
      </c>
      <c r="E16" s="38">
        <f>((B16+D16)/2)*F16/365*Assumption!$D$13</f>
        <v>232.64746217070535</v>
      </c>
      <c r="F16" s="28">
        <v>365</v>
      </c>
      <c r="G16" s="28">
        <f t="shared" si="6"/>
        <v>2025</v>
      </c>
      <c r="H16" s="38">
        <v>0</v>
      </c>
      <c r="I16" s="38"/>
      <c r="J16" s="38"/>
      <c r="K16" s="38"/>
      <c r="L16" s="38"/>
      <c r="M16" s="38"/>
      <c r="N16" s="38"/>
      <c r="O16" s="38"/>
      <c r="P16" s="38"/>
      <c r="Q16" s="38">
        <f>AVERAGE(H16,J16,L16,N16,P16)*F16/365*Assumption!$D$13</f>
        <v>0</v>
      </c>
      <c r="R16" s="4"/>
      <c r="S16" s="4"/>
    </row>
    <row r="17" spans="1:19">
      <c r="A17" s="28">
        <f t="shared" si="5"/>
        <v>2026</v>
      </c>
      <c r="B17" s="38">
        <f t="shared" si="1"/>
        <v>1585.6596973656431</v>
      </c>
      <c r="C17" s="38">
        <f>C16</f>
        <v>706.13830811380353</v>
      </c>
      <c r="D17" s="38">
        <f t="shared" si="2"/>
        <v>879.52138925183954</v>
      </c>
      <c r="E17" s="38">
        <f>((B17+D17)/2)*F17/365*Assumption!$D$13</f>
        <v>147.91086519704896</v>
      </c>
      <c r="F17" s="28">
        <v>365</v>
      </c>
      <c r="G17" s="28">
        <f t="shared" si="6"/>
        <v>2026</v>
      </c>
      <c r="H17" s="38">
        <v>0</v>
      </c>
      <c r="I17" s="38"/>
      <c r="J17" s="38"/>
      <c r="K17" s="38"/>
      <c r="L17" s="38"/>
      <c r="M17" s="38"/>
      <c r="N17" s="38"/>
      <c r="O17" s="38"/>
      <c r="P17" s="38"/>
      <c r="Q17" s="38">
        <f>AVERAGE(H17,J17,L17,N17,P17)*F17/365*Assumption!$D$13</f>
        <v>0</v>
      </c>
      <c r="R17" s="4"/>
      <c r="S17" s="4"/>
    </row>
    <row r="18" spans="1:19">
      <c r="A18" s="28">
        <f t="shared" si="5"/>
        <v>2027</v>
      </c>
      <c r="B18" s="38">
        <f t="shared" si="1"/>
        <v>879.52138925183954</v>
      </c>
      <c r="C18" s="38">
        <f t="shared" ref="C18" si="13">C17</f>
        <v>706.13830811380353</v>
      </c>
      <c r="D18" s="38">
        <f t="shared" si="2"/>
        <v>173.383081138036</v>
      </c>
      <c r="E18" s="38">
        <f>((B18+D18)/2)*F18/365*Assumption!$D$13</f>
        <v>63.347348410305941</v>
      </c>
      <c r="F18" s="28">
        <v>366</v>
      </c>
      <c r="G18" s="28">
        <f t="shared" si="6"/>
        <v>2027</v>
      </c>
      <c r="H18" s="38">
        <v>0</v>
      </c>
      <c r="I18" s="38"/>
      <c r="J18" s="38"/>
      <c r="K18" s="38"/>
      <c r="L18" s="38"/>
      <c r="M18" s="38"/>
      <c r="N18" s="38"/>
      <c r="O18" s="38"/>
      <c r="P18" s="38"/>
      <c r="Q18" s="38">
        <f>AVERAGE(H18,J18,L18,N18,P18)*F18/365*Assumption!$D$13</f>
        <v>0</v>
      </c>
      <c r="R18" s="4"/>
      <c r="S18" s="4"/>
    </row>
    <row r="19" spans="1:19">
      <c r="A19" s="28">
        <f t="shared" si="5"/>
        <v>2028</v>
      </c>
      <c r="B19" s="38">
        <f t="shared" si="1"/>
        <v>173.383081138036</v>
      </c>
      <c r="C19" s="38">
        <f>B19</f>
        <v>173.383081138036</v>
      </c>
      <c r="D19" s="38">
        <f t="shared" si="2"/>
        <v>0</v>
      </c>
      <c r="E19" s="38">
        <f>((B19+D19)/2)*F19/365*Assumption!$D$13</f>
        <v>10.402984868282159</v>
      </c>
      <c r="F19" s="28">
        <v>365</v>
      </c>
      <c r="G19" s="28">
        <f t="shared" si="6"/>
        <v>2028</v>
      </c>
      <c r="H19" s="38">
        <v>0</v>
      </c>
      <c r="I19" s="38"/>
      <c r="J19" s="38"/>
      <c r="K19" s="38"/>
      <c r="L19" s="38"/>
      <c r="M19" s="38"/>
      <c r="N19" s="38"/>
      <c r="O19" s="38"/>
      <c r="P19" s="38"/>
      <c r="Q19" s="38">
        <f>AVERAGE(H19,J19,L19,N19,P19)*F19/365*Assumption!$D$13</f>
        <v>0</v>
      </c>
      <c r="R19" s="4"/>
      <c r="S19" s="4"/>
    </row>
    <row r="20" spans="1:19">
      <c r="A20" s="28">
        <f t="shared" si="5"/>
        <v>2029</v>
      </c>
      <c r="B20" s="38">
        <f t="shared" si="1"/>
        <v>0</v>
      </c>
      <c r="C20" s="38">
        <v>0</v>
      </c>
      <c r="D20" s="38">
        <f t="shared" si="2"/>
        <v>0</v>
      </c>
      <c r="E20" s="38">
        <f>((B20+D20)/2)*F20/365*Assumption!$D$13</f>
        <v>0</v>
      </c>
      <c r="F20" s="28">
        <v>365</v>
      </c>
      <c r="G20" s="28">
        <f t="shared" si="6"/>
        <v>2029</v>
      </c>
      <c r="H20" s="38">
        <v>0</v>
      </c>
      <c r="I20" s="38"/>
      <c r="J20" s="38"/>
      <c r="K20" s="38"/>
      <c r="L20" s="38"/>
      <c r="M20" s="38"/>
      <c r="N20" s="38"/>
      <c r="O20" s="38"/>
      <c r="P20" s="38"/>
      <c r="Q20" s="38">
        <f>AVERAGE(H20,J20,L20,N20,P20)*F20/365*Assumption!$D$13</f>
        <v>0</v>
      </c>
      <c r="R20" s="4"/>
      <c r="S20" s="4"/>
    </row>
    <row r="21" spans="1:19">
      <c r="A21" s="28">
        <f t="shared" si="5"/>
        <v>2030</v>
      </c>
      <c r="B21" s="38">
        <f t="shared" si="1"/>
        <v>0</v>
      </c>
      <c r="C21" s="38">
        <f>B21</f>
        <v>0</v>
      </c>
      <c r="D21" s="38">
        <f t="shared" si="2"/>
        <v>0</v>
      </c>
      <c r="E21" s="38">
        <f>((B21+D21)/2)*F21/365*Assumption!$D$13</f>
        <v>0</v>
      </c>
      <c r="F21" s="28">
        <v>365</v>
      </c>
      <c r="G21" s="28">
        <f t="shared" si="6"/>
        <v>2030</v>
      </c>
      <c r="H21" s="38">
        <v>0</v>
      </c>
      <c r="I21" s="38"/>
      <c r="J21" s="38"/>
      <c r="K21" s="38"/>
      <c r="L21" s="38"/>
      <c r="M21" s="38"/>
      <c r="N21" s="38"/>
      <c r="O21" s="38"/>
      <c r="P21" s="38"/>
      <c r="Q21" s="38">
        <f>AVERAGE(H21,J21,L21,N21,P21)*F21/365*Assumption!$D$13</f>
        <v>0</v>
      </c>
      <c r="R21" s="4"/>
      <c r="S21" s="4"/>
    </row>
    <row r="24" spans="1:19">
      <c r="A24" s="165" t="s">
        <v>1</v>
      </c>
      <c r="B24" s="165"/>
      <c r="C24" s="39" t="s">
        <v>251</v>
      </c>
      <c r="D24" s="39" t="s">
        <v>58</v>
      </c>
      <c r="E24" s="40" t="s">
        <v>166</v>
      </c>
    </row>
    <row r="25" spans="1:19">
      <c r="A25" s="165" t="s">
        <v>42</v>
      </c>
      <c r="B25" s="165"/>
      <c r="C25" s="30">
        <f>Assumption!D10</f>
        <v>34440</v>
      </c>
      <c r="D25" s="26">
        <v>1</v>
      </c>
      <c r="E25" s="28"/>
    </row>
    <row r="26" spans="1:19" ht="30" customHeight="1">
      <c r="A26" s="165" t="s">
        <v>44</v>
      </c>
      <c r="B26" s="165"/>
      <c r="C26" s="28">
        <f>C25*D26</f>
        <v>24108</v>
      </c>
      <c r="D26" s="26">
        <v>0.7</v>
      </c>
      <c r="E26" s="193" t="s">
        <v>175</v>
      </c>
    </row>
    <row r="27" spans="1:19" ht="42" customHeight="1">
      <c r="A27" s="165" t="s">
        <v>16</v>
      </c>
      <c r="B27" s="165"/>
      <c r="C27" s="28">
        <f>C25*D27</f>
        <v>10332</v>
      </c>
      <c r="D27" s="26">
        <v>0.3</v>
      </c>
      <c r="E27" s="193"/>
    </row>
    <row r="28" spans="1:19">
      <c r="A28" s="41"/>
      <c r="B28" s="41"/>
      <c r="C28" s="41"/>
    </row>
  </sheetData>
  <customSheetViews>
    <customSheetView guid="{6D27EB6A-3939-4201-8E4B-897AA8118F21}" scale="85" showPageBreaks="1" fitToPage="1" printArea="1" view="pageBreakPreview" topLeftCell="A13">
      <selection sqref="A1:E1"/>
      <colBreaks count="1" manualBreakCount="1">
        <brk id="6" max="27" man="1"/>
      </colBreaks>
      <pageMargins left="0.75" right="0.75" top="1" bottom="1" header="0.5" footer="0.5"/>
      <pageSetup scale="80" orientation="portrait" r:id="rId1"/>
      <headerFooter alignWithMargins="0"/>
    </customSheetView>
  </customSheetViews>
  <mergeCells count="10">
    <mergeCell ref="G1:Q1"/>
    <mergeCell ref="G2:Q2"/>
    <mergeCell ref="A25:B25"/>
    <mergeCell ref="A26:B26"/>
    <mergeCell ref="A27:B27"/>
    <mergeCell ref="A2:E2"/>
    <mergeCell ref="A1:E1"/>
    <mergeCell ref="A24:B24"/>
    <mergeCell ref="E26:E27"/>
    <mergeCell ref="F1:F3"/>
  </mergeCells>
  <phoneticPr fontId="5" type="noConversion"/>
  <pageMargins left="0.75" right="0.75" top="1" bottom="1" header="0.5" footer="0.5"/>
  <pageSetup scale="36" orientation="portrait" r:id="rId2"/>
  <headerFooter alignWithMargins="0"/>
  <colBreaks count="1" manualBreakCount="1">
    <brk id="16" max="27" man="1"/>
  </colBreaks>
</worksheet>
</file>

<file path=xl/worksheets/sheet6.xml><?xml version="1.0" encoding="utf-8"?>
<worksheet xmlns="http://schemas.openxmlformats.org/spreadsheetml/2006/main" xmlns:r="http://schemas.openxmlformats.org/officeDocument/2006/relationships">
  <dimension ref="A1:AD77"/>
  <sheetViews>
    <sheetView view="pageBreakPreview" topLeftCell="A43" zoomScaleNormal="75" zoomScaleSheetLayoutView="100" workbookViewId="0">
      <selection activeCell="A27" sqref="A27"/>
    </sheetView>
  </sheetViews>
  <sheetFormatPr defaultRowHeight="15"/>
  <cols>
    <col min="1" max="1" width="71.7109375" style="25" customWidth="1"/>
    <col min="2" max="26" width="18.42578125" style="25" bestFit="1" customWidth="1"/>
    <col min="27" max="30" width="5.5703125" style="25" bestFit="1" customWidth="1"/>
    <col min="31" max="16384" width="9.140625" style="25"/>
  </cols>
  <sheetData>
    <row r="1" spans="1:30">
      <c r="A1" s="25" t="s">
        <v>6</v>
      </c>
    </row>
    <row r="2" spans="1:30">
      <c r="A2" s="4"/>
    </row>
    <row r="3" spans="1:30">
      <c r="A3" s="11" t="str">
        <f>depre!A2</f>
        <v>No. of Year</v>
      </c>
      <c r="B3" s="28">
        <f>depre!B2</f>
        <v>1</v>
      </c>
      <c r="C3" s="28">
        <f>depre!C2</f>
        <v>2</v>
      </c>
      <c r="D3" s="28">
        <f>depre!D2</f>
        <v>3</v>
      </c>
      <c r="E3" s="28">
        <f>depre!E2</f>
        <v>4</v>
      </c>
      <c r="F3" s="28">
        <f>depre!F2</f>
        <v>5</v>
      </c>
      <c r="G3" s="28">
        <f>depre!G2</f>
        <v>6</v>
      </c>
      <c r="H3" s="28">
        <f>depre!H2</f>
        <v>7</v>
      </c>
      <c r="I3" s="28">
        <f>depre!I2</f>
        <v>8</v>
      </c>
      <c r="J3" s="28">
        <f>depre!J2</f>
        <v>9</v>
      </c>
      <c r="K3" s="28">
        <f>depre!K2</f>
        <v>10</v>
      </c>
      <c r="L3" s="28">
        <f>depre!L2</f>
        <v>11</v>
      </c>
      <c r="M3" s="28">
        <f>depre!M2</f>
        <v>12</v>
      </c>
      <c r="N3" s="28">
        <f>depre!N2</f>
        <v>13</v>
      </c>
      <c r="O3" s="28">
        <f>depre!O2</f>
        <v>14</v>
      </c>
      <c r="P3" s="28">
        <f>depre!P2</f>
        <v>15</v>
      </c>
      <c r="Q3" s="28">
        <f>depre!Q2</f>
        <v>16</v>
      </c>
      <c r="R3" s="28">
        <f>depre!R2</f>
        <v>17</v>
      </c>
      <c r="S3" s="28">
        <f>depre!S2</f>
        <v>18</v>
      </c>
      <c r="T3" s="28">
        <f>depre!T2</f>
        <v>19</v>
      </c>
      <c r="U3" s="28">
        <f>depre!U2</f>
        <v>20</v>
      </c>
      <c r="V3" s="28">
        <f>depre!V2</f>
        <v>21</v>
      </c>
      <c r="W3" s="28">
        <f>depre!W2</f>
        <v>22</v>
      </c>
      <c r="X3" s="28">
        <f>depre!X2</f>
        <v>23</v>
      </c>
      <c r="Y3" s="28">
        <f>depre!Y2</f>
        <v>24</v>
      </c>
      <c r="Z3" s="28">
        <f>depre!Z2</f>
        <v>25</v>
      </c>
    </row>
    <row r="4" spans="1:30">
      <c r="A4" s="11" t="str">
        <f>depre!A4</f>
        <v>Operative Days</v>
      </c>
      <c r="B4" s="28">
        <f>depre!B4</f>
        <v>364</v>
      </c>
      <c r="C4" s="28">
        <f>depre!C4</f>
        <v>365</v>
      </c>
      <c r="D4" s="28">
        <f>depre!D4</f>
        <v>366</v>
      </c>
      <c r="E4" s="28">
        <f>depre!E4</f>
        <v>365</v>
      </c>
      <c r="F4" s="28">
        <f>depre!F4</f>
        <v>365</v>
      </c>
      <c r="G4" s="28">
        <f>depre!G4</f>
        <v>365</v>
      </c>
      <c r="H4" s="28">
        <f>depre!H4</f>
        <v>366</v>
      </c>
      <c r="I4" s="28">
        <f>depre!I4</f>
        <v>365</v>
      </c>
      <c r="J4" s="28">
        <f>depre!J4</f>
        <v>365</v>
      </c>
      <c r="K4" s="28">
        <f>depre!K4</f>
        <v>365</v>
      </c>
      <c r="L4" s="28">
        <f>depre!L4</f>
        <v>366</v>
      </c>
      <c r="M4" s="28">
        <f>depre!M4</f>
        <v>365</v>
      </c>
      <c r="N4" s="28">
        <f>depre!N4</f>
        <v>365</v>
      </c>
      <c r="O4" s="28">
        <f>depre!O4</f>
        <v>365</v>
      </c>
      <c r="P4" s="28">
        <f>depre!P4</f>
        <v>366</v>
      </c>
      <c r="Q4" s="28">
        <f>depre!Q4</f>
        <v>365</v>
      </c>
      <c r="R4" s="28">
        <f>depre!R4</f>
        <v>365</v>
      </c>
      <c r="S4" s="28">
        <f>depre!S4</f>
        <v>365</v>
      </c>
      <c r="T4" s="28">
        <f>depre!T4</f>
        <v>366</v>
      </c>
      <c r="U4" s="28">
        <f>depre!U4</f>
        <v>365</v>
      </c>
      <c r="V4" s="28">
        <f>depre!V4</f>
        <v>365</v>
      </c>
      <c r="W4" s="28">
        <f>depre!W4</f>
        <v>365</v>
      </c>
      <c r="X4" s="28">
        <f>depre!X4</f>
        <v>366</v>
      </c>
      <c r="Y4" s="28">
        <f>depre!Y4</f>
        <v>365</v>
      </c>
      <c r="Z4" s="28">
        <f>depre!Z4</f>
        <v>365</v>
      </c>
    </row>
    <row r="5" spans="1:30">
      <c r="A5" s="11" t="str">
        <f>depre!A5</f>
        <v>Year Ending</v>
      </c>
      <c r="B5" s="29">
        <f>depre!B5</f>
        <v>41729</v>
      </c>
      <c r="C5" s="29">
        <f>depre!C5</f>
        <v>42094</v>
      </c>
      <c r="D5" s="29">
        <f>depre!D5</f>
        <v>42460</v>
      </c>
      <c r="E5" s="29">
        <f>depre!E5</f>
        <v>42825</v>
      </c>
      <c r="F5" s="29">
        <f>depre!F5</f>
        <v>43190</v>
      </c>
      <c r="G5" s="29">
        <f>depre!G5</f>
        <v>43555</v>
      </c>
      <c r="H5" s="29">
        <f>depre!H5</f>
        <v>43921</v>
      </c>
      <c r="I5" s="29">
        <f>depre!I5</f>
        <v>44286</v>
      </c>
      <c r="J5" s="29">
        <f>depre!J5</f>
        <v>44651</v>
      </c>
      <c r="K5" s="29">
        <f>depre!K5</f>
        <v>45016</v>
      </c>
      <c r="L5" s="29">
        <f>depre!L5</f>
        <v>45382</v>
      </c>
      <c r="M5" s="29">
        <f>depre!M5</f>
        <v>45747</v>
      </c>
      <c r="N5" s="29">
        <f>depre!N5</f>
        <v>46112</v>
      </c>
      <c r="O5" s="29">
        <f>depre!O5</f>
        <v>46477</v>
      </c>
      <c r="P5" s="29">
        <f>depre!P5</f>
        <v>46843</v>
      </c>
      <c r="Q5" s="29">
        <f>depre!Q5</f>
        <v>47208</v>
      </c>
      <c r="R5" s="29">
        <f>depre!R5</f>
        <v>47573</v>
      </c>
      <c r="S5" s="29">
        <f>depre!S5</f>
        <v>47938</v>
      </c>
      <c r="T5" s="29">
        <f>depre!T5</f>
        <v>48304</v>
      </c>
      <c r="U5" s="29">
        <f>depre!U5</f>
        <v>48669</v>
      </c>
      <c r="V5" s="29">
        <f>depre!V5</f>
        <v>49034</v>
      </c>
      <c r="W5" s="29">
        <f>depre!W5</f>
        <v>49399</v>
      </c>
      <c r="X5" s="29">
        <f>depre!X5</f>
        <v>49765</v>
      </c>
      <c r="Y5" s="29">
        <f>depre!Y5</f>
        <v>50130</v>
      </c>
      <c r="Z5" s="29">
        <f>depre!Z5</f>
        <v>50495</v>
      </c>
    </row>
    <row r="6" spans="1:30">
      <c r="A6" s="28" t="s">
        <v>252</v>
      </c>
      <c r="B6" s="28">
        <f>Assumption!D56</f>
        <v>1.462</v>
      </c>
      <c r="C6" s="30">
        <f>B6*Assumption!$D$57</f>
        <v>1.5456263999999997</v>
      </c>
      <c r="D6" s="30">
        <f>C6*Assumption!$D$57</f>
        <v>1.6340362300799995</v>
      </c>
      <c r="E6" s="30">
        <f>D6*Assumption!$D$57</f>
        <v>1.7275031024405754</v>
      </c>
      <c r="F6" s="30">
        <f>E6*Assumption!$D$57</f>
        <v>1.8263162799001762</v>
      </c>
      <c r="G6" s="30">
        <f>F6*Assumption!$D$57</f>
        <v>1.9307815711104661</v>
      </c>
      <c r="H6" s="30">
        <f>G6*Assumption!$D$57</f>
        <v>2.0412222769779844</v>
      </c>
      <c r="I6" s="30">
        <f>H6*Assumption!$D$57</f>
        <v>2.1579801912211249</v>
      </c>
      <c r="J6" s="30">
        <f>I6*Assumption!$D$57</f>
        <v>2.2814166581589732</v>
      </c>
      <c r="K6" s="30">
        <f>J6*Assumption!$D$57</f>
        <v>2.4119136910056662</v>
      </c>
      <c r="L6" s="30">
        <f>K6*Assumption!$D$57</f>
        <v>2.5498751541311901</v>
      </c>
      <c r="M6" s="30">
        <f>L6*Assumption!$D$57</f>
        <v>2.6957280129474941</v>
      </c>
      <c r="N6" s="30">
        <f>M6*Assumption!$D$57</f>
        <v>2.8499236552880904</v>
      </c>
      <c r="O6" s="30">
        <f>N6*Assumption!$D$57</f>
        <v>3.012939288370569</v>
      </c>
      <c r="P6" s="30">
        <f>O6*Assumption!$D$57</f>
        <v>3.1852794156653652</v>
      </c>
      <c r="Q6" s="30">
        <f>P6*Assumption!$D$57</f>
        <v>3.3674773982414239</v>
      </c>
      <c r="R6" s="30">
        <f>Q6*Assumption!$D$57</f>
        <v>3.5600971054208332</v>
      </c>
      <c r="S6" s="30">
        <f>R6*Assumption!$D$57</f>
        <v>3.7637346598509045</v>
      </c>
      <c r="T6" s="30">
        <f>S6*Assumption!$D$57</f>
        <v>3.9790202823943761</v>
      </c>
      <c r="U6" s="30">
        <f>T6*Assumption!$D$57</f>
        <v>4.2066202425473342</v>
      </c>
      <c r="V6" s="30">
        <f>U6*Assumption!$D$57</f>
        <v>4.4472389204210412</v>
      </c>
      <c r="W6" s="30">
        <f>V6*Assumption!$D$57</f>
        <v>4.7016209866691243</v>
      </c>
      <c r="X6" s="30">
        <f>W6*Assumption!$D$57</f>
        <v>4.9705537071065979</v>
      </c>
      <c r="Y6" s="30">
        <f>X6*Assumption!$D$57</f>
        <v>5.2548693791530949</v>
      </c>
      <c r="Z6" s="30">
        <f>Y6*Assumption!$D$57</f>
        <v>5.5554479076406516</v>
      </c>
    </row>
    <row r="8" spans="1:30">
      <c r="A8" s="25" t="s">
        <v>7</v>
      </c>
    </row>
    <row r="10" spans="1:30">
      <c r="A10" s="28" t="s">
        <v>4</v>
      </c>
      <c r="B10" s="28">
        <v>2010</v>
      </c>
      <c r="C10" s="28">
        <f>B10+1</f>
        <v>2011</v>
      </c>
      <c r="D10" s="28">
        <f t="shared" ref="D10:AD10" si="0">C10+1</f>
        <v>2012</v>
      </c>
      <c r="E10" s="28">
        <f t="shared" si="0"/>
        <v>2013</v>
      </c>
      <c r="F10" s="28">
        <f t="shared" si="0"/>
        <v>2014</v>
      </c>
      <c r="G10" s="28">
        <f t="shared" si="0"/>
        <v>2015</v>
      </c>
      <c r="H10" s="28">
        <f t="shared" si="0"/>
        <v>2016</v>
      </c>
      <c r="I10" s="28">
        <f t="shared" si="0"/>
        <v>2017</v>
      </c>
      <c r="J10" s="28">
        <f t="shared" si="0"/>
        <v>2018</v>
      </c>
      <c r="K10" s="28">
        <f t="shared" si="0"/>
        <v>2019</v>
      </c>
      <c r="L10" s="28">
        <f t="shared" si="0"/>
        <v>2020</v>
      </c>
      <c r="M10" s="28">
        <f t="shared" si="0"/>
        <v>2021</v>
      </c>
      <c r="N10" s="28">
        <f t="shared" si="0"/>
        <v>2022</v>
      </c>
      <c r="O10" s="28">
        <f t="shared" si="0"/>
        <v>2023</v>
      </c>
      <c r="P10" s="28">
        <f t="shared" si="0"/>
        <v>2024</v>
      </c>
      <c r="Q10" s="28">
        <f t="shared" si="0"/>
        <v>2025</v>
      </c>
      <c r="R10" s="28">
        <f t="shared" si="0"/>
        <v>2026</v>
      </c>
      <c r="S10" s="28">
        <f t="shared" si="0"/>
        <v>2027</v>
      </c>
      <c r="T10" s="28">
        <f t="shared" si="0"/>
        <v>2028</v>
      </c>
      <c r="U10" s="28">
        <f t="shared" si="0"/>
        <v>2029</v>
      </c>
      <c r="V10" s="28">
        <f t="shared" si="0"/>
        <v>2030</v>
      </c>
      <c r="W10" s="28">
        <f t="shared" si="0"/>
        <v>2031</v>
      </c>
      <c r="X10" s="28">
        <f t="shared" si="0"/>
        <v>2032</v>
      </c>
      <c r="Y10" s="28">
        <f t="shared" si="0"/>
        <v>2033</v>
      </c>
      <c r="Z10" s="28">
        <f t="shared" si="0"/>
        <v>2034</v>
      </c>
      <c r="AA10" s="28">
        <f t="shared" si="0"/>
        <v>2035</v>
      </c>
      <c r="AB10" s="28">
        <f t="shared" si="0"/>
        <v>2036</v>
      </c>
      <c r="AC10" s="28">
        <f t="shared" si="0"/>
        <v>2037</v>
      </c>
      <c r="AD10" s="28">
        <f t="shared" si="0"/>
        <v>2038</v>
      </c>
    </row>
    <row r="11" spans="1:30">
      <c r="A11" s="28" t="s">
        <v>265</v>
      </c>
      <c r="B11" s="28">
        <f>Assumption!D38</f>
        <v>46.68</v>
      </c>
      <c r="C11" s="30">
        <f>B11*Assumption!$D$41</f>
        <v>47.006759999999993</v>
      </c>
      <c r="D11" s="30">
        <f>C11*Assumption!$D$41</f>
        <v>47.335807319999986</v>
      </c>
      <c r="E11" s="30">
        <f>D11*Assumption!$D$41</f>
        <v>47.66715797123998</v>
      </c>
      <c r="F11" s="30">
        <f>E11*Assumption!$D$41</f>
        <v>48.000828077038655</v>
      </c>
      <c r="G11" s="30">
        <f>F11*Assumption!$D$41</f>
        <v>48.336833873577923</v>
      </c>
      <c r="H11" s="30">
        <f>G11*Assumption!$D$41</f>
        <v>48.675191710692964</v>
      </c>
      <c r="I11" s="30">
        <f>H11*Assumption!$D$41</f>
        <v>49.015918052667807</v>
      </c>
      <c r="J11" s="30">
        <f>I11*Assumption!$D$41</f>
        <v>49.359029479036479</v>
      </c>
      <c r="K11" s="30">
        <f>J11*Assumption!$D$41</f>
        <v>49.704542685389733</v>
      </c>
      <c r="L11" s="30">
        <f>K11*Assumption!$D$41</f>
        <v>50.052474484187456</v>
      </c>
      <c r="M11" s="30">
        <f>L11*Assumption!$D$41</f>
        <v>50.402841805576763</v>
      </c>
      <c r="N11" s="30">
        <f>M11*Assumption!$D$41</f>
        <v>50.755661698215796</v>
      </c>
      <c r="O11" s="30">
        <f>N11*Assumption!$D$41</f>
        <v>51.110951330103305</v>
      </c>
      <c r="P11" s="30">
        <f>O11*Assumption!$D$41</f>
        <v>51.46872798941402</v>
      </c>
      <c r="Q11" s="30">
        <f>P11*Assumption!$D$41</f>
        <v>51.829009085339912</v>
      </c>
      <c r="R11" s="30">
        <f>Q11*Assumption!$D$41</f>
        <v>52.191812148937288</v>
      </c>
      <c r="S11" s="30">
        <f>R11*Assumption!$D$41</f>
        <v>52.557154833979844</v>
      </c>
      <c r="T11" s="30">
        <f>S11*Assumption!$D$41</f>
        <v>52.925054917817697</v>
      </c>
      <c r="U11" s="30">
        <f>T11*Assumption!$D$41</f>
        <v>53.295530302242412</v>
      </c>
      <c r="V11" s="30">
        <f>U11*Assumption!$D$41</f>
        <v>53.668599014358101</v>
      </c>
      <c r="W11" s="30">
        <f>V11*Assumption!$D$41</f>
        <v>54.044279207458601</v>
      </c>
      <c r="X11" s="30">
        <f>W11*Assumption!$D$41</f>
        <v>54.422589161910807</v>
      </c>
      <c r="Y11" s="30">
        <f>X11*Assumption!$D$41</f>
        <v>54.803547286044179</v>
      </c>
      <c r="Z11" s="30">
        <f>Y11*Assumption!$D$41</f>
        <v>55.18717211704648</v>
      </c>
      <c r="AA11" s="30">
        <f>Z11*Assumption!$D$41</f>
        <v>55.573482321865797</v>
      </c>
      <c r="AB11" s="30">
        <f>AA11*Assumption!$D$41</f>
        <v>55.962496698118848</v>
      </c>
      <c r="AC11" s="30">
        <f>AB11*Assumption!$D$41</f>
        <v>56.354234175005672</v>
      </c>
      <c r="AD11" s="30">
        <f>AC11*Assumption!$D$41</f>
        <v>56.748713814230705</v>
      </c>
    </row>
    <row r="12" spans="1:30">
      <c r="A12" s="28" t="s">
        <v>266</v>
      </c>
      <c r="B12" s="28"/>
      <c r="C12" s="30">
        <f>B11</f>
        <v>46.68</v>
      </c>
      <c r="D12" s="30">
        <f>C11</f>
        <v>47.006759999999993</v>
      </c>
      <c r="E12" s="30">
        <f t="shared" ref="E12:S12" si="1">D11</f>
        <v>47.335807319999986</v>
      </c>
      <c r="F12" s="30">
        <f t="shared" si="1"/>
        <v>47.66715797123998</v>
      </c>
      <c r="G12" s="30">
        <f t="shared" si="1"/>
        <v>48.000828077038655</v>
      </c>
      <c r="H12" s="30">
        <f t="shared" si="1"/>
        <v>48.336833873577923</v>
      </c>
      <c r="I12" s="30">
        <f t="shared" si="1"/>
        <v>48.675191710692964</v>
      </c>
      <c r="J12" s="30">
        <f t="shared" si="1"/>
        <v>49.015918052667807</v>
      </c>
      <c r="K12" s="30">
        <f t="shared" si="1"/>
        <v>49.359029479036479</v>
      </c>
      <c r="L12" s="30">
        <f t="shared" si="1"/>
        <v>49.704542685389733</v>
      </c>
      <c r="M12" s="30">
        <f t="shared" si="1"/>
        <v>50.052474484187456</v>
      </c>
      <c r="N12" s="30">
        <f t="shared" si="1"/>
        <v>50.402841805576763</v>
      </c>
      <c r="O12" s="30">
        <f t="shared" si="1"/>
        <v>50.755661698215796</v>
      </c>
      <c r="P12" s="30">
        <f t="shared" si="1"/>
        <v>51.110951330103305</v>
      </c>
      <c r="Q12" s="30">
        <f t="shared" si="1"/>
        <v>51.46872798941402</v>
      </c>
      <c r="R12" s="30">
        <f t="shared" si="1"/>
        <v>51.829009085339912</v>
      </c>
      <c r="S12" s="30">
        <f t="shared" si="1"/>
        <v>52.191812148937288</v>
      </c>
      <c r="T12" s="30">
        <f t="shared" ref="T12" si="2">S11</f>
        <v>52.557154833979844</v>
      </c>
      <c r="U12" s="30">
        <f t="shared" ref="U12" si="3">T11</f>
        <v>52.925054917817697</v>
      </c>
      <c r="V12" s="30">
        <f t="shared" ref="V12" si="4">U11</f>
        <v>53.295530302242412</v>
      </c>
      <c r="W12" s="30">
        <f t="shared" ref="W12" si="5">V11</f>
        <v>53.668599014358101</v>
      </c>
      <c r="X12" s="30">
        <f t="shared" ref="X12" si="6">W11</f>
        <v>54.044279207458601</v>
      </c>
      <c r="Y12" s="30">
        <f t="shared" ref="Y12" si="7">X11</f>
        <v>54.422589161910807</v>
      </c>
      <c r="Z12" s="30">
        <f t="shared" ref="Z12" si="8">Y11</f>
        <v>54.803547286044179</v>
      </c>
      <c r="AA12" s="30">
        <f t="shared" ref="AA12" si="9">Z11</f>
        <v>55.18717211704648</v>
      </c>
      <c r="AB12" s="30">
        <f t="shared" ref="AB12" si="10">AA11</f>
        <v>55.573482321865797</v>
      </c>
      <c r="AC12" s="30">
        <f t="shared" ref="AC12" si="11">AB11</f>
        <v>55.962496698118848</v>
      </c>
      <c r="AD12" s="30">
        <f t="shared" ref="AD12" si="12">AC11</f>
        <v>56.354234175005672</v>
      </c>
    </row>
    <row r="13" spans="1:30">
      <c r="A13" s="28" t="s">
        <v>267</v>
      </c>
      <c r="B13" s="28"/>
      <c r="C13" s="30">
        <f>(C11+C12)/2</f>
        <v>46.843379999999996</v>
      </c>
      <c r="D13" s="30">
        <f t="shared" ref="D13:AD13" si="13">(D11+D12)/2</f>
        <v>47.171283659999986</v>
      </c>
      <c r="E13" s="30">
        <f t="shared" si="13"/>
        <v>47.501482645619987</v>
      </c>
      <c r="F13" s="30">
        <f t="shared" si="13"/>
        <v>47.833993024139318</v>
      </c>
      <c r="G13" s="30">
        <f t="shared" si="13"/>
        <v>48.168830975308289</v>
      </c>
      <c r="H13" s="30">
        <f t="shared" si="13"/>
        <v>48.506012792135444</v>
      </c>
      <c r="I13" s="30">
        <f t="shared" si="13"/>
        <v>48.845554881680386</v>
      </c>
      <c r="J13" s="30">
        <f t="shared" si="13"/>
        <v>49.187473765852147</v>
      </c>
      <c r="K13" s="30">
        <f t="shared" si="13"/>
        <v>49.531786082213102</v>
      </c>
      <c r="L13" s="30">
        <f t="shared" si="13"/>
        <v>49.878508584788591</v>
      </c>
      <c r="M13" s="30">
        <f t="shared" si="13"/>
        <v>50.227658144882113</v>
      </c>
      <c r="N13" s="30">
        <f t="shared" si="13"/>
        <v>50.57925175189628</v>
      </c>
      <c r="O13" s="30">
        <f t="shared" si="13"/>
        <v>50.933306514159554</v>
      </c>
      <c r="P13" s="30">
        <f t="shared" si="13"/>
        <v>51.289839659758663</v>
      </c>
      <c r="Q13" s="30">
        <f t="shared" si="13"/>
        <v>51.64886853737697</v>
      </c>
      <c r="R13" s="30">
        <f t="shared" si="13"/>
        <v>52.010410617138604</v>
      </c>
      <c r="S13" s="30">
        <f t="shared" si="13"/>
        <v>52.374483491458562</v>
      </c>
      <c r="T13" s="30">
        <f t="shared" si="13"/>
        <v>52.74110487589877</v>
      </c>
      <c r="U13" s="30">
        <f t="shared" si="13"/>
        <v>53.110292610030058</v>
      </c>
      <c r="V13" s="30">
        <f t="shared" si="13"/>
        <v>53.48206465830026</v>
      </c>
      <c r="W13" s="30">
        <f t="shared" si="13"/>
        <v>53.856439110908354</v>
      </c>
      <c r="X13" s="30">
        <f t="shared" si="13"/>
        <v>54.233434184684704</v>
      </c>
      <c r="Y13" s="30">
        <f t="shared" si="13"/>
        <v>54.613068223977493</v>
      </c>
      <c r="Z13" s="30">
        <f t="shared" si="13"/>
        <v>54.995359701545325</v>
      </c>
      <c r="AA13" s="30">
        <f t="shared" si="13"/>
        <v>55.380327219456134</v>
      </c>
      <c r="AB13" s="30">
        <f t="shared" si="13"/>
        <v>55.767989509992319</v>
      </c>
      <c r="AC13" s="30">
        <f t="shared" si="13"/>
        <v>56.158365436562264</v>
      </c>
      <c r="AD13" s="30">
        <f t="shared" si="13"/>
        <v>56.551473994618192</v>
      </c>
    </row>
    <row r="15" spans="1:30">
      <c r="A15" s="25" t="s">
        <v>8</v>
      </c>
    </row>
    <row r="16" spans="1:30">
      <c r="A16" s="28" t="s">
        <v>4</v>
      </c>
      <c r="B16" s="29">
        <f>B5</f>
        <v>41729</v>
      </c>
      <c r="C16" s="29">
        <f t="shared" ref="C16:Z16" si="14">C5</f>
        <v>42094</v>
      </c>
      <c r="D16" s="29">
        <f t="shared" si="14"/>
        <v>42460</v>
      </c>
      <c r="E16" s="29">
        <f t="shared" si="14"/>
        <v>42825</v>
      </c>
      <c r="F16" s="29">
        <f t="shared" si="14"/>
        <v>43190</v>
      </c>
      <c r="G16" s="29">
        <f t="shared" si="14"/>
        <v>43555</v>
      </c>
      <c r="H16" s="29">
        <f t="shared" si="14"/>
        <v>43921</v>
      </c>
      <c r="I16" s="29">
        <f t="shared" si="14"/>
        <v>44286</v>
      </c>
      <c r="J16" s="29">
        <f t="shared" si="14"/>
        <v>44651</v>
      </c>
      <c r="K16" s="29">
        <f t="shared" si="14"/>
        <v>45016</v>
      </c>
      <c r="L16" s="29">
        <f t="shared" si="14"/>
        <v>45382</v>
      </c>
      <c r="M16" s="29">
        <f t="shared" si="14"/>
        <v>45747</v>
      </c>
      <c r="N16" s="29">
        <f t="shared" si="14"/>
        <v>46112</v>
      </c>
      <c r="O16" s="29">
        <f t="shared" si="14"/>
        <v>46477</v>
      </c>
      <c r="P16" s="29">
        <f t="shared" si="14"/>
        <v>46843</v>
      </c>
      <c r="Q16" s="29">
        <f t="shared" si="14"/>
        <v>47208</v>
      </c>
      <c r="R16" s="29">
        <f t="shared" si="14"/>
        <v>47573</v>
      </c>
      <c r="S16" s="29">
        <f t="shared" si="14"/>
        <v>47938</v>
      </c>
      <c r="T16" s="29">
        <f t="shared" si="14"/>
        <v>48304</v>
      </c>
      <c r="U16" s="29">
        <f t="shared" si="14"/>
        <v>48669</v>
      </c>
      <c r="V16" s="29">
        <f t="shared" si="14"/>
        <v>49034</v>
      </c>
      <c r="W16" s="29">
        <f t="shared" si="14"/>
        <v>49399</v>
      </c>
      <c r="X16" s="29">
        <f t="shared" si="14"/>
        <v>49765</v>
      </c>
      <c r="Y16" s="29">
        <f t="shared" si="14"/>
        <v>50130</v>
      </c>
      <c r="Z16" s="29">
        <f t="shared" si="14"/>
        <v>50495</v>
      </c>
      <c r="AA16" s="42"/>
      <c r="AB16" s="42"/>
      <c r="AC16" s="42"/>
      <c r="AD16" s="42"/>
    </row>
    <row r="17" spans="1:30">
      <c r="A17" s="28" t="s">
        <v>268</v>
      </c>
      <c r="B17" s="30">
        <f>E13</f>
        <v>47.501482645619987</v>
      </c>
      <c r="C17" s="30">
        <f t="shared" ref="C17:P17" si="15">F13</f>
        <v>47.833993024139318</v>
      </c>
      <c r="D17" s="30">
        <f t="shared" si="15"/>
        <v>48.168830975308289</v>
      </c>
      <c r="E17" s="30">
        <f t="shared" si="15"/>
        <v>48.506012792135444</v>
      </c>
      <c r="F17" s="30">
        <f t="shared" si="15"/>
        <v>48.845554881680386</v>
      </c>
      <c r="G17" s="30">
        <f t="shared" si="15"/>
        <v>49.187473765852147</v>
      </c>
      <c r="H17" s="30">
        <f t="shared" si="15"/>
        <v>49.531786082213102</v>
      </c>
      <c r="I17" s="30">
        <f t="shared" si="15"/>
        <v>49.878508584788591</v>
      </c>
      <c r="J17" s="30">
        <f t="shared" si="15"/>
        <v>50.227658144882113</v>
      </c>
      <c r="K17" s="30">
        <f t="shared" si="15"/>
        <v>50.57925175189628</v>
      </c>
      <c r="L17" s="30">
        <f t="shared" si="15"/>
        <v>50.933306514159554</v>
      </c>
      <c r="M17" s="30">
        <f t="shared" si="15"/>
        <v>51.289839659758663</v>
      </c>
      <c r="N17" s="30">
        <f t="shared" si="15"/>
        <v>51.64886853737697</v>
      </c>
      <c r="O17" s="30">
        <f t="shared" si="15"/>
        <v>52.010410617138604</v>
      </c>
      <c r="P17" s="30">
        <f t="shared" si="15"/>
        <v>52.374483491458562</v>
      </c>
      <c r="Q17" s="30">
        <f t="shared" ref="Q17" si="16">T13</f>
        <v>52.74110487589877</v>
      </c>
      <c r="R17" s="30">
        <f t="shared" ref="R17" si="17">U13</f>
        <v>53.110292610030058</v>
      </c>
      <c r="S17" s="30">
        <f t="shared" ref="S17" si="18">V13</f>
        <v>53.48206465830026</v>
      </c>
      <c r="T17" s="30">
        <f t="shared" ref="T17" si="19">W13</f>
        <v>53.856439110908354</v>
      </c>
      <c r="U17" s="30">
        <f t="shared" ref="U17" si="20">X13</f>
        <v>54.233434184684704</v>
      </c>
      <c r="V17" s="30">
        <f t="shared" ref="V17" si="21">Y13</f>
        <v>54.613068223977493</v>
      </c>
      <c r="W17" s="30">
        <f t="shared" ref="W17" si="22">Z13</f>
        <v>54.995359701545325</v>
      </c>
      <c r="X17" s="30">
        <f t="shared" ref="X17" si="23">AA13</f>
        <v>55.380327219456134</v>
      </c>
      <c r="Y17" s="30">
        <f t="shared" ref="Y17" si="24">AB13</f>
        <v>55.767989509992319</v>
      </c>
      <c r="Z17" s="30">
        <f t="shared" ref="Z17" si="25">AC13</f>
        <v>56.158365436562264</v>
      </c>
      <c r="AA17" s="31"/>
      <c r="AB17" s="31"/>
      <c r="AC17" s="31"/>
      <c r="AD17" s="31"/>
    </row>
    <row r="18" spans="1:30" s="27" customFormat="1">
      <c r="A18" s="28" t="s">
        <v>253</v>
      </c>
      <c r="B18" s="43">
        <f>Assumption!$D$42</f>
        <v>1133.18</v>
      </c>
      <c r="C18" s="43">
        <f>Assumption!$D$42</f>
        <v>1133.18</v>
      </c>
      <c r="D18" s="43">
        <f>Assumption!$D$42</f>
        <v>1133.18</v>
      </c>
      <c r="E18" s="43">
        <f>Assumption!$D$42</f>
        <v>1133.18</v>
      </c>
      <c r="F18" s="43">
        <f>Assumption!$D$42</f>
        <v>1133.18</v>
      </c>
      <c r="G18" s="43">
        <f>Assumption!$D$42</f>
        <v>1133.18</v>
      </c>
      <c r="H18" s="43">
        <f>Assumption!$D$42</f>
        <v>1133.18</v>
      </c>
      <c r="I18" s="43">
        <f>Assumption!$D$42</f>
        <v>1133.18</v>
      </c>
      <c r="J18" s="43">
        <f>Assumption!$D$42</f>
        <v>1133.18</v>
      </c>
      <c r="K18" s="43">
        <f>Assumption!$D$42</f>
        <v>1133.18</v>
      </c>
      <c r="L18" s="43">
        <f>Assumption!$D$42</f>
        <v>1133.18</v>
      </c>
      <c r="M18" s="43">
        <f>Assumption!$D$42</f>
        <v>1133.18</v>
      </c>
      <c r="N18" s="43">
        <f>Assumption!$D$42</f>
        <v>1133.18</v>
      </c>
      <c r="O18" s="43">
        <f>Assumption!$D$42</f>
        <v>1133.18</v>
      </c>
      <c r="P18" s="43">
        <f>Assumption!$D$42</f>
        <v>1133.18</v>
      </c>
      <c r="Q18" s="43">
        <f>Assumption!$D$42</f>
        <v>1133.18</v>
      </c>
      <c r="R18" s="43">
        <f>Assumption!$D$42</f>
        <v>1133.18</v>
      </c>
      <c r="S18" s="43">
        <f>Assumption!$D$42</f>
        <v>1133.18</v>
      </c>
      <c r="T18" s="43">
        <f>Assumption!$D$42</f>
        <v>1133.18</v>
      </c>
      <c r="U18" s="43">
        <f>Assumption!$D$42</f>
        <v>1133.18</v>
      </c>
      <c r="V18" s="43">
        <f>Assumption!$D$42</f>
        <v>1133.18</v>
      </c>
      <c r="W18" s="43">
        <f>Assumption!$D$42</f>
        <v>1133.18</v>
      </c>
      <c r="X18" s="43">
        <f>Assumption!$D$42</f>
        <v>1133.18</v>
      </c>
      <c r="Y18" s="43">
        <f>Assumption!$D$42</f>
        <v>1133.18</v>
      </c>
      <c r="Z18" s="43">
        <f>Assumption!$D$42</f>
        <v>1133.18</v>
      </c>
    </row>
    <row r="19" spans="1:30">
      <c r="A19" s="28" t="s">
        <v>269</v>
      </c>
      <c r="B19" s="44">
        <f>B18</f>
        <v>1133.18</v>
      </c>
      <c r="C19" s="44">
        <f t="shared" ref="C19:Z19" si="26">C18</f>
        <v>1133.18</v>
      </c>
      <c r="D19" s="44">
        <f t="shared" si="26"/>
        <v>1133.18</v>
      </c>
      <c r="E19" s="44">
        <f t="shared" si="26"/>
        <v>1133.18</v>
      </c>
      <c r="F19" s="44">
        <f t="shared" si="26"/>
        <v>1133.18</v>
      </c>
      <c r="G19" s="44">
        <f t="shared" si="26"/>
        <v>1133.18</v>
      </c>
      <c r="H19" s="44">
        <f t="shared" si="26"/>
        <v>1133.18</v>
      </c>
      <c r="I19" s="44">
        <f t="shared" si="26"/>
        <v>1133.18</v>
      </c>
      <c r="J19" s="44">
        <f t="shared" si="26"/>
        <v>1133.18</v>
      </c>
      <c r="K19" s="44">
        <f t="shared" si="26"/>
        <v>1133.18</v>
      </c>
      <c r="L19" s="44">
        <f t="shared" si="26"/>
        <v>1133.18</v>
      </c>
      <c r="M19" s="44">
        <f t="shared" si="26"/>
        <v>1133.18</v>
      </c>
      <c r="N19" s="44">
        <f t="shared" si="26"/>
        <v>1133.18</v>
      </c>
      <c r="O19" s="44">
        <f t="shared" si="26"/>
        <v>1133.18</v>
      </c>
      <c r="P19" s="44">
        <f t="shared" si="26"/>
        <v>1133.18</v>
      </c>
      <c r="Q19" s="44">
        <f t="shared" si="26"/>
        <v>1133.18</v>
      </c>
      <c r="R19" s="44">
        <f t="shared" si="26"/>
        <v>1133.18</v>
      </c>
      <c r="S19" s="44">
        <f t="shared" si="26"/>
        <v>1133.18</v>
      </c>
      <c r="T19" s="44">
        <f t="shared" si="26"/>
        <v>1133.18</v>
      </c>
      <c r="U19" s="44">
        <f t="shared" si="26"/>
        <v>1133.18</v>
      </c>
      <c r="V19" s="44">
        <f t="shared" si="26"/>
        <v>1133.18</v>
      </c>
      <c r="W19" s="44">
        <f t="shared" si="26"/>
        <v>1133.18</v>
      </c>
      <c r="X19" s="44">
        <f t="shared" si="26"/>
        <v>1133.18</v>
      </c>
      <c r="Y19" s="44">
        <f t="shared" si="26"/>
        <v>1133.18</v>
      </c>
      <c r="Z19" s="44">
        <f t="shared" si="26"/>
        <v>1133.18</v>
      </c>
    </row>
    <row r="20" spans="1:30">
      <c r="A20" s="28" t="s">
        <v>254</v>
      </c>
      <c r="B20" s="44">
        <f>B19*Assumption!$D$60</f>
        <v>9.0654400000000006</v>
      </c>
      <c r="C20" s="44">
        <f>C19*Assumption!$D$60</f>
        <v>9.0654400000000006</v>
      </c>
      <c r="D20" s="44">
        <f>D19*Assumption!$D$60</f>
        <v>9.0654400000000006</v>
      </c>
      <c r="E20" s="44">
        <f>E19*Assumption!$D$60</f>
        <v>9.0654400000000006</v>
      </c>
      <c r="F20" s="44">
        <f>F19*Assumption!$D$60</f>
        <v>9.0654400000000006</v>
      </c>
      <c r="G20" s="44">
        <f>G19*Assumption!$D$60</f>
        <v>9.0654400000000006</v>
      </c>
      <c r="H20" s="44">
        <f>H19*Assumption!$D$60</f>
        <v>9.0654400000000006</v>
      </c>
      <c r="I20" s="44">
        <f>I19*Assumption!$D$60</f>
        <v>9.0654400000000006</v>
      </c>
      <c r="J20" s="44">
        <f>J19*Assumption!$D$60</f>
        <v>9.0654400000000006</v>
      </c>
      <c r="K20" s="44">
        <f>K19*Assumption!$D$60</f>
        <v>9.0654400000000006</v>
      </c>
      <c r="L20" s="44">
        <f>L19*Assumption!$D$60</f>
        <v>9.0654400000000006</v>
      </c>
      <c r="M20" s="44">
        <f>M19*Assumption!$D$60</f>
        <v>9.0654400000000006</v>
      </c>
      <c r="N20" s="44">
        <f>N19*Assumption!$D$60</f>
        <v>9.0654400000000006</v>
      </c>
      <c r="O20" s="44">
        <f>O19*Assumption!$D$60</f>
        <v>9.0654400000000006</v>
      </c>
      <c r="P20" s="44">
        <f>P19*Assumption!$D$60</f>
        <v>9.0654400000000006</v>
      </c>
      <c r="Q20" s="44">
        <f>Q19*Assumption!$D$60</f>
        <v>9.0654400000000006</v>
      </c>
      <c r="R20" s="44">
        <f>R19*Assumption!$D$60</f>
        <v>9.0654400000000006</v>
      </c>
      <c r="S20" s="44">
        <f>S19*Assumption!$D$60</f>
        <v>9.0654400000000006</v>
      </c>
      <c r="T20" s="44">
        <f>T19*Assumption!$D$60</f>
        <v>9.0654400000000006</v>
      </c>
      <c r="U20" s="44">
        <f>U19*Assumption!$D$60</f>
        <v>9.0654400000000006</v>
      </c>
      <c r="V20" s="44">
        <f>V19*Assumption!$D$60</f>
        <v>9.0654400000000006</v>
      </c>
      <c r="W20" s="44">
        <f>W19*Assumption!$D$60</f>
        <v>9.0654400000000006</v>
      </c>
      <c r="X20" s="44">
        <f>X19*Assumption!$D$60</f>
        <v>9.0654400000000006</v>
      </c>
      <c r="Y20" s="44">
        <f>Y19*Assumption!$D$60</f>
        <v>9.0654400000000006</v>
      </c>
      <c r="Z20" s="44">
        <f>Z19*Assumption!$D$60</f>
        <v>9.0654400000000006</v>
      </c>
    </row>
    <row r="21" spans="1:30">
      <c r="A21" s="28" t="s">
        <v>270</v>
      </c>
      <c r="B21" s="44">
        <f>B19+B20</f>
        <v>1142.2454400000001</v>
      </c>
      <c r="C21" s="44">
        <f t="shared" ref="C21:Z21" si="27">C19+C20</f>
        <v>1142.2454400000001</v>
      </c>
      <c r="D21" s="44">
        <f t="shared" si="27"/>
        <v>1142.2454400000001</v>
      </c>
      <c r="E21" s="44">
        <f t="shared" si="27"/>
        <v>1142.2454400000001</v>
      </c>
      <c r="F21" s="44">
        <f t="shared" si="27"/>
        <v>1142.2454400000001</v>
      </c>
      <c r="G21" s="44">
        <f t="shared" si="27"/>
        <v>1142.2454400000001</v>
      </c>
      <c r="H21" s="44">
        <f t="shared" si="27"/>
        <v>1142.2454400000001</v>
      </c>
      <c r="I21" s="44">
        <f t="shared" si="27"/>
        <v>1142.2454400000001</v>
      </c>
      <c r="J21" s="44">
        <f t="shared" si="27"/>
        <v>1142.2454400000001</v>
      </c>
      <c r="K21" s="44">
        <f t="shared" si="27"/>
        <v>1142.2454400000001</v>
      </c>
      <c r="L21" s="44">
        <f t="shared" si="27"/>
        <v>1142.2454400000001</v>
      </c>
      <c r="M21" s="44">
        <f t="shared" si="27"/>
        <v>1142.2454400000001</v>
      </c>
      <c r="N21" s="44">
        <f t="shared" si="27"/>
        <v>1142.2454400000001</v>
      </c>
      <c r="O21" s="44">
        <f t="shared" si="27"/>
        <v>1142.2454400000001</v>
      </c>
      <c r="P21" s="44">
        <f t="shared" si="27"/>
        <v>1142.2454400000001</v>
      </c>
      <c r="Q21" s="44">
        <f t="shared" si="27"/>
        <v>1142.2454400000001</v>
      </c>
      <c r="R21" s="44">
        <f t="shared" si="27"/>
        <v>1142.2454400000001</v>
      </c>
      <c r="S21" s="44">
        <f t="shared" si="27"/>
        <v>1142.2454400000001</v>
      </c>
      <c r="T21" s="44">
        <f t="shared" si="27"/>
        <v>1142.2454400000001</v>
      </c>
      <c r="U21" s="44">
        <f t="shared" si="27"/>
        <v>1142.2454400000001</v>
      </c>
      <c r="V21" s="44">
        <f t="shared" si="27"/>
        <v>1142.2454400000001</v>
      </c>
      <c r="W21" s="44">
        <f t="shared" si="27"/>
        <v>1142.2454400000001</v>
      </c>
      <c r="X21" s="44">
        <f t="shared" si="27"/>
        <v>1142.2454400000001</v>
      </c>
      <c r="Y21" s="44">
        <f t="shared" si="27"/>
        <v>1142.2454400000001</v>
      </c>
      <c r="Z21" s="44">
        <f t="shared" si="27"/>
        <v>1142.2454400000001</v>
      </c>
    </row>
    <row r="22" spans="1:30" s="46" customFormat="1">
      <c r="A22" s="28" t="s">
        <v>114</v>
      </c>
      <c r="B22" s="45">
        <f t="shared" ref="B22:Z22" si="28">$B$76</f>
        <v>3755000</v>
      </c>
      <c r="C22" s="45">
        <f t="shared" si="28"/>
        <v>3755000</v>
      </c>
      <c r="D22" s="45">
        <f t="shared" si="28"/>
        <v>3755000</v>
      </c>
      <c r="E22" s="45">
        <f t="shared" si="28"/>
        <v>3755000</v>
      </c>
      <c r="F22" s="45">
        <f t="shared" si="28"/>
        <v>3755000</v>
      </c>
      <c r="G22" s="45">
        <f t="shared" si="28"/>
        <v>3755000</v>
      </c>
      <c r="H22" s="45">
        <f t="shared" si="28"/>
        <v>3755000</v>
      </c>
      <c r="I22" s="45">
        <f t="shared" si="28"/>
        <v>3755000</v>
      </c>
      <c r="J22" s="45">
        <f t="shared" si="28"/>
        <v>3755000</v>
      </c>
      <c r="K22" s="45">
        <f t="shared" si="28"/>
        <v>3755000</v>
      </c>
      <c r="L22" s="45">
        <f t="shared" si="28"/>
        <v>3755000</v>
      </c>
      <c r="M22" s="45">
        <f t="shared" si="28"/>
        <v>3755000</v>
      </c>
      <c r="N22" s="45">
        <f t="shared" si="28"/>
        <v>3755000</v>
      </c>
      <c r="O22" s="45">
        <f t="shared" si="28"/>
        <v>3755000</v>
      </c>
      <c r="P22" s="45">
        <f t="shared" si="28"/>
        <v>3755000</v>
      </c>
      <c r="Q22" s="45">
        <f t="shared" si="28"/>
        <v>3755000</v>
      </c>
      <c r="R22" s="45">
        <f t="shared" si="28"/>
        <v>3755000</v>
      </c>
      <c r="S22" s="45">
        <f t="shared" si="28"/>
        <v>3755000</v>
      </c>
      <c r="T22" s="45">
        <f t="shared" si="28"/>
        <v>3755000</v>
      </c>
      <c r="U22" s="45">
        <f t="shared" si="28"/>
        <v>3755000</v>
      </c>
      <c r="V22" s="45">
        <f t="shared" si="28"/>
        <v>3755000</v>
      </c>
      <c r="W22" s="45">
        <f t="shared" si="28"/>
        <v>3755000</v>
      </c>
      <c r="X22" s="45">
        <f t="shared" si="28"/>
        <v>3755000</v>
      </c>
      <c r="Y22" s="45">
        <f t="shared" si="28"/>
        <v>3755000</v>
      </c>
      <c r="Z22" s="45">
        <f t="shared" si="28"/>
        <v>3755000</v>
      </c>
    </row>
    <row r="23" spans="1:30" s="46" customFormat="1">
      <c r="A23" s="28" t="s">
        <v>126</v>
      </c>
      <c r="B23" s="45">
        <f>B34</f>
        <v>11314821117599.998</v>
      </c>
      <c r="C23" s="45">
        <f t="shared" ref="C23:Z23" si="29">C34</f>
        <v>11345905791000</v>
      </c>
      <c r="D23" s="45">
        <f t="shared" si="29"/>
        <v>11376990464400</v>
      </c>
      <c r="E23" s="45">
        <f t="shared" si="29"/>
        <v>11345905791000</v>
      </c>
      <c r="F23" s="45">
        <f t="shared" si="29"/>
        <v>11345905791000</v>
      </c>
      <c r="G23" s="45">
        <f t="shared" si="29"/>
        <v>11345905791000</v>
      </c>
      <c r="H23" s="45">
        <f t="shared" si="29"/>
        <v>11376990464400</v>
      </c>
      <c r="I23" s="45">
        <f t="shared" si="29"/>
        <v>11345905791000</v>
      </c>
      <c r="J23" s="45">
        <f t="shared" si="29"/>
        <v>11345905791000</v>
      </c>
      <c r="K23" s="45">
        <f t="shared" si="29"/>
        <v>11345905791000</v>
      </c>
      <c r="L23" s="45">
        <f t="shared" si="29"/>
        <v>11376990464400</v>
      </c>
      <c r="M23" s="45">
        <f t="shared" si="29"/>
        <v>11345905791000</v>
      </c>
      <c r="N23" s="45">
        <f t="shared" si="29"/>
        <v>11345905791000</v>
      </c>
      <c r="O23" s="45">
        <f t="shared" si="29"/>
        <v>11345905791000</v>
      </c>
      <c r="P23" s="45">
        <f t="shared" si="29"/>
        <v>11376990464400</v>
      </c>
      <c r="Q23" s="45">
        <f t="shared" si="29"/>
        <v>11345905791000</v>
      </c>
      <c r="R23" s="45">
        <f t="shared" si="29"/>
        <v>11345905791000</v>
      </c>
      <c r="S23" s="45">
        <f t="shared" si="29"/>
        <v>11345905791000</v>
      </c>
      <c r="T23" s="45">
        <f t="shared" si="29"/>
        <v>11376990464400</v>
      </c>
      <c r="U23" s="45">
        <f t="shared" si="29"/>
        <v>11345905791000</v>
      </c>
      <c r="V23" s="45">
        <f t="shared" si="29"/>
        <v>11345905791000</v>
      </c>
      <c r="W23" s="45">
        <f t="shared" si="29"/>
        <v>11345905791000</v>
      </c>
      <c r="X23" s="45">
        <f t="shared" si="29"/>
        <v>11376990464400</v>
      </c>
      <c r="Y23" s="45">
        <f t="shared" si="29"/>
        <v>11345905791000</v>
      </c>
      <c r="Z23" s="45">
        <f t="shared" si="29"/>
        <v>11345905791000</v>
      </c>
    </row>
    <row r="24" spans="1:30">
      <c r="A24" s="28" t="s">
        <v>127</v>
      </c>
      <c r="B24" s="44">
        <f>B23/B22</f>
        <v>3013267.9407723029</v>
      </c>
      <c r="C24" s="44">
        <f t="shared" ref="C24:Z24" si="30">C23/C22</f>
        <v>3021546.1494007991</v>
      </c>
      <c r="D24" s="44">
        <f t="shared" si="30"/>
        <v>3029824.3580292943</v>
      </c>
      <c r="E24" s="44">
        <f t="shared" si="30"/>
        <v>3021546.1494007991</v>
      </c>
      <c r="F24" s="44">
        <f t="shared" si="30"/>
        <v>3021546.1494007991</v>
      </c>
      <c r="G24" s="44">
        <f t="shared" si="30"/>
        <v>3021546.1494007991</v>
      </c>
      <c r="H24" s="44">
        <f t="shared" si="30"/>
        <v>3029824.3580292943</v>
      </c>
      <c r="I24" s="44">
        <f t="shared" si="30"/>
        <v>3021546.1494007991</v>
      </c>
      <c r="J24" s="44">
        <f t="shared" si="30"/>
        <v>3021546.1494007991</v>
      </c>
      <c r="K24" s="44">
        <f t="shared" si="30"/>
        <v>3021546.1494007991</v>
      </c>
      <c r="L24" s="44">
        <f t="shared" si="30"/>
        <v>3029824.3580292943</v>
      </c>
      <c r="M24" s="44">
        <f t="shared" si="30"/>
        <v>3021546.1494007991</v>
      </c>
      <c r="N24" s="44">
        <f t="shared" si="30"/>
        <v>3021546.1494007991</v>
      </c>
      <c r="O24" s="44">
        <f t="shared" si="30"/>
        <v>3021546.1494007991</v>
      </c>
      <c r="P24" s="44">
        <f t="shared" si="30"/>
        <v>3029824.3580292943</v>
      </c>
      <c r="Q24" s="44">
        <f t="shared" si="30"/>
        <v>3021546.1494007991</v>
      </c>
      <c r="R24" s="44">
        <f t="shared" si="30"/>
        <v>3021546.1494007991</v>
      </c>
      <c r="S24" s="44">
        <f t="shared" si="30"/>
        <v>3021546.1494007991</v>
      </c>
      <c r="T24" s="44">
        <f t="shared" si="30"/>
        <v>3029824.3580292943</v>
      </c>
      <c r="U24" s="44">
        <f t="shared" si="30"/>
        <v>3021546.1494007991</v>
      </c>
      <c r="V24" s="44">
        <f t="shared" si="30"/>
        <v>3021546.1494007991</v>
      </c>
      <c r="W24" s="44">
        <f t="shared" si="30"/>
        <v>3021546.1494007991</v>
      </c>
      <c r="X24" s="44">
        <f t="shared" si="30"/>
        <v>3029824.3580292943</v>
      </c>
      <c r="Y24" s="44">
        <f t="shared" si="30"/>
        <v>3021546.1494007991</v>
      </c>
      <c r="Z24" s="44">
        <f t="shared" si="30"/>
        <v>3021546.1494007991</v>
      </c>
    </row>
    <row r="25" spans="1:30">
      <c r="A25" s="28" t="s">
        <v>276</v>
      </c>
      <c r="B25" s="44">
        <f>(B24*B21)/1000000</f>
        <v>3441.8915648453535</v>
      </c>
      <c r="C25" s="44">
        <f t="shared" ref="C25:Z25" si="31">(C24*C21)/1000000</f>
        <v>3451.3473109026218</v>
      </c>
      <c r="D25" s="44">
        <f t="shared" si="31"/>
        <v>3460.8030569598895</v>
      </c>
      <c r="E25" s="44">
        <f t="shared" si="31"/>
        <v>3451.3473109026218</v>
      </c>
      <c r="F25" s="44">
        <f t="shared" si="31"/>
        <v>3451.3473109026218</v>
      </c>
      <c r="G25" s="44">
        <f t="shared" si="31"/>
        <v>3451.3473109026218</v>
      </c>
      <c r="H25" s="44">
        <f t="shared" si="31"/>
        <v>3460.8030569598895</v>
      </c>
      <c r="I25" s="44">
        <f t="shared" si="31"/>
        <v>3451.3473109026218</v>
      </c>
      <c r="J25" s="44">
        <f t="shared" si="31"/>
        <v>3451.3473109026218</v>
      </c>
      <c r="K25" s="44">
        <f t="shared" si="31"/>
        <v>3451.3473109026218</v>
      </c>
      <c r="L25" s="44">
        <f t="shared" si="31"/>
        <v>3460.8030569598895</v>
      </c>
      <c r="M25" s="44">
        <f t="shared" si="31"/>
        <v>3451.3473109026218</v>
      </c>
      <c r="N25" s="44">
        <f t="shared" si="31"/>
        <v>3451.3473109026218</v>
      </c>
      <c r="O25" s="44">
        <f t="shared" si="31"/>
        <v>3451.3473109026218</v>
      </c>
      <c r="P25" s="44">
        <f t="shared" si="31"/>
        <v>3460.8030569598895</v>
      </c>
      <c r="Q25" s="44">
        <f t="shared" si="31"/>
        <v>3451.3473109026218</v>
      </c>
      <c r="R25" s="44">
        <f t="shared" si="31"/>
        <v>3451.3473109026218</v>
      </c>
      <c r="S25" s="44">
        <f t="shared" si="31"/>
        <v>3451.3473109026218</v>
      </c>
      <c r="T25" s="44">
        <f t="shared" si="31"/>
        <v>3460.8030569598895</v>
      </c>
      <c r="U25" s="44">
        <f t="shared" si="31"/>
        <v>3451.3473109026218</v>
      </c>
      <c r="V25" s="44">
        <f t="shared" si="31"/>
        <v>3451.3473109026218</v>
      </c>
      <c r="W25" s="44">
        <f t="shared" si="31"/>
        <v>3451.3473109026218</v>
      </c>
      <c r="X25" s="44">
        <f t="shared" si="31"/>
        <v>3460.8030569598895</v>
      </c>
      <c r="Y25" s="44">
        <f t="shared" si="31"/>
        <v>3451.3473109026218</v>
      </c>
      <c r="Z25" s="44">
        <f t="shared" si="31"/>
        <v>3451.3473109026218</v>
      </c>
    </row>
    <row r="26" spans="1:30" s="49" customFormat="1">
      <c r="A26" s="47" t="s">
        <v>271</v>
      </c>
      <c r="B26" s="48">
        <f>B48</f>
        <v>149.97231849599999</v>
      </c>
      <c r="C26" s="48">
        <f t="shared" ref="C26:Z26" si="32">C48</f>
        <v>150.38433035999998</v>
      </c>
      <c r="D26" s="48">
        <f t="shared" si="32"/>
        <v>150.796342224</v>
      </c>
      <c r="E26" s="48">
        <f t="shared" si="32"/>
        <v>150.38433035999998</v>
      </c>
      <c r="F26" s="48">
        <f t="shared" si="32"/>
        <v>150.38433035999998</v>
      </c>
      <c r="G26" s="48">
        <f t="shared" si="32"/>
        <v>150.38433035999998</v>
      </c>
      <c r="H26" s="48">
        <f t="shared" si="32"/>
        <v>150.796342224</v>
      </c>
      <c r="I26" s="48">
        <f t="shared" si="32"/>
        <v>150.38433035999998</v>
      </c>
      <c r="J26" s="48">
        <f t="shared" si="32"/>
        <v>150.38433035999998</v>
      </c>
      <c r="K26" s="48">
        <f t="shared" si="32"/>
        <v>150.38433035999998</v>
      </c>
      <c r="L26" s="48">
        <f t="shared" si="32"/>
        <v>150.796342224</v>
      </c>
      <c r="M26" s="48">
        <f t="shared" si="32"/>
        <v>150.38433035999998</v>
      </c>
      <c r="N26" s="48">
        <f t="shared" si="32"/>
        <v>150.38433035999998</v>
      </c>
      <c r="O26" s="48">
        <f t="shared" si="32"/>
        <v>150.38433035999998</v>
      </c>
      <c r="P26" s="48">
        <f t="shared" si="32"/>
        <v>150.796342224</v>
      </c>
      <c r="Q26" s="48">
        <f t="shared" si="32"/>
        <v>150.38433035999998</v>
      </c>
      <c r="R26" s="48">
        <f t="shared" si="32"/>
        <v>150.38433035999998</v>
      </c>
      <c r="S26" s="48">
        <f t="shared" si="32"/>
        <v>150.38433035999998</v>
      </c>
      <c r="T26" s="48">
        <f t="shared" si="32"/>
        <v>150.796342224</v>
      </c>
      <c r="U26" s="48">
        <f t="shared" si="32"/>
        <v>150.38433035999998</v>
      </c>
      <c r="V26" s="48">
        <f t="shared" si="32"/>
        <v>150.38433035999998</v>
      </c>
      <c r="W26" s="48">
        <f t="shared" si="32"/>
        <v>150.38433035999998</v>
      </c>
      <c r="X26" s="48">
        <f t="shared" si="32"/>
        <v>150.796342224</v>
      </c>
      <c r="Y26" s="48">
        <f t="shared" si="32"/>
        <v>150.38433035999998</v>
      </c>
      <c r="Z26" s="48">
        <f t="shared" si="32"/>
        <v>150.38433035999998</v>
      </c>
    </row>
    <row r="27" spans="1:30">
      <c r="A27" s="28" t="s">
        <v>255</v>
      </c>
      <c r="B27" s="50">
        <f>B26+B25</f>
        <v>3591.8638833413534</v>
      </c>
      <c r="C27" s="50">
        <f t="shared" ref="C27:Z27" si="33">C26+C25</f>
        <v>3601.7316412626219</v>
      </c>
      <c r="D27" s="50">
        <f t="shared" si="33"/>
        <v>3611.5993991838895</v>
      </c>
      <c r="E27" s="50">
        <f t="shared" si="33"/>
        <v>3601.7316412626219</v>
      </c>
      <c r="F27" s="50">
        <f t="shared" si="33"/>
        <v>3601.7316412626219</v>
      </c>
      <c r="G27" s="50">
        <f t="shared" si="33"/>
        <v>3601.7316412626219</v>
      </c>
      <c r="H27" s="50">
        <f t="shared" si="33"/>
        <v>3611.5993991838895</v>
      </c>
      <c r="I27" s="50">
        <f t="shared" si="33"/>
        <v>3601.7316412626219</v>
      </c>
      <c r="J27" s="50">
        <f t="shared" si="33"/>
        <v>3601.7316412626219</v>
      </c>
      <c r="K27" s="50">
        <f t="shared" si="33"/>
        <v>3601.7316412626219</v>
      </c>
      <c r="L27" s="50">
        <f t="shared" si="33"/>
        <v>3611.5993991838895</v>
      </c>
      <c r="M27" s="50">
        <f t="shared" si="33"/>
        <v>3601.7316412626219</v>
      </c>
      <c r="N27" s="50">
        <f t="shared" si="33"/>
        <v>3601.7316412626219</v>
      </c>
      <c r="O27" s="50">
        <f t="shared" si="33"/>
        <v>3601.7316412626219</v>
      </c>
      <c r="P27" s="50">
        <f t="shared" si="33"/>
        <v>3611.5993991838895</v>
      </c>
      <c r="Q27" s="50">
        <f t="shared" si="33"/>
        <v>3601.7316412626219</v>
      </c>
      <c r="R27" s="50">
        <f t="shared" si="33"/>
        <v>3601.7316412626219</v>
      </c>
      <c r="S27" s="50">
        <f t="shared" si="33"/>
        <v>3601.7316412626219</v>
      </c>
      <c r="T27" s="50">
        <f t="shared" si="33"/>
        <v>3611.5993991838895</v>
      </c>
      <c r="U27" s="50">
        <f t="shared" si="33"/>
        <v>3601.7316412626219</v>
      </c>
      <c r="V27" s="50">
        <f t="shared" si="33"/>
        <v>3601.7316412626219</v>
      </c>
      <c r="W27" s="50">
        <f t="shared" si="33"/>
        <v>3601.7316412626219</v>
      </c>
      <c r="X27" s="50">
        <f t="shared" si="33"/>
        <v>3611.5993991838895</v>
      </c>
      <c r="Y27" s="50">
        <f t="shared" si="33"/>
        <v>3601.7316412626219</v>
      </c>
      <c r="Z27" s="50">
        <f t="shared" si="33"/>
        <v>3601.7316412626219</v>
      </c>
    </row>
    <row r="28" spans="1:30">
      <c r="A28" s="28" t="s">
        <v>103</v>
      </c>
      <c r="B28" s="50">
        <f>B71</f>
        <v>4484.3198400000001</v>
      </c>
      <c r="C28" s="50">
        <f t="shared" ref="C28:Z28" si="34">C71</f>
        <v>4496.6394</v>
      </c>
      <c r="D28" s="50">
        <f t="shared" si="34"/>
        <v>4508.9589599999999</v>
      </c>
      <c r="E28" s="50">
        <f t="shared" si="34"/>
        <v>4496.6394</v>
      </c>
      <c r="F28" s="50">
        <f t="shared" si="34"/>
        <v>4496.6394</v>
      </c>
      <c r="G28" s="50">
        <f t="shared" si="34"/>
        <v>4496.6394</v>
      </c>
      <c r="H28" s="50">
        <f t="shared" si="34"/>
        <v>4508.9589599999999</v>
      </c>
      <c r="I28" s="50">
        <f t="shared" si="34"/>
        <v>4496.6394</v>
      </c>
      <c r="J28" s="50">
        <f t="shared" si="34"/>
        <v>4496.6394</v>
      </c>
      <c r="K28" s="50">
        <f t="shared" si="34"/>
        <v>4496.6394</v>
      </c>
      <c r="L28" s="50">
        <f t="shared" si="34"/>
        <v>4508.9589599999999</v>
      </c>
      <c r="M28" s="50">
        <f t="shared" si="34"/>
        <v>4496.6394</v>
      </c>
      <c r="N28" s="50">
        <f t="shared" si="34"/>
        <v>4496.6394</v>
      </c>
      <c r="O28" s="50">
        <f t="shared" si="34"/>
        <v>4496.6394</v>
      </c>
      <c r="P28" s="50">
        <f t="shared" si="34"/>
        <v>4508.9589599999999</v>
      </c>
      <c r="Q28" s="50">
        <f t="shared" si="34"/>
        <v>4496.6394</v>
      </c>
      <c r="R28" s="50">
        <f t="shared" si="34"/>
        <v>4496.6394</v>
      </c>
      <c r="S28" s="50">
        <f t="shared" si="34"/>
        <v>4496.6394</v>
      </c>
      <c r="T28" s="50">
        <f t="shared" si="34"/>
        <v>4508.9589599999999</v>
      </c>
      <c r="U28" s="50">
        <f t="shared" si="34"/>
        <v>4496.6394</v>
      </c>
      <c r="V28" s="50">
        <f t="shared" si="34"/>
        <v>4496.6394</v>
      </c>
      <c r="W28" s="50">
        <f t="shared" si="34"/>
        <v>4496.6394</v>
      </c>
      <c r="X28" s="50">
        <f t="shared" si="34"/>
        <v>4508.9589599999999</v>
      </c>
      <c r="Y28" s="50">
        <f t="shared" si="34"/>
        <v>4496.6394</v>
      </c>
      <c r="Z28" s="50">
        <f t="shared" si="34"/>
        <v>4496.6394</v>
      </c>
    </row>
    <row r="29" spans="1:30" s="27" customFormat="1">
      <c r="A29" s="43" t="s">
        <v>272</v>
      </c>
      <c r="B29" s="43">
        <f>(B27/B28)</f>
        <v>0.80098298326137085</v>
      </c>
      <c r="C29" s="43">
        <f t="shared" ref="C29:Z29" si="35">(C27/C28)</f>
        <v>0.80098298326137107</v>
      </c>
      <c r="D29" s="43">
        <f t="shared" si="35"/>
        <v>0.80098298326137118</v>
      </c>
      <c r="E29" s="43">
        <f t="shared" si="35"/>
        <v>0.80098298326137107</v>
      </c>
      <c r="F29" s="43">
        <f t="shared" si="35"/>
        <v>0.80098298326137107</v>
      </c>
      <c r="G29" s="43">
        <f t="shared" si="35"/>
        <v>0.80098298326137107</v>
      </c>
      <c r="H29" s="43">
        <f t="shared" si="35"/>
        <v>0.80098298326137118</v>
      </c>
      <c r="I29" s="43">
        <f t="shared" si="35"/>
        <v>0.80098298326137107</v>
      </c>
      <c r="J29" s="43">
        <f t="shared" si="35"/>
        <v>0.80098298326137107</v>
      </c>
      <c r="K29" s="43">
        <f t="shared" si="35"/>
        <v>0.80098298326137107</v>
      </c>
      <c r="L29" s="43">
        <f t="shared" si="35"/>
        <v>0.80098298326137118</v>
      </c>
      <c r="M29" s="43">
        <f t="shared" si="35"/>
        <v>0.80098298326137107</v>
      </c>
      <c r="N29" s="43">
        <f t="shared" si="35"/>
        <v>0.80098298326137107</v>
      </c>
      <c r="O29" s="43">
        <f t="shared" si="35"/>
        <v>0.80098298326137107</v>
      </c>
      <c r="P29" s="43">
        <f t="shared" si="35"/>
        <v>0.80098298326137118</v>
      </c>
      <c r="Q29" s="43">
        <f t="shared" si="35"/>
        <v>0.80098298326137107</v>
      </c>
      <c r="R29" s="43">
        <f t="shared" si="35"/>
        <v>0.80098298326137107</v>
      </c>
      <c r="S29" s="43">
        <f t="shared" si="35"/>
        <v>0.80098298326137107</v>
      </c>
      <c r="T29" s="43">
        <f t="shared" si="35"/>
        <v>0.80098298326137118</v>
      </c>
      <c r="U29" s="43">
        <f t="shared" si="35"/>
        <v>0.80098298326137107</v>
      </c>
      <c r="V29" s="43">
        <f t="shared" si="35"/>
        <v>0.80098298326137107</v>
      </c>
      <c r="W29" s="43">
        <f t="shared" si="35"/>
        <v>0.80098298326137107</v>
      </c>
      <c r="X29" s="43">
        <f t="shared" si="35"/>
        <v>0.80098298326137118</v>
      </c>
      <c r="Y29" s="43">
        <f t="shared" si="35"/>
        <v>0.80098298326137107</v>
      </c>
      <c r="Z29" s="43">
        <f t="shared" si="35"/>
        <v>0.80098298326137107</v>
      </c>
    </row>
    <row r="30" spans="1:30">
      <c r="A30" s="41"/>
      <c r="B30" s="51"/>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c r="A31" s="28" t="s">
        <v>117</v>
      </c>
      <c r="B31" s="53">
        <f>B63</f>
        <v>4900.8959999999997</v>
      </c>
      <c r="C31" s="53">
        <f t="shared" ref="C31:Z31" si="36">C63</f>
        <v>4914.3599999999997</v>
      </c>
      <c r="D31" s="53">
        <f t="shared" si="36"/>
        <v>4927.8239999999996</v>
      </c>
      <c r="E31" s="53">
        <f t="shared" si="36"/>
        <v>4914.3599999999997</v>
      </c>
      <c r="F31" s="53">
        <f t="shared" si="36"/>
        <v>4914.3599999999997</v>
      </c>
      <c r="G31" s="53">
        <f t="shared" si="36"/>
        <v>4914.3599999999997</v>
      </c>
      <c r="H31" s="53">
        <f t="shared" si="36"/>
        <v>4927.8239999999996</v>
      </c>
      <c r="I31" s="53">
        <f t="shared" si="36"/>
        <v>4914.3599999999997</v>
      </c>
      <c r="J31" s="53">
        <f t="shared" si="36"/>
        <v>4914.3599999999997</v>
      </c>
      <c r="K31" s="53">
        <f t="shared" si="36"/>
        <v>4914.3599999999997</v>
      </c>
      <c r="L31" s="53">
        <f t="shared" si="36"/>
        <v>4927.8239999999996</v>
      </c>
      <c r="M31" s="53">
        <f t="shared" si="36"/>
        <v>4914.3599999999997</v>
      </c>
      <c r="N31" s="53">
        <f t="shared" si="36"/>
        <v>4914.3599999999997</v>
      </c>
      <c r="O31" s="53">
        <f t="shared" si="36"/>
        <v>4914.3599999999997</v>
      </c>
      <c r="P31" s="53">
        <f t="shared" si="36"/>
        <v>4927.8239999999996</v>
      </c>
      <c r="Q31" s="53">
        <f t="shared" si="36"/>
        <v>4914.3599999999997</v>
      </c>
      <c r="R31" s="53">
        <f t="shared" si="36"/>
        <v>4914.3599999999997</v>
      </c>
      <c r="S31" s="53">
        <f t="shared" si="36"/>
        <v>4914.3599999999997</v>
      </c>
      <c r="T31" s="53">
        <f t="shared" si="36"/>
        <v>4927.8239999999996</v>
      </c>
      <c r="U31" s="53">
        <f t="shared" si="36"/>
        <v>4914.3599999999997</v>
      </c>
      <c r="V31" s="53">
        <f t="shared" si="36"/>
        <v>4914.3599999999997</v>
      </c>
      <c r="W31" s="53">
        <f t="shared" si="36"/>
        <v>4914.3599999999997</v>
      </c>
      <c r="X31" s="53">
        <f t="shared" si="36"/>
        <v>4927.8239999999996</v>
      </c>
      <c r="Y31" s="53">
        <f t="shared" si="36"/>
        <v>4914.3599999999997</v>
      </c>
      <c r="Z31" s="53">
        <f t="shared" si="36"/>
        <v>4914.3599999999997</v>
      </c>
    </row>
    <row r="32" spans="1:30" s="46" customFormat="1">
      <c r="A32" s="45" t="s">
        <v>115</v>
      </c>
      <c r="B32" s="45">
        <f t="shared" ref="B32:Z32" si="37">B31*B59*1000000</f>
        <v>11357532426239.998</v>
      </c>
      <c r="C32" s="45">
        <f t="shared" si="37"/>
        <v>11388734438400</v>
      </c>
      <c r="D32" s="45">
        <f t="shared" si="37"/>
        <v>11419936450560</v>
      </c>
      <c r="E32" s="45">
        <f t="shared" si="37"/>
        <v>11388734438400</v>
      </c>
      <c r="F32" s="45">
        <f t="shared" si="37"/>
        <v>11388734438400</v>
      </c>
      <c r="G32" s="45">
        <f t="shared" si="37"/>
        <v>11388734438400</v>
      </c>
      <c r="H32" s="45">
        <f t="shared" si="37"/>
        <v>11419936450560</v>
      </c>
      <c r="I32" s="45">
        <f t="shared" si="37"/>
        <v>11388734438400</v>
      </c>
      <c r="J32" s="45">
        <f t="shared" si="37"/>
        <v>11388734438400</v>
      </c>
      <c r="K32" s="45">
        <f t="shared" si="37"/>
        <v>11388734438400</v>
      </c>
      <c r="L32" s="45">
        <f t="shared" si="37"/>
        <v>11419936450560</v>
      </c>
      <c r="M32" s="45">
        <f t="shared" si="37"/>
        <v>11388734438400</v>
      </c>
      <c r="N32" s="45">
        <f t="shared" si="37"/>
        <v>11388734438400</v>
      </c>
      <c r="O32" s="45">
        <f t="shared" si="37"/>
        <v>11388734438400</v>
      </c>
      <c r="P32" s="45">
        <f t="shared" si="37"/>
        <v>11419936450560</v>
      </c>
      <c r="Q32" s="45">
        <f t="shared" si="37"/>
        <v>11388734438400</v>
      </c>
      <c r="R32" s="45">
        <f t="shared" si="37"/>
        <v>11388734438400</v>
      </c>
      <c r="S32" s="45">
        <f t="shared" si="37"/>
        <v>11388734438400</v>
      </c>
      <c r="T32" s="45">
        <f t="shared" si="37"/>
        <v>11419936450560</v>
      </c>
      <c r="U32" s="45">
        <f t="shared" si="37"/>
        <v>11388734438400</v>
      </c>
      <c r="V32" s="45">
        <f t="shared" si="37"/>
        <v>11388734438400</v>
      </c>
      <c r="W32" s="45">
        <f t="shared" si="37"/>
        <v>11388734438400</v>
      </c>
      <c r="X32" s="45">
        <f t="shared" si="37"/>
        <v>11419936450560</v>
      </c>
      <c r="Y32" s="45">
        <f t="shared" si="37"/>
        <v>11388734438400</v>
      </c>
      <c r="Z32" s="45">
        <f t="shared" si="37"/>
        <v>11388734438400</v>
      </c>
    </row>
    <row r="33" spans="1:26" s="46" customFormat="1">
      <c r="A33" s="45" t="s">
        <v>116</v>
      </c>
      <c r="B33" s="45">
        <f>B41</f>
        <v>42711308640</v>
      </c>
      <c r="C33" s="45">
        <f t="shared" ref="C33:Z33" si="38">C41</f>
        <v>42828647400</v>
      </c>
      <c r="D33" s="45">
        <f t="shared" si="38"/>
        <v>42945986160</v>
      </c>
      <c r="E33" s="45">
        <f t="shared" si="38"/>
        <v>42828647400</v>
      </c>
      <c r="F33" s="45">
        <f t="shared" si="38"/>
        <v>42828647400</v>
      </c>
      <c r="G33" s="45">
        <f t="shared" si="38"/>
        <v>42828647400</v>
      </c>
      <c r="H33" s="45">
        <f t="shared" si="38"/>
        <v>42945986160</v>
      </c>
      <c r="I33" s="45">
        <f t="shared" si="38"/>
        <v>42828647400</v>
      </c>
      <c r="J33" s="45">
        <f t="shared" si="38"/>
        <v>42828647400</v>
      </c>
      <c r="K33" s="45">
        <f t="shared" si="38"/>
        <v>42828647400</v>
      </c>
      <c r="L33" s="45">
        <f t="shared" si="38"/>
        <v>42945986160</v>
      </c>
      <c r="M33" s="45">
        <f t="shared" si="38"/>
        <v>42828647400</v>
      </c>
      <c r="N33" s="45">
        <f t="shared" si="38"/>
        <v>42828647400</v>
      </c>
      <c r="O33" s="45">
        <f t="shared" si="38"/>
        <v>42828647400</v>
      </c>
      <c r="P33" s="45">
        <f t="shared" si="38"/>
        <v>42945986160</v>
      </c>
      <c r="Q33" s="45">
        <f t="shared" si="38"/>
        <v>42828647400</v>
      </c>
      <c r="R33" s="45">
        <f t="shared" si="38"/>
        <v>42828647400</v>
      </c>
      <c r="S33" s="45">
        <f t="shared" si="38"/>
        <v>42828647400</v>
      </c>
      <c r="T33" s="45">
        <f t="shared" si="38"/>
        <v>42945986160</v>
      </c>
      <c r="U33" s="45">
        <f t="shared" si="38"/>
        <v>42828647400</v>
      </c>
      <c r="V33" s="45">
        <f t="shared" si="38"/>
        <v>42828647400</v>
      </c>
      <c r="W33" s="45">
        <f t="shared" si="38"/>
        <v>42828647400</v>
      </c>
      <c r="X33" s="45">
        <f t="shared" si="38"/>
        <v>42945986160</v>
      </c>
      <c r="Y33" s="45">
        <f t="shared" si="38"/>
        <v>42828647400</v>
      </c>
      <c r="Z33" s="45">
        <f t="shared" si="38"/>
        <v>42828647400</v>
      </c>
    </row>
    <row r="34" spans="1:26" s="46" customFormat="1">
      <c r="A34" s="28" t="s">
        <v>128</v>
      </c>
      <c r="B34" s="45">
        <f>B32-B33</f>
        <v>11314821117599.998</v>
      </c>
      <c r="C34" s="45">
        <f t="shared" ref="C34:Z34" si="39">C32-C33</f>
        <v>11345905791000</v>
      </c>
      <c r="D34" s="45">
        <f t="shared" si="39"/>
        <v>11376990464400</v>
      </c>
      <c r="E34" s="45">
        <f t="shared" si="39"/>
        <v>11345905791000</v>
      </c>
      <c r="F34" s="45">
        <f t="shared" si="39"/>
        <v>11345905791000</v>
      </c>
      <c r="G34" s="45">
        <f t="shared" si="39"/>
        <v>11345905791000</v>
      </c>
      <c r="H34" s="45">
        <f t="shared" si="39"/>
        <v>11376990464400</v>
      </c>
      <c r="I34" s="45">
        <f t="shared" si="39"/>
        <v>11345905791000</v>
      </c>
      <c r="J34" s="45">
        <f t="shared" si="39"/>
        <v>11345905791000</v>
      </c>
      <c r="K34" s="45">
        <f t="shared" si="39"/>
        <v>11345905791000</v>
      </c>
      <c r="L34" s="45">
        <f t="shared" si="39"/>
        <v>11376990464400</v>
      </c>
      <c r="M34" s="45">
        <f t="shared" si="39"/>
        <v>11345905791000</v>
      </c>
      <c r="N34" s="45">
        <f t="shared" si="39"/>
        <v>11345905791000</v>
      </c>
      <c r="O34" s="45">
        <f t="shared" si="39"/>
        <v>11345905791000</v>
      </c>
      <c r="P34" s="45">
        <f t="shared" si="39"/>
        <v>11376990464400</v>
      </c>
      <c r="Q34" s="45">
        <f t="shared" si="39"/>
        <v>11345905791000</v>
      </c>
      <c r="R34" s="45">
        <f t="shared" si="39"/>
        <v>11345905791000</v>
      </c>
      <c r="S34" s="45">
        <f t="shared" si="39"/>
        <v>11345905791000</v>
      </c>
      <c r="T34" s="45">
        <f t="shared" si="39"/>
        <v>11376990464400</v>
      </c>
      <c r="U34" s="45">
        <f t="shared" si="39"/>
        <v>11345905791000</v>
      </c>
      <c r="V34" s="45">
        <f t="shared" si="39"/>
        <v>11345905791000</v>
      </c>
      <c r="W34" s="45">
        <f t="shared" si="39"/>
        <v>11345905791000</v>
      </c>
      <c r="X34" s="45">
        <f t="shared" si="39"/>
        <v>11376990464400</v>
      </c>
      <c r="Y34" s="45">
        <f t="shared" si="39"/>
        <v>11345905791000</v>
      </c>
      <c r="Z34" s="45">
        <f t="shared" si="39"/>
        <v>11345905791000</v>
      </c>
    </row>
    <row r="35" spans="1:26">
      <c r="A35" s="41"/>
      <c r="B35" s="54"/>
      <c r="C35" s="55"/>
      <c r="D35" s="55"/>
      <c r="E35" s="55"/>
      <c r="F35" s="55"/>
      <c r="G35" s="55"/>
      <c r="H35" s="55"/>
      <c r="I35" s="55"/>
      <c r="J35" s="55"/>
      <c r="K35" s="55"/>
      <c r="L35" s="55"/>
      <c r="M35" s="55"/>
      <c r="N35" s="55"/>
      <c r="O35" s="55"/>
      <c r="P35" s="55"/>
      <c r="Q35" s="55"/>
      <c r="R35" s="55"/>
      <c r="S35" s="55"/>
      <c r="T35" s="55"/>
      <c r="U35" s="55"/>
      <c r="V35" s="55"/>
      <c r="W35" s="55"/>
      <c r="X35" s="55"/>
      <c r="Y35" s="55"/>
      <c r="Z35" s="55"/>
    </row>
    <row r="36" spans="1:26">
      <c r="A36" s="25" t="s">
        <v>118</v>
      </c>
      <c r="B36" s="54"/>
      <c r="C36" s="55"/>
      <c r="D36" s="55"/>
      <c r="E36" s="55"/>
      <c r="F36" s="55"/>
      <c r="G36" s="55"/>
      <c r="H36" s="55"/>
      <c r="I36" s="55"/>
      <c r="J36" s="55"/>
      <c r="K36" s="55"/>
      <c r="L36" s="55"/>
      <c r="M36" s="55"/>
      <c r="N36" s="55"/>
      <c r="O36" s="55"/>
      <c r="P36" s="55"/>
      <c r="Q36" s="55"/>
      <c r="R36" s="55"/>
      <c r="S36" s="55"/>
      <c r="T36" s="55"/>
      <c r="U36" s="55"/>
      <c r="V36" s="55"/>
      <c r="W36" s="55"/>
      <c r="X36" s="55"/>
      <c r="Y36" s="55"/>
      <c r="Z36" s="55"/>
    </row>
    <row r="37" spans="1:26">
      <c r="A37" s="28" t="s">
        <v>119</v>
      </c>
      <c r="B37" s="38">
        <f>Assumption!$D$45</f>
        <v>10500</v>
      </c>
      <c r="C37" s="38">
        <f>Assumption!$D$45</f>
        <v>10500</v>
      </c>
      <c r="D37" s="38">
        <f>Assumption!$D$45</f>
        <v>10500</v>
      </c>
      <c r="E37" s="38">
        <f>Assumption!$D$45</f>
        <v>10500</v>
      </c>
      <c r="F37" s="38">
        <f>Assumption!$D$45</f>
        <v>10500</v>
      </c>
      <c r="G37" s="38">
        <f>Assumption!$D$45</f>
        <v>10500</v>
      </c>
      <c r="H37" s="38">
        <f>Assumption!$D$45</f>
        <v>10500</v>
      </c>
      <c r="I37" s="38">
        <f>Assumption!$D$45</f>
        <v>10500</v>
      </c>
      <c r="J37" s="38">
        <f>Assumption!$D$45</f>
        <v>10500</v>
      </c>
      <c r="K37" s="38">
        <f>Assumption!$D$45</f>
        <v>10500</v>
      </c>
      <c r="L37" s="38">
        <f>Assumption!$D$45</f>
        <v>10500</v>
      </c>
      <c r="M37" s="38">
        <f>Assumption!$D$45</f>
        <v>10500</v>
      </c>
      <c r="N37" s="38">
        <f>Assumption!$D$45</f>
        <v>10500</v>
      </c>
      <c r="O37" s="38">
        <f>Assumption!$D$45</f>
        <v>10500</v>
      </c>
      <c r="P37" s="38">
        <f>Assumption!$D$45</f>
        <v>10500</v>
      </c>
      <c r="Q37" s="38">
        <f>Assumption!$D$45</f>
        <v>10500</v>
      </c>
      <c r="R37" s="38">
        <f>Assumption!$D$45</f>
        <v>10500</v>
      </c>
      <c r="S37" s="38">
        <f>Assumption!$D$45</f>
        <v>10500</v>
      </c>
      <c r="T37" s="38">
        <f>Assumption!$D$45</f>
        <v>10500</v>
      </c>
      <c r="U37" s="38">
        <f>Assumption!$D$45</f>
        <v>10500</v>
      </c>
      <c r="V37" s="38">
        <f>Assumption!$D$45</f>
        <v>10500</v>
      </c>
      <c r="W37" s="38">
        <f>Assumption!$D$45</f>
        <v>10500</v>
      </c>
      <c r="X37" s="38">
        <f>Assumption!$D$45</f>
        <v>10500</v>
      </c>
      <c r="Y37" s="38">
        <f>Assumption!$D$45</f>
        <v>10500</v>
      </c>
      <c r="Z37" s="38">
        <f>Assumption!$D$45</f>
        <v>10500</v>
      </c>
    </row>
    <row r="38" spans="1:26">
      <c r="A38" s="28" t="s">
        <v>120</v>
      </c>
      <c r="B38" s="53">
        <f>(Assumption!$D$46/1000)*$B$77</f>
        <v>8.3000000000000001E-4</v>
      </c>
      <c r="C38" s="53">
        <f>(Assumption!$D$46/1000)*$B$77</f>
        <v>8.3000000000000001E-4</v>
      </c>
      <c r="D38" s="53">
        <f>(Assumption!$D$46/1000)*$B$77</f>
        <v>8.3000000000000001E-4</v>
      </c>
      <c r="E38" s="53">
        <f>(Assumption!$D$46/1000)*$B$77</f>
        <v>8.3000000000000001E-4</v>
      </c>
      <c r="F38" s="53">
        <f>(Assumption!$D$46/1000)*$B$77</f>
        <v>8.3000000000000001E-4</v>
      </c>
      <c r="G38" s="53">
        <f>(Assumption!$D$46/1000)*$B$77</f>
        <v>8.3000000000000001E-4</v>
      </c>
      <c r="H38" s="53">
        <f>(Assumption!$D$46/1000)*$B$77</f>
        <v>8.3000000000000001E-4</v>
      </c>
      <c r="I38" s="53">
        <f>(Assumption!$D$46/1000)*$B$77</f>
        <v>8.3000000000000001E-4</v>
      </c>
      <c r="J38" s="53">
        <f>(Assumption!$D$46/1000)*$B$77</f>
        <v>8.3000000000000001E-4</v>
      </c>
      <c r="K38" s="53">
        <f>(Assumption!$D$46/1000)*$B$77</f>
        <v>8.3000000000000001E-4</v>
      </c>
      <c r="L38" s="53">
        <f>(Assumption!$D$46/1000)*$B$77</f>
        <v>8.3000000000000001E-4</v>
      </c>
      <c r="M38" s="53">
        <f>(Assumption!$D$46/1000)*$B$77</f>
        <v>8.3000000000000001E-4</v>
      </c>
      <c r="N38" s="53">
        <f>(Assumption!$D$46/1000)*$B$77</f>
        <v>8.3000000000000001E-4</v>
      </c>
      <c r="O38" s="53">
        <f>(Assumption!$D$46/1000)*$B$77</f>
        <v>8.3000000000000001E-4</v>
      </c>
      <c r="P38" s="53">
        <f>(Assumption!$D$46/1000)*$B$77</f>
        <v>8.3000000000000001E-4</v>
      </c>
      <c r="Q38" s="53">
        <f>(Assumption!$D$46/1000)*$B$77</f>
        <v>8.3000000000000001E-4</v>
      </c>
      <c r="R38" s="53">
        <f>(Assumption!$D$46/1000)*$B$77</f>
        <v>8.3000000000000001E-4</v>
      </c>
      <c r="S38" s="53">
        <f>(Assumption!$D$46/1000)*$B$77</f>
        <v>8.3000000000000001E-4</v>
      </c>
      <c r="T38" s="53">
        <f>(Assumption!$D$46/1000)*$B$77</f>
        <v>8.3000000000000001E-4</v>
      </c>
      <c r="U38" s="53">
        <f>(Assumption!$D$46/1000)*$B$77</f>
        <v>8.3000000000000001E-4</v>
      </c>
      <c r="V38" s="53">
        <f>(Assumption!$D$46/1000)*$B$77</f>
        <v>8.3000000000000001E-4</v>
      </c>
      <c r="W38" s="53">
        <f>(Assumption!$D$46/1000)*$B$77</f>
        <v>8.3000000000000001E-4</v>
      </c>
      <c r="X38" s="53">
        <f>(Assumption!$D$46/1000)*$B$77</f>
        <v>8.3000000000000001E-4</v>
      </c>
      <c r="Y38" s="53">
        <f>(Assumption!$D$46/1000)*$B$77</f>
        <v>8.3000000000000001E-4</v>
      </c>
      <c r="Z38" s="53">
        <f>(Assumption!$D$46/1000)*$B$77</f>
        <v>8.3000000000000001E-4</v>
      </c>
    </row>
    <row r="39" spans="1:26">
      <c r="A39" s="28" t="s">
        <v>121</v>
      </c>
      <c r="B39" s="53">
        <f>B38*B37</f>
        <v>8.7149999999999999</v>
      </c>
      <c r="C39" s="53">
        <f t="shared" ref="C39:Z39" si="40">C38*C37</f>
        <v>8.7149999999999999</v>
      </c>
      <c r="D39" s="53">
        <f t="shared" si="40"/>
        <v>8.7149999999999999</v>
      </c>
      <c r="E39" s="53">
        <f t="shared" si="40"/>
        <v>8.7149999999999999</v>
      </c>
      <c r="F39" s="53">
        <f t="shared" si="40"/>
        <v>8.7149999999999999</v>
      </c>
      <c r="G39" s="53">
        <f t="shared" si="40"/>
        <v>8.7149999999999999</v>
      </c>
      <c r="H39" s="53">
        <f t="shared" si="40"/>
        <v>8.7149999999999999</v>
      </c>
      <c r="I39" s="53">
        <f t="shared" si="40"/>
        <v>8.7149999999999999</v>
      </c>
      <c r="J39" s="53">
        <f t="shared" si="40"/>
        <v>8.7149999999999999</v>
      </c>
      <c r="K39" s="53">
        <f t="shared" si="40"/>
        <v>8.7149999999999999</v>
      </c>
      <c r="L39" s="53">
        <f t="shared" si="40"/>
        <v>8.7149999999999999</v>
      </c>
      <c r="M39" s="53">
        <f t="shared" si="40"/>
        <v>8.7149999999999999</v>
      </c>
      <c r="N39" s="53">
        <f t="shared" si="40"/>
        <v>8.7149999999999999</v>
      </c>
      <c r="O39" s="53">
        <f t="shared" si="40"/>
        <v>8.7149999999999999</v>
      </c>
      <c r="P39" s="53">
        <f t="shared" si="40"/>
        <v>8.7149999999999999</v>
      </c>
      <c r="Q39" s="53">
        <f t="shared" si="40"/>
        <v>8.7149999999999999</v>
      </c>
      <c r="R39" s="53">
        <f t="shared" si="40"/>
        <v>8.7149999999999999</v>
      </c>
      <c r="S39" s="53">
        <f t="shared" si="40"/>
        <v>8.7149999999999999</v>
      </c>
      <c r="T39" s="53">
        <f t="shared" si="40"/>
        <v>8.7149999999999999</v>
      </c>
      <c r="U39" s="53">
        <f t="shared" si="40"/>
        <v>8.7149999999999999</v>
      </c>
      <c r="V39" s="53">
        <f t="shared" si="40"/>
        <v>8.7149999999999999</v>
      </c>
      <c r="W39" s="53">
        <f t="shared" si="40"/>
        <v>8.7149999999999999</v>
      </c>
      <c r="X39" s="53">
        <f t="shared" si="40"/>
        <v>8.7149999999999999</v>
      </c>
      <c r="Y39" s="53">
        <f t="shared" si="40"/>
        <v>8.7149999999999999</v>
      </c>
      <c r="Z39" s="53">
        <f t="shared" si="40"/>
        <v>8.7149999999999999</v>
      </c>
    </row>
    <row r="40" spans="1:26" s="46" customFormat="1">
      <c r="A40" s="28" t="s">
        <v>122</v>
      </c>
      <c r="B40" s="45">
        <f>B31*1000000</f>
        <v>4900896000</v>
      </c>
      <c r="C40" s="45">
        <f t="shared" ref="C40:Z40" si="41">C31*1000000</f>
        <v>4914360000</v>
      </c>
      <c r="D40" s="45">
        <f t="shared" si="41"/>
        <v>4927824000</v>
      </c>
      <c r="E40" s="45">
        <f t="shared" si="41"/>
        <v>4914360000</v>
      </c>
      <c r="F40" s="45">
        <f t="shared" si="41"/>
        <v>4914360000</v>
      </c>
      <c r="G40" s="45">
        <f t="shared" si="41"/>
        <v>4914360000</v>
      </c>
      <c r="H40" s="45">
        <f t="shared" si="41"/>
        <v>4927824000</v>
      </c>
      <c r="I40" s="45">
        <f t="shared" si="41"/>
        <v>4914360000</v>
      </c>
      <c r="J40" s="45">
        <f t="shared" si="41"/>
        <v>4914360000</v>
      </c>
      <c r="K40" s="45">
        <f t="shared" si="41"/>
        <v>4914360000</v>
      </c>
      <c r="L40" s="45">
        <f t="shared" si="41"/>
        <v>4927824000</v>
      </c>
      <c r="M40" s="45">
        <f t="shared" si="41"/>
        <v>4914360000</v>
      </c>
      <c r="N40" s="45">
        <f t="shared" si="41"/>
        <v>4914360000</v>
      </c>
      <c r="O40" s="45">
        <f t="shared" si="41"/>
        <v>4914360000</v>
      </c>
      <c r="P40" s="45">
        <f t="shared" si="41"/>
        <v>4927824000</v>
      </c>
      <c r="Q40" s="45">
        <f t="shared" si="41"/>
        <v>4914360000</v>
      </c>
      <c r="R40" s="45">
        <f t="shared" si="41"/>
        <v>4914360000</v>
      </c>
      <c r="S40" s="45">
        <f t="shared" si="41"/>
        <v>4914360000</v>
      </c>
      <c r="T40" s="45">
        <f t="shared" si="41"/>
        <v>4927824000</v>
      </c>
      <c r="U40" s="45">
        <f t="shared" si="41"/>
        <v>4914360000</v>
      </c>
      <c r="V40" s="45">
        <f t="shared" si="41"/>
        <v>4914360000</v>
      </c>
      <c r="W40" s="45">
        <f t="shared" si="41"/>
        <v>4914360000</v>
      </c>
      <c r="X40" s="45">
        <f t="shared" si="41"/>
        <v>4927824000</v>
      </c>
      <c r="Y40" s="45">
        <f t="shared" si="41"/>
        <v>4914360000</v>
      </c>
      <c r="Z40" s="45">
        <f t="shared" si="41"/>
        <v>4914360000</v>
      </c>
    </row>
    <row r="41" spans="1:26" s="56" customFormat="1">
      <c r="A41" s="38" t="s">
        <v>116</v>
      </c>
      <c r="B41" s="45">
        <f>B40*B39</f>
        <v>42711308640</v>
      </c>
      <c r="C41" s="38">
        <f t="shared" ref="C41:Z41" si="42">C40*C39</f>
        <v>42828647400</v>
      </c>
      <c r="D41" s="38">
        <f t="shared" si="42"/>
        <v>42945986160</v>
      </c>
      <c r="E41" s="38">
        <f t="shared" si="42"/>
        <v>42828647400</v>
      </c>
      <c r="F41" s="38">
        <f t="shared" si="42"/>
        <v>42828647400</v>
      </c>
      <c r="G41" s="38">
        <f t="shared" si="42"/>
        <v>42828647400</v>
      </c>
      <c r="H41" s="38">
        <f t="shared" si="42"/>
        <v>42945986160</v>
      </c>
      <c r="I41" s="38">
        <f t="shared" si="42"/>
        <v>42828647400</v>
      </c>
      <c r="J41" s="38">
        <f t="shared" si="42"/>
        <v>42828647400</v>
      </c>
      <c r="K41" s="38">
        <f t="shared" si="42"/>
        <v>42828647400</v>
      </c>
      <c r="L41" s="38">
        <f t="shared" si="42"/>
        <v>42945986160</v>
      </c>
      <c r="M41" s="38">
        <f t="shared" si="42"/>
        <v>42828647400</v>
      </c>
      <c r="N41" s="38">
        <f t="shared" si="42"/>
        <v>42828647400</v>
      </c>
      <c r="O41" s="38">
        <f t="shared" si="42"/>
        <v>42828647400</v>
      </c>
      <c r="P41" s="38">
        <f t="shared" si="42"/>
        <v>42945986160</v>
      </c>
      <c r="Q41" s="38">
        <f t="shared" si="42"/>
        <v>42828647400</v>
      </c>
      <c r="R41" s="38">
        <f t="shared" si="42"/>
        <v>42828647400</v>
      </c>
      <c r="S41" s="38">
        <f t="shared" si="42"/>
        <v>42828647400</v>
      </c>
      <c r="T41" s="38">
        <f t="shared" si="42"/>
        <v>42945986160</v>
      </c>
      <c r="U41" s="38">
        <f t="shared" si="42"/>
        <v>42828647400</v>
      </c>
      <c r="V41" s="38">
        <f t="shared" si="42"/>
        <v>42828647400</v>
      </c>
      <c r="W41" s="38">
        <f t="shared" si="42"/>
        <v>42828647400</v>
      </c>
      <c r="X41" s="38">
        <f t="shared" si="42"/>
        <v>42945986160</v>
      </c>
      <c r="Y41" s="38">
        <f t="shared" si="42"/>
        <v>42828647400</v>
      </c>
      <c r="Z41" s="38">
        <f t="shared" si="42"/>
        <v>42828647400</v>
      </c>
    </row>
    <row r="42" spans="1:26">
      <c r="B42" s="55"/>
      <c r="C42" s="55"/>
      <c r="D42" s="55"/>
      <c r="E42" s="55"/>
      <c r="F42" s="55"/>
      <c r="G42" s="55"/>
      <c r="H42" s="55"/>
      <c r="I42" s="55"/>
      <c r="J42" s="55"/>
      <c r="K42" s="55"/>
      <c r="L42" s="55"/>
      <c r="M42" s="55"/>
      <c r="N42" s="55"/>
      <c r="O42" s="55"/>
      <c r="P42" s="55"/>
      <c r="Q42" s="55"/>
      <c r="R42" s="55"/>
      <c r="S42" s="55"/>
      <c r="T42" s="55"/>
      <c r="U42" s="55"/>
      <c r="V42" s="55"/>
      <c r="W42" s="55"/>
      <c r="X42" s="55"/>
      <c r="Y42" s="55"/>
      <c r="Z42" s="55"/>
    </row>
    <row r="43" spans="1:26">
      <c r="A43" s="25" t="s">
        <v>273</v>
      </c>
      <c r="B43" s="55"/>
      <c r="C43" s="55"/>
      <c r="D43" s="55"/>
      <c r="E43" s="55"/>
      <c r="F43" s="55"/>
      <c r="G43" s="55"/>
      <c r="H43" s="55"/>
      <c r="I43" s="55"/>
      <c r="J43" s="55"/>
      <c r="K43" s="55"/>
      <c r="L43" s="55"/>
      <c r="M43" s="55"/>
      <c r="N43" s="55"/>
      <c r="O43" s="55"/>
      <c r="P43" s="55"/>
      <c r="Q43" s="55"/>
      <c r="R43" s="55"/>
      <c r="S43" s="55"/>
      <c r="T43" s="55"/>
      <c r="U43" s="55"/>
      <c r="V43" s="55"/>
      <c r="W43" s="55"/>
      <c r="X43" s="55"/>
      <c r="Y43" s="55"/>
      <c r="Z43" s="55"/>
    </row>
    <row r="44" spans="1:26" s="27" customFormat="1">
      <c r="A44" s="38" t="s">
        <v>274</v>
      </c>
      <c r="B44" s="43">
        <f>Assumption!$D$44</f>
        <v>30.600999999999999</v>
      </c>
      <c r="C44" s="43">
        <f>Assumption!$D$44</f>
        <v>30.600999999999999</v>
      </c>
      <c r="D44" s="43">
        <f>Assumption!$D$44</f>
        <v>30.600999999999999</v>
      </c>
      <c r="E44" s="43">
        <f>Assumption!$D$44</f>
        <v>30.600999999999999</v>
      </c>
      <c r="F44" s="43">
        <f>Assumption!$D$44</f>
        <v>30.600999999999999</v>
      </c>
      <c r="G44" s="43">
        <f>Assumption!$D$44</f>
        <v>30.600999999999999</v>
      </c>
      <c r="H44" s="43">
        <f>Assumption!$D$44</f>
        <v>30.600999999999999</v>
      </c>
      <c r="I44" s="43">
        <f>Assumption!$D$44</f>
        <v>30.600999999999999</v>
      </c>
      <c r="J44" s="43">
        <f>Assumption!$D$44</f>
        <v>30.600999999999999</v>
      </c>
      <c r="K44" s="43">
        <f>Assumption!$D$44</f>
        <v>30.600999999999999</v>
      </c>
      <c r="L44" s="43">
        <f>Assumption!$D$44</f>
        <v>30.600999999999999</v>
      </c>
      <c r="M44" s="43">
        <f>Assumption!$D$44</f>
        <v>30.600999999999999</v>
      </c>
      <c r="N44" s="43">
        <f>Assumption!$D$44</f>
        <v>30.600999999999999</v>
      </c>
      <c r="O44" s="43">
        <f>Assumption!$D$44</f>
        <v>30.600999999999999</v>
      </c>
      <c r="P44" s="43">
        <f>Assumption!$D$44</f>
        <v>30.600999999999999</v>
      </c>
      <c r="Q44" s="43">
        <f>Assumption!$D$44</f>
        <v>30.600999999999999</v>
      </c>
      <c r="R44" s="43">
        <f>Assumption!$D$44</f>
        <v>30.600999999999999</v>
      </c>
      <c r="S44" s="43">
        <f>Assumption!$D$44</f>
        <v>30.600999999999999</v>
      </c>
      <c r="T44" s="43">
        <f>Assumption!$D$44</f>
        <v>30.600999999999999</v>
      </c>
      <c r="U44" s="43">
        <f>Assumption!$D$44</f>
        <v>30.600999999999999</v>
      </c>
      <c r="V44" s="43">
        <f>Assumption!$D$44</f>
        <v>30.600999999999999</v>
      </c>
      <c r="W44" s="43">
        <f>Assumption!$D$44</f>
        <v>30.600999999999999</v>
      </c>
      <c r="X44" s="43">
        <f>Assumption!$D$44</f>
        <v>30.600999999999999</v>
      </c>
      <c r="Y44" s="43">
        <f>Assumption!$D$44</f>
        <v>30.600999999999999</v>
      </c>
      <c r="Z44" s="43">
        <f>Assumption!$D$44</f>
        <v>30.600999999999999</v>
      </c>
    </row>
    <row r="45" spans="1:26" s="58" customFormat="1">
      <c r="A45" s="38" t="s">
        <v>275</v>
      </c>
      <c r="B45" s="57">
        <f>B44/1000</f>
        <v>3.0601E-2</v>
      </c>
      <c r="C45" s="57">
        <f t="shared" ref="C45:Z45" si="43">C44/1000</f>
        <v>3.0601E-2</v>
      </c>
      <c r="D45" s="57">
        <f t="shared" si="43"/>
        <v>3.0601E-2</v>
      </c>
      <c r="E45" s="57">
        <f t="shared" si="43"/>
        <v>3.0601E-2</v>
      </c>
      <c r="F45" s="57">
        <f t="shared" si="43"/>
        <v>3.0601E-2</v>
      </c>
      <c r="G45" s="57">
        <f t="shared" si="43"/>
        <v>3.0601E-2</v>
      </c>
      <c r="H45" s="57">
        <f t="shared" si="43"/>
        <v>3.0601E-2</v>
      </c>
      <c r="I45" s="57">
        <f t="shared" si="43"/>
        <v>3.0601E-2</v>
      </c>
      <c r="J45" s="57">
        <f t="shared" si="43"/>
        <v>3.0601E-2</v>
      </c>
      <c r="K45" s="57">
        <f t="shared" si="43"/>
        <v>3.0601E-2</v>
      </c>
      <c r="L45" s="57">
        <f t="shared" si="43"/>
        <v>3.0601E-2</v>
      </c>
      <c r="M45" s="57">
        <f t="shared" si="43"/>
        <v>3.0601E-2</v>
      </c>
      <c r="N45" s="57">
        <f t="shared" si="43"/>
        <v>3.0601E-2</v>
      </c>
      <c r="O45" s="57">
        <f t="shared" si="43"/>
        <v>3.0601E-2</v>
      </c>
      <c r="P45" s="57">
        <f t="shared" si="43"/>
        <v>3.0601E-2</v>
      </c>
      <c r="Q45" s="57">
        <f t="shared" si="43"/>
        <v>3.0601E-2</v>
      </c>
      <c r="R45" s="57">
        <f t="shared" si="43"/>
        <v>3.0601E-2</v>
      </c>
      <c r="S45" s="57">
        <f t="shared" si="43"/>
        <v>3.0601E-2</v>
      </c>
      <c r="T45" s="57">
        <f t="shared" si="43"/>
        <v>3.0601E-2</v>
      </c>
      <c r="U45" s="57">
        <f t="shared" si="43"/>
        <v>3.0601E-2</v>
      </c>
      <c r="V45" s="57">
        <f t="shared" si="43"/>
        <v>3.0601E-2</v>
      </c>
      <c r="W45" s="57">
        <f t="shared" si="43"/>
        <v>3.0601E-2</v>
      </c>
      <c r="X45" s="57">
        <f t="shared" si="43"/>
        <v>3.0601E-2</v>
      </c>
      <c r="Y45" s="57">
        <f t="shared" si="43"/>
        <v>3.0601E-2</v>
      </c>
      <c r="Z45" s="57">
        <f t="shared" si="43"/>
        <v>3.0601E-2</v>
      </c>
    </row>
    <row r="46" spans="1:26" s="56" customFormat="1">
      <c r="A46" s="38" t="s">
        <v>123</v>
      </c>
      <c r="B46" s="38">
        <f>B40</f>
        <v>4900896000</v>
      </c>
      <c r="C46" s="38">
        <f t="shared" ref="C46:Z46" si="44">C40</f>
        <v>4914360000</v>
      </c>
      <c r="D46" s="38">
        <f t="shared" si="44"/>
        <v>4927824000</v>
      </c>
      <c r="E46" s="38">
        <f t="shared" si="44"/>
        <v>4914360000</v>
      </c>
      <c r="F46" s="38">
        <f t="shared" si="44"/>
        <v>4914360000</v>
      </c>
      <c r="G46" s="38">
        <f t="shared" si="44"/>
        <v>4914360000</v>
      </c>
      <c r="H46" s="38">
        <f t="shared" si="44"/>
        <v>4927824000</v>
      </c>
      <c r="I46" s="38">
        <f t="shared" si="44"/>
        <v>4914360000</v>
      </c>
      <c r="J46" s="38">
        <f t="shared" si="44"/>
        <v>4914360000</v>
      </c>
      <c r="K46" s="38">
        <f t="shared" si="44"/>
        <v>4914360000</v>
      </c>
      <c r="L46" s="38">
        <f t="shared" si="44"/>
        <v>4927824000</v>
      </c>
      <c r="M46" s="38">
        <f t="shared" si="44"/>
        <v>4914360000</v>
      </c>
      <c r="N46" s="38">
        <f t="shared" si="44"/>
        <v>4914360000</v>
      </c>
      <c r="O46" s="38">
        <f t="shared" si="44"/>
        <v>4914360000</v>
      </c>
      <c r="P46" s="38">
        <f t="shared" si="44"/>
        <v>4927824000</v>
      </c>
      <c r="Q46" s="38">
        <f t="shared" si="44"/>
        <v>4914360000</v>
      </c>
      <c r="R46" s="38">
        <f t="shared" si="44"/>
        <v>4914360000</v>
      </c>
      <c r="S46" s="38">
        <f t="shared" si="44"/>
        <v>4914360000</v>
      </c>
      <c r="T46" s="38">
        <f t="shared" si="44"/>
        <v>4927824000</v>
      </c>
      <c r="U46" s="38">
        <f t="shared" si="44"/>
        <v>4914360000</v>
      </c>
      <c r="V46" s="38">
        <f t="shared" si="44"/>
        <v>4914360000</v>
      </c>
      <c r="W46" s="38">
        <f t="shared" si="44"/>
        <v>4914360000</v>
      </c>
      <c r="X46" s="38">
        <f t="shared" si="44"/>
        <v>4927824000</v>
      </c>
      <c r="Y46" s="38">
        <f t="shared" si="44"/>
        <v>4914360000</v>
      </c>
      <c r="Z46" s="38">
        <f t="shared" si="44"/>
        <v>4914360000</v>
      </c>
    </row>
    <row r="47" spans="1:26" s="56" customFormat="1">
      <c r="A47" s="38" t="s">
        <v>124</v>
      </c>
      <c r="B47" s="38">
        <f>B46*Assumption!$D$46</f>
        <v>4900896000</v>
      </c>
      <c r="C47" s="38">
        <f>C46*Assumption!$D$46</f>
        <v>4914360000</v>
      </c>
      <c r="D47" s="38">
        <f>D46*Assumption!$D$46</f>
        <v>4927824000</v>
      </c>
      <c r="E47" s="38">
        <f>E46*Assumption!$D$46</f>
        <v>4914360000</v>
      </c>
      <c r="F47" s="38">
        <f>F46*Assumption!$D$46</f>
        <v>4914360000</v>
      </c>
      <c r="G47" s="38">
        <f>G46*Assumption!$D$46</f>
        <v>4914360000</v>
      </c>
      <c r="H47" s="38">
        <f>H46*Assumption!$D$46</f>
        <v>4927824000</v>
      </c>
      <c r="I47" s="38">
        <f>I46*Assumption!$D$46</f>
        <v>4914360000</v>
      </c>
      <c r="J47" s="38">
        <f>J46*Assumption!$D$46</f>
        <v>4914360000</v>
      </c>
      <c r="K47" s="38">
        <f>K46*Assumption!$D$46</f>
        <v>4914360000</v>
      </c>
      <c r="L47" s="38">
        <f>L46*Assumption!$D$46</f>
        <v>4927824000</v>
      </c>
      <c r="M47" s="38">
        <f>M46*Assumption!$D$46</f>
        <v>4914360000</v>
      </c>
      <c r="N47" s="38">
        <f>N46*Assumption!$D$46</f>
        <v>4914360000</v>
      </c>
      <c r="O47" s="38">
        <f>O46*Assumption!$D$46</f>
        <v>4914360000</v>
      </c>
      <c r="P47" s="38">
        <f>P46*Assumption!$D$46</f>
        <v>4927824000</v>
      </c>
      <c r="Q47" s="38">
        <f>Q46*Assumption!$D$46</f>
        <v>4914360000</v>
      </c>
      <c r="R47" s="38">
        <f>R46*Assumption!$D$46</f>
        <v>4914360000</v>
      </c>
      <c r="S47" s="38">
        <f>S46*Assumption!$D$46</f>
        <v>4914360000</v>
      </c>
      <c r="T47" s="38">
        <f>T46*Assumption!$D$46</f>
        <v>4927824000</v>
      </c>
      <c r="U47" s="38">
        <f>U46*Assumption!$D$46</f>
        <v>4914360000</v>
      </c>
      <c r="V47" s="38">
        <f>V46*Assumption!$D$46</f>
        <v>4914360000</v>
      </c>
      <c r="W47" s="38">
        <f>W46*Assumption!$D$46</f>
        <v>4914360000</v>
      </c>
      <c r="X47" s="38">
        <f>X46*Assumption!$D$46</f>
        <v>4927824000</v>
      </c>
      <c r="Y47" s="38">
        <f>Y46*Assumption!$D$46</f>
        <v>4914360000</v>
      </c>
      <c r="Z47" s="38">
        <f>Z46*Assumption!$D$46</f>
        <v>4914360000</v>
      </c>
    </row>
    <row r="48" spans="1:26" s="31" customFormat="1">
      <c r="A48" s="30" t="s">
        <v>271</v>
      </c>
      <c r="B48" s="30">
        <f>(B45*B47)/1000000</f>
        <v>149.97231849599999</v>
      </c>
      <c r="C48" s="30">
        <f t="shared" ref="C48:Z48" si="45">(C45*C47)/1000000</f>
        <v>150.38433035999998</v>
      </c>
      <c r="D48" s="30">
        <f t="shared" si="45"/>
        <v>150.796342224</v>
      </c>
      <c r="E48" s="30">
        <f t="shared" si="45"/>
        <v>150.38433035999998</v>
      </c>
      <c r="F48" s="30">
        <f t="shared" si="45"/>
        <v>150.38433035999998</v>
      </c>
      <c r="G48" s="30">
        <f t="shared" si="45"/>
        <v>150.38433035999998</v>
      </c>
      <c r="H48" s="30">
        <f t="shared" si="45"/>
        <v>150.796342224</v>
      </c>
      <c r="I48" s="30">
        <f t="shared" si="45"/>
        <v>150.38433035999998</v>
      </c>
      <c r="J48" s="30">
        <f t="shared" si="45"/>
        <v>150.38433035999998</v>
      </c>
      <c r="K48" s="30">
        <f t="shared" si="45"/>
        <v>150.38433035999998</v>
      </c>
      <c r="L48" s="30">
        <f t="shared" si="45"/>
        <v>150.796342224</v>
      </c>
      <c r="M48" s="30">
        <f t="shared" si="45"/>
        <v>150.38433035999998</v>
      </c>
      <c r="N48" s="30">
        <f t="shared" si="45"/>
        <v>150.38433035999998</v>
      </c>
      <c r="O48" s="30">
        <f t="shared" si="45"/>
        <v>150.38433035999998</v>
      </c>
      <c r="P48" s="30">
        <f t="shared" si="45"/>
        <v>150.796342224</v>
      </c>
      <c r="Q48" s="30">
        <f t="shared" si="45"/>
        <v>150.38433035999998</v>
      </c>
      <c r="R48" s="30">
        <f t="shared" si="45"/>
        <v>150.38433035999998</v>
      </c>
      <c r="S48" s="30">
        <f t="shared" si="45"/>
        <v>150.38433035999998</v>
      </c>
      <c r="T48" s="30">
        <f t="shared" si="45"/>
        <v>150.796342224</v>
      </c>
      <c r="U48" s="30">
        <f t="shared" si="45"/>
        <v>150.38433035999998</v>
      </c>
      <c r="V48" s="30">
        <f t="shared" si="45"/>
        <v>150.38433035999998</v>
      </c>
      <c r="W48" s="30">
        <f t="shared" si="45"/>
        <v>150.38433035999998</v>
      </c>
      <c r="X48" s="30">
        <f t="shared" si="45"/>
        <v>150.796342224</v>
      </c>
      <c r="Y48" s="30">
        <f t="shared" si="45"/>
        <v>150.38433035999998</v>
      </c>
      <c r="Z48" s="30">
        <f t="shared" si="45"/>
        <v>150.38433035999998</v>
      </c>
    </row>
    <row r="49" spans="1:26">
      <c r="A49" s="41"/>
      <c r="B49" s="55"/>
      <c r="C49" s="55"/>
      <c r="D49" s="55"/>
      <c r="E49" s="55"/>
      <c r="F49" s="55"/>
      <c r="G49" s="55"/>
      <c r="H49" s="55"/>
      <c r="I49" s="55"/>
      <c r="J49" s="55"/>
      <c r="K49" s="55"/>
      <c r="L49" s="55"/>
      <c r="M49" s="55"/>
      <c r="N49" s="55"/>
      <c r="O49" s="55"/>
      <c r="P49" s="55"/>
      <c r="Q49" s="55"/>
      <c r="R49" s="55"/>
      <c r="S49" s="55"/>
      <c r="T49" s="55"/>
      <c r="U49" s="55"/>
      <c r="V49" s="55"/>
      <c r="W49" s="55"/>
      <c r="X49" s="55"/>
      <c r="Y49" s="55"/>
      <c r="Z49" s="55"/>
    </row>
    <row r="51" spans="1:26">
      <c r="A51" s="25" t="s">
        <v>10</v>
      </c>
    </row>
    <row r="53" spans="1:26">
      <c r="A53" s="25" t="s">
        <v>22</v>
      </c>
    </row>
    <row r="54" spans="1:26">
      <c r="A54" s="28" t="s">
        <v>180</v>
      </c>
      <c r="B54" s="28">
        <f>Assumption!D4</f>
        <v>660</v>
      </c>
      <c r="C54" s="30">
        <f>B54</f>
        <v>660</v>
      </c>
      <c r="D54" s="30">
        <f>C54</f>
        <v>660</v>
      </c>
      <c r="E54" s="30">
        <f t="shared" ref="E54:P54" si="46">D54</f>
        <v>660</v>
      </c>
      <c r="F54" s="30">
        <f t="shared" si="46"/>
        <v>660</v>
      </c>
      <c r="G54" s="30">
        <f t="shared" si="46"/>
        <v>660</v>
      </c>
      <c r="H54" s="30">
        <f t="shared" si="46"/>
        <v>660</v>
      </c>
      <c r="I54" s="30">
        <f t="shared" si="46"/>
        <v>660</v>
      </c>
      <c r="J54" s="30">
        <f t="shared" si="46"/>
        <v>660</v>
      </c>
      <c r="K54" s="30">
        <f t="shared" si="46"/>
        <v>660</v>
      </c>
      <c r="L54" s="30">
        <f t="shared" si="46"/>
        <v>660</v>
      </c>
      <c r="M54" s="30">
        <f t="shared" si="46"/>
        <v>660</v>
      </c>
      <c r="N54" s="30">
        <f t="shared" si="46"/>
        <v>660</v>
      </c>
      <c r="O54" s="30">
        <f t="shared" si="46"/>
        <v>660</v>
      </c>
      <c r="P54" s="30">
        <f t="shared" si="46"/>
        <v>660</v>
      </c>
      <c r="Q54" s="30">
        <f t="shared" ref="Q54" si="47">P54</f>
        <v>660</v>
      </c>
      <c r="R54" s="30">
        <f t="shared" ref="R54" si="48">Q54</f>
        <v>660</v>
      </c>
      <c r="S54" s="30">
        <f t="shared" ref="S54" si="49">R54</f>
        <v>660</v>
      </c>
      <c r="T54" s="30">
        <f t="shared" ref="T54" si="50">S54</f>
        <v>660</v>
      </c>
      <c r="U54" s="30">
        <f t="shared" ref="U54" si="51">T54</f>
        <v>660</v>
      </c>
      <c r="V54" s="30">
        <f t="shared" ref="V54" si="52">U54</f>
        <v>660</v>
      </c>
      <c r="W54" s="30">
        <f t="shared" ref="W54" si="53">V54</f>
        <v>660</v>
      </c>
      <c r="X54" s="30">
        <f t="shared" ref="X54" si="54">W54</f>
        <v>660</v>
      </c>
      <c r="Y54" s="30">
        <f t="shared" ref="Y54" si="55">X54</f>
        <v>660</v>
      </c>
      <c r="Z54" s="30">
        <f t="shared" ref="Z54" si="56">Y54</f>
        <v>660</v>
      </c>
    </row>
    <row r="55" spans="1:26">
      <c r="A55" s="28" t="s">
        <v>59</v>
      </c>
      <c r="B55" s="28">
        <f t="shared" ref="B55:P55" si="57">SUM(B54:B54)</f>
        <v>660</v>
      </c>
      <c r="C55" s="44">
        <f t="shared" si="57"/>
        <v>660</v>
      </c>
      <c r="D55" s="44">
        <f t="shared" si="57"/>
        <v>660</v>
      </c>
      <c r="E55" s="44">
        <f t="shared" si="57"/>
        <v>660</v>
      </c>
      <c r="F55" s="44">
        <f t="shared" si="57"/>
        <v>660</v>
      </c>
      <c r="G55" s="44">
        <f t="shared" si="57"/>
        <v>660</v>
      </c>
      <c r="H55" s="44">
        <f t="shared" si="57"/>
        <v>660</v>
      </c>
      <c r="I55" s="44">
        <f t="shared" si="57"/>
        <v>660</v>
      </c>
      <c r="J55" s="44">
        <f t="shared" si="57"/>
        <v>660</v>
      </c>
      <c r="K55" s="44">
        <f t="shared" si="57"/>
        <v>660</v>
      </c>
      <c r="L55" s="44">
        <f t="shared" si="57"/>
        <v>660</v>
      </c>
      <c r="M55" s="44">
        <f t="shared" si="57"/>
        <v>660</v>
      </c>
      <c r="N55" s="44">
        <f t="shared" si="57"/>
        <v>660</v>
      </c>
      <c r="O55" s="44">
        <f t="shared" si="57"/>
        <v>660</v>
      </c>
      <c r="P55" s="44">
        <f t="shared" si="57"/>
        <v>660</v>
      </c>
      <c r="Q55" s="44">
        <f t="shared" ref="Q55:Z55" si="58">SUM(Q54:Q54)</f>
        <v>660</v>
      </c>
      <c r="R55" s="44">
        <f t="shared" si="58"/>
        <v>660</v>
      </c>
      <c r="S55" s="44">
        <f t="shared" si="58"/>
        <v>660</v>
      </c>
      <c r="T55" s="44">
        <f t="shared" si="58"/>
        <v>660</v>
      </c>
      <c r="U55" s="44">
        <f t="shared" si="58"/>
        <v>660</v>
      </c>
      <c r="V55" s="44">
        <f t="shared" si="58"/>
        <v>660</v>
      </c>
      <c r="W55" s="44">
        <f t="shared" si="58"/>
        <v>660</v>
      </c>
      <c r="X55" s="44">
        <f t="shared" si="58"/>
        <v>660</v>
      </c>
      <c r="Y55" s="44">
        <f t="shared" si="58"/>
        <v>660</v>
      </c>
      <c r="Z55" s="44">
        <f t="shared" si="58"/>
        <v>660</v>
      </c>
    </row>
    <row r="57" spans="1:26">
      <c r="A57" s="25" t="s">
        <v>94</v>
      </c>
    </row>
    <row r="58" spans="1:26">
      <c r="A58" s="28" t="s">
        <v>95</v>
      </c>
      <c r="B58" s="26">
        <f>Assumption!D49</f>
        <v>0.85</v>
      </c>
      <c r="C58" s="26">
        <f>B58</f>
        <v>0.85</v>
      </c>
      <c r="D58" s="26">
        <f t="shared" ref="D58" si="59">C58</f>
        <v>0.85</v>
      </c>
      <c r="E58" s="26">
        <f t="shared" ref="E58" si="60">D58</f>
        <v>0.85</v>
      </c>
      <c r="F58" s="26">
        <f t="shared" ref="F58" si="61">E58</f>
        <v>0.85</v>
      </c>
      <c r="G58" s="26">
        <f t="shared" ref="G58" si="62">F58</f>
        <v>0.85</v>
      </c>
      <c r="H58" s="26">
        <f t="shared" ref="H58" si="63">G58</f>
        <v>0.85</v>
      </c>
      <c r="I58" s="26">
        <f t="shared" ref="I58" si="64">H58</f>
        <v>0.85</v>
      </c>
      <c r="J58" s="26">
        <f t="shared" ref="J58" si="65">I58</f>
        <v>0.85</v>
      </c>
      <c r="K58" s="26">
        <f t="shared" ref="K58" si="66">J58</f>
        <v>0.85</v>
      </c>
      <c r="L58" s="26">
        <f t="shared" ref="L58" si="67">K58</f>
        <v>0.85</v>
      </c>
      <c r="M58" s="26">
        <f t="shared" ref="M58" si="68">L58</f>
        <v>0.85</v>
      </c>
      <c r="N58" s="26">
        <f t="shared" ref="N58" si="69">M58</f>
        <v>0.85</v>
      </c>
      <c r="O58" s="26">
        <f t="shared" ref="O58" si="70">N58</f>
        <v>0.85</v>
      </c>
      <c r="P58" s="26">
        <f t="shared" ref="P58" si="71">O58</f>
        <v>0.85</v>
      </c>
      <c r="Q58" s="26">
        <f t="shared" ref="Q58" si="72">P58</f>
        <v>0.85</v>
      </c>
      <c r="R58" s="26">
        <f t="shared" ref="R58" si="73">Q58</f>
        <v>0.85</v>
      </c>
      <c r="S58" s="26">
        <f t="shared" ref="S58" si="74">R58</f>
        <v>0.85</v>
      </c>
      <c r="T58" s="26">
        <f t="shared" ref="T58" si="75">S58</f>
        <v>0.85</v>
      </c>
      <c r="U58" s="26">
        <f t="shared" ref="U58" si="76">T58</f>
        <v>0.85</v>
      </c>
      <c r="V58" s="26">
        <f t="shared" ref="V58" si="77">U58</f>
        <v>0.85</v>
      </c>
      <c r="W58" s="26">
        <f t="shared" ref="W58" si="78">V58</f>
        <v>0.85</v>
      </c>
      <c r="X58" s="26">
        <f t="shared" ref="X58" si="79">W58</f>
        <v>0.85</v>
      </c>
      <c r="Y58" s="26">
        <f t="shared" ref="Y58" si="80">X58</f>
        <v>0.85</v>
      </c>
      <c r="Z58" s="26">
        <f t="shared" ref="Z58" si="81">Y58</f>
        <v>0.85</v>
      </c>
    </row>
    <row r="59" spans="1:26">
      <c r="A59" s="28" t="s">
        <v>96</v>
      </c>
      <c r="B59" s="47">
        <f>Assumption!D53</f>
        <v>2317.44</v>
      </c>
      <c r="C59" s="28">
        <f>B59</f>
        <v>2317.44</v>
      </c>
      <c r="D59" s="28">
        <f t="shared" ref="D59:P59" si="82">C59</f>
        <v>2317.44</v>
      </c>
      <c r="E59" s="28">
        <f t="shared" si="82"/>
        <v>2317.44</v>
      </c>
      <c r="F59" s="28">
        <f t="shared" si="82"/>
        <v>2317.44</v>
      </c>
      <c r="G59" s="28">
        <f t="shared" si="82"/>
        <v>2317.44</v>
      </c>
      <c r="H59" s="28">
        <f t="shared" si="82"/>
        <v>2317.44</v>
      </c>
      <c r="I59" s="28">
        <f t="shared" si="82"/>
        <v>2317.44</v>
      </c>
      <c r="J59" s="28">
        <f t="shared" si="82"/>
        <v>2317.44</v>
      </c>
      <c r="K59" s="28">
        <f t="shared" si="82"/>
        <v>2317.44</v>
      </c>
      <c r="L59" s="28">
        <f t="shared" si="82"/>
        <v>2317.44</v>
      </c>
      <c r="M59" s="28">
        <f t="shared" si="82"/>
        <v>2317.44</v>
      </c>
      <c r="N59" s="28">
        <f t="shared" si="82"/>
        <v>2317.44</v>
      </c>
      <c r="O59" s="28">
        <f t="shared" si="82"/>
        <v>2317.44</v>
      </c>
      <c r="P59" s="28">
        <f t="shared" si="82"/>
        <v>2317.44</v>
      </c>
      <c r="Q59" s="28">
        <f t="shared" ref="Q59" si="83">P59</f>
        <v>2317.44</v>
      </c>
      <c r="R59" s="28">
        <f t="shared" ref="R59" si="84">Q59</f>
        <v>2317.44</v>
      </c>
      <c r="S59" s="28">
        <f t="shared" ref="S59" si="85">R59</f>
        <v>2317.44</v>
      </c>
      <c r="T59" s="28">
        <f t="shared" ref="T59" si="86">S59</f>
        <v>2317.44</v>
      </c>
      <c r="U59" s="28">
        <f t="shared" ref="U59" si="87">T59</f>
        <v>2317.44</v>
      </c>
      <c r="V59" s="28">
        <f t="shared" ref="V59" si="88">U59</f>
        <v>2317.44</v>
      </c>
      <c r="W59" s="28">
        <f t="shared" ref="W59" si="89">V59</f>
        <v>2317.44</v>
      </c>
      <c r="X59" s="28">
        <f t="shared" ref="X59" si="90">W59</f>
        <v>2317.44</v>
      </c>
      <c r="Y59" s="28">
        <f t="shared" ref="Y59" si="91">X59</f>
        <v>2317.44</v>
      </c>
      <c r="Z59" s="28">
        <f t="shared" ref="Z59" si="92">Y59</f>
        <v>2317.44</v>
      </c>
    </row>
    <row r="61" spans="1:26">
      <c r="A61" s="25" t="s">
        <v>97</v>
      </c>
    </row>
    <row r="62" spans="1:26">
      <c r="A62" s="28" t="s">
        <v>181</v>
      </c>
      <c r="B62" s="59">
        <f t="shared" ref="B62:Z62" si="93">B54*24*B58*B4/1000</f>
        <v>4900.8959999999997</v>
      </c>
      <c r="C62" s="59">
        <f t="shared" si="93"/>
        <v>4914.3599999999997</v>
      </c>
      <c r="D62" s="59">
        <f t="shared" si="93"/>
        <v>4927.8239999999996</v>
      </c>
      <c r="E62" s="59">
        <f t="shared" si="93"/>
        <v>4914.3599999999997</v>
      </c>
      <c r="F62" s="59">
        <f t="shared" si="93"/>
        <v>4914.3599999999997</v>
      </c>
      <c r="G62" s="59">
        <f t="shared" si="93"/>
        <v>4914.3599999999997</v>
      </c>
      <c r="H62" s="59">
        <f t="shared" si="93"/>
        <v>4927.8239999999996</v>
      </c>
      <c r="I62" s="59">
        <f t="shared" si="93"/>
        <v>4914.3599999999997</v>
      </c>
      <c r="J62" s="59">
        <f t="shared" si="93"/>
        <v>4914.3599999999997</v>
      </c>
      <c r="K62" s="59">
        <f t="shared" si="93"/>
        <v>4914.3599999999997</v>
      </c>
      <c r="L62" s="59">
        <f t="shared" si="93"/>
        <v>4927.8239999999996</v>
      </c>
      <c r="M62" s="59">
        <f t="shared" si="93"/>
        <v>4914.3599999999997</v>
      </c>
      <c r="N62" s="59">
        <f t="shared" si="93"/>
        <v>4914.3599999999997</v>
      </c>
      <c r="O62" s="59">
        <f t="shared" si="93"/>
        <v>4914.3599999999997</v>
      </c>
      <c r="P62" s="59">
        <f t="shared" si="93"/>
        <v>4927.8239999999996</v>
      </c>
      <c r="Q62" s="59">
        <f t="shared" si="93"/>
        <v>4914.3599999999997</v>
      </c>
      <c r="R62" s="59">
        <f t="shared" si="93"/>
        <v>4914.3599999999997</v>
      </c>
      <c r="S62" s="59">
        <f t="shared" si="93"/>
        <v>4914.3599999999997</v>
      </c>
      <c r="T62" s="59">
        <f t="shared" si="93"/>
        <v>4927.8239999999996</v>
      </c>
      <c r="U62" s="59">
        <f t="shared" si="93"/>
        <v>4914.3599999999997</v>
      </c>
      <c r="V62" s="59">
        <f t="shared" si="93"/>
        <v>4914.3599999999997</v>
      </c>
      <c r="W62" s="59">
        <f t="shared" si="93"/>
        <v>4914.3599999999997</v>
      </c>
      <c r="X62" s="59">
        <f t="shared" si="93"/>
        <v>4927.8239999999996</v>
      </c>
      <c r="Y62" s="59">
        <f t="shared" si="93"/>
        <v>4914.3599999999997</v>
      </c>
      <c r="Z62" s="59">
        <f t="shared" si="93"/>
        <v>4914.3599999999997</v>
      </c>
    </row>
    <row r="63" spans="1:26">
      <c r="A63" s="28" t="s">
        <v>61</v>
      </c>
      <c r="B63" s="59">
        <f t="shared" ref="B63:P63" si="94">SUM(B62:B62)</f>
        <v>4900.8959999999997</v>
      </c>
      <c r="C63" s="59">
        <f t="shared" si="94"/>
        <v>4914.3599999999997</v>
      </c>
      <c r="D63" s="59">
        <f t="shared" si="94"/>
        <v>4927.8239999999996</v>
      </c>
      <c r="E63" s="59">
        <f t="shared" si="94"/>
        <v>4914.3599999999997</v>
      </c>
      <c r="F63" s="59">
        <f t="shared" si="94"/>
        <v>4914.3599999999997</v>
      </c>
      <c r="G63" s="59">
        <f t="shared" si="94"/>
        <v>4914.3599999999997</v>
      </c>
      <c r="H63" s="59">
        <f t="shared" si="94"/>
        <v>4927.8239999999996</v>
      </c>
      <c r="I63" s="59">
        <f t="shared" si="94"/>
        <v>4914.3599999999997</v>
      </c>
      <c r="J63" s="59">
        <f t="shared" si="94"/>
        <v>4914.3599999999997</v>
      </c>
      <c r="K63" s="59">
        <f t="shared" si="94"/>
        <v>4914.3599999999997</v>
      </c>
      <c r="L63" s="59">
        <f t="shared" si="94"/>
        <v>4927.8239999999996</v>
      </c>
      <c r="M63" s="59">
        <f t="shared" si="94"/>
        <v>4914.3599999999997</v>
      </c>
      <c r="N63" s="59">
        <f t="shared" si="94"/>
        <v>4914.3599999999997</v>
      </c>
      <c r="O63" s="59">
        <f t="shared" si="94"/>
        <v>4914.3599999999997</v>
      </c>
      <c r="P63" s="59">
        <f t="shared" si="94"/>
        <v>4927.8239999999996</v>
      </c>
      <c r="Q63" s="59">
        <f t="shared" ref="Q63:Z63" si="95">SUM(Q62:Q62)</f>
        <v>4914.3599999999997</v>
      </c>
      <c r="R63" s="59">
        <f t="shared" si="95"/>
        <v>4914.3599999999997</v>
      </c>
      <c r="S63" s="59">
        <f t="shared" si="95"/>
        <v>4914.3599999999997</v>
      </c>
      <c r="T63" s="59">
        <f t="shared" si="95"/>
        <v>4927.8239999999996</v>
      </c>
      <c r="U63" s="59">
        <f t="shared" si="95"/>
        <v>4914.3599999999997</v>
      </c>
      <c r="V63" s="59">
        <f t="shared" si="95"/>
        <v>4914.3599999999997</v>
      </c>
      <c r="W63" s="59">
        <f t="shared" si="95"/>
        <v>4914.3599999999997</v>
      </c>
      <c r="X63" s="59">
        <f t="shared" si="95"/>
        <v>4927.8239999999996</v>
      </c>
      <c r="Y63" s="59">
        <f t="shared" si="95"/>
        <v>4914.3599999999997</v>
      </c>
      <c r="Z63" s="59">
        <f t="shared" si="95"/>
        <v>4914.3599999999997</v>
      </c>
    </row>
    <row r="64" spans="1:26">
      <c r="A64" s="41"/>
      <c r="B64" s="60"/>
      <c r="C64" s="60"/>
      <c r="D64" s="60"/>
      <c r="E64" s="60"/>
      <c r="F64" s="60"/>
      <c r="G64" s="60"/>
      <c r="H64" s="60"/>
      <c r="I64" s="60"/>
      <c r="J64" s="60"/>
      <c r="K64" s="60"/>
      <c r="L64" s="60"/>
      <c r="M64" s="60"/>
      <c r="N64" s="60"/>
      <c r="O64" s="60"/>
      <c r="P64" s="60"/>
      <c r="Q64" s="60"/>
      <c r="R64" s="60"/>
      <c r="S64" s="60"/>
      <c r="T64" s="60"/>
      <c r="U64" s="60"/>
      <c r="V64" s="60"/>
      <c r="W64" s="60"/>
      <c r="X64" s="60"/>
      <c r="Y64" s="60"/>
      <c r="Z64" s="60"/>
    </row>
    <row r="65" spans="1:26">
      <c r="A65" s="25" t="s">
        <v>60</v>
      </c>
    </row>
    <row r="66" spans="1:26">
      <c r="A66" s="28" t="s">
        <v>181</v>
      </c>
      <c r="B66" s="44">
        <f>B62*Assumption!D51</f>
        <v>416.57616000000002</v>
      </c>
      <c r="C66" s="44">
        <f>C62*Assumption!$D$51</f>
        <v>417.72059999999999</v>
      </c>
      <c r="D66" s="44">
        <f>D62*Assumption!$D$51</f>
        <v>418.86504000000002</v>
      </c>
      <c r="E66" s="44">
        <f>E62*Assumption!$D$51</f>
        <v>417.72059999999999</v>
      </c>
      <c r="F66" s="44">
        <f>F62*Assumption!$D$51</f>
        <v>417.72059999999999</v>
      </c>
      <c r="G66" s="44">
        <f>G62*Assumption!$D$51</f>
        <v>417.72059999999999</v>
      </c>
      <c r="H66" s="44">
        <f>H62*Assumption!$D$51</f>
        <v>418.86504000000002</v>
      </c>
      <c r="I66" s="44">
        <f>I62*Assumption!$D$51</f>
        <v>417.72059999999999</v>
      </c>
      <c r="J66" s="44">
        <f>J62*Assumption!$D$51</f>
        <v>417.72059999999999</v>
      </c>
      <c r="K66" s="44">
        <f>K62*Assumption!$D$51</f>
        <v>417.72059999999999</v>
      </c>
      <c r="L66" s="44">
        <f>L62*Assumption!$D$51</f>
        <v>418.86504000000002</v>
      </c>
      <c r="M66" s="44">
        <f>M62*Assumption!$D$51</f>
        <v>417.72059999999999</v>
      </c>
      <c r="N66" s="44">
        <f>N62*Assumption!$D$51</f>
        <v>417.72059999999999</v>
      </c>
      <c r="O66" s="44">
        <f>O62*Assumption!$D$51</f>
        <v>417.72059999999999</v>
      </c>
      <c r="P66" s="44">
        <f>P62*Assumption!$D$51</f>
        <v>418.86504000000002</v>
      </c>
      <c r="Q66" s="44">
        <f>Q62*Assumption!$D$51</f>
        <v>417.72059999999999</v>
      </c>
      <c r="R66" s="44">
        <f>R62*Assumption!$D$51</f>
        <v>417.72059999999999</v>
      </c>
      <c r="S66" s="44">
        <f>S62*Assumption!$D$51</f>
        <v>417.72059999999999</v>
      </c>
      <c r="T66" s="44">
        <f>T62*Assumption!$D$51</f>
        <v>418.86504000000002</v>
      </c>
      <c r="U66" s="44">
        <f>U62*Assumption!$D$51</f>
        <v>417.72059999999999</v>
      </c>
      <c r="V66" s="44">
        <f>V62*Assumption!$D$51</f>
        <v>417.72059999999999</v>
      </c>
      <c r="W66" s="44">
        <f>W62*Assumption!$D$51</f>
        <v>417.72059999999999</v>
      </c>
      <c r="X66" s="44">
        <f>X62*Assumption!$D$51</f>
        <v>418.86504000000002</v>
      </c>
      <c r="Y66" s="44">
        <f>Y62*Assumption!$D$51</f>
        <v>417.72059999999999</v>
      </c>
      <c r="Z66" s="44">
        <f>Z62*Assumption!$D$51</f>
        <v>417.72059999999999</v>
      </c>
    </row>
    <row r="67" spans="1:26">
      <c r="A67" s="28" t="s">
        <v>61</v>
      </c>
      <c r="B67" s="44">
        <f t="shared" ref="B67:P67" si="96">SUM(B66:B66)</f>
        <v>416.57616000000002</v>
      </c>
      <c r="C67" s="44">
        <f t="shared" si="96"/>
        <v>417.72059999999999</v>
      </c>
      <c r="D67" s="44">
        <f t="shared" si="96"/>
        <v>418.86504000000002</v>
      </c>
      <c r="E67" s="44">
        <f t="shared" si="96"/>
        <v>417.72059999999999</v>
      </c>
      <c r="F67" s="44">
        <f t="shared" si="96"/>
        <v>417.72059999999999</v>
      </c>
      <c r="G67" s="44">
        <f t="shared" si="96"/>
        <v>417.72059999999999</v>
      </c>
      <c r="H67" s="44">
        <f t="shared" si="96"/>
        <v>418.86504000000002</v>
      </c>
      <c r="I67" s="44">
        <f t="shared" si="96"/>
        <v>417.72059999999999</v>
      </c>
      <c r="J67" s="44">
        <f t="shared" si="96"/>
        <v>417.72059999999999</v>
      </c>
      <c r="K67" s="44">
        <f t="shared" si="96"/>
        <v>417.72059999999999</v>
      </c>
      <c r="L67" s="44">
        <f t="shared" si="96"/>
        <v>418.86504000000002</v>
      </c>
      <c r="M67" s="44">
        <f t="shared" si="96"/>
        <v>417.72059999999999</v>
      </c>
      <c r="N67" s="44">
        <f t="shared" si="96"/>
        <v>417.72059999999999</v>
      </c>
      <c r="O67" s="44">
        <f t="shared" si="96"/>
        <v>417.72059999999999</v>
      </c>
      <c r="P67" s="44">
        <f t="shared" si="96"/>
        <v>418.86504000000002</v>
      </c>
      <c r="Q67" s="44">
        <f t="shared" ref="Q67:Z67" si="97">SUM(Q66:Q66)</f>
        <v>417.72059999999999</v>
      </c>
      <c r="R67" s="44">
        <f t="shared" si="97"/>
        <v>417.72059999999999</v>
      </c>
      <c r="S67" s="44">
        <f t="shared" si="97"/>
        <v>417.72059999999999</v>
      </c>
      <c r="T67" s="44">
        <f t="shared" si="97"/>
        <v>418.86504000000002</v>
      </c>
      <c r="U67" s="44">
        <f t="shared" si="97"/>
        <v>417.72059999999999</v>
      </c>
      <c r="V67" s="44">
        <f t="shared" si="97"/>
        <v>417.72059999999999</v>
      </c>
      <c r="W67" s="44">
        <f t="shared" si="97"/>
        <v>417.72059999999999</v>
      </c>
      <c r="X67" s="44">
        <f t="shared" si="97"/>
        <v>418.86504000000002</v>
      </c>
      <c r="Y67" s="44">
        <f t="shared" si="97"/>
        <v>417.72059999999999</v>
      </c>
      <c r="Z67" s="44">
        <f t="shared" si="97"/>
        <v>417.72059999999999</v>
      </c>
    </row>
    <row r="68" spans="1:26">
      <c r="A68" s="41"/>
      <c r="B68" s="61"/>
      <c r="C68" s="61"/>
      <c r="D68" s="61"/>
      <c r="E68" s="61"/>
      <c r="F68" s="61"/>
      <c r="G68" s="61"/>
      <c r="H68" s="61"/>
      <c r="I68" s="61"/>
      <c r="J68" s="61"/>
      <c r="K68" s="61"/>
      <c r="L68" s="61"/>
      <c r="M68" s="61"/>
      <c r="N68" s="61"/>
      <c r="O68" s="61"/>
      <c r="P68" s="61"/>
      <c r="Q68" s="61"/>
      <c r="R68" s="61"/>
      <c r="S68" s="61"/>
      <c r="T68" s="61"/>
      <c r="U68" s="61"/>
      <c r="V68" s="61"/>
      <c r="W68" s="61"/>
      <c r="X68" s="61"/>
      <c r="Y68" s="61"/>
      <c r="Z68" s="61"/>
    </row>
    <row r="69" spans="1:26">
      <c r="A69" s="25" t="s">
        <v>11</v>
      </c>
    </row>
    <row r="70" spans="1:26">
      <c r="A70" s="28" t="s">
        <v>181</v>
      </c>
      <c r="B70" s="38">
        <f t="shared" ref="B70:P70" si="98">B62-B66</f>
        <v>4484.3198400000001</v>
      </c>
      <c r="C70" s="38">
        <f t="shared" si="98"/>
        <v>4496.6394</v>
      </c>
      <c r="D70" s="38">
        <f t="shared" si="98"/>
        <v>4508.9589599999999</v>
      </c>
      <c r="E70" s="38">
        <f t="shared" si="98"/>
        <v>4496.6394</v>
      </c>
      <c r="F70" s="38">
        <f t="shared" si="98"/>
        <v>4496.6394</v>
      </c>
      <c r="G70" s="38">
        <f t="shared" si="98"/>
        <v>4496.6394</v>
      </c>
      <c r="H70" s="38">
        <f t="shared" si="98"/>
        <v>4508.9589599999999</v>
      </c>
      <c r="I70" s="38">
        <f t="shared" si="98"/>
        <v>4496.6394</v>
      </c>
      <c r="J70" s="38">
        <f t="shared" si="98"/>
        <v>4496.6394</v>
      </c>
      <c r="K70" s="38">
        <f t="shared" si="98"/>
        <v>4496.6394</v>
      </c>
      <c r="L70" s="38">
        <f t="shared" si="98"/>
        <v>4508.9589599999999</v>
      </c>
      <c r="M70" s="38">
        <f t="shared" si="98"/>
        <v>4496.6394</v>
      </c>
      <c r="N70" s="38">
        <f t="shared" si="98"/>
        <v>4496.6394</v>
      </c>
      <c r="O70" s="38">
        <f t="shared" si="98"/>
        <v>4496.6394</v>
      </c>
      <c r="P70" s="38">
        <f t="shared" si="98"/>
        <v>4508.9589599999999</v>
      </c>
      <c r="Q70" s="38">
        <f t="shared" ref="Q70:Z70" si="99">Q62-Q66</f>
        <v>4496.6394</v>
      </c>
      <c r="R70" s="38">
        <f t="shared" si="99"/>
        <v>4496.6394</v>
      </c>
      <c r="S70" s="38">
        <f t="shared" si="99"/>
        <v>4496.6394</v>
      </c>
      <c r="T70" s="38">
        <f t="shared" si="99"/>
        <v>4508.9589599999999</v>
      </c>
      <c r="U70" s="38">
        <f t="shared" si="99"/>
        <v>4496.6394</v>
      </c>
      <c r="V70" s="38">
        <f t="shared" si="99"/>
        <v>4496.6394</v>
      </c>
      <c r="W70" s="38">
        <f t="shared" si="99"/>
        <v>4496.6394</v>
      </c>
      <c r="X70" s="38">
        <f t="shared" si="99"/>
        <v>4508.9589599999999</v>
      </c>
      <c r="Y70" s="38">
        <f t="shared" si="99"/>
        <v>4496.6394</v>
      </c>
      <c r="Z70" s="38">
        <f t="shared" si="99"/>
        <v>4496.6394</v>
      </c>
    </row>
    <row r="71" spans="1:26">
      <c r="A71" s="28" t="s">
        <v>61</v>
      </c>
      <c r="B71" s="38">
        <f t="shared" ref="B71:P71" si="100">SUM(B70:B70)</f>
        <v>4484.3198400000001</v>
      </c>
      <c r="C71" s="38">
        <f t="shared" si="100"/>
        <v>4496.6394</v>
      </c>
      <c r="D71" s="38">
        <f t="shared" si="100"/>
        <v>4508.9589599999999</v>
      </c>
      <c r="E71" s="38">
        <f t="shared" si="100"/>
        <v>4496.6394</v>
      </c>
      <c r="F71" s="38">
        <f t="shared" si="100"/>
        <v>4496.6394</v>
      </c>
      <c r="G71" s="38">
        <f t="shared" si="100"/>
        <v>4496.6394</v>
      </c>
      <c r="H71" s="38">
        <f t="shared" si="100"/>
        <v>4508.9589599999999</v>
      </c>
      <c r="I71" s="38">
        <f t="shared" si="100"/>
        <v>4496.6394</v>
      </c>
      <c r="J71" s="38">
        <f t="shared" si="100"/>
        <v>4496.6394</v>
      </c>
      <c r="K71" s="38">
        <f t="shared" si="100"/>
        <v>4496.6394</v>
      </c>
      <c r="L71" s="38">
        <f t="shared" si="100"/>
        <v>4508.9589599999999</v>
      </c>
      <c r="M71" s="38">
        <f t="shared" si="100"/>
        <v>4496.6394</v>
      </c>
      <c r="N71" s="38">
        <f t="shared" si="100"/>
        <v>4496.6394</v>
      </c>
      <c r="O71" s="38">
        <f t="shared" si="100"/>
        <v>4496.6394</v>
      </c>
      <c r="P71" s="38">
        <f t="shared" si="100"/>
        <v>4508.9589599999999</v>
      </c>
      <c r="Q71" s="38">
        <f t="shared" ref="Q71:Z71" si="101">SUM(Q70:Q70)</f>
        <v>4496.6394</v>
      </c>
      <c r="R71" s="38">
        <f t="shared" si="101"/>
        <v>4496.6394</v>
      </c>
      <c r="S71" s="38">
        <f t="shared" si="101"/>
        <v>4496.6394</v>
      </c>
      <c r="T71" s="38">
        <f t="shared" si="101"/>
        <v>4508.9589599999999</v>
      </c>
      <c r="U71" s="38">
        <f t="shared" si="101"/>
        <v>4496.6394</v>
      </c>
      <c r="V71" s="38">
        <f t="shared" si="101"/>
        <v>4496.6394</v>
      </c>
      <c r="W71" s="38">
        <f t="shared" si="101"/>
        <v>4496.6394</v>
      </c>
      <c r="X71" s="38">
        <f t="shared" si="101"/>
        <v>4508.9589599999999</v>
      </c>
      <c r="Y71" s="38">
        <f t="shared" si="101"/>
        <v>4496.6394</v>
      </c>
      <c r="Z71" s="38">
        <f t="shared" si="101"/>
        <v>4496.6394</v>
      </c>
    </row>
    <row r="72" spans="1:26">
      <c r="A72" s="41"/>
      <c r="B72" s="62"/>
      <c r="C72" s="62"/>
      <c r="D72" s="62"/>
      <c r="E72" s="63"/>
      <c r="F72" s="63"/>
      <c r="G72" s="63"/>
      <c r="H72" s="63"/>
      <c r="I72" s="63"/>
      <c r="J72" s="63"/>
      <c r="K72" s="63"/>
      <c r="L72" s="63"/>
      <c r="M72" s="63"/>
      <c r="N72" s="63"/>
      <c r="O72" s="63"/>
      <c r="P72" s="63"/>
      <c r="Q72" s="63"/>
      <c r="R72" s="63"/>
      <c r="S72" s="63"/>
      <c r="T72" s="63"/>
      <c r="U72" s="63"/>
      <c r="V72" s="63"/>
      <c r="W72" s="63"/>
      <c r="X72" s="63"/>
      <c r="Y72" s="63"/>
      <c r="Z72" s="63"/>
    </row>
    <row r="73" spans="1:26">
      <c r="A73" s="41" t="s">
        <v>102</v>
      </c>
      <c r="B73" s="63"/>
      <c r="C73" s="63"/>
      <c r="D73" s="63"/>
      <c r="E73" s="63"/>
      <c r="F73" s="63"/>
      <c r="G73" s="63"/>
      <c r="H73" s="63"/>
      <c r="I73" s="63"/>
      <c r="J73" s="63"/>
      <c r="K73" s="63"/>
      <c r="L73" s="63"/>
      <c r="M73" s="63"/>
      <c r="N73" s="63"/>
      <c r="O73" s="63"/>
      <c r="P73" s="63"/>
      <c r="Q73" s="63"/>
      <c r="R73" s="63"/>
      <c r="S73" s="63"/>
      <c r="T73" s="63"/>
      <c r="U73" s="63"/>
      <c r="V73" s="63"/>
      <c r="W73" s="63"/>
      <c r="X73" s="63"/>
      <c r="Y73" s="63"/>
      <c r="Z73" s="63"/>
    </row>
    <row r="74" spans="1:26">
      <c r="A74" s="28" t="s">
        <v>98</v>
      </c>
      <c r="B74" s="38">
        <f>Assumption!D43</f>
        <v>3755</v>
      </c>
      <c r="C74" s="28" t="s">
        <v>9</v>
      </c>
    </row>
    <row r="75" spans="1:26">
      <c r="A75" s="28" t="s">
        <v>99</v>
      </c>
      <c r="B75" s="28">
        <v>1000</v>
      </c>
      <c r="C75" s="28" t="s">
        <v>100</v>
      </c>
    </row>
    <row r="76" spans="1:26">
      <c r="A76" s="28" t="s">
        <v>99</v>
      </c>
      <c r="B76" s="28">
        <f>B74*B75</f>
        <v>3755000</v>
      </c>
      <c r="C76" s="28" t="s">
        <v>9</v>
      </c>
    </row>
    <row r="77" spans="1:26">
      <c r="A77" s="28" t="s">
        <v>101</v>
      </c>
      <c r="B77" s="28">
        <v>0.83</v>
      </c>
      <c r="C77" s="28" t="s">
        <v>100</v>
      </c>
    </row>
  </sheetData>
  <customSheetViews>
    <customSheetView guid="{6D27EB6A-3939-4201-8E4B-897AA8118F21}" scale="80" showPageBreaks="1" printArea="1" view="pageBreakPreview" topLeftCell="A64">
      <selection activeCell="B50" sqref="B50 B54"/>
      <rowBreaks count="1" manualBreakCount="1">
        <brk id="41" max="29" man="1"/>
      </rowBreaks>
      <colBreaks count="2" manualBreakCount="2">
        <brk id="9" max="78" man="1"/>
        <brk id="20" max="78" man="1"/>
      </colBreaks>
      <pageMargins left="0.75" right="0.75" top="1" bottom="1" header="0.5" footer="0.5"/>
      <pageSetup paperSize="9" scale="54" orientation="landscape" r:id="rId1"/>
      <headerFooter alignWithMargins="0"/>
    </customSheetView>
  </customSheetViews>
  <phoneticPr fontId="5" type="noConversion"/>
  <pageMargins left="0.75" right="0.75" top="1" bottom="1" header="0.5" footer="0.5"/>
  <pageSetup paperSize="9" scale="54" orientation="landscape" r:id="rId2"/>
  <headerFooter alignWithMargins="0"/>
  <rowBreaks count="1" manualBreakCount="1">
    <brk id="50" max="29" man="1"/>
  </rowBreaks>
  <colBreaks count="2" manualBreakCount="2">
    <brk id="9" max="62" man="1"/>
    <brk id="20" max="62" man="1"/>
  </colBreaks>
</worksheet>
</file>

<file path=xl/worksheets/sheet7.xml><?xml version="1.0" encoding="utf-8"?>
<worksheet xmlns="http://schemas.openxmlformats.org/spreadsheetml/2006/main" xmlns:r="http://schemas.openxmlformats.org/officeDocument/2006/relationships">
  <dimension ref="A1:IP45"/>
  <sheetViews>
    <sheetView view="pageBreakPreview" zoomScaleSheetLayoutView="100" workbookViewId="0">
      <selection activeCell="A38" sqref="A38"/>
    </sheetView>
  </sheetViews>
  <sheetFormatPr defaultColWidth="11" defaultRowHeight="15"/>
  <cols>
    <col min="1" max="1" width="45.42578125" style="25" customWidth="1"/>
    <col min="2" max="2" width="10.140625" style="25" bestFit="1" customWidth="1"/>
    <col min="3" max="3" width="19.28515625" style="25" bestFit="1" customWidth="1"/>
    <col min="4" max="26" width="10.140625" style="25" bestFit="1" customWidth="1"/>
    <col min="27" max="16384" width="11" style="25"/>
  </cols>
  <sheetData>
    <row r="1" spans="1:250">
      <c r="A1" s="64" t="s">
        <v>47</v>
      </c>
    </row>
    <row r="2" spans="1:250">
      <c r="B2" s="25">
        <v>1</v>
      </c>
      <c r="C2" s="25">
        <f>B2+1</f>
        <v>2</v>
      </c>
      <c r="D2" s="25">
        <f t="shared" ref="D2:Z2" si="0">C2+1</f>
        <v>3</v>
      </c>
      <c r="E2" s="25">
        <f t="shared" si="0"/>
        <v>4</v>
      </c>
      <c r="F2" s="25">
        <f t="shared" si="0"/>
        <v>5</v>
      </c>
      <c r="G2" s="25">
        <f t="shared" si="0"/>
        <v>6</v>
      </c>
      <c r="H2" s="25">
        <f t="shared" si="0"/>
        <v>7</v>
      </c>
      <c r="I2" s="25">
        <f t="shared" si="0"/>
        <v>8</v>
      </c>
      <c r="J2" s="25">
        <f t="shared" si="0"/>
        <v>9</v>
      </c>
      <c r="K2" s="25">
        <f t="shared" si="0"/>
        <v>10</v>
      </c>
      <c r="L2" s="25">
        <f t="shared" si="0"/>
        <v>11</v>
      </c>
      <c r="M2" s="25">
        <f t="shared" si="0"/>
        <v>12</v>
      </c>
      <c r="N2" s="25">
        <f t="shared" si="0"/>
        <v>13</v>
      </c>
      <c r="O2" s="25">
        <f t="shared" si="0"/>
        <v>14</v>
      </c>
      <c r="P2" s="25">
        <f t="shared" si="0"/>
        <v>15</v>
      </c>
      <c r="Q2" s="25">
        <f t="shared" si="0"/>
        <v>16</v>
      </c>
      <c r="R2" s="25">
        <f t="shared" si="0"/>
        <v>17</v>
      </c>
      <c r="S2" s="25">
        <f t="shared" si="0"/>
        <v>18</v>
      </c>
      <c r="T2" s="25">
        <f t="shared" si="0"/>
        <v>19</v>
      </c>
      <c r="U2" s="25">
        <f t="shared" si="0"/>
        <v>20</v>
      </c>
      <c r="V2" s="25">
        <f t="shared" si="0"/>
        <v>21</v>
      </c>
      <c r="W2" s="25">
        <f t="shared" si="0"/>
        <v>22</v>
      </c>
      <c r="X2" s="25">
        <f t="shared" si="0"/>
        <v>23</v>
      </c>
      <c r="Y2" s="25">
        <f t="shared" si="0"/>
        <v>24</v>
      </c>
      <c r="Z2" s="25">
        <f t="shared" si="0"/>
        <v>25</v>
      </c>
    </row>
    <row r="3" spans="1:250">
      <c r="A3" s="28" t="s">
        <v>4</v>
      </c>
      <c r="B3" s="29">
        <f>fuel!B16</f>
        <v>41729</v>
      </c>
      <c r="C3" s="29">
        <f>fuel!C16</f>
        <v>42094</v>
      </c>
      <c r="D3" s="29">
        <f>fuel!D16</f>
        <v>42460</v>
      </c>
      <c r="E3" s="29">
        <f>fuel!E16</f>
        <v>42825</v>
      </c>
      <c r="F3" s="29">
        <f>fuel!F16</f>
        <v>43190</v>
      </c>
      <c r="G3" s="29">
        <f>fuel!G16</f>
        <v>43555</v>
      </c>
      <c r="H3" s="29">
        <f>fuel!H16</f>
        <v>43921</v>
      </c>
      <c r="I3" s="29">
        <f>fuel!I16</f>
        <v>44286</v>
      </c>
      <c r="J3" s="29">
        <f>fuel!J16</f>
        <v>44651</v>
      </c>
      <c r="K3" s="29">
        <f>fuel!K16</f>
        <v>45016</v>
      </c>
      <c r="L3" s="29">
        <f>fuel!L16</f>
        <v>45382</v>
      </c>
      <c r="M3" s="29">
        <f>fuel!M16</f>
        <v>45747</v>
      </c>
      <c r="N3" s="29">
        <f>fuel!N16</f>
        <v>46112</v>
      </c>
      <c r="O3" s="29">
        <f>fuel!O16</f>
        <v>46477</v>
      </c>
      <c r="P3" s="29">
        <f>fuel!P16</f>
        <v>46843</v>
      </c>
      <c r="Q3" s="29">
        <f>fuel!Q16</f>
        <v>47208</v>
      </c>
      <c r="R3" s="29">
        <f>fuel!R16</f>
        <v>47573</v>
      </c>
      <c r="S3" s="29">
        <f>fuel!S16</f>
        <v>47938</v>
      </c>
      <c r="T3" s="29">
        <f>fuel!T16</f>
        <v>48304</v>
      </c>
      <c r="U3" s="29">
        <f>fuel!U16</f>
        <v>48669</v>
      </c>
      <c r="V3" s="29">
        <f>fuel!V16</f>
        <v>49034</v>
      </c>
      <c r="W3" s="29">
        <f>fuel!W16</f>
        <v>49399</v>
      </c>
      <c r="X3" s="29">
        <f>fuel!X16</f>
        <v>49765</v>
      </c>
      <c r="Y3" s="29">
        <f>fuel!Y16</f>
        <v>50130</v>
      </c>
      <c r="Z3" s="29">
        <f>fuel!Z16</f>
        <v>50495</v>
      </c>
    </row>
    <row r="4" spans="1:250">
      <c r="A4" s="65" t="s">
        <v>12</v>
      </c>
      <c r="B4" s="28"/>
      <c r="C4" s="28"/>
      <c r="D4" s="28"/>
      <c r="E4" s="28"/>
      <c r="F4" s="28"/>
      <c r="G4" s="28"/>
      <c r="H4" s="28"/>
      <c r="I4" s="28"/>
      <c r="J4" s="28"/>
      <c r="K4" s="28"/>
      <c r="L4" s="28"/>
      <c r="M4" s="28"/>
      <c r="N4" s="28"/>
      <c r="O4" s="28"/>
      <c r="P4" s="28"/>
      <c r="Q4" s="28"/>
      <c r="R4" s="28"/>
      <c r="S4" s="28"/>
      <c r="T4" s="28"/>
      <c r="U4" s="28"/>
      <c r="V4" s="28"/>
      <c r="W4" s="28"/>
      <c r="X4" s="28"/>
      <c r="Y4" s="28"/>
      <c r="Z4" s="28"/>
    </row>
    <row r="5" spans="1:250">
      <c r="A5" s="28" t="s">
        <v>256</v>
      </c>
      <c r="B5" s="30">
        <f>fuel!B27</f>
        <v>3591.8638833413534</v>
      </c>
      <c r="C5" s="30">
        <f>fuel!C27</f>
        <v>3601.7316412626219</v>
      </c>
      <c r="D5" s="30">
        <f>fuel!D27</f>
        <v>3611.5993991838895</v>
      </c>
      <c r="E5" s="30">
        <f>fuel!E27</f>
        <v>3601.7316412626219</v>
      </c>
      <c r="F5" s="30">
        <f>fuel!F27</f>
        <v>3601.7316412626219</v>
      </c>
      <c r="G5" s="30">
        <f>fuel!G27</f>
        <v>3601.7316412626219</v>
      </c>
      <c r="H5" s="30">
        <f>fuel!H27</f>
        <v>3611.5993991838895</v>
      </c>
      <c r="I5" s="30">
        <f>fuel!I27</f>
        <v>3601.7316412626219</v>
      </c>
      <c r="J5" s="30">
        <f>fuel!J27</f>
        <v>3601.7316412626219</v>
      </c>
      <c r="K5" s="30">
        <f>fuel!K27</f>
        <v>3601.7316412626219</v>
      </c>
      <c r="L5" s="30">
        <f>fuel!L27</f>
        <v>3611.5993991838895</v>
      </c>
      <c r="M5" s="30">
        <f>fuel!M27</f>
        <v>3601.7316412626219</v>
      </c>
      <c r="N5" s="30">
        <f>fuel!N27</f>
        <v>3601.7316412626219</v>
      </c>
      <c r="O5" s="30">
        <f>fuel!O27</f>
        <v>3601.7316412626219</v>
      </c>
      <c r="P5" s="30">
        <f>fuel!P27</f>
        <v>3611.5993991838895</v>
      </c>
      <c r="Q5" s="30">
        <f>fuel!Q27</f>
        <v>3601.7316412626219</v>
      </c>
      <c r="R5" s="30">
        <f>fuel!R27</f>
        <v>3601.7316412626219</v>
      </c>
      <c r="S5" s="30">
        <f>fuel!S27</f>
        <v>3601.7316412626219</v>
      </c>
      <c r="T5" s="30">
        <f>fuel!T27</f>
        <v>3611.5993991838895</v>
      </c>
      <c r="U5" s="30">
        <f>fuel!U27</f>
        <v>3601.7316412626219</v>
      </c>
      <c r="V5" s="30">
        <f>fuel!V27</f>
        <v>3601.7316412626219</v>
      </c>
      <c r="W5" s="30">
        <f>fuel!W27</f>
        <v>3601.7316412626219</v>
      </c>
      <c r="X5" s="30">
        <f>fuel!X27</f>
        <v>3611.5993991838895</v>
      </c>
      <c r="Y5" s="30">
        <f>fuel!Y27</f>
        <v>3601.7316412626219</v>
      </c>
      <c r="Z5" s="30">
        <f>fuel!Z27</f>
        <v>3601.7316412626219</v>
      </c>
    </row>
    <row r="6" spans="1:250">
      <c r="A6" s="66" t="s">
        <v>62</v>
      </c>
      <c r="B6" s="67">
        <f>B5/fuel!B71</f>
        <v>0.80098298326137085</v>
      </c>
      <c r="C6" s="67">
        <f>C5/fuel!C71</f>
        <v>0.80098298326137107</v>
      </c>
      <c r="D6" s="67">
        <f>D5/fuel!D71</f>
        <v>0.80098298326137118</v>
      </c>
      <c r="E6" s="67">
        <f>E5/fuel!E71</f>
        <v>0.80098298326137107</v>
      </c>
      <c r="F6" s="67">
        <f>F5/fuel!F71</f>
        <v>0.80098298326137107</v>
      </c>
      <c r="G6" s="67">
        <f>G5/fuel!G71</f>
        <v>0.80098298326137107</v>
      </c>
      <c r="H6" s="67">
        <f>H5/fuel!H71</f>
        <v>0.80098298326137118</v>
      </c>
      <c r="I6" s="67">
        <f>I5/fuel!I71</f>
        <v>0.80098298326137107</v>
      </c>
      <c r="J6" s="67">
        <f>J5/fuel!J71</f>
        <v>0.80098298326137107</v>
      </c>
      <c r="K6" s="67">
        <f>K5/fuel!K71</f>
        <v>0.80098298326137107</v>
      </c>
      <c r="L6" s="67">
        <f>L5/fuel!L71</f>
        <v>0.80098298326137118</v>
      </c>
      <c r="M6" s="67">
        <f>M5/fuel!M71</f>
        <v>0.80098298326137107</v>
      </c>
      <c r="N6" s="67">
        <f>N5/fuel!N71</f>
        <v>0.80098298326137107</v>
      </c>
      <c r="O6" s="67">
        <f>O5/fuel!O71</f>
        <v>0.80098298326137107</v>
      </c>
      <c r="P6" s="67">
        <f>P5/fuel!P71</f>
        <v>0.80098298326137118</v>
      </c>
      <c r="Q6" s="67">
        <f>Q5/fuel!Q71</f>
        <v>0.80098298326137107</v>
      </c>
      <c r="R6" s="67">
        <f>R5/fuel!R71</f>
        <v>0.80098298326137107</v>
      </c>
      <c r="S6" s="67">
        <f>S5/fuel!S71</f>
        <v>0.80098298326137107</v>
      </c>
      <c r="T6" s="67">
        <f>T5/fuel!T71</f>
        <v>0.80098298326137118</v>
      </c>
      <c r="U6" s="67">
        <f>U5/fuel!U71</f>
        <v>0.80098298326137107</v>
      </c>
      <c r="V6" s="67">
        <f>V5/fuel!V71</f>
        <v>0.80098298326137107</v>
      </c>
      <c r="W6" s="67">
        <f>W5/fuel!W71</f>
        <v>0.80098298326137107</v>
      </c>
      <c r="X6" s="67">
        <f>X5/fuel!X71</f>
        <v>0.80098298326137118</v>
      </c>
      <c r="Y6" s="67">
        <f>Y5/fuel!Y71</f>
        <v>0.80098298326137107</v>
      </c>
      <c r="Z6" s="67">
        <f>Z5/fuel!Z71</f>
        <v>0.80098298326137107</v>
      </c>
      <c r="IP6" s="31"/>
    </row>
    <row r="8" spans="1:250">
      <c r="A8" s="64" t="s">
        <v>257</v>
      </c>
    </row>
    <row r="9" spans="1:250">
      <c r="A9" s="28" t="s">
        <v>14</v>
      </c>
      <c r="B9" s="30">
        <f>'term loan '!E4</f>
        <v>2776.5251838895101</v>
      </c>
      <c r="C9" s="30">
        <f>'term loan '!E5</f>
        <v>2566.2400806575342</v>
      </c>
      <c r="D9" s="30">
        <f>'term loan '!E6</f>
        <v>2354.4611947415278</v>
      </c>
      <c r="E9" s="38">
        <f>'term loan '!E7</f>
        <v>2129.8164006575344</v>
      </c>
      <c r="F9" s="38">
        <f>'term loan '!E8</f>
        <v>1911.6045606575342</v>
      </c>
      <c r="G9" s="38">
        <f>'term loan '!E9</f>
        <v>1693.392720657534</v>
      </c>
      <c r="H9" s="38">
        <f>'term loan '!E10</f>
        <v>1479.2224721113903</v>
      </c>
      <c r="I9" s="38">
        <f>'term loan '!E11</f>
        <v>1256.9690406575339</v>
      </c>
      <c r="J9" s="38">
        <f>'term loan '!E12</f>
        <v>1038.7572006575338</v>
      </c>
      <c r="K9" s="38">
        <f>'term loan '!E13</f>
        <v>820.54536065753382</v>
      </c>
      <c r="L9" s="38">
        <f>'term loan '!E14</f>
        <v>603.98374948125286</v>
      </c>
      <c r="M9" s="38">
        <f>'term loan '!E15</f>
        <v>384.12168065753349</v>
      </c>
      <c r="N9" s="38">
        <f>'term loan '!E16</f>
        <v>232.64746217070535</v>
      </c>
      <c r="O9" s="38">
        <f>'term loan '!E17</f>
        <v>147.91086519704896</v>
      </c>
      <c r="P9" s="38">
        <f>'term loan '!E18</f>
        <v>63.347348410305941</v>
      </c>
      <c r="Q9" s="30">
        <f>'term loan '!E19</f>
        <v>10.402984868282159</v>
      </c>
      <c r="R9" s="38">
        <f>'term loan '!E20</f>
        <v>0</v>
      </c>
      <c r="S9" s="38">
        <f>'term loan '!E21</f>
        <v>0</v>
      </c>
      <c r="T9" s="43">
        <v>0</v>
      </c>
      <c r="U9" s="43">
        <v>0</v>
      </c>
      <c r="V9" s="43">
        <v>0</v>
      </c>
      <c r="W9" s="43">
        <v>0</v>
      </c>
      <c r="X9" s="43">
        <v>0</v>
      </c>
      <c r="Y9" s="43">
        <v>0</v>
      </c>
      <c r="Z9" s="43">
        <v>0</v>
      </c>
    </row>
    <row r="10" spans="1:250">
      <c r="A10" s="28" t="s">
        <v>5</v>
      </c>
      <c r="B10" s="30">
        <f>depre!B8</f>
        <v>1813.449994520548</v>
      </c>
      <c r="C10" s="30">
        <f>depre!C8</f>
        <v>1818.4320000000002</v>
      </c>
      <c r="D10" s="30">
        <f>depre!D8</f>
        <v>1818.432</v>
      </c>
      <c r="E10" s="30">
        <f>depre!E8</f>
        <v>1818.4320000000002</v>
      </c>
      <c r="F10" s="30">
        <f>depre!F8</f>
        <v>1818.4320000000002</v>
      </c>
      <c r="G10" s="30">
        <f>depre!G8</f>
        <v>1818.4320000000002</v>
      </c>
      <c r="H10" s="30">
        <f>depre!H8</f>
        <v>1818.432</v>
      </c>
      <c r="I10" s="30">
        <f>depre!I8</f>
        <v>1818.4320000000002</v>
      </c>
      <c r="J10" s="30">
        <f>depre!J8</f>
        <v>1818.4320000000002</v>
      </c>
      <c r="K10" s="30">
        <f>depre!K8</f>
        <v>1818.4320000000002</v>
      </c>
      <c r="L10" s="30">
        <f>depre!L8</f>
        <v>1818.432</v>
      </c>
      <c r="M10" s="30">
        <f>depre!M8</f>
        <v>1818.4320000000002</v>
      </c>
      <c r="N10" s="30">
        <f>depre!N8</f>
        <v>706.13830811380353</v>
      </c>
      <c r="O10" s="30">
        <f>depre!O8</f>
        <v>706.13830811380353</v>
      </c>
      <c r="P10" s="30">
        <f>depre!P8</f>
        <v>706.13830811380353</v>
      </c>
      <c r="Q10" s="30">
        <f>depre!Q8</f>
        <v>706.13830811380353</v>
      </c>
      <c r="R10" s="30">
        <f>depre!R8</f>
        <v>706.13830811380353</v>
      </c>
      <c r="S10" s="30">
        <f>depre!S8</f>
        <v>706.13830811380353</v>
      </c>
      <c r="T10" s="30">
        <f>depre!T8</f>
        <v>706.13830811380353</v>
      </c>
      <c r="U10" s="30">
        <f>depre!U8</f>
        <v>706.13830811380353</v>
      </c>
      <c r="V10" s="30">
        <f>depre!V8</f>
        <v>706.13830811380353</v>
      </c>
      <c r="W10" s="30">
        <f>depre!W8</f>
        <v>706.13830811380353</v>
      </c>
      <c r="X10" s="30">
        <f>depre!X8</f>
        <v>706.13830811380353</v>
      </c>
      <c r="Y10" s="30">
        <f>depre!Y8</f>
        <v>706.13830811380353</v>
      </c>
      <c r="Z10" s="30">
        <f>depre!Z8</f>
        <v>706.13830811380353</v>
      </c>
    </row>
    <row r="11" spans="1:250">
      <c r="A11" s="28" t="s">
        <v>15</v>
      </c>
      <c r="B11" s="30">
        <f>fuel!B6*Assumption!$D$6*depre!B4/depre!B3</f>
        <v>962.2763835616438</v>
      </c>
      <c r="C11" s="30">
        <f>fuel!C6*Assumption!$D$6*depre!C4/depre!C3</f>
        <v>1020.1134239999999</v>
      </c>
      <c r="D11" s="30">
        <f>fuel!D6*Assumption!$D$6*depre!D4/depre!D3</f>
        <v>1078.4639118527998</v>
      </c>
      <c r="E11" s="30">
        <f>fuel!E6*Assumption!$D$6*depre!E4/depre!E3</f>
        <v>1140.1520476107798</v>
      </c>
      <c r="F11" s="30">
        <f>fuel!F6*Assumption!$D$6*depre!F4/depre!F3</f>
        <v>1205.3687447341163</v>
      </c>
      <c r="G11" s="30">
        <f>fuel!G6*Assumption!$D$6*depre!G4/depre!G3</f>
        <v>1274.3158369329076</v>
      </c>
      <c r="H11" s="30">
        <f>fuel!H6*Assumption!$D$6*depre!H4/depre!H3</f>
        <v>1347.2067028054696</v>
      </c>
      <c r="I11" s="30">
        <f>fuel!I6*Assumption!$D$6*depre!I4/depre!I3</f>
        <v>1424.2669262059424</v>
      </c>
      <c r="J11" s="30">
        <f>fuel!J6*Assumption!$D$6*depre!J4/depre!J3</f>
        <v>1505.7349943849224</v>
      </c>
      <c r="K11" s="30">
        <f>fuel!K6*Assumption!$D$6*depre!K4/depre!K3</f>
        <v>1591.8630360637396</v>
      </c>
      <c r="L11" s="30">
        <f>fuel!L6*Assumption!$D$6*depre!L4/depre!L3</f>
        <v>1682.9176017265854</v>
      </c>
      <c r="M11" s="30">
        <f>fuel!M6*Assumption!$D$6*depre!M4/depre!M3</f>
        <v>1779.1804885453462</v>
      </c>
      <c r="N11" s="30">
        <f>fuel!N6*Assumption!$D$6*depre!N4/depre!N3</f>
        <v>1880.9496124901398</v>
      </c>
      <c r="O11" s="30">
        <f>fuel!O6*Assumption!$D$6*depre!O4/depre!O3</f>
        <v>1988.5399303245756</v>
      </c>
      <c r="P11" s="30">
        <f>fuel!P6*Assumption!$D$6*depre!P4/depre!P3</f>
        <v>2102.2844143391412</v>
      </c>
      <c r="Q11" s="30">
        <f>fuel!Q6*Assumption!$D$6*depre!Q4/depre!Q3</f>
        <v>2222.5350828393398</v>
      </c>
      <c r="R11" s="30">
        <f>fuel!R6*Assumption!$D$6*depre!R4/depre!R3</f>
        <v>2349.66408957775</v>
      </c>
      <c r="S11" s="30">
        <f>fuel!S6*Assumption!$D$6*depre!S4/depre!S3</f>
        <v>2484.0648755015968</v>
      </c>
      <c r="T11" s="30">
        <f>fuel!T6*Assumption!$D$6*depre!T4/depre!T3</f>
        <v>2626.1533863802883</v>
      </c>
      <c r="U11" s="30">
        <f>fuel!U6*Assumption!$D$6*depre!U4/depre!U3</f>
        <v>2776.3693600812408</v>
      </c>
      <c r="V11" s="30">
        <f>fuel!V6*Assumption!$D$6*depre!V4/depre!V3</f>
        <v>2935.177687477887</v>
      </c>
      <c r="W11" s="30">
        <f>fuel!W6*Assumption!$D$6*depre!W4/depre!W3</f>
        <v>3103.069851201622</v>
      </c>
      <c r="X11" s="30">
        <f>fuel!X6*Assumption!$D$6*depre!X4/depre!X3</f>
        <v>3280.5654466903547</v>
      </c>
      <c r="Y11" s="30">
        <f>fuel!Y6*Assumption!$D$6*depre!Y4/depre!Y3</f>
        <v>3468.2137902410427</v>
      </c>
      <c r="Z11" s="30">
        <f>fuel!Z6*Assumption!$D$6*depre!Z4/depre!Z3</f>
        <v>3666.5956190428301</v>
      </c>
    </row>
    <row r="12" spans="1:250">
      <c r="A12" s="28" t="s">
        <v>110</v>
      </c>
      <c r="B12" s="30">
        <f>Assumption!$D$77*Assumption!$D$6/100</f>
        <v>0</v>
      </c>
      <c r="C12" s="30">
        <f>Assumption!$D$77*Assumption!$D$6/100</f>
        <v>0</v>
      </c>
      <c r="D12" s="30">
        <f>Assumption!$D$77*Assumption!$D$6/100</f>
        <v>0</v>
      </c>
      <c r="E12" s="30">
        <f>Assumption!$D$77*Assumption!$D$6/100</f>
        <v>0</v>
      </c>
      <c r="F12" s="30">
        <f>Assumption!$D$77*Assumption!$D$6/100</f>
        <v>0</v>
      </c>
      <c r="G12" s="30">
        <f>Assumption!$D$77*Assumption!$D$6/100</f>
        <v>0</v>
      </c>
      <c r="H12" s="30">
        <f>Assumption!$D$77*Assumption!$D$6/100</f>
        <v>0</v>
      </c>
      <c r="I12" s="30">
        <f>Assumption!$D$77*Assumption!$D$6/100</f>
        <v>0</v>
      </c>
      <c r="J12" s="30">
        <f>Assumption!$D$77*Assumption!$D$6/100</f>
        <v>0</v>
      </c>
      <c r="K12" s="30">
        <f>Assumption!$D$77*Assumption!$D$6/100</f>
        <v>0</v>
      </c>
      <c r="L12" s="30">
        <f>Assumption!$D$78*Assumption!$D$6/100</f>
        <v>9.9000000000000005E-2</v>
      </c>
      <c r="M12" s="30">
        <f>Assumption!$D$78*Assumption!$D$6/100</f>
        <v>9.9000000000000005E-2</v>
      </c>
      <c r="N12" s="30">
        <f>Assumption!$D$78*Assumption!$D$6/100</f>
        <v>9.9000000000000005E-2</v>
      </c>
      <c r="O12" s="30">
        <f>Assumption!$D$78*Assumption!$D$6/100</f>
        <v>9.9000000000000005E-2</v>
      </c>
      <c r="P12" s="30">
        <f>Assumption!$D$78*Assumption!$D$6/100</f>
        <v>9.9000000000000005E-2</v>
      </c>
      <c r="Q12" s="30">
        <f>Assumption!$D$79*Assumption!$D$6/100</f>
        <v>0.23100000000000001</v>
      </c>
      <c r="R12" s="30">
        <f>Assumption!$D$79*Assumption!$D$6/100</f>
        <v>0.23100000000000001</v>
      </c>
      <c r="S12" s="30">
        <f>Assumption!$D$79*Assumption!$D$6/100</f>
        <v>0.23100000000000001</v>
      </c>
      <c r="T12" s="30">
        <f>Assumption!$D$79*Assumption!$D$6/100</f>
        <v>0.23100000000000001</v>
      </c>
      <c r="U12" s="30">
        <f>Assumption!$D$79*Assumption!$D$6/100</f>
        <v>0.23100000000000001</v>
      </c>
      <c r="V12" s="30">
        <f>Assumption!$D$80*Assumption!$D$6/100</f>
        <v>0.42899999999999999</v>
      </c>
      <c r="W12" s="30">
        <f>Assumption!$D$80*Assumption!$D$6/100</f>
        <v>0.42899999999999999</v>
      </c>
      <c r="X12" s="30">
        <f>Assumption!$D$80*Assumption!$D$6/100</f>
        <v>0.42899999999999999</v>
      </c>
      <c r="Y12" s="30">
        <f>Assumption!$D$80*Assumption!$D$6/100</f>
        <v>0.42899999999999999</v>
      </c>
      <c r="Z12" s="30">
        <f>Assumption!$D$80*Assumption!$D$6/100</f>
        <v>0.42899999999999999</v>
      </c>
    </row>
    <row r="13" spans="1:250">
      <c r="A13" s="28" t="s">
        <v>17</v>
      </c>
      <c r="B13" s="30">
        <f ca="1">'term loan '!$C$27*Tax!B46*depre!B4/depre!B3</f>
        <v>1924.0677529741151</v>
      </c>
      <c r="C13" s="30">
        <f ca="1">'term loan '!$C$27*Tax!C46*depre!C4/depre!C3</f>
        <v>1929.3536533943739</v>
      </c>
      <c r="D13" s="30">
        <f ca="1">'term loan '!$C$27*Tax!D46*depre!D4/depre!D3</f>
        <v>1929.3536533943739</v>
      </c>
      <c r="E13" s="30">
        <f ca="1">'term loan '!$C$27*Tax!E46*depre!E4/depre!E3</f>
        <v>1929.3536533943739</v>
      </c>
      <c r="F13" s="30">
        <f ca="1">'term loan '!$C$27*Tax!F46*depre!F4/depre!F3</f>
        <v>1929.3536533943739</v>
      </c>
      <c r="G13" s="30">
        <f ca="1">'term loan '!$C$27*Tax!G46*depre!G4/depre!G3</f>
        <v>1929.3536533943739</v>
      </c>
      <c r="H13" s="30">
        <f ca="1">'term loan '!$C$27*Tax!H46*depre!H4/depre!H3</f>
        <v>1929.3536533943739</v>
      </c>
      <c r="I13" s="30">
        <f ca="1">'term loan '!$C$27*Tax!I46*depre!I4/depre!I3</f>
        <v>1929.3536533943739</v>
      </c>
      <c r="J13" s="30">
        <f ca="1">'term loan '!$C$27*Tax!J46*depre!J4/depre!J3</f>
        <v>1929.3536533943739</v>
      </c>
      <c r="K13" s="30">
        <f ca="1">'term loan '!$C$27*Tax!K46*depre!K4/depre!K3</f>
        <v>1929.3536533943739</v>
      </c>
      <c r="L13" s="30">
        <f ca="1">'term loan '!$C$27*Tax!L46*depre!L4/depre!L3</f>
        <v>1929.3536533943739</v>
      </c>
      <c r="M13" s="30">
        <f ca="1">'term loan '!$C$27*Tax!M46*depre!M4/depre!M3</f>
        <v>1929.3536533943739</v>
      </c>
      <c r="N13" s="30">
        <f ca="1">'term loan '!$C$27*Tax!N46*depre!N4/depre!N3</f>
        <v>1929.3536533943739</v>
      </c>
      <c r="O13" s="30">
        <f ca="1">'term loan '!$C$27*Tax!O46*depre!O4/depre!O3</f>
        <v>1929.3536533943739</v>
      </c>
      <c r="P13" s="30">
        <f ca="1">'term loan '!$C$27*Tax!P46*depre!P4/depre!P3</f>
        <v>1929.3536533943739</v>
      </c>
      <c r="Q13" s="30">
        <f ca="1">'term loan '!$C$27*Tax!Q46*depre!Q4/depre!Q3</f>
        <v>1929.3536533943739</v>
      </c>
      <c r="R13" s="30">
        <f ca="1">'term loan '!$C$27*Tax!R46*depre!R4/depre!R3</f>
        <v>1929.3536533943739</v>
      </c>
      <c r="S13" s="30">
        <f ca="1">'term loan '!$C$27*Tax!S46*depre!S4/depre!S3</f>
        <v>2426.0869565217395</v>
      </c>
      <c r="T13" s="30">
        <f ca="1">'term loan '!$C$27*Tax!T46*depre!T4/depre!T3</f>
        <v>2426.0869565217395</v>
      </c>
      <c r="U13" s="30">
        <f ca="1">'term loan '!$C$27*Tax!U46*depre!U4/depre!U3</f>
        <v>2426.0869565217395</v>
      </c>
      <c r="V13" s="30">
        <f ca="1">'term loan '!$C$27*Tax!V46*depre!V4/depre!V3</f>
        <v>2426.0869565217395</v>
      </c>
      <c r="W13" s="30">
        <f ca="1">'term loan '!$C$27*Tax!W46*depre!W4/depre!W3</f>
        <v>2426.0869565217395</v>
      </c>
      <c r="X13" s="30">
        <f ca="1">'term loan '!$C$27*Tax!X46*depre!X4/depre!X3</f>
        <v>2426.0869565217395</v>
      </c>
      <c r="Y13" s="30">
        <f ca="1">'term loan '!$C$27*Tax!Y46*depre!Y4/depre!Y3</f>
        <v>2426.0869565217395</v>
      </c>
      <c r="Z13" s="30">
        <f ca="1">'term loan '!$C$27*Tax!Z46*depre!Z4/depre!Z3</f>
        <v>2426.0869565217395</v>
      </c>
    </row>
    <row r="14" spans="1:250">
      <c r="A14" s="28" t="s">
        <v>214</v>
      </c>
      <c r="B14" s="30">
        <v>0</v>
      </c>
      <c r="C14" s="30">
        <v>0</v>
      </c>
      <c r="D14" s="30">
        <v>0</v>
      </c>
      <c r="E14" s="30">
        <v>0</v>
      </c>
      <c r="F14" s="30">
        <v>0</v>
      </c>
      <c r="G14" s="30">
        <v>0</v>
      </c>
      <c r="H14" s="30">
        <v>0</v>
      </c>
      <c r="I14" s="30">
        <v>0</v>
      </c>
      <c r="J14" s="30">
        <v>0</v>
      </c>
      <c r="K14" s="30">
        <v>0</v>
      </c>
      <c r="L14" s="30">
        <v>0</v>
      </c>
      <c r="M14" s="30">
        <v>0</v>
      </c>
      <c r="N14" s="30">
        <v>0</v>
      </c>
      <c r="O14" s="30">
        <v>0</v>
      </c>
      <c r="P14" s="30">
        <v>0</v>
      </c>
      <c r="Q14" s="30">
        <v>0</v>
      </c>
      <c r="R14" s="30">
        <v>0</v>
      </c>
      <c r="S14" s="30">
        <v>0</v>
      </c>
      <c r="T14" s="30">
        <v>0</v>
      </c>
      <c r="U14" s="30">
        <v>0</v>
      </c>
      <c r="V14" s="30">
        <v>0</v>
      </c>
      <c r="W14" s="30">
        <v>0</v>
      </c>
      <c r="X14" s="30">
        <v>0</v>
      </c>
      <c r="Y14" s="30">
        <v>0</v>
      </c>
      <c r="Z14" s="47">
        <f>-Assumption!$D$10*Assumption!$D$36</f>
        <v>-3444</v>
      </c>
    </row>
    <row r="15" spans="1:250">
      <c r="A15" s="28" t="s">
        <v>63</v>
      </c>
      <c r="B15" s="30">
        <f ca="1">B45</f>
        <v>324.59325142329209</v>
      </c>
      <c r="C15" s="30">
        <f t="shared" ref="C15:Z15" ca="1" si="1">C45</f>
        <v>325.02098482138803</v>
      </c>
      <c r="D15" s="30">
        <f t="shared" ca="1" si="1"/>
        <v>325.23830258422157</v>
      </c>
      <c r="E15" s="30">
        <f t="shared" ca="1" si="1"/>
        <v>322.77746096937273</v>
      </c>
      <c r="F15" s="30">
        <f t="shared" ca="1" si="1"/>
        <v>321.93600001950085</v>
      </c>
      <c r="G15" s="30">
        <f t="shared" ca="1" si="1"/>
        <v>321.2957235724233</v>
      </c>
      <c r="H15" s="30">
        <f t="shared" ca="1" si="1"/>
        <v>322.24110174797084</v>
      </c>
      <c r="I15" s="30">
        <f t="shared" ca="1" si="1"/>
        <v>320.6654134443944</v>
      </c>
      <c r="J15" s="30">
        <f t="shared" ca="1" si="1"/>
        <v>320.70040765260211</v>
      </c>
      <c r="K15" s="30">
        <f t="shared" ca="1" si="1"/>
        <v>320.98671959864623</v>
      </c>
      <c r="L15" s="30">
        <f t="shared" ca="1" si="1"/>
        <v>322.86764428308061</v>
      </c>
      <c r="M15" s="30">
        <f t="shared" ca="1" si="1"/>
        <v>322.37359794965175</v>
      </c>
      <c r="N15" s="30">
        <f t="shared" ca="1" si="1"/>
        <v>302.61899108227482</v>
      </c>
      <c r="O15" s="30">
        <f t="shared" ca="1" si="1"/>
        <v>306.72888962686812</v>
      </c>
      <c r="P15" s="30">
        <f t="shared" ca="1" si="1"/>
        <v>312.4390637547915</v>
      </c>
      <c r="Q15" s="30">
        <f t="shared" ca="1" si="1"/>
        <v>316.60450308996701</v>
      </c>
      <c r="R15" s="30">
        <f t="shared" ca="1" si="1"/>
        <v>323.25292241265925</v>
      </c>
      <c r="S15" s="30">
        <f t="shared" ca="1" si="1"/>
        <v>340.42331126974477</v>
      </c>
      <c r="T15" s="30">
        <f t="shared" ca="1" si="1"/>
        <v>349.45438029148892</v>
      </c>
      <c r="U15" s="30">
        <f t="shared" ca="1" si="1"/>
        <v>356.18762877639887</v>
      </c>
      <c r="V15" s="30">
        <f t="shared" ca="1" si="1"/>
        <v>364.75629972694463</v>
      </c>
      <c r="W15" s="30">
        <f t="shared" ca="1" si="1"/>
        <v>373.81091748153113</v>
      </c>
      <c r="X15" s="30">
        <f t="shared" ca="1" si="1"/>
        <v>384.85017290153831</v>
      </c>
      <c r="Y15" s="30">
        <f t="shared" ca="1" si="1"/>
        <v>393.50355065794531</v>
      </c>
      <c r="Z15" s="30">
        <f t="shared" ca="1" si="1"/>
        <v>335.41033097028981</v>
      </c>
    </row>
    <row r="16" spans="1:250">
      <c r="A16" s="28" t="s">
        <v>20</v>
      </c>
      <c r="B16" s="30">
        <f ca="1">SUM(B9:B15)</f>
        <v>7800.9125663691084</v>
      </c>
      <c r="C16" s="30">
        <f t="shared" ref="C16:P16" ca="1" si="2">SUM(C9:C15)</f>
        <v>7659.1601428732965</v>
      </c>
      <c r="D16" s="44">
        <f t="shared" ca="1" si="2"/>
        <v>7505.9490625729222</v>
      </c>
      <c r="E16" s="44">
        <f t="shared" ca="1" si="2"/>
        <v>7340.5315626320598</v>
      </c>
      <c r="F16" s="44">
        <f t="shared" ca="1" si="2"/>
        <v>7186.6949588055249</v>
      </c>
      <c r="G16" s="44">
        <f t="shared" ca="1" si="2"/>
        <v>7036.7899345572396</v>
      </c>
      <c r="H16" s="44">
        <f t="shared" ca="1" si="2"/>
        <v>6896.4559300592055</v>
      </c>
      <c r="I16" s="44">
        <f t="shared" ca="1" si="2"/>
        <v>6749.6870337022447</v>
      </c>
      <c r="J16" s="44">
        <f t="shared" ca="1" si="2"/>
        <v>6612.9782560894319</v>
      </c>
      <c r="K16" s="44">
        <f t="shared" ca="1" si="2"/>
        <v>6481.180769714294</v>
      </c>
      <c r="L16" s="44">
        <f t="shared" ca="1" si="2"/>
        <v>6357.6536488852926</v>
      </c>
      <c r="M16" s="44">
        <f t="shared" ca="1" si="2"/>
        <v>6233.5604205469053</v>
      </c>
      <c r="N16" s="44">
        <f t="shared" ca="1" si="2"/>
        <v>5051.8070272512978</v>
      </c>
      <c r="O16" s="44">
        <f t="shared" ca="1" si="2"/>
        <v>5078.7706466566697</v>
      </c>
      <c r="P16" s="30">
        <f t="shared" ca="1" si="2"/>
        <v>5113.6617880124159</v>
      </c>
      <c r="Q16" s="30">
        <f t="shared" ref="Q16:Z16" ca="1" si="3">SUM(Q9:Q15)</f>
        <v>5185.2655323057661</v>
      </c>
      <c r="R16" s="30">
        <f t="shared" ca="1" si="3"/>
        <v>5308.6399734985871</v>
      </c>
      <c r="S16" s="30">
        <f t="shared" ca="1" si="3"/>
        <v>5956.9444514068846</v>
      </c>
      <c r="T16" s="30">
        <f t="shared" ca="1" si="3"/>
        <v>6108.06403130732</v>
      </c>
      <c r="U16" s="30">
        <f t="shared" ca="1" si="3"/>
        <v>6265.0132534931827</v>
      </c>
      <c r="V16" s="30">
        <f t="shared" ca="1" si="3"/>
        <v>6432.5882518403751</v>
      </c>
      <c r="W16" s="30">
        <f t="shared" ca="1" si="3"/>
        <v>6609.5350333186962</v>
      </c>
      <c r="X16" s="30">
        <f t="shared" ca="1" si="3"/>
        <v>6798.0698842274351</v>
      </c>
      <c r="Y16" s="30">
        <f t="shared" ca="1" si="3"/>
        <v>6994.3716055345312</v>
      </c>
      <c r="Z16" s="30">
        <f t="shared" ca="1" si="3"/>
        <v>3690.6602146486621</v>
      </c>
    </row>
    <row r="17" spans="1:26">
      <c r="A17" s="68"/>
      <c r="B17" s="69"/>
      <c r="C17" s="69"/>
      <c r="D17" s="70"/>
      <c r="E17" s="70"/>
      <c r="F17" s="70"/>
      <c r="G17" s="70"/>
      <c r="H17" s="70"/>
      <c r="I17" s="70"/>
      <c r="J17" s="70"/>
      <c r="K17" s="70"/>
      <c r="L17" s="70"/>
      <c r="M17" s="70"/>
      <c r="N17" s="70"/>
      <c r="O17" s="70"/>
      <c r="P17" s="68"/>
    </row>
    <row r="18" spans="1:26">
      <c r="A18" s="28" t="s">
        <v>93</v>
      </c>
      <c r="B18" s="26">
        <f>Assumption!$D$49</f>
        <v>0.85</v>
      </c>
      <c r="C18" s="26">
        <f>Assumption!$D$49</f>
        <v>0.85</v>
      </c>
      <c r="D18" s="26">
        <f>Assumption!$D$49</f>
        <v>0.85</v>
      </c>
      <c r="E18" s="26">
        <f>Assumption!$D$49</f>
        <v>0.85</v>
      </c>
      <c r="F18" s="26">
        <f>Assumption!$D$49</f>
        <v>0.85</v>
      </c>
      <c r="G18" s="26">
        <f>Assumption!$D$49</f>
        <v>0.85</v>
      </c>
      <c r="H18" s="26">
        <f>Assumption!$D$49</f>
        <v>0.85</v>
      </c>
      <c r="I18" s="26">
        <f>Assumption!$D$49</f>
        <v>0.85</v>
      </c>
      <c r="J18" s="26">
        <f>Assumption!$D$49</f>
        <v>0.85</v>
      </c>
      <c r="K18" s="26">
        <f>Assumption!$D$49</f>
        <v>0.85</v>
      </c>
      <c r="L18" s="26">
        <f>Assumption!$D$49</f>
        <v>0.85</v>
      </c>
      <c r="M18" s="26">
        <f>Assumption!$D$49</f>
        <v>0.85</v>
      </c>
      <c r="N18" s="26">
        <f>Assumption!$D$49</f>
        <v>0.85</v>
      </c>
      <c r="O18" s="26">
        <f>Assumption!$D$49</f>
        <v>0.85</v>
      </c>
      <c r="P18" s="26">
        <f>Assumption!$D$49</f>
        <v>0.85</v>
      </c>
      <c r="Q18" s="26">
        <f>Assumption!$D$49</f>
        <v>0.85</v>
      </c>
      <c r="R18" s="26">
        <f>Assumption!$D$49</f>
        <v>0.85</v>
      </c>
      <c r="S18" s="26">
        <f>Assumption!$D$49</f>
        <v>0.85</v>
      </c>
      <c r="T18" s="26">
        <f>Assumption!$D$49</f>
        <v>0.85</v>
      </c>
      <c r="U18" s="26">
        <f>Assumption!$D$49</f>
        <v>0.85</v>
      </c>
      <c r="V18" s="26">
        <f>Assumption!$D$49</f>
        <v>0.85</v>
      </c>
      <c r="W18" s="26">
        <f>Assumption!$D$49</f>
        <v>0.85</v>
      </c>
      <c r="X18" s="26">
        <f>Assumption!$D$49</f>
        <v>0.85</v>
      </c>
      <c r="Y18" s="26">
        <f>Assumption!$D$49</f>
        <v>0.85</v>
      </c>
      <c r="Z18" s="26">
        <f>Assumption!$D$49</f>
        <v>0.85</v>
      </c>
    </row>
    <row r="20" spans="1:26" s="68" customFormat="1">
      <c r="A20" s="28" t="s">
        <v>48</v>
      </c>
      <c r="B20" s="30">
        <f ca="1">B16</f>
        <v>7800.9125663691084</v>
      </c>
      <c r="C20" s="30">
        <f t="shared" ref="C20:P20" ca="1" si="4">C16</f>
        <v>7659.1601428732965</v>
      </c>
      <c r="D20" s="30">
        <f t="shared" ca="1" si="4"/>
        <v>7505.9490625729222</v>
      </c>
      <c r="E20" s="30">
        <f t="shared" ca="1" si="4"/>
        <v>7340.5315626320598</v>
      </c>
      <c r="F20" s="30">
        <f t="shared" ca="1" si="4"/>
        <v>7186.6949588055249</v>
      </c>
      <c r="G20" s="30">
        <f t="shared" ca="1" si="4"/>
        <v>7036.7899345572396</v>
      </c>
      <c r="H20" s="30">
        <f t="shared" ca="1" si="4"/>
        <v>6896.4559300592055</v>
      </c>
      <c r="I20" s="30">
        <f t="shared" ca="1" si="4"/>
        <v>6749.6870337022447</v>
      </c>
      <c r="J20" s="30">
        <f t="shared" ca="1" si="4"/>
        <v>6612.9782560894319</v>
      </c>
      <c r="K20" s="30">
        <f t="shared" ca="1" si="4"/>
        <v>6481.180769714294</v>
      </c>
      <c r="L20" s="30">
        <f t="shared" ca="1" si="4"/>
        <v>6357.6536488852926</v>
      </c>
      <c r="M20" s="30">
        <f t="shared" ca="1" si="4"/>
        <v>6233.5604205469053</v>
      </c>
      <c r="N20" s="30">
        <f t="shared" ca="1" si="4"/>
        <v>5051.8070272512978</v>
      </c>
      <c r="O20" s="30">
        <f t="shared" ca="1" si="4"/>
        <v>5078.7706466566697</v>
      </c>
      <c r="P20" s="30">
        <f t="shared" ca="1" si="4"/>
        <v>5113.6617880124159</v>
      </c>
      <c r="Q20" s="30">
        <f t="shared" ref="Q20:Z20" ca="1" si="5">Q16</f>
        <v>5185.2655323057661</v>
      </c>
      <c r="R20" s="30">
        <f t="shared" ca="1" si="5"/>
        <v>5308.6399734985871</v>
      </c>
      <c r="S20" s="30">
        <f t="shared" ca="1" si="5"/>
        <v>5956.9444514068846</v>
      </c>
      <c r="T20" s="30">
        <f t="shared" ca="1" si="5"/>
        <v>6108.06403130732</v>
      </c>
      <c r="U20" s="30">
        <f t="shared" ca="1" si="5"/>
        <v>6265.0132534931827</v>
      </c>
      <c r="V20" s="30">
        <f t="shared" ca="1" si="5"/>
        <v>6432.5882518403751</v>
      </c>
      <c r="W20" s="30">
        <f t="shared" ca="1" si="5"/>
        <v>6609.5350333186962</v>
      </c>
      <c r="X20" s="30">
        <f t="shared" ca="1" si="5"/>
        <v>6798.0698842274351</v>
      </c>
      <c r="Y20" s="30">
        <f t="shared" ca="1" si="5"/>
        <v>6994.3716055345312</v>
      </c>
      <c r="Z20" s="30">
        <f t="shared" ca="1" si="5"/>
        <v>3690.6602146486621</v>
      </c>
    </row>
    <row r="21" spans="1:26" s="27" customFormat="1">
      <c r="A21" s="71" t="s">
        <v>66</v>
      </c>
      <c r="B21" s="71">
        <f ca="1">B20/fuel!B71</f>
        <v>1.7395977193208207</v>
      </c>
      <c r="C21" s="71">
        <f ca="1">C20/fuel!C71</f>
        <v>1.7033076174338766</v>
      </c>
      <c r="D21" s="71">
        <f ca="1">D20/fuel!D71</f>
        <v>1.6646745133765695</v>
      </c>
      <c r="E21" s="71">
        <f ca="1">E20/fuel!E71</f>
        <v>1.6324483485671677</v>
      </c>
      <c r="F21" s="71">
        <f ca="1">F20/fuel!F71</f>
        <v>1.5982368874865804</v>
      </c>
      <c r="G21" s="71">
        <f ca="1">G20/fuel!G71</f>
        <v>1.5648997637118154</v>
      </c>
      <c r="H21" s="71">
        <f ca="1">H20/fuel!H71</f>
        <v>1.5295007098621287</v>
      </c>
      <c r="I21" s="71">
        <f ca="1">I20/fuel!I71</f>
        <v>1.5010514371470935</v>
      </c>
      <c r="J21" s="71">
        <f ca="1">J20/fuel!J71</f>
        <v>1.4706490042518046</v>
      </c>
      <c r="K21" s="71">
        <f ca="1">K20/fuel!K71</f>
        <v>1.4413387850745367</v>
      </c>
      <c r="L21" s="71">
        <f ca="1">L20/fuel!L71</f>
        <v>1.4100047716746777</v>
      </c>
      <c r="M21" s="71">
        <f ca="1">M20/fuel!M71</f>
        <v>1.3862709161305897</v>
      </c>
      <c r="N21" s="71">
        <f ca="1">N20/fuel!N71</f>
        <v>1.1234627858420887</v>
      </c>
      <c r="O21" s="71">
        <f ca="1">O20/fuel!O71</f>
        <v>1.1294591793721929</v>
      </c>
      <c r="P21" s="71">
        <f ca="1">P20/fuel!P71</f>
        <v>1.1341114065079927</v>
      </c>
      <c r="Q21" s="71">
        <f ca="1">Q20/fuel!Q71</f>
        <v>1.1531423961427207</v>
      </c>
      <c r="R21" s="71">
        <f ca="1">R20/fuel!R71</f>
        <v>1.1805794286058577</v>
      </c>
      <c r="S21" s="71">
        <f ca="1">S20/fuel!S71</f>
        <v>1.3247547605011165</v>
      </c>
      <c r="T21" s="71">
        <f ca="1">T20/fuel!T71</f>
        <v>1.3546506156949629</v>
      </c>
      <c r="U21" s="71">
        <f ca="1">U20/fuel!U71</f>
        <v>1.3932656582365004</v>
      </c>
      <c r="V21" s="71">
        <f ca="1">V20/fuel!V71</f>
        <v>1.4305323775440777</v>
      </c>
      <c r="W21" s="71">
        <f ca="1">W20/fuel!W71</f>
        <v>1.4698832717870809</v>
      </c>
      <c r="X21" s="71">
        <f ca="1">X20/fuel!X71</f>
        <v>1.5076805853711819</v>
      </c>
      <c r="Y21" s="71">
        <f ca="1">Y20/fuel!Y71</f>
        <v>1.5554664235550066</v>
      </c>
      <c r="Z21" s="71">
        <f ca="1">Z20/fuel!Z71</f>
        <v>0.82075965767872383</v>
      </c>
    </row>
    <row r="22" spans="1:26">
      <c r="A22" s="68"/>
      <c r="B22" s="72"/>
      <c r="C22" s="72"/>
      <c r="D22" s="72"/>
      <c r="E22" s="72"/>
      <c r="F22" s="72"/>
      <c r="G22" s="72"/>
      <c r="H22" s="72"/>
      <c r="I22" s="72"/>
      <c r="J22" s="72"/>
      <c r="K22" s="72"/>
      <c r="L22" s="72"/>
      <c r="M22" s="72"/>
      <c r="N22" s="72"/>
      <c r="O22" s="72"/>
      <c r="P22" s="72"/>
    </row>
    <row r="23" spans="1:26">
      <c r="A23" s="68"/>
      <c r="B23" s="72"/>
      <c r="C23" s="72"/>
      <c r="D23" s="72"/>
      <c r="E23" s="72"/>
      <c r="F23" s="72"/>
      <c r="G23" s="72"/>
      <c r="H23" s="72"/>
      <c r="I23" s="72"/>
      <c r="J23" s="72"/>
      <c r="K23" s="72"/>
      <c r="L23" s="72"/>
      <c r="M23" s="72"/>
      <c r="N23" s="72"/>
      <c r="O23" s="72"/>
      <c r="P23" s="72"/>
    </row>
    <row r="24" spans="1:26">
      <c r="A24" s="66" t="s">
        <v>258</v>
      </c>
      <c r="B24" s="67">
        <f t="shared" ref="B24:Z24" ca="1" si="6">B21+B6</f>
        <v>2.5405807025821918</v>
      </c>
      <c r="C24" s="67">
        <f t="shared" ca="1" si="6"/>
        <v>2.5042906006952474</v>
      </c>
      <c r="D24" s="67">
        <f t="shared" ca="1" si="6"/>
        <v>2.4656574966379408</v>
      </c>
      <c r="E24" s="67">
        <f t="shared" ca="1" si="6"/>
        <v>2.4334313318285385</v>
      </c>
      <c r="F24" s="67">
        <f t="shared" ca="1" si="6"/>
        <v>2.3992198707479515</v>
      </c>
      <c r="G24" s="67">
        <f t="shared" ca="1" si="6"/>
        <v>2.3658827469731865</v>
      </c>
      <c r="H24" s="67">
        <f t="shared" ca="1" si="6"/>
        <v>2.3304836931235</v>
      </c>
      <c r="I24" s="67">
        <f t="shared" ca="1" si="6"/>
        <v>2.3020344204084644</v>
      </c>
      <c r="J24" s="67">
        <f t="shared" ca="1" si="6"/>
        <v>2.2716319875131754</v>
      </c>
      <c r="K24" s="67">
        <f t="shared" ca="1" si="6"/>
        <v>2.2423217683359078</v>
      </c>
      <c r="L24" s="67">
        <f t="shared" ca="1" si="6"/>
        <v>2.210987754936049</v>
      </c>
      <c r="M24" s="67">
        <f t="shared" ca="1" si="6"/>
        <v>2.187253899391961</v>
      </c>
      <c r="N24" s="67">
        <f t="shared" ca="1" si="6"/>
        <v>1.9244457691034598</v>
      </c>
      <c r="O24" s="67">
        <f t="shared" ca="1" si="6"/>
        <v>1.9304421626335639</v>
      </c>
      <c r="P24" s="67">
        <f t="shared" ca="1" si="6"/>
        <v>1.9350943897693638</v>
      </c>
      <c r="Q24" s="67">
        <f t="shared" ca="1" si="6"/>
        <v>1.9541253794040918</v>
      </c>
      <c r="R24" s="67">
        <f t="shared" ca="1" si="6"/>
        <v>1.9815624118672288</v>
      </c>
      <c r="S24" s="67">
        <f t="shared" ca="1" si="6"/>
        <v>2.1257377437624876</v>
      </c>
      <c r="T24" s="67">
        <f t="shared" ca="1" si="6"/>
        <v>2.1556335989563342</v>
      </c>
      <c r="U24" s="67">
        <f t="shared" ca="1" si="6"/>
        <v>2.1942486414978717</v>
      </c>
      <c r="V24" s="67">
        <f t="shared" ca="1" si="6"/>
        <v>2.2315153608054485</v>
      </c>
      <c r="W24" s="67">
        <f t="shared" ca="1" si="6"/>
        <v>2.270866255048452</v>
      </c>
      <c r="X24" s="67">
        <f t="shared" ca="1" si="6"/>
        <v>2.3086635686325532</v>
      </c>
      <c r="Y24" s="67">
        <f t="shared" ca="1" si="6"/>
        <v>2.3564494068163775</v>
      </c>
      <c r="Z24" s="67">
        <f t="shared" ca="1" si="6"/>
        <v>1.621742640940095</v>
      </c>
    </row>
    <row r="25" spans="1:26">
      <c r="A25" s="68"/>
      <c r="B25" s="72"/>
      <c r="C25" s="72"/>
      <c r="D25" s="72"/>
      <c r="E25" s="72"/>
      <c r="F25" s="72"/>
      <c r="G25" s="72"/>
      <c r="H25" s="72"/>
      <c r="I25" s="72"/>
      <c r="J25" s="72"/>
      <c r="K25" s="72"/>
      <c r="L25" s="72"/>
      <c r="M25" s="72"/>
      <c r="N25" s="72"/>
      <c r="O25" s="72"/>
      <c r="P25" s="72"/>
    </row>
    <row r="26" spans="1:26">
      <c r="A26" s="64" t="s">
        <v>49</v>
      </c>
      <c r="B26" s="72"/>
      <c r="C26" s="72"/>
      <c r="D26" s="72"/>
      <c r="E26" s="72"/>
      <c r="F26" s="72"/>
      <c r="G26" s="72"/>
      <c r="H26" s="72"/>
      <c r="I26" s="72"/>
      <c r="J26" s="72"/>
      <c r="K26" s="72"/>
      <c r="L26" s="72"/>
      <c r="M26" s="72"/>
      <c r="N26" s="72"/>
      <c r="O26" s="72"/>
      <c r="P26" s="72"/>
    </row>
    <row r="27" spans="1:26">
      <c r="A27" s="68" t="s">
        <v>13</v>
      </c>
      <c r="B27" s="72"/>
      <c r="C27" s="72"/>
      <c r="D27" s="72"/>
      <c r="E27" s="72"/>
      <c r="F27" s="72"/>
      <c r="G27" s="72"/>
      <c r="H27" s="72"/>
      <c r="I27" s="72"/>
      <c r="J27" s="72"/>
      <c r="K27" s="72"/>
      <c r="L27" s="72"/>
      <c r="M27" s="72"/>
      <c r="N27" s="72"/>
      <c r="O27" s="72"/>
      <c r="P27" s="72"/>
    </row>
    <row r="28" spans="1:26" s="27" customFormat="1">
      <c r="A28" s="43" t="s">
        <v>45</v>
      </c>
      <c r="B28" s="43">
        <v>1</v>
      </c>
      <c r="C28" s="43">
        <f>B28/Assumption!$D$59</f>
        <v>0.90752336872674466</v>
      </c>
      <c r="D28" s="43">
        <f>C28/Assumption!$D$59</f>
        <v>0.82359866478513888</v>
      </c>
      <c r="E28" s="43">
        <f>D28/Assumption!$D$59</f>
        <v>0.74743503474465811</v>
      </c>
      <c r="F28" s="43">
        <f>E28/Assumption!$D$59</f>
        <v>0.6783147606358636</v>
      </c>
      <c r="G28" s="43">
        <f>F28/Assumption!$D$59</f>
        <v>0.6155864966293344</v>
      </c>
      <c r="H28" s="43">
        <f>G28/Assumption!$D$59</f>
        <v>0.55865913116374843</v>
      </c>
      <c r="I28" s="43">
        <f>H28/Assumption!$D$59</f>
        <v>0.50699621668368122</v>
      </c>
      <c r="J28" s="43">
        <f>I28/Assumption!$D$59</f>
        <v>0.46011091449648894</v>
      </c>
      <c r="K28" s="43">
        <f>J28/Assumption!$D$59</f>
        <v>0.41756140711179679</v>
      </c>
      <c r="L28" s="43">
        <f>K28/Assumption!$D$59</f>
        <v>0.37894673483237751</v>
      </c>
      <c r="M28" s="43">
        <f>L28/Assumption!$D$59</f>
        <v>0.34390301736307965</v>
      </c>
      <c r="N28" s="43">
        <f>M28/Assumption!$D$59</f>
        <v>0.31210002483263422</v>
      </c>
      <c r="O28" s="43">
        <f>N28/Assumption!$D$59</f>
        <v>0.28323806591581285</v>
      </c>
      <c r="P28" s="43">
        <f>O28/Assumption!$D$59</f>
        <v>0.25704516373156622</v>
      </c>
      <c r="Q28" s="43">
        <f>P28/Assumption!$D$59</f>
        <v>0.23327449290458863</v>
      </c>
      <c r="R28" s="43">
        <f>Q28/Assumption!$D$59</f>
        <v>0.21170205363879535</v>
      </c>
      <c r="S28" s="43">
        <f>R28/Assumption!$D$59</f>
        <v>0.19212456088464955</v>
      </c>
      <c r="T28" s="43">
        <f>S28/Assumption!$D$59</f>
        <v>0.17435752870918372</v>
      </c>
      <c r="U28" s="43">
        <f>T28/Assumption!$D$59</f>
        <v>0.15823353181702851</v>
      </c>
      <c r="V28" s="43">
        <f>U28/Assumption!$D$59</f>
        <v>0.14360062784012023</v>
      </c>
      <c r="W28" s="43">
        <f>V28/Assumption!$D$59</f>
        <v>0.13032092552874147</v>
      </c>
      <c r="X28" s="43">
        <f>W28/Assumption!$D$59</f>
        <v>0.11826928535143068</v>
      </c>
      <c r="Y28" s="43">
        <f>X28/Assumption!$D$59</f>
        <v>0.10733214025903499</v>
      </c>
      <c r="Z28" s="43">
        <f>Y28/Assumption!$D$59</f>
        <v>9.7406425500530885E-2</v>
      </c>
    </row>
    <row r="29" spans="1:26" s="27" customFormat="1">
      <c r="A29" s="43" t="s">
        <v>36</v>
      </c>
      <c r="B29" s="43">
        <f t="shared" ref="B29:P29" ca="1" si="7">B21*B28</f>
        <v>1.7395977193208207</v>
      </c>
      <c r="C29" s="43">
        <f t="shared" ca="1" si="7"/>
        <v>1.5457914669515169</v>
      </c>
      <c r="D29" s="43">
        <f t="shared" ca="1" si="7"/>
        <v>1.3710237065187934</v>
      </c>
      <c r="E29" s="43">
        <f t="shared" ca="1" si="7"/>
        <v>1.2201490881301607</v>
      </c>
      <c r="F29" s="43">
        <f t="shared" ca="1" si="7"/>
        <v>1.0841076717748674</v>
      </c>
      <c r="G29" s="43">
        <f t="shared" ca="1" si="7"/>
        <v>0.96333116311942968</v>
      </c>
      <c r="H29" s="43">
        <f t="shared" ca="1" si="7"/>
        <v>0.85446953768591327</v>
      </c>
      <c r="I29" s="43">
        <f t="shared" ca="1" si="7"/>
        <v>0.76102739968117894</v>
      </c>
      <c r="J29" s="43">
        <f t="shared" ca="1" si="7"/>
        <v>0.67666165824964863</v>
      </c>
      <c r="K29" s="43">
        <f t="shared" ca="1" si="7"/>
        <v>0.60184745122053118</v>
      </c>
      <c r="L29" s="43">
        <f t="shared" ca="1" si="7"/>
        <v>0.53431670432419109</v>
      </c>
      <c r="M29" s="43">
        <f t="shared" ca="1" si="7"/>
        <v>0.47674275093999052</v>
      </c>
      <c r="N29" s="43">
        <f t="shared" ca="1" si="7"/>
        <v>0.35063276335985627</v>
      </c>
      <c r="O29" s="43">
        <f t="shared" ca="1" si="7"/>
        <v>0.31990583349624108</v>
      </c>
      <c r="P29" s="43">
        <f t="shared" ca="1" si="7"/>
        <v>0.29151785217568382</v>
      </c>
      <c r="Q29" s="43">
        <f t="shared" ref="Q29:Z29" ca="1" si="8">Q21*Q28</f>
        <v>0.26899870770697543</v>
      </c>
      <c r="R29" s="43">
        <f t="shared" ca="1" si="8"/>
        <v>0.24993108951957566</v>
      </c>
      <c r="S29" s="43">
        <f t="shared" ca="1" si="8"/>
        <v>0.2545179266411261</v>
      </c>
      <c r="T29" s="43">
        <f t="shared" ca="1" si="8"/>
        <v>0.23619353361694789</v>
      </c>
      <c r="U29" s="43">
        <f t="shared" ca="1" si="8"/>
        <v>0.22046134586213845</v>
      </c>
      <c r="V29" s="43">
        <f t="shared" ca="1" si="8"/>
        <v>0.20542534756094946</v>
      </c>
      <c r="W29" s="43">
        <f t="shared" ca="1" si="8"/>
        <v>0.19155654839850703</v>
      </c>
      <c r="X29" s="43">
        <f t="shared" ca="1" si="8"/>
        <v>0.17831230537007636</v>
      </c>
      <c r="Y29" s="43">
        <f t="shared" ca="1" si="8"/>
        <v>0.1669515403412255</v>
      </c>
      <c r="Z29" s="43">
        <f t="shared" ca="1" si="8"/>
        <v>7.9947264449523839E-2</v>
      </c>
    </row>
    <row r="30" spans="1:26">
      <c r="A30" s="28" t="s">
        <v>68</v>
      </c>
      <c r="B30" s="30">
        <f ca="1">SUM(B29:Z29)/SUM(B28:Z28)</f>
        <v>1.5057780069030975</v>
      </c>
      <c r="C30" s="194" t="s">
        <v>67</v>
      </c>
      <c r="D30" s="194"/>
      <c r="E30" s="73"/>
      <c r="F30" s="73"/>
      <c r="G30" s="73"/>
      <c r="H30" s="73"/>
      <c r="I30" s="73"/>
      <c r="J30" s="73"/>
      <c r="K30" s="73"/>
      <c r="L30" s="73"/>
      <c r="M30" s="73"/>
      <c r="N30" s="73"/>
      <c r="O30" s="73"/>
      <c r="P30" s="73"/>
    </row>
    <row r="31" spans="1:26">
      <c r="C31" s="72"/>
      <c r="D31" s="73"/>
      <c r="E31" s="73"/>
      <c r="F31" s="72"/>
      <c r="G31" s="72"/>
      <c r="H31" s="72"/>
      <c r="I31" s="72"/>
      <c r="J31" s="72"/>
      <c r="K31" s="72"/>
      <c r="L31" s="72"/>
      <c r="M31" s="72"/>
      <c r="N31" s="72"/>
      <c r="O31" s="72"/>
      <c r="P31" s="72"/>
    </row>
    <row r="32" spans="1:26">
      <c r="A32" s="68" t="s">
        <v>39</v>
      </c>
      <c r="C32" s="72"/>
      <c r="D32" s="73"/>
      <c r="E32" s="73"/>
      <c r="F32" s="72"/>
      <c r="G32" s="72"/>
      <c r="H32" s="72"/>
      <c r="I32" s="72"/>
      <c r="J32" s="72"/>
      <c r="K32" s="72"/>
      <c r="L32" s="72"/>
      <c r="M32" s="72"/>
      <c r="N32" s="72"/>
      <c r="O32" s="72"/>
      <c r="P32" s="72"/>
    </row>
    <row r="33" spans="1:26" s="27" customFormat="1">
      <c r="A33" s="43" t="s">
        <v>45</v>
      </c>
      <c r="B33" s="43">
        <v>1</v>
      </c>
      <c r="C33" s="43">
        <f>B33/Assumption!$D$59</f>
        <v>0.90752336872674466</v>
      </c>
      <c r="D33" s="43">
        <f>C33/Assumption!$D$59</f>
        <v>0.82359866478513888</v>
      </c>
      <c r="E33" s="43">
        <f>D33/Assumption!$D$59</f>
        <v>0.74743503474465811</v>
      </c>
      <c r="F33" s="43">
        <f>E33/Assumption!$D$59</f>
        <v>0.6783147606358636</v>
      </c>
      <c r="G33" s="43">
        <f>F33/Assumption!$D$59</f>
        <v>0.6155864966293344</v>
      </c>
      <c r="H33" s="43">
        <f>G33/Assumption!$D$59</f>
        <v>0.55865913116374843</v>
      </c>
      <c r="I33" s="43">
        <f>H33/Assumption!$D$59</f>
        <v>0.50699621668368122</v>
      </c>
      <c r="J33" s="43">
        <f>I33/Assumption!$D$59</f>
        <v>0.46011091449648894</v>
      </c>
      <c r="K33" s="43">
        <f>J33/Assumption!$D$59</f>
        <v>0.41756140711179679</v>
      </c>
      <c r="L33" s="43">
        <f>K33/Assumption!$D$59</f>
        <v>0.37894673483237751</v>
      </c>
      <c r="M33" s="43">
        <f>L33/Assumption!$D$59</f>
        <v>0.34390301736307965</v>
      </c>
      <c r="N33" s="43">
        <f>M33/Assumption!$D$59</f>
        <v>0.31210002483263422</v>
      </c>
      <c r="O33" s="43">
        <f>N33/Assumption!$D$59</f>
        <v>0.28323806591581285</v>
      </c>
      <c r="P33" s="43">
        <f>O33/Assumption!$D$59</f>
        <v>0.25704516373156622</v>
      </c>
      <c r="Q33" s="43">
        <f>P33/Assumption!$D$59</f>
        <v>0.23327449290458863</v>
      </c>
      <c r="R33" s="43">
        <f>Q33/Assumption!$D$59</f>
        <v>0.21170205363879535</v>
      </c>
      <c r="S33" s="43">
        <f>R33/Assumption!$D$59</f>
        <v>0.19212456088464955</v>
      </c>
      <c r="T33" s="43">
        <f>S33/Assumption!$D$59</f>
        <v>0.17435752870918372</v>
      </c>
      <c r="U33" s="43">
        <f>T33/Assumption!$D$59</f>
        <v>0.15823353181702851</v>
      </c>
      <c r="V33" s="43">
        <f>U33/Assumption!$D$59</f>
        <v>0.14360062784012023</v>
      </c>
      <c r="W33" s="43">
        <f>V33/Assumption!$D$59</f>
        <v>0.13032092552874147</v>
      </c>
      <c r="X33" s="43">
        <f>W33/Assumption!$D$59</f>
        <v>0.11826928535143068</v>
      </c>
      <c r="Y33" s="43">
        <f>X33/Assumption!$D$59</f>
        <v>0.10733214025903499</v>
      </c>
      <c r="Z33" s="43">
        <f>Y33/Assumption!$D$59</f>
        <v>9.7406425500530885E-2</v>
      </c>
    </row>
    <row r="34" spans="1:26" s="27" customFormat="1">
      <c r="A34" s="43" t="s">
        <v>36</v>
      </c>
      <c r="B34" s="43">
        <f t="shared" ref="B34:Z34" si="9">B33*B6</f>
        <v>0.80098298326137085</v>
      </c>
      <c r="C34" s="43">
        <f t="shared" si="9"/>
        <v>0.72691077526215719</v>
      </c>
      <c r="D34" s="43">
        <f t="shared" si="9"/>
        <v>0.65968851552968255</v>
      </c>
      <c r="E34" s="43">
        <f t="shared" si="9"/>
        <v>0.5986827439238428</v>
      </c>
      <c r="F34" s="43">
        <f t="shared" si="9"/>
        <v>0.54331858056433691</v>
      </c>
      <c r="G34" s="43">
        <f t="shared" si="9"/>
        <v>0.49307430852558021</v>
      </c>
      <c r="H34" s="43">
        <f t="shared" si="9"/>
        <v>0.44747645750574488</v>
      </c>
      <c r="I34" s="43">
        <f t="shared" si="9"/>
        <v>0.40609534214152349</v>
      </c>
      <c r="J34" s="43">
        <f t="shared" si="9"/>
        <v>0.36854101292451535</v>
      </c>
      <c r="K34" s="43">
        <f t="shared" si="9"/>
        <v>0.33445958156322286</v>
      </c>
      <c r="L34" s="43">
        <f t="shared" si="9"/>
        <v>0.30352988616319349</v>
      </c>
      <c r="M34" s="43">
        <f t="shared" si="9"/>
        <v>0.27546046480006664</v>
      </c>
      <c r="N34" s="43">
        <f t="shared" si="9"/>
        <v>0.24998680896639136</v>
      </c>
      <c r="O34" s="43">
        <f t="shared" si="9"/>
        <v>0.22686887101042863</v>
      </c>
      <c r="P34" s="43">
        <f t="shared" si="9"/>
        <v>0.20588880207861751</v>
      </c>
      <c r="Q34" s="43">
        <f t="shared" si="9"/>
        <v>0.18684889924550094</v>
      </c>
      <c r="R34" s="43">
        <f t="shared" si="9"/>
        <v>0.16956974248616111</v>
      </c>
      <c r="S34" s="43">
        <f t="shared" si="9"/>
        <v>0.15388850393516751</v>
      </c>
      <c r="T34" s="43">
        <f t="shared" si="9"/>
        <v>0.13965741349956215</v>
      </c>
      <c r="U34" s="43">
        <f t="shared" si="9"/>
        <v>0.12674236636678657</v>
      </c>
      <c r="V34" s="43">
        <f t="shared" si="9"/>
        <v>0.1150216592855854</v>
      </c>
      <c r="W34" s="43">
        <f t="shared" si="9"/>
        <v>0.10438484371139431</v>
      </c>
      <c r="X34" s="43">
        <f t="shared" si="9"/>
        <v>9.4731685008979327E-2</v>
      </c>
      <c r="Y34" s="43">
        <f t="shared" si="9"/>
        <v>8.5971217904509761E-2</v>
      </c>
      <c r="Z34" s="43">
        <f t="shared" si="9"/>
        <v>7.8020889286241721E-2</v>
      </c>
    </row>
    <row r="35" spans="1:26">
      <c r="A35" s="43" t="s">
        <v>69</v>
      </c>
      <c r="B35" s="74">
        <f>SUM(B34:Z34)/SUM(B33:Z33)</f>
        <v>0.80098298326137152</v>
      </c>
      <c r="C35" s="75" t="s">
        <v>67</v>
      </c>
      <c r="D35" s="76"/>
    </row>
    <row r="36" spans="1:26">
      <c r="C36" s="73"/>
      <c r="D36" s="73"/>
      <c r="E36" s="73"/>
      <c r="F36" s="73"/>
      <c r="G36" s="73"/>
      <c r="H36" s="73"/>
      <c r="I36" s="73"/>
      <c r="J36" s="73"/>
      <c r="K36" s="73"/>
      <c r="L36" s="73"/>
      <c r="M36" s="73"/>
      <c r="N36" s="73"/>
      <c r="O36" s="73"/>
      <c r="P36" s="73"/>
    </row>
    <row r="38" spans="1:26">
      <c r="A38" s="64" t="s">
        <v>259</v>
      </c>
    </row>
    <row r="39" spans="1:26">
      <c r="A39" s="28" t="s">
        <v>173</v>
      </c>
      <c r="B39" s="30">
        <f>B11/12*Assumption!$D$70</f>
        <v>80.189698630136988</v>
      </c>
      <c r="C39" s="30">
        <f>C11/12*Assumption!$D$70</f>
        <v>85.009451999999996</v>
      </c>
      <c r="D39" s="30">
        <f>D11/12*Assumption!$D$70</f>
        <v>89.871992654399989</v>
      </c>
      <c r="E39" s="30">
        <f>E11/12*Assumption!$D$70</f>
        <v>95.012670634231654</v>
      </c>
      <c r="F39" s="30">
        <f>F11/12*Assumption!$D$70</f>
        <v>100.44739539450968</v>
      </c>
      <c r="G39" s="30">
        <f>G11/12*Assumption!$D$70</f>
        <v>106.19298641107564</v>
      </c>
      <c r="H39" s="30">
        <f>H11/12*Assumption!$D$70</f>
        <v>112.26722523378913</v>
      </c>
      <c r="I39" s="30">
        <f>I11/12*Assumption!$D$70</f>
        <v>118.68891051716186</v>
      </c>
      <c r="J39" s="30">
        <f>J11/12*Assumption!$D$70</f>
        <v>125.47791619874353</v>
      </c>
      <c r="K39" s="30">
        <f>K11/12*Assumption!$D$70</f>
        <v>132.65525300531164</v>
      </c>
      <c r="L39" s="30">
        <f>L11/12*Assumption!$D$70</f>
        <v>140.24313347721545</v>
      </c>
      <c r="M39" s="30">
        <f>M11/12*Assumption!$D$70</f>
        <v>148.26504071211218</v>
      </c>
      <c r="N39" s="30">
        <f>N11/12*Assumption!$D$70</f>
        <v>156.74580104084498</v>
      </c>
      <c r="O39" s="30">
        <f>O11/12*Assumption!$D$70</f>
        <v>165.7116608603813</v>
      </c>
      <c r="P39" s="30">
        <f>P11/12*Assumption!$D$70</f>
        <v>175.19036786159509</v>
      </c>
      <c r="Q39" s="30">
        <f>Q11/12*Assumption!$D$70</f>
        <v>185.21125690327833</v>
      </c>
      <c r="R39" s="30">
        <f>R11/12*Assumption!$D$70</f>
        <v>195.80534079814583</v>
      </c>
      <c r="S39" s="30">
        <f>S11/12*Assumption!$D$70</f>
        <v>207.00540629179974</v>
      </c>
      <c r="T39" s="30">
        <f>T11/12*Assumption!$D$70</f>
        <v>218.84611553169069</v>
      </c>
      <c r="U39" s="30">
        <f>U11/12*Assumption!$D$70</f>
        <v>231.36411334010339</v>
      </c>
      <c r="V39" s="30">
        <f>V11/12*Assumption!$D$70</f>
        <v>244.59814062315726</v>
      </c>
      <c r="W39" s="30">
        <f>W11/12*Assumption!$D$70</f>
        <v>258.58915426680181</v>
      </c>
      <c r="X39" s="30">
        <f>X11/12*Assumption!$D$70</f>
        <v>273.3804538908629</v>
      </c>
      <c r="Y39" s="30">
        <f>Y11/12*Assumption!$D$70</f>
        <v>289.01781585342025</v>
      </c>
      <c r="Z39" s="30">
        <f>Z11/12*Assumption!$D$70</f>
        <v>305.54963492023586</v>
      </c>
    </row>
    <row r="40" spans="1:26">
      <c r="A40" s="28" t="s">
        <v>18</v>
      </c>
      <c r="B40" s="30">
        <f>fuel!B25*Assumption!$D$69/12</f>
        <v>573.64859414089221</v>
      </c>
      <c r="C40" s="30">
        <f>fuel!C25*Assumption!$D$69/12</f>
        <v>575.22455181710359</v>
      </c>
      <c r="D40" s="30">
        <f>fuel!D25*Assumption!$D$69/12</f>
        <v>576.80050949331496</v>
      </c>
      <c r="E40" s="30">
        <f>fuel!E25*Assumption!$D$69/12</f>
        <v>575.22455181710359</v>
      </c>
      <c r="F40" s="30">
        <f>fuel!F25*Assumption!$D$69/12</f>
        <v>575.22455181710359</v>
      </c>
      <c r="G40" s="30">
        <f>fuel!G25*Assumption!$D$69/12</f>
        <v>575.22455181710359</v>
      </c>
      <c r="H40" s="30">
        <f>fuel!H25*Assumption!$D$69/12</f>
        <v>576.80050949331496</v>
      </c>
      <c r="I40" s="30">
        <f>fuel!I25*Assumption!$D$69/12</f>
        <v>575.22455181710359</v>
      </c>
      <c r="J40" s="30">
        <f>fuel!J25*Assumption!$D$69/12</f>
        <v>575.22455181710359</v>
      </c>
      <c r="K40" s="30">
        <f>fuel!K25*Assumption!$D$69/12</f>
        <v>575.22455181710359</v>
      </c>
      <c r="L40" s="30">
        <f>fuel!L25*Assumption!$D$69/12</f>
        <v>576.80050949331496</v>
      </c>
      <c r="M40" s="30">
        <f>fuel!M25*Assumption!$D$69/12</f>
        <v>575.22455181710359</v>
      </c>
      <c r="N40" s="30">
        <f>fuel!N25*Assumption!$D$69/12</f>
        <v>575.22455181710359</v>
      </c>
      <c r="O40" s="30">
        <f>fuel!O25*Assumption!$D$69/12</f>
        <v>575.22455181710359</v>
      </c>
      <c r="P40" s="30">
        <f>fuel!P25*Assumption!$D$69/12</f>
        <v>576.80050949331496</v>
      </c>
      <c r="Q40" s="30">
        <f>fuel!Q25*Assumption!$D$69/12</f>
        <v>575.22455181710359</v>
      </c>
      <c r="R40" s="30">
        <f>fuel!R25*Assumption!$D$69/12</f>
        <v>575.22455181710359</v>
      </c>
      <c r="S40" s="30">
        <f>fuel!S25*Assumption!$D$69/12</f>
        <v>575.22455181710359</v>
      </c>
      <c r="T40" s="30">
        <f>fuel!T25*Assumption!$D$69/12</f>
        <v>576.80050949331496</v>
      </c>
      <c r="U40" s="30">
        <f>fuel!U25*Assumption!$D$69/12</f>
        <v>575.22455181710359</v>
      </c>
      <c r="V40" s="30">
        <f>fuel!V25*Assumption!$D$69/12</f>
        <v>575.22455181710359</v>
      </c>
      <c r="W40" s="30">
        <f>fuel!W25*Assumption!$D$69/12</f>
        <v>575.22455181710359</v>
      </c>
      <c r="X40" s="30">
        <f>fuel!X25*Assumption!$D$69/12</f>
        <v>576.80050949331496</v>
      </c>
      <c r="Y40" s="30">
        <f>fuel!Y25*Assumption!$D$69/12</f>
        <v>575.22455181710359</v>
      </c>
      <c r="Z40" s="30">
        <f>fuel!Z25*Assumption!$D$69/12</f>
        <v>575.22455181710359</v>
      </c>
    </row>
    <row r="41" spans="1:26">
      <c r="A41" s="25" t="s">
        <v>125</v>
      </c>
      <c r="B41" s="30">
        <f>fuel!B26*Assumption!$D$72/12</f>
        <v>24.995386415999999</v>
      </c>
      <c r="C41" s="30">
        <f>fuel!C26*Assumption!$D$72/12</f>
        <v>25.064055059999998</v>
      </c>
      <c r="D41" s="30">
        <f>fuel!D26*Assumption!$D$72/12</f>
        <v>25.132723704</v>
      </c>
      <c r="E41" s="30">
        <f>fuel!E26*Assumption!$D$72/12</f>
        <v>25.064055059999998</v>
      </c>
      <c r="F41" s="30">
        <f>fuel!F26*Assumption!$D$72/12</f>
        <v>25.064055059999998</v>
      </c>
      <c r="G41" s="30">
        <f>fuel!G26*Assumption!$D$72/12</f>
        <v>25.064055059999998</v>
      </c>
      <c r="H41" s="30">
        <f>fuel!H26*Assumption!$D$72/12</f>
        <v>25.132723704</v>
      </c>
      <c r="I41" s="30">
        <f>fuel!I26*Assumption!$D$72/12</f>
        <v>25.064055059999998</v>
      </c>
      <c r="J41" s="30">
        <f>fuel!J26*Assumption!$D$72/12</f>
        <v>25.064055059999998</v>
      </c>
      <c r="K41" s="30">
        <f>fuel!K26*Assumption!$D$72/12</f>
        <v>25.064055059999998</v>
      </c>
      <c r="L41" s="30">
        <f>fuel!L26*Assumption!$D$72/12</f>
        <v>25.132723704</v>
      </c>
      <c r="M41" s="30">
        <f>fuel!M26*Assumption!$D$72/12</f>
        <v>25.064055059999998</v>
      </c>
      <c r="N41" s="30">
        <f>fuel!N26*Assumption!$D$72/12</f>
        <v>25.064055059999998</v>
      </c>
      <c r="O41" s="30">
        <f>fuel!O26*Assumption!$D$72/12</f>
        <v>25.064055059999998</v>
      </c>
      <c r="P41" s="30">
        <f>fuel!P26*Assumption!$D$72/12</f>
        <v>25.132723704</v>
      </c>
      <c r="Q41" s="30">
        <f>fuel!Q26*Assumption!$D$72/12</f>
        <v>25.064055059999998</v>
      </c>
      <c r="R41" s="30">
        <f>fuel!R26*Assumption!$D$72/12</f>
        <v>25.064055059999998</v>
      </c>
      <c r="S41" s="30">
        <f>fuel!S26*Assumption!$D$72/12</f>
        <v>25.064055059999998</v>
      </c>
      <c r="T41" s="30">
        <f>fuel!T26*Assumption!$D$72/12</f>
        <v>25.132723704</v>
      </c>
      <c r="U41" s="30">
        <f>fuel!U26*Assumption!$D$72/12</f>
        <v>25.064055059999998</v>
      </c>
      <c r="V41" s="30">
        <f>fuel!V26*Assumption!$D$72/12</f>
        <v>25.064055059999998</v>
      </c>
      <c r="W41" s="30">
        <f>fuel!W26*Assumption!$D$72/12</f>
        <v>25.064055059999998</v>
      </c>
      <c r="X41" s="30">
        <f>fuel!X26*Assumption!$D$72/12</f>
        <v>25.132723704</v>
      </c>
      <c r="Y41" s="30">
        <f>fuel!Y26*Assumption!$D$72/12</f>
        <v>25.064055059999998</v>
      </c>
      <c r="Z41" s="30">
        <f>fuel!Z26*Assumption!$D$72/12</f>
        <v>25.064055059999998</v>
      </c>
    </row>
    <row r="42" spans="1:26">
      <c r="A42" s="28" t="s">
        <v>19</v>
      </c>
      <c r="B42" s="30">
        <f>B11*Assumption!$D$71</f>
        <v>192.45527671232878</v>
      </c>
      <c r="C42" s="30">
        <f>C11*Assumption!$D$71</f>
        <v>204.02268479999998</v>
      </c>
      <c r="D42" s="30">
        <f>D11*Assumption!$D$71</f>
        <v>215.69278237055997</v>
      </c>
      <c r="E42" s="30">
        <f>E11*Assumption!$D$71</f>
        <v>228.03040952215599</v>
      </c>
      <c r="F42" s="30">
        <f>F11*Assumption!$D$71</f>
        <v>241.07374894682326</v>
      </c>
      <c r="G42" s="30">
        <f>G11*Assumption!$D$71</f>
        <v>254.86316738658152</v>
      </c>
      <c r="H42" s="30">
        <f>H11*Assumption!$D$71</f>
        <v>269.44134056109391</v>
      </c>
      <c r="I42" s="30">
        <f>I11*Assumption!$D$71</f>
        <v>284.85338524118851</v>
      </c>
      <c r="J42" s="30">
        <f>J11*Assumption!$D$71</f>
        <v>301.14699887698447</v>
      </c>
      <c r="K42" s="30">
        <f>K11*Assumption!$D$71</f>
        <v>318.37260721274794</v>
      </c>
      <c r="L42" s="30">
        <f>L11*Assumption!$D$71</f>
        <v>336.58352034531708</v>
      </c>
      <c r="M42" s="30">
        <f>M11*Assumption!$D$71</f>
        <v>355.83609770906924</v>
      </c>
      <c r="N42" s="30">
        <f>N11*Assumption!$D$71</f>
        <v>376.18992249802795</v>
      </c>
      <c r="O42" s="30">
        <f>O11*Assumption!$D$71</f>
        <v>397.70798606491513</v>
      </c>
      <c r="P42" s="30">
        <f>P11*Assumption!$D$71</f>
        <v>420.45688286782826</v>
      </c>
      <c r="Q42" s="30">
        <f>Q11*Assumption!$D$71</f>
        <v>444.50701656786799</v>
      </c>
      <c r="R42" s="30">
        <f>R11*Assumption!$D$71</f>
        <v>469.93281791555</v>
      </c>
      <c r="S42" s="30">
        <f>S11*Assumption!$D$71</f>
        <v>496.81297510031936</v>
      </c>
      <c r="T42" s="30">
        <f>T11*Assumption!$D$71</f>
        <v>525.23067727605769</v>
      </c>
      <c r="U42" s="30">
        <f>U11*Assumption!$D$71</f>
        <v>555.27387201624822</v>
      </c>
      <c r="V42" s="30">
        <f>V11*Assumption!$D$71</f>
        <v>587.03553749557739</v>
      </c>
      <c r="W42" s="30">
        <f>W11*Assumption!$D$71</f>
        <v>620.61397024032442</v>
      </c>
      <c r="X42" s="30">
        <f>X11*Assumption!$D$71</f>
        <v>656.11308933807095</v>
      </c>
      <c r="Y42" s="30">
        <f>Y11*Assumption!$D$71</f>
        <v>693.64275804820863</v>
      </c>
      <c r="Z42" s="30">
        <f>Z11*Assumption!$D$71</f>
        <v>733.31912380856602</v>
      </c>
    </row>
    <row r="43" spans="1:26">
      <c r="A43" s="28" t="s">
        <v>65</v>
      </c>
      <c r="B43" s="30">
        <f ca="1">(B5+B16)*Assumption!$D$68/12</f>
        <v>1898.7960749517435</v>
      </c>
      <c r="C43" s="30">
        <f ca="1">(C5+C16)*Assumption!$D$68/12</f>
        <v>1876.8152973559863</v>
      </c>
      <c r="D43" s="30">
        <f ca="1">(D5+D16)*Assumption!$D$68/12</f>
        <v>1852.9247436261351</v>
      </c>
      <c r="E43" s="30">
        <f ca="1">(E5+E16)*Assumption!$D$68/12</f>
        <v>1823.7105339824468</v>
      </c>
      <c r="F43" s="30">
        <f ca="1">(F5+F16)*Assumption!$D$68/12</f>
        <v>1798.0711000113579</v>
      </c>
      <c r="G43" s="30">
        <f ca="1">(G5+G16)*Assumption!$D$68/12</f>
        <v>1773.0869293033102</v>
      </c>
      <c r="H43" s="30">
        <f ca="1">(H5+H16)*Assumption!$D$68/12</f>
        <v>1751.3425548738494</v>
      </c>
      <c r="I43" s="30">
        <f ca="1">(I5+I16)*Assumption!$D$68/12</f>
        <v>1725.2364458274778</v>
      </c>
      <c r="J43" s="30">
        <f ca="1">(J5+J16)*Assumption!$D$68/12</f>
        <v>1702.4516495586756</v>
      </c>
      <c r="K43" s="30">
        <f ca="1">(K5+K16)*Assumption!$D$68/12</f>
        <v>1680.4854018294861</v>
      </c>
      <c r="L43" s="30">
        <f ca="1">(L5+L16)*Assumption!$D$68/12</f>
        <v>1661.5421746781969</v>
      </c>
      <c r="M43" s="30">
        <f ca="1">(M5+M16)*Assumption!$D$68/12</f>
        <v>1639.2153436349211</v>
      </c>
      <c r="N43" s="30">
        <f ca="1">(N5+N16)*Assumption!$D$68/12</f>
        <v>1442.25644475232</v>
      </c>
      <c r="O43" s="30">
        <f ca="1">(O5+O16)*Assumption!$D$68/12</f>
        <v>1446.7503813198819</v>
      </c>
      <c r="P43" s="30">
        <f ca="1">(P5+P16)*Assumption!$D$68/12</f>
        <v>1454.210197866051</v>
      </c>
      <c r="Q43" s="30">
        <f ca="1">(Q5+Q16)*Assumption!$D$68/12</f>
        <v>1464.4995289280648</v>
      </c>
      <c r="R43" s="30">
        <f ca="1">(R5+R16)*Assumption!$D$68/12</f>
        <v>1485.0619357935348</v>
      </c>
      <c r="S43" s="30">
        <f ca="1">(S5+S16)*Assumption!$D$68/12</f>
        <v>1593.1126821115843</v>
      </c>
      <c r="T43" s="30">
        <f ca="1">(T5+T16)*Assumption!$D$68/12</f>
        <v>1619.9439050818683</v>
      </c>
      <c r="U43" s="30">
        <f ca="1">(U5+U16)*Assumption!$D$68/12</f>
        <v>1644.4574824593008</v>
      </c>
      <c r="V43" s="30">
        <f ca="1">(V5+V16)*Assumption!$D$68/12</f>
        <v>1672.3866488504993</v>
      </c>
      <c r="W43" s="30">
        <f ca="1">(W5+W16)*Assumption!$D$68/12</f>
        <v>1701.8777790968863</v>
      </c>
      <c r="X43" s="30">
        <f ca="1">(X5+X16)*Assumption!$D$68/12</f>
        <v>1734.944880568554</v>
      </c>
      <c r="Y43" s="30">
        <f ca="1">(Y5+Y16)*Assumption!$D$68/12</f>
        <v>1766.0172077995255</v>
      </c>
      <c r="Z43" s="30">
        <f ca="1">(Z5+Z16)*Assumption!$D$68/12</f>
        <v>1215.3986426518807</v>
      </c>
    </row>
    <row r="44" spans="1:26">
      <c r="A44" s="66" t="s">
        <v>20</v>
      </c>
      <c r="B44" s="67">
        <f t="shared" ref="B44:Z44" ca="1" si="10">SUM(B39:B43)</f>
        <v>2770.0850308511017</v>
      </c>
      <c r="C44" s="67">
        <f t="shared" ca="1" si="10"/>
        <v>2766.1360410330899</v>
      </c>
      <c r="D44" s="67">
        <f t="shared" ca="1" si="10"/>
        <v>2760.4227518484099</v>
      </c>
      <c r="E44" s="67">
        <f t="shared" ca="1" si="10"/>
        <v>2747.0422210159381</v>
      </c>
      <c r="F44" s="67">
        <f t="shared" ca="1" si="10"/>
        <v>2739.8808512297946</v>
      </c>
      <c r="G44" s="67">
        <f t="shared" ca="1" si="10"/>
        <v>2734.4316899780706</v>
      </c>
      <c r="H44" s="67">
        <f t="shared" ca="1" si="10"/>
        <v>2734.9843538660475</v>
      </c>
      <c r="I44" s="67">
        <f t="shared" ca="1" si="10"/>
        <v>2729.0673484629315</v>
      </c>
      <c r="J44" s="67">
        <f t="shared" ca="1" si="10"/>
        <v>2729.3651715115075</v>
      </c>
      <c r="K44" s="67">
        <f t="shared" ca="1" si="10"/>
        <v>2731.8018689246492</v>
      </c>
      <c r="L44" s="67">
        <f t="shared" ca="1" si="10"/>
        <v>2740.3020616980448</v>
      </c>
      <c r="M44" s="67">
        <f t="shared" ca="1" si="10"/>
        <v>2743.6050889332064</v>
      </c>
      <c r="N44" s="67">
        <f t="shared" ca="1" si="10"/>
        <v>2575.4807751682965</v>
      </c>
      <c r="O44" s="67">
        <f t="shared" ca="1" si="10"/>
        <v>2610.458635122282</v>
      </c>
      <c r="P44" s="67">
        <f t="shared" ca="1" si="10"/>
        <v>2651.7906817927892</v>
      </c>
      <c r="Q44" s="67">
        <f t="shared" ca="1" si="10"/>
        <v>2694.506409276315</v>
      </c>
      <c r="R44" s="67">
        <f t="shared" ca="1" si="10"/>
        <v>2751.0887013843339</v>
      </c>
      <c r="S44" s="67">
        <f t="shared" ca="1" si="10"/>
        <v>2897.2196703808067</v>
      </c>
      <c r="T44" s="67">
        <f t="shared" ca="1" si="10"/>
        <v>2965.9539310869313</v>
      </c>
      <c r="U44" s="67">
        <f t="shared" ca="1" si="10"/>
        <v>3031.3840746927563</v>
      </c>
      <c r="V44" s="67">
        <f t="shared" ca="1" si="10"/>
        <v>3104.3089338463378</v>
      </c>
      <c r="W44" s="67">
        <f t="shared" ca="1" si="10"/>
        <v>3181.3695104811159</v>
      </c>
      <c r="X44" s="67">
        <f t="shared" ca="1" si="10"/>
        <v>3266.3716569948028</v>
      </c>
      <c r="Y44" s="67">
        <f t="shared" ca="1" si="10"/>
        <v>3348.9663885782584</v>
      </c>
      <c r="Z44" s="67">
        <f t="shared" ca="1" si="10"/>
        <v>2854.5560082577858</v>
      </c>
    </row>
    <row r="45" spans="1:26" s="27" customFormat="1">
      <c r="A45" s="71" t="s">
        <v>21</v>
      </c>
      <c r="B45" s="71">
        <f ca="1">B44*Assumption!$D$73*depre!B4/365</f>
        <v>324.59325142329209</v>
      </c>
      <c r="C45" s="71">
        <f ca="1">C44*Assumption!$D$73*depre!C4/365</f>
        <v>325.02098482138803</v>
      </c>
      <c r="D45" s="71">
        <f ca="1">D44*Assumption!$D$73*depre!D4/365</f>
        <v>325.23830258422157</v>
      </c>
      <c r="E45" s="71">
        <f ca="1">E44*Assumption!$D$73*depre!E4/365</f>
        <v>322.77746096937273</v>
      </c>
      <c r="F45" s="71">
        <f ca="1">F44*Assumption!$D$73*depre!F4/365</f>
        <v>321.93600001950085</v>
      </c>
      <c r="G45" s="71">
        <f ca="1">G44*Assumption!$D$73*depre!G4/365</f>
        <v>321.2957235724233</v>
      </c>
      <c r="H45" s="71">
        <f ca="1">H44*Assumption!$D$73*depre!H4/365</f>
        <v>322.24110174797084</v>
      </c>
      <c r="I45" s="71">
        <f ca="1">I44*Assumption!$D$73*depre!I4/365</f>
        <v>320.6654134443944</v>
      </c>
      <c r="J45" s="71">
        <f ca="1">J44*Assumption!$D$73*depre!J4/365</f>
        <v>320.70040765260211</v>
      </c>
      <c r="K45" s="71">
        <f ca="1">K44*Assumption!$D$73*depre!K4/365</f>
        <v>320.98671959864623</v>
      </c>
      <c r="L45" s="71">
        <f ca="1">L44*Assumption!$D$73*depre!L4/365</f>
        <v>322.86764428308061</v>
      </c>
      <c r="M45" s="71">
        <f ca="1">M44*Assumption!$D$73*depre!M4/365</f>
        <v>322.37359794965175</v>
      </c>
      <c r="N45" s="71">
        <f ca="1">N44*Assumption!$D$73*depre!N4/365</f>
        <v>302.61899108227482</v>
      </c>
      <c r="O45" s="71">
        <f ca="1">O44*Assumption!$D$73*depre!O4/365</f>
        <v>306.72888962686812</v>
      </c>
      <c r="P45" s="71">
        <f ca="1">P44*Assumption!$D$73*depre!P4/365</f>
        <v>312.4390637547915</v>
      </c>
      <c r="Q45" s="71">
        <f ca="1">Q44*Assumption!$D$73*depre!Q4/365</f>
        <v>316.60450308996701</v>
      </c>
      <c r="R45" s="71">
        <f ca="1">R44*Assumption!$D$73*depre!R4/365</f>
        <v>323.25292241265925</v>
      </c>
      <c r="S45" s="71">
        <f ca="1">S44*Assumption!$D$73*depre!S4/365</f>
        <v>340.42331126974477</v>
      </c>
      <c r="T45" s="71">
        <f ca="1">T44*Assumption!$D$73*depre!T4/365</f>
        <v>349.45438029148892</v>
      </c>
      <c r="U45" s="71">
        <f ca="1">U44*Assumption!$D$73*depre!U4/365</f>
        <v>356.18762877639887</v>
      </c>
      <c r="V45" s="71">
        <f ca="1">V44*Assumption!$D$73*depre!V4/365</f>
        <v>364.75629972694463</v>
      </c>
      <c r="W45" s="71">
        <f ca="1">W44*Assumption!$D$73*depre!W4/365</f>
        <v>373.81091748153113</v>
      </c>
      <c r="X45" s="71">
        <f ca="1">X44*Assumption!$D$73*depre!X4/365</f>
        <v>384.85017290153831</v>
      </c>
      <c r="Y45" s="71">
        <f ca="1">Y44*Assumption!$D$73*depre!Y4/365</f>
        <v>393.50355065794531</v>
      </c>
      <c r="Z45" s="71">
        <f ca="1">Z44*Assumption!$D$73*depre!Z4/365</f>
        <v>335.41033097028981</v>
      </c>
    </row>
  </sheetData>
  <customSheetViews>
    <customSheetView guid="{6D27EB6A-3939-4201-8E4B-897AA8118F21}" scale="85" showPageBreaks="1" printArea="1" view="pageBreakPreview">
      <selection activeCell="A9" sqref="A9"/>
      <rowBreaks count="1" manualBreakCount="1">
        <brk id="25" max="25" man="1"/>
      </rowBreaks>
      <pageMargins left="0.75" right="0.75" top="1" bottom="1" header="0.5" footer="0.5"/>
      <pageSetup scale="58" orientation="landscape" r:id="rId1"/>
      <headerFooter alignWithMargins="0"/>
    </customSheetView>
  </customSheetViews>
  <mergeCells count="1">
    <mergeCell ref="C30:D30"/>
  </mergeCells>
  <phoneticPr fontId="5" type="noConversion"/>
  <pageMargins left="0.75" right="0.75" top="1" bottom="1" header="0.5" footer="0.5"/>
  <pageSetup scale="58" orientation="landscape" r:id="rId2"/>
  <headerFooter alignWithMargins="0"/>
  <rowBreaks count="1" manualBreakCount="1">
    <brk id="25" max="25" man="1"/>
  </rowBreaks>
</worksheet>
</file>

<file path=xl/worksheets/sheet8.xml><?xml version="1.0" encoding="utf-8"?>
<worksheet xmlns="http://schemas.openxmlformats.org/spreadsheetml/2006/main" xmlns:r="http://schemas.openxmlformats.org/officeDocument/2006/relationships">
  <dimension ref="A1:E3"/>
  <sheetViews>
    <sheetView workbookViewId="0">
      <selection activeCell="A3" sqref="A3"/>
    </sheetView>
  </sheetViews>
  <sheetFormatPr defaultRowHeight="12.75"/>
  <cols>
    <col min="1" max="1" width="14.140625" style="1" bestFit="1" customWidth="1"/>
    <col min="2" max="2" width="2.42578125" style="2" customWidth="1"/>
    <col min="3" max="3" width="12.85546875" style="1" bestFit="1" customWidth="1"/>
    <col min="4" max="4" width="2.28515625" style="2" customWidth="1"/>
    <col min="5" max="5" width="12.7109375" style="1" bestFit="1" customWidth="1"/>
    <col min="6" max="16384" width="9.140625" style="1"/>
  </cols>
  <sheetData>
    <row r="1" spans="1:5">
      <c r="A1" s="1" t="s">
        <v>70</v>
      </c>
    </row>
    <row r="2" spans="1:5">
      <c r="A2" s="1" t="s">
        <v>71</v>
      </c>
      <c r="B2" s="2" t="s">
        <v>72</v>
      </c>
      <c r="C2" s="1" t="s">
        <v>73</v>
      </c>
      <c r="D2" s="2" t="s">
        <v>74</v>
      </c>
      <c r="E2" s="1" t="s">
        <v>75</v>
      </c>
    </row>
    <row r="3" spans="1:5">
      <c r="B3" s="3" t="s">
        <v>72</v>
      </c>
      <c r="C3" s="1">
        <f>('fixed cost'!B5)*Assumption!$D$73*depre!B4/depre!$C$4</f>
        <v>420.8877213438621</v>
      </c>
      <c r="D3" s="2" t="s">
        <v>74</v>
      </c>
    </row>
  </sheetData>
  <customSheetViews>
    <customSheetView guid="{6D27EB6A-3939-4201-8E4B-897AA8118F21}">
      <selection activeCell="A3" sqref="A3"/>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Z56"/>
  <sheetViews>
    <sheetView workbookViewId="0">
      <pane xSplit="1" topLeftCell="B1" activePane="topRight" state="frozen"/>
      <selection activeCell="A4" sqref="A4"/>
      <selection pane="topRight" activeCell="C23" sqref="C23"/>
    </sheetView>
  </sheetViews>
  <sheetFormatPr defaultRowHeight="15"/>
  <cols>
    <col min="1" max="1" width="31.85546875" style="25" bestFit="1" customWidth="1"/>
    <col min="2" max="26" width="12.5703125" style="25" customWidth="1"/>
    <col min="27" max="16384" width="9.140625" style="25"/>
  </cols>
  <sheetData>
    <row r="1" spans="1:26">
      <c r="A1" s="102" t="str">
        <f>'fixed cost'!A3</f>
        <v>Year</v>
      </c>
      <c r="B1" s="29">
        <f>'fixed cost'!B3</f>
        <v>41729</v>
      </c>
      <c r="C1" s="29">
        <f>'fixed cost'!C3</f>
        <v>42094</v>
      </c>
      <c r="D1" s="29">
        <f>'fixed cost'!D3</f>
        <v>42460</v>
      </c>
      <c r="E1" s="29">
        <f>'fixed cost'!E3</f>
        <v>42825</v>
      </c>
      <c r="F1" s="29">
        <f>'fixed cost'!F3</f>
        <v>43190</v>
      </c>
      <c r="G1" s="29">
        <f>'fixed cost'!G3</f>
        <v>43555</v>
      </c>
      <c r="H1" s="29">
        <f>'fixed cost'!H3</f>
        <v>43921</v>
      </c>
      <c r="I1" s="29">
        <f>'fixed cost'!I3</f>
        <v>44286</v>
      </c>
      <c r="J1" s="29">
        <f>'fixed cost'!J3</f>
        <v>44651</v>
      </c>
      <c r="K1" s="29">
        <f>'fixed cost'!K3</f>
        <v>45016</v>
      </c>
      <c r="L1" s="29">
        <f>'fixed cost'!L3</f>
        <v>45382</v>
      </c>
      <c r="M1" s="29">
        <f>'fixed cost'!M3</f>
        <v>45747</v>
      </c>
      <c r="N1" s="29">
        <f>'fixed cost'!N3</f>
        <v>46112</v>
      </c>
      <c r="O1" s="29">
        <f>'fixed cost'!O3</f>
        <v>46477</v>
      </c>
      <c r="P1" s="29">
        <f>'fixed cost'!P3</f>
        <v>46843</v>
      </c>
      <c r="Q1" s="29">
        <f>'fixed cost'!Q3</f>
        <v>47208</v>
      </c>
      <c r="R1" s="29">
        <f>'fixed cost'!R3</f>
        <v>47573</v>
      </c>
      <c r="S1" s="29">
        <f>'fixed cost'!S3</f>
        <v>47938</v>
      </c>
      <c r="T1" s="29">
        <f>'fixed cost'!T3</f>
        <v>48304</v>
      </c>
      <c r="U1" s="29">
        <f>'fixed cost'!U3</f>
        <v>48669</v>
      </c>
      <c r="V1" s="29">
        <f>'fixed cost'!V3</f>
        <v>49034</v>
      </c>
      <c r="W1" s="29">
        <f>'fixed cost'!W3</f>
        <v>49399</v>
      </c>
      <c r="X1" s="29">
        <f>'fixed cost'!X3</f>
        <v>49765</v>
      </c>
      <c r="Y1" s="29">
        <f>'fixed cost'!Y3</f>
        <v>50130</v>
      </c>
      <c r="Z1" s="29">
        <f>'fixed cost'!Z3</f>
        <v>50495</v>
      </c>
    </row>
    <row r="2" spans="1:26">
      <c r="A2" s="47" t="s">
        <v>142</v>
      </c>
      <c r="B2" s="47">
        <f ca="1">PL!C30</f>
        <v>1815.5588546718432</v>
      </c>
      <c r="C2" s="47">
        <f ca="1">PL!D30</f>
        <v>1734.1319158700903</v>
      </c>
      <c r="D2" s="47">
        <f ca="1">PL!E30</f>
        <v>1778.5042827560771</v>
      </c>
      <c r="E2" s="47">
        <f ca="1">PL!F30</f>
        <v>1823.7009631428164</v>
      </c>
      <c r="F2" s="47">
        <f ca="1">PL!G30</f>
        <v>1868.4854867791805</v>
      </c>
      <c r="G2" s="47">
        <f ca="1">PL!H30</f>
        <v>1913.270010415546</v>
      </c>
      <c r="H2" s="47">
        <f ca="1">PL!I30</f>
        <v>1958.1331666016574</v>
      </c>
      <c r="I2" s="47">
        <f ca="1">PL!J30</f>
        <v>2002.8390576882707</v>
      </c>
      <c r="J2" s="47">
        <f ca="1">PL!K30</f>
        <v>2047.623581324634</v>
      </c>
      <c r="K2" s="47">
        <f ca="1">PL!L30</f>
        <v>2092.4081049609999</v>
      </c>
      <c r="L2" s="47">
        <f ca="1">PL!M30</f>
        <v>2137.7620504472325</v>
      </c>
      <c r="M2" s="47">
        <f ca="1">PL!N30</f>
        <v>2181.9771522337269</v>
      </c>
      <c r="N2" s="47">
        <f ca="1">PL!O30</f>
        <v>1049.7074236788826</v>
      </c>
      <c r="O2" s="47">
        <f ca="1">PL!P30</f>
        <v>964.97082670522514</v>
      </c>
      <c r="P2" s="47">
        <f ca="1">PL!Q30</f>
        <v>880.40730991848318</v>
      </c>
      <c r="Q2" s="47">
        <f ca="1">PL!R30</f>
        <v>827.46294637645997</v>
      </c>
      <c r="R2" s="47">
        <f ca="1">PL!S30</f>
        <v>817.05996150817782</v>
      </c>
      <c r="S2" s="47">
        <f ca="1">PL!T30</f>
        <v>1313.7932646355425</v>
      </c>
      <c r="T2" s="47">
        <f ca="1">PL!U30</f>
        <v>1419.0192591561004</v>
      </c>
      <c r="U2" s="47">
        <f ca="1">PL!V30</f>
        <v>3132.2252646355428</v>
      </c>
      <c r="V2" s="47">
        <f ca="1">PL!W30</f>
        <v>3132.2252646355432</v>
      </c>
      <c r="W2" s="47">
        <f ca="1">PL!X30</f>
        <v>3132.2252646355432</v>
      </c>
      <c r="X2" s="47">
        <f ca="1">PL!Y30</f>
        <v>3132.2252646355432</v>
      </c>
      <c r="Y2" s="47">
        <f ca="1">PL!Z30</f>
        <v>3132.225264635541</v>
      </c>
      <c r="Z2" s="47">
        <f ca="1">PL!AA30</f>
        <v>3132.2252646355428</v>
      </c>
    </row>
    <row r="3" spans="1:26">
      <c r="A3" s="47" t="s">
        <v>141</v>
      </c>
      <c r="B3" s="47">
        <f>PL!C28</f>
        <v>1813.449994520548</v>
      </c>
      <c r="C3" s="47">
        <f>PL!D28</f>
        <v>1818.4320000000002</v>
      </c>
      <c r="D3" s="47">
        <f>PL!E28</f>
        <v>1818.432</v>
      </c>
      <c r="E3" s="47">
        <f>PL!F28</f>
        <v>1818.4320000000002</v>
      </c>
      <c r="F3" s="47">
        <f>PL!G28</f>
        <v>1818.4320000000002</v>
      </c>
      <c r="G3" s="47">
        <f>PL!H28</f>
        <v>1818.4320000000002</v>
      </c>
      <c r="H3" s="47">
        <f>PL!I28</f>
        <v>1818.432</v>
      </c>
      <c r="I3" s="47">
        <f>PL!J28</f>
        <v>1818.4320000000002</v>
      </c>
      <c r="J3" s="47">
        <f>PL!K28</f>
        <v>1818.4320000000002</v>
      </c>
      <c r="K3" s="47">
        <f>PL!L28</f>
        <v>1818.4320000000002</v>
      </c>
      <c r="L3" s="47">
        <f>PL!M28</f>
        <v>1818.432</v>
      </c>
      <c r="M3" s="47">
        <f>PL!N28</f>
        <v>1818.4320000000002</v>
      </c>
      <c r="N3" s="47">
        <f>PL!O28</f>
        <v>1818.4320000000002</v>
      </c>
      <c r="O3" s="47">
        <f>PL!P28</f>
        <v>1818.4320000000002</v>
      </c>
      <c r="P3" s="47">
        <f>PL!Q28</f>
        <v>1818.432</v>
      </c>
      <c r="Q3" s="47">
        <f>PL!R28</f>
        <v>1818.4320000000002</v>
      </c>
      <c r="R3" s="47">
        <f>PL!S28</f>
        <v>1818.4320000000002</v>
      </c>
      <c r="S3" s="47">
        <f>PL!T28</f>
        <v>1818.4320000000002</v>
      </c>
      <c r="T3" s="47">
        <f>PL!U28</f>
        <v>1713.206005479442</v>
      </c>
      <c r="U3" s="47">
        <f>PL!V28</f>
        <v>0</v>
      </c>
      <c r="V3" s="47">
        <f>PL!W28</f>
        <v>0</v>
      </c>
      <c r="W3" s="47">
        <f>PL!X28</f>
        <v>0</v>
      </c>
      <c r="X3" s="47">
        <f>PL!Y28</f>
        <v>0</v>
      </c>
      <c r="Y3" s="47">
        <f>PL!Z28</f>
        <v>0</v>
      </c>
      <c r="Z3" s="47">
        <f>PL!AA28</f>
        <v>0</v>
      </c>
    </row>
    <row r="4" spans="1:26">
      <c r="A4" s="47" t="s">
        <v>80</v>
      </c>
      <c r="B4" s="47">
        <f>depre!B13</f>
        <v>5166</v>
      </c>
      <c r="C4" s="47">
        <f>depre!C13</f>
        <v>4391.0999999999995</v>
      </c>
      <c r="D4" s="47">
        <f>depre!D13</f>
        <v>3732.4349999999999</v>
      </c>
      <c r="E4" s="47">
        <f>depre!E13</f>
        <v>3172.5697500000001</v>
      </c>
      <c r="F4" s="47">
        <f>depre!F13</f>
        <v>2696.6842875000002</v>
      </c>
      <c r="G4" s="47">
        <f>depre!G13</f>
        <v>2292.1816443749999</v>
      </c>
      <c r="H4" s="47">
        <f>depre!H13</f>
        <v>1948.3543977187501</v>
      </c>
      <c r="I4" s="47">
        <f>depre!I13</f>
        <v>1656.1012380609375</v>
      </c>
      <c r="J4" s="47">
        <f>depre!J13</f>
        <v>1407.6860523517969</v>
      </c>
      <c r="K4" s="47">
        <f>depre!K13</f>
        <v>1196.5331444990275</v>
      </c>
      <c r="L4" s="47">
        <f>depre!L13</f>
        <v>1017.0531728241732</v>
      </c>
      <c r="M4" s="47">
        <f>depre!M13</f>
        <v>864.49519690054728</v>
      </c>
      <c r="N4" s="47">
        <f>depre!N13</f>
        <v>734.82091736546522</v>
      </c>
      <c r="O4" s="47">
        <f>depre!O13</f>
        <v>624.59777976064549</v>
      </c>
      <c r="P4" s="47">
        <f>depre!P13</f>
        <v>530.90811279654861</v>
      </c>
      <c r="Q4" s="47">
        <f>depre!Q13</f>
        <v>451.27189587706636</v>
      </c>
      <c r="R4" s="47">
        <f>depre!R13</f>
        <v>383.58111149550638</v>
      </c>
      <c r="S4" s="47">
        <f>depre!S13</f>
        <v>326.04394477118041</v>
      </c>
      <c r="T4" s="47">
        <f>depre!T13</f>
        <v>277.13735305550335</v>
      </c>
      <c r="U4" s="47">
        <f>depre!U13</f>
        <v>235.56675009717787</v>
      </c>
      <c r="V4" s="47">
        <f>depre!V13</f>
        <v>200.2317375826012</v>
      </c>
      <c r="W4" s="47">
        <f>depre!W13</f>
        <v>170.19697694521102</v>
      </c>
      <c r="X4" s="47">
        <f>depre!X13</f>
        <v>144.66743040342936</v>
      </c>
      <c r="Y4" s="47">
        <f>depre!Y13</f>
        <v>122.96731584291497</v>
      </c>
      <c r="Z4" s="47">
        <f>depre!Z13</f>
        <v>104.52221846647772</v>
      </c>
    </row>
    <row r="5" spans="1:26">
      <c r="A5" s="103" t="s">
        <v>87</v>
      </c>
      <c r="B5" s="47"/>
      <c r="C5" s="47"/>
      <c r="D5" s="47"/>
      <c r="E5" s="47"/>
      <c r="F5" s="47"/>
      <c r="G5" s="47"/>
      <c r="H5" s="47"/>
      <c r="I5" s="47"/>
      <c r="J5" s="47"/>
      <c r="K5" s="47"/>
      <c r="L5" s="47"/>
      <c r="M5" s="47"/>
      <c r="N5" s="47"/>
      <c r="O5" s="47"/>
      <c r="P5" s="47"/>
      <c r="Q5" s="47"/>
      <c r="R5" s="47"/>
      <c r="S5" s="47"/>
      <c r="T5" s="47"/>
      <c r="U5" s="47"/>
      <c r="V5" s="47"/>
      <c r="W5" s="47"/>
      <c r="X5" s="47"/>
      <c r="Y5" s="47"/>
      <c r="Z5" s="47"/>
    </row>
    <row r="6" spans="1:26">
      <c r="A6" s="47" t="s">
        <v>88</v>
      </c>
      <c r="B6" s="47">
        <f t="shared" ref="B6:H6" ca="1" si="0">B2+B3-B4</f>
        <v>-1536.9911508076088</v>
      </c>
      <c r="C6" s="47">
        <f t="shared" ca="1" si="0"/>
        <v>-838.53608412990889</v>
      </c>
      <c r="D6" s="47">
        <f t="shared" ca="1" si="0"/>
        <v>-135.49871724392278</v>
      </c>
      <c r="E6" s="47">
        <f t="shared" ca="1" si="0"/>
        <v>469.56321314281649</v>
      </c>
      <c r="F6" s="47">
        <f t="shared" ca="1" si="0"/>
        <v>990.23319927918055</v>
      </c>
      <c r="G6" s="47">
        <f t="shared" ca="1" si="0"/>
        <v>1439.5203660405464</v>
      </c>
      <c r="H6" s="47">
        <f t="shared" ca="1" si="0"/>
        <v>1828.2107688829074</v>
      </c>
      <c r="I6" s="47">
        <f t="shared" ref="I6:Z6" ca="1" si="1">I2+I3-I4</f>
        <v>2165.1698196273337</v>
      </c>
      <c r="J6" s="47">
        <f t="shared" ca="1" si="1"/>
        <v>2458.3695289728375</v>
      </c>
      <c r="K6" s="47">
        <f t="shared" ca="1" si="1"/>
        <v>2714.3069604619727</v>
      </c>
      <c r="L6" s="47">
        <f t="shared" ca="1" si="1"/>
        <v>2939.1408776230592</v>
      </c>
      <c r="M6" s="47">
        <f t="shared" ca="1" si="1"/>
        <v>3135.9139553331797</v>
      </c>
      <c r="N6" s="47">
        <f t="shared" ca="1" si="1"/>
        <v>2133.3185063134179</v>
      </c>
      <c r="O6" s="47">
        <f t="shared" ca="1" si="1"/>
        <v>2158.8050469445798</v>
      </c>
      <c r="P6" s="47">
        <f t="shared" ca="1" si="1"/>
        <v>2167.9311971219345</v>
      </c>
      <c r="Q6" s="47">
        <f t="shared" ca="1" si="1"/>
        <v>2194.6230504993937</v>
      </c>
      <c r="R6" s="47">
        <f t="shared" ca="1" si="1"/>
        <v>2251.9108500126717</v>
      </c>
      <c r="S6" s="47">
        <f t="shared" ca="1" si="1"/>
        <v>2806.1813198643622</v>
      </c>
      <c r="T6" s="47">
        <f t="shared" ca="1" si="1"/>
        <v>2855.087911580039</v>
      </c>
      <c r="U6" s="47">
        <f t="shared" ca="1" si="1"/>
        <v>2896.6585145383651</v>
      </c>
      <c r="V6" s="47">
        <f t="shared" ca="1" si="1"/>
        <v>2931.9935270529422</v>
      </c>
      <c r="W6" s="47">
        <f t="shared" ca="1" si="1"/>
        <v>2962.028287690332</v>
      </c>
      <c r="X6" s="47">
        <f t="shared" ca="1" si="1"/>
        <v>2987.5578342321137</v>
      </c>
      <c r="Y6" s="47">
        <f t="shared" ca="1" si="1"/>
        <v>3009.2579487926259</v>
      </c>
      <c r="Z6" s="47">
        <f t="shared" ca="1" si="1"/>
        <v>3027.7030461690651</v>
      </c>
    </row>
    <row r="7" spans="1:26">
      <c r="A7" s="47" t="s">
        <v>82</v>
      </c>
      <c r="B7" s="47">
        <f>B38</f>
        <v>0</v>
      </c>
      <c r="C7" s="47">
        <f t="shared" ref="C7:Z7" ca="1" si="2">C38</f>
        <v>-1536.9911508076088</v>
      </c>
      <c r="D7" s="47">
        <f t="shared" ca="1" si="2"/>
        <v>-2375.5272349375177</v>
      </c>
      <c r="E7" s="47">
        <f ca="1">E38</f>
        <v>-2511.0259521814405</v>
      </c>
      <c r="F7" s="47">
        <f t="shared" ca="1" si="2"/>
        <v>-2041.462739038624</v>
      </c>
      <c r="G7" s="47">
        <f t="shared" ca="1" si="2"/>
        <v>-1051.2295397594435</v>
      </c>
      <c r="H7" s="47">
        <f t="shared" ca="1" si="2"/>
        <v>0</v>
      </c>
      <c r="I7" s="47">
        <f t="shared" ca="1" si="2"/>
        <v>0</v>
      </c>
      <c r="J7" s="47">
        <f t="shared" ca="1" si="2"/>
        <v>0</v>
      </c>
      <c r="K7" s="47">
        <f t="shared" ca="1" si="2"/>
        <v>0</v>
      </c>
      <c r="L7" s="47">
        <f t="shared" ca="1" si="2"/>
        <v>0</v>
      </c>
      <c r="M7" s="47">
        <f t="shared" ca="1" si="2"/>
        <v>0</v>
      </c>
      <c r="N7" s="47">
        <f t="shared" ca="1" si="2"/>
        <v>0</v>
      </c>
      <c r="O7" s="47">
        <f t="shared" ca="1" si="2"/>
        <v>0</v>
      </c>
      <c r="P7" s="47">
        <f t="shared" ca="1" si="2"/>
        <v>0</v>
      </c>
      <c r="Q7" s="47">
        <f t="shared" ca="1" si="2"/>
        <v>0</v>
      </c>
      <c r="R7" s="47">
        <f t="shared" ca="1" si="2"/>
        <v>0</v>
      </c>
      <c r="S7" s="47">
        <f t="shared" ca="1" si="2"/>
        <v>0</v>
      </c>
      <c r="T7" s="47">
        <f t="shared" ca="1" si="2"/>
        <v>0</v>
      </c>
      <c r="U7" s="47">
        <f t="shared" ca="1" si="2"/>
        <v>0</v>
      </c>
      <c r="V7" s="47">
        <f t="shared" ca="1" si="2"/>
        <v>0</v>
      </c>
      <c r="W7" s="47">
        <f t="shared" ca="1" si="2"/>
        <v>0</v>
      </c>
      <c r="X7" s="47">
        <f t="shared" ca="1" si="2"/>
        <v>0</v>
      </c>
      <c r="Y7" s="47">
        <f t="shared" ca="1" si="2"/>
        <v>0</v>
      </c>
      <c r="Z7" s="47">
        <f t="shared" ca="1" si="2"/>
        <v>0</v>
      </c>
    </row>
    <row r="8" spans="1:26">
      <c r="A8" s="47" t="s">
        <v>81</v>
      </c>
      <c r="B8" s="47">
        <f t="shared" ref="B8:Z8" ca="1" si="3">IF(B6&lt;0,B6,0)</f>
        <v>-1536.9911508076088</v>
      </c>
      <c r="C8" s="47">
        <f t="shared" ca="1" si="3"/>
        <v>-838.53608412990889</v>
      </c>
      <c r="D8" s="47">
        <f t="shared" ca="1" si="3"/>
        <v>-135.49871724392278</v>
      </c>
      <c r="E8" s="47">
        <f t="shared" ca="1" si="3"/>
        <v>0</v>
      </c>
      <c r="F8" s="47">
        <f t="shared" ca="1" si="3"/>
        <v>0</v>
      </c>
      <c r="G8" s="47">
        <f t="shared" ca="1" si="3"/>
        <v>0</v>
      </c>
      <c r="H8" s="47">
        <f t="shared" ca="1" si="3"/>
        <v>0</v>
      </c>
      <c r="I8" s="47">
        <f t="shared" ca="1" si="3"/>
        <v>0</v>
      </c>
      <c r="J8" s="47">
        <f t="shared" ca="1" si="3"/>
        <v>0</v>
      </c>
      <c r="K8" s="47">
        <f t="shared" ca="1" si="3"/>
        <v>0</v>
      </c>
      <c r="L8" s="47">
        <f t="shared" ca="1" si="3"/>
        <v>0</v>
      </c>
      <c r="M8" s="47">
        <f t="shared" ca="1" si="3"/>
        <v>0</v>
      </c>
      <c r="N8" s="47">
        <f t="shared" ca="1" si="3"/>
        <v>0</v>
      </c>
      <c r="O8" s="47">
        <f t="shared" ca="1" si="3"/>
        <v>0</v>
      </c>
      <c r="P8" s="47">
        <f t="shared" ca="1" si="3"/>
        <v>0</v>
      </c>
      <c r="Q8" s="47">
        <f t="shared" ca="1" si="3"/>
        <v>0</v>
      </c>
      <c r="R8" s="47">
        <f t="shared" ca="1" si="3"/>
        <v>0</v>
      </c>
      <c r="S8" s="47">
        <f t="shared" ca="1" si="3"/>
        <v>0</v>
      </c>
      <c r="T8" s="47">
        <f t="shared" ca="1" si="3"/>
        <v>0</v>
      </c>
      <c r="U8" s="47">
        <f t="shared" ca="1" si="3"/>
        <v>0</v>
      </c>
      <c r="V8" s="47">
        <f t="shared" ca="1" si="3"/>
        <v>0</v>
      </c>
      <c r="W8" s="47">
        <f t="shared" ca="1" si="3"/>
        <v>0</v>
      </c>
      <c r="X8" s="47">
        <f t="shared" ca="1" si="3"/>
        <v>0</v>
      </c>
      <c r="Y8" s="47">
        <f t="shared" ca="1" si="3"/>
        <v>0</v>
      </c>
      <c r="Z8" s="47">
        <f t="shared" ca="1" si="3"/>
        <v>0</v>
      </c>
    </row>
    <row r="9" spans="1:26">
      <c r="A9" s="47" t="s">
        <v>89</v>
      </c>
      <c r="B9" s="47">
        <f t="shared" ref="B9:Z9" ca="1" si="4">IF(B6&gt;0, MIN(B6,ABS(B7)),0)</f>
        <v>0</v>
      </c>
      <c r="C9" s="47">
        <f t="shared" ca="1" si="4"/>
        <v>0</v>
      </c>
      <c r="D9" s="47">
        <f t="shared" ca="1" si="4"/>
        <v>0</v>
      </c>
      <c r="E9" s="47">
        <f t="shared" ca="1" si="4"/>
        <v>469.56321314281649</v>
      </c>
      <c r="F9" s="47">
        <f t="shared" ca="1" si="4"/>
        <v>990.23319927918055</v>
      </c>
      <c r="G9" s="47">
        <f t="shared" ca="1" si="4"/>
        <v>1051.2295397594435</v>
      </c>
      <c r="H9" s="47">
        <f t="shared" ca="1" si="4"/>
        <v>0</v>
      </c>
      <c r="I9" s="47">
        <f t="shared" ca="1" si="4"/>
        <v>0</v>
      </c>
      <c r="J9" s="47">
        <f t="shared" ca="1" si="4"/>
        <v>0</v>
      </c>
      <c r="K9" s="47">
        <f t="shared" ca="1" si="4"/>
        <v>0</v>
      </c>
      <c r="L9" s="47">
        <f t="shared" ca="1" si="4"/>
        <v>0</v>
      </c>
      <c r="M9" s="47">
        <f t="shared" ca="1" si="4"/>
        <v>0</v>
      </c>
      <c r="N9" s="47">
        <f t="shared" ca="1" si="4"/>
        <v>0</v>
      </c>
      <c r="O9" s="47">
        <f t="shared" ca="1" si="4"/>
        <v>0</v>
      </c>
      <c r="P9" s="47">
        <f t="shared" ca="1" si="4"/>
        <v>0</v>
      </c>
      <c r="Q9" s="47">
        <f t="shared" ca="1" si="4"/>
        <v>0</v>
      </c>
      <c r="R9" s="47">
        <f t="shared" ca="1" si="4"/>
        <v>0</v>
      </c>
      <c r="S9" s="47">
        <f t="shared" ca="1" si="4"/>
        <v>0</v>
      </c>
      <c r="T9" s="47">
        <f t="shared" ca="1" si="4"/>
        <v>0</v>
      </c>
      <c r="U9" s="47">
        <f t="shared" ca="1" si="4"/>
        <v>0</v>
      </c>
      <c r="V9" s="47">
        <f t="shared" ca="1" si="4"/>
        <v>0</v>
      </c>
      <c r="W9" s="47">
        <f t="shared" ca="1" si="4"/>
        <v>0</v>
      </c>
      <c r="X9" s="47">
        <f t="shared" ca="1" si="4"/>
        <v>0</v>
      </c>
      <c r="Y9" s="47">
        <f t="shared" ca="1" si="4"/>
        <v>0</v>
      </c>
      <c r="Z9" s="47">
        <f t="shared" ca="1" si="4"/>
        <v>0</v>
      </c>
    </row>
    <row r="10" spans="1:26">
      <c r="A10" s="47" t="s">
        <v>83</v>
      </c>
      <c r="B10" s="47">
        <f ca="1">B7+B8+B9</f>
        <v>-1536.9911508076088</v>
      </c>
      <c r="C10" s="47">
        <f ca="1">C7+C8+C9</f>
        <v>-2375.5272349375177</v>
      </c>
      <c r="D10" s="47">
        <f t="shared" ref="D10:Z10" ca="1" si="5">D7+D8+D9</f>
        <v>-2511.0259521814405</v>
      </c>
      <c r="E10" s="47">
        <f t="shared" ca="1" si="5"/>
        <v>-2041.462739038624</v>
      </c>
      <c r="F10" s="47">
        <f t="shared" ca="1" si="5"/>
        <v>-1051.2295397594435</v>
      </c>
      <c r="G10" s="47">
        <f t="shared" ca="1" si="5"/>
        <v>0</v>
      </c>
      <c r="H10" s="47">
        <f t="shared" ca="1" si="5"/>
        <v>0</v>
      </c>
      <c r="I10" s="47">
        <f t="shared" ca="1" si="5"/>
        <v>0</v>
      </c>
      <c r="J10" s="47">
        <f t="shared" ca="1" si="5"/>
        <v>0</v>
      </c>
      <c r="K10" s="47">
        <f t="shared" ca="1" si="5"/>
        <v>0</v>
      </c>
      <c r="L10" s="47">
        <f t="shared" ca="1" si="5"/>
        <v>0</v>
      </c>
      <c r="M10" s="47">
        <f t="shared" ca="1" si="5"/>
        <v>0</v>
      </c>
      <c r="N10" s="47">
        <f t="shared" ca="1" si="5"/>
        <v>0</v>
      </c>
      <c r="O10" s="47">
        <f t="shared" ca="1" si="5"/>
        <v>0</v>
      </c>
      <c r="P10" s="47">
        <f t="shared" ca="1" si="5"/>
        <v>0</v>
      </c>
      <c r="Q10" s="47">
        <f t="shared" ca="1" si="5"/>
        <v>0</v>
      </c>
      <c r="R10" s="47">
        <f t="shared" ca="1" si="5"/>
        <v>0</v>
      </c>
      <c r="S10" s="47">
        <f t="shared" ca="1" si="5"/>
        <v>0</v>
      </c>
      <c r="T10" s="47">
        <f t="shared" ca="1" si="5"/>
        <v>0</v>
      </c>
      <c r="U10" s="47">
        <f t="shared" ca="1" si="5"/>
        <v>0</v>
      </c>
      <c r="V10" s="47">
        <f t="shared" ca="1" si="5"/>
        <v>0</v>
      </c>
      <c r="W10" s="47">
        <f t="shared" ca="1" si="5"/>
        <v>0</v>
      </c>
      <c r="X10" s="47">
        <f t="shared" ca="1" si="5"/>
        <v>0</v>
      </c>
      <c r="Y10" s="47">
        <f t="shared" ca="1" si="5"/>
        <v>0</v>
      </c>
      <c r="Z10" s="47">
        <f t="shared" ca="1" si="5"/>
        <v>0</v>
      </c>
    </row>
    <row r="11" spans="1:26">
      <c r="A11" s="47" t="s">
        <v>90</v>
      </c>
      <c r="B11" s="47">
        <f ca="1">B6-B9</f>
        <v>-1536.9911508076088</v>
      </c>
      <c r="C11" s="47">
        <f t="shared" ref="C11:Z11" ca="1" si="6">C6-C9</f>
        <v>-838.53608412990889</v>
      </c>
      <c r="D11" s="47">
        <f t="shared" ca="1" si="6"/>
        <v>-135.49871724392278</v>
      </c>
      <c r="E11" s="47">
        <f t="shared" ca="1" si="6"/>
        <v>0</v>
      </c>
      <c r="F11" s="47">
        <f t="shared" ca="1" si="6"/>
        <v>0</v>
      </c>
      <c r="G11" s="47">
        <f t="shared" ca="1" si="6"/>
        <v>388.29082628110291</v>
      </c>
      <c r="H11" s="47">
        <f t="shared" ca="1" si="6"/>
        <v>1828.2107688829074</v>
      </c>
      <c r="I11" s="47">
        <f t="shared" ca="1" si="6"/>
        <v>2165.1698196273337</v>
      </c>
      <c r="J11" s="47">
        <f t="shared" ca="1" si="6"/>
        <v>2458.3695289728375</v>
      </c>
      <c r="K11" s="47">
        <f t="shared" ca="1" si="6"/>
        <v>2714.3069604619727</v>
      </c>
      <c r="L11" s="47">
        <f t="shared" ca="1" si="6"/>
        <v>2939.1408776230592</v>
      </c>
      <c r="M11" s="47">
        <f t="shared" ca="1" si="6"/>
        <v>3135.9139553331797</v>
      </c>
      <c r="N11" s="47">
        <f t="shared" ca="1" si="6"/>
        <v>2133.3185063134179</v>
      </c>
      <c r="O11" s="47">
        <f t="shared" ca="1" si="6"/>
        <v>2158.8050469445798</v>
      </c>
      <c r="P11" s="47">
        <f t="shared" ca="1" si="6"/>
        <v>2167.9311971219345</v>
      </c>
      <c r="Q11" s="47">
        <f t="shared" ca="1" si="6"/>
        <v>2194.6230504993937</v>
      </c>
      <c r="R11" s="47">
        <f t="shared" ca="1" si="6"/>
        <v>2251.9108500126717</v>
      </c>
      <c r="S11" s="47">
        <f t="shared" ca="1" si="6"/>
        <v>2806.1813198643622</v>
      </c>
      <c r="T11" s="47">
        <f t="shared" ca="1" si="6"/>
        <v>2855.087911580039</v>
      </c>
      <c r="U11" s="47">
        <f t="shared" ca="1" si="6"/>
        <v>2896.6585145383651</v>
      </c>
      <c r="V11" s="47">
        <f t="shared" ca="1" si="6"/>
        <v>2931.9935270529422</v>
      </c>
      <c r="W11" s="47">
        <f t="shared" ca="1" si="6"/>
        <v>2962.028287690332</v>
      </c>
      <c r="X11" s="47">
        <f t="shared" ca="1" si="6"/>
        <v>2987.5578342321137</v>
      </c>
      <c r="Y11" s="47">
        <f t="shared" ca="1" si="6"/>
        <v>3009.2579487926259</v>
      </c>
      <c r="Z11" s="47">
        <f t="shared" ca="1" si="6"/>
        <v>3027.7030461690651</v>
      </c>
    </row>
    <row r="12" spans="1:26" s="4" customFormat="1">
      <c r="A12" s="104" t="s">
        <v>84</v>
      </c>
      <c r="B12" s="104">
        <f ca="1">IF(B11&lt;=0,0,(B11)*Assumption!$D$63)</f>
        <v>0</v>
      </c>
      <c r="C12" s="104">
        <f ca="1">IF(C11&lt;=0,0,(C11)*Assumption!$D$63)</f>
        <v>0</v>
      </c>
      <c r="D12" s="104">
        <f ca="1">IF(D11&lt;=0,0,(D11)*Assumption!$D$63)</f>
        <v>0</v>
      </c>
      <c r="E12" s="104">
        <f ca="1">IF(E11&lt;=0,0,(E11)*Assumption!$D$63)</f>
        <v>0</v>
      </c>
      <c r="F12" s="104">
        <f ca="1">IF(F11&lt;=0,0,(F11)*Assumption!$D$63)</f>
        <v>0</v>
      </c>
      <c r="G12" s="104">
        <f ca="1">IF(G11&lt;=0,0,(G11)*Assumption!$D$63)</f>
        <v>131.9800518529469</v>
      </c>
      <c r="H12" s="104">
        <f ca="1">IF(H11&lt;=0,0,(H11)*Assumption!$D$63)</f>
        <v>621.40884034330031</v>
      </c>
      <c r="I12" s="104">
        <f ca="1">IF(I11&lt;=0,0,(I11)*Assumption!$D$63)</f>
        <v>735.94122169133084</v>
      </c>
      <c r="J12" s="104">
        <f ca="1">IF(J11&lt;=0,0,(J11)*Assumption!$D$63)</f>
        <v>835.59980289786756</v>
      </c>
      <c r="K12" s="104">
        <f ca="1">IF(K11&lt;=0,0,(K11)*Assumption!$D$63)</f>
        <v>922.59293586102467</v>
      </c>
      <c r="L12" s="104">
        <f ca="1">IF(L11&lt;=0,0,(L11)*Assumption!$D$63)</f>
        <v>999.01398430407789</v>
      </c>
      <c r="M12" s="104">
        <f ca="1">IF(M11&lt;=0,0,(M11)*Assumption!$D$63)</f>
        <v>1065.8971534177479</v>
      </c>
      <c r="N12" s="104">
        <f ca="1">IF(N11&lt;=0,0,(N11)*Assumption!$D$63)</f>
        <v>725.11496029593081</v>
      </c>
      <c r="O12" s="104">
        <f ca="1">IF(O11&lt;=0,0,(O11)*Assumption!$D$63)</f>
        <v>733.77783545646275</v>
      </c>
      <c r="P12" s="104">
        <f ca="1">IF(P11&lt;=0,0,(P11)*Assumption!$D$63)</f>
        <v>736.87981390174559</v>
      </c>
      <c r="Q12" s="104">
        <f ca="1">IF(Q11&lt;=0,0,(Q11)*Assumption!$D$63)</f>
        <v>745.952374864744</v>
      </c>
      <c r="R12" s="104">
        <f ca="1">IF(R11&lt;=0,0,(R11)*Assumption!$D$63)</f>
        <v>765.42449791930721</v>
      </c>
      <c r="S12" s="104">
        <f ca="1">IF(S11&lt;=0,0,(S11)*Assumption!$D$63)</f>
        <v>953.82103062189685</v>
      </c>
      <c r="T12" s="104">
        <f ca="1">IF(T11&lt;=0,0,(T11)*Assumption!$D$63)</f>
        <v>970.44438114605532</v>
      </c>
      <c r="U12" s="104">
        <f ca="1">IF(U11&lt;=0,0,(U11)*Assumption!$D$63)</f>
        <v>984.57422909159038</v>
      </c>
      <c r="V12" s="104">
        <f ca="1">IF(V11&lt;=0,0,(V11)*Assumption!$D$63)</f>
        <v>996.5845998452952</v>
      </c>
      <c r="W12" s="104">
        <f ca="1">IF(W11&lt;=0,0,(W11)*Assumption!$D$63)</f>
        <v>1006.793414985944</v>
      </c>
      <c r="X12" s="104">
        <f ca="1">IF(X11&lt;=0,0,(X11)*Assumption!$D$63)</f>
        <v>1015.4709078554955</v>
      </c>
      <c r="Y12" s="104">
        <f ca="1">IF(Y11&lt;=0,0,(Y11)*Assumption!$D$63)</f>
        <v>1022.8467767946137</v>
      </c>
      <c r="Z12" s="104">
        <f ca="1">IF(Z11&lt;=0,0,(Z11)*Assumption!$D$63)</f>
        <v>1029.1162653928654</v>
      </c>
    </row>
    <row r="13" spans="1:26" s="4" customFormat="1">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row>
    <row r="14" spans="1:26" s="4" customFormat="1">
      <c r="A14" s="104" t="s">
        <v>204</v>
      </c>
      <c r="B14" s="128" t="str">
        <f>IF(B1&gt;$P$1,"N","Y")</f>
        <v>Y</v>
      </c>
      <c r="C14" s="128" t="str">
        <f t="shared" ref="C14:G14" si="7">IF(C1&gt;$P$1,"N","Y")</f>
        <v>Y</v>
      </c>
      <c r="D14" s="128" t="str">
        <f t="shared" si="7"/>
        <v>Y</v>
      </c>
      <c r="E14" s="128" t="str">
        <f t="shared" si="7"/>
        <v>Y</v>
      </c>
      <c r="F14" s="128" t="str">
        <f t="shared" si="7"/>
        <v>Y</v>
      </c>
      <c r="G14" s="128" t="str">
        <f t="shared" si="7"/>
        <v>Y</v>
      </c>
      <c r="H14" s="128" t="str">
        <f t="shared" ref="H14:Z14" ca="1" si="8">IF(OR(H11&lt;=0,H1&gt;$P$1),"N","Y")</f>
        <v>Y</v>
      </c>
      <c r="I14" s="128" t="str">
        <f t="shared" ca="1" si="8"/>
        <v>Y</v>
      </c>
      <c r="J14" s="128" t="str">
        <f t="shared" ca="1" si="8"/>
        <v>Y</v>
      </c>
      <c r="K14" s="128" t="str">
        <f t="shared" ca="1" si="8"/>
        <v>Y</v>
      </c>
      <c r="L14" s="128" t="str">
        <f t="shared" ca="1" si="8"/>
        <v>Y</v>
      </c>
      <c r="M14" s="128" t="str">
        <f t="shared" ca="1" si="8"/>
        <v>Y</v>
      </c>
      <c r="N14" s="128" t="str">
        <f t="shared" ca="1" si="8"/>
        <v>Y</v>
      </c>
      <c r="O14" s="128" t="str">
        <f t="shared" ca="1" si="8"/>
        <v>Y</v>
      </c>
      <c r="P14" s="128" t="str">
        <f t="shared" ca="1" si="8"/>
        <v>Y</v>
      </c>
      <c r="Q14" s="128" t="str">
        <f t="shared" ca="1" si="8"/>
        <v>N</v>
      </c>
      <c r="R14" s="128" t="str">
        <f t="shared" ca="1" si="8"/>
        <v>N</v>
      </c>
      <c r="S14" s="128" t="str">
        <f t="shared" ca="1" si="8"/>
        <v>N</v>
      </c>
      <c r="T14" s="128" t="str">
        <f t="shared" ca="1" si="8"/>
        <v>N</v>
      </c>
      <c r="U14" s="128" t="str">
        <f t="shared" ca="1" si="8"/>
        <v>N</v>
      </c>
      <c r="V14" s="128" t="str">
        <f t="shared" ca="1" si="8"/>
        <v>N</v>
      </c>
      <c r="W14" s="128" t="str">
        <f t="shared" ca="1" si="8"/>
        <v>N</v>
      </c>
      <c r="X14" s="128" t="str">
        <f t="shared" ca="1" si="8"/>
        <v>N</v>
      </c>
      <c r="Y14" s="128" t="str">
        <f t="shared" ca="1" si="8"/>
        <v>N</v>
      </c>
      <c r="Z14" s="128" t="str">
        <f t="shared" ca="1" si="8"/>
        <v>N</v>
      </c>
    </row>
    <row r="15" spans="1:26" s="4" customFormat="1">
      <c r="A15" s="104" t="s">
        <v>209</v>
      </c>
      <c r="B15" s="128" t="str">
        <f ca="1">IF(OR(B14="N",B11&lt;=0),"N","Y")</f>
        <v>N</v>
      </c>
      <c r="C15" s="128" t="str">
        <f t="shared" ref="C15:Z15" ca="1" si="9">IF(OR(C14="N",C11&lt;=0),"N","Y")</f>
        <v>N</v>
      </c>
      <c r="D15" s="128" t="str">
        <f t="shared" ca="1" si="9"/>
        <v>N</v>
      </c>
      <c r="E15" s="128" t="str">
        <f t="shared" ca="1" si="9"/>
        <v>N</v>
      </c>
      <c r="F15" s="128" t="str">
        <f t="shared" ca="1" si="9"/>
        <v>N</v>
      </c>
      <c r="G15" s="128" t="str">
        <f t="shared" ca="1" si="9"/>
        <v>Y</v>
      </c>
      <c r="H15" s="128" t="str">
        <f t="shared" ca="1" si="9"/>
        <v>Y</v>
      </c>
      <c r="I15" s="128" t="str">
        <f t="shared" ca="1" si="9"/>
        <v>Y</v>
      </c>
      <c r="J15" s="128" t="str">
        <f t="shared" ca="1" si="9"/>
        <v>Y</v>
      </c>
      <c r="K15" s="128" t="str">
        <f t="shared" ca="1" si="9"/>
        <v>Y</v>
      </c>
      <c r="L15" s="128" t="str">
        <f t="shared" ca="1" si="9"/>
        <v>Y</v>
      </c>
      <c r="M15" s="128" t="str">
        <f t="shared" ca="1" si="9"/>
        <v>Y</v>
      </c>
      <c r="N15" s="128" t="str">
        <f t="shared" ca="1" si="9"/>
        <v>Y</v>
      </c>
      <c r="O15" s="128" t="str">
        <f t="shared" ca="1" si="9"/>
        <v>Y</v>
      </c>
      <c r="P15" s="128" t="str">
        <f t="shared" ca="1" si="9"/>
        <v>Y</v>
      </c>
      <c r="Q15" s="128" t="str">
        <f t="shared" ca="1" si="9"/>
        <v>N</v>
      </c>
      <c r="R15" s="128" t="str">
        <f t="shared" ca="1" si="9"/>
        <v>N</v>
      </c>
      <c r="S15" s="128" t="str">
        <f t="shared" ca="1" si="9"/>
        <v>N</v>
      </c>
      <c r="T15" s="128" t="str">
        <f t="shared" ca="1" si="9"/>
        <v>N</v>
      </c>
      <c r="U15" s="128" t="str">
        <f t="shared" ca="1" si="9"/>
        <v>N</v>
      </c>
      <c r="V15" s="128" t="str">
        <f t="shared" ca="1" si="9"/>
        <v>N</v>
      </c>
      <c r="W15" s="128" t="str">
        <f t="shared" ca="1" si="9"/>
        <v>N</v>
      </c>
      <c r="X15" s="128" t="str">
        <f t="shared" ca="1" si="9"/>
        <v>N</v>
      </c>
      <c r="Y15" s="128" t="str">
        <f t="shared" ca="1" si="9"/>
        <v>N</v>
      </c>
      <c r="Z15" s="128" t="str">
        <f t="shared" ca="1" si="9"/>
        <v>N</v>
      </c>
    </row>
    <row r="16" spans="1:26" s="4" customFormat="1">
      <c r="A16" s="104" t="s">
        <v>205</v>
      </c>
      <c r="B16" s="104">
        <f ca="1">IF(B15="Y",0,B12)</f>
        <v>0</v>
      </c>
      <c r="C16" s="104">
        <f t="shared" ref="C16:Z16" ca="1" si="10">IF(C15="Y",0,C12)</f>
        <v>0</v>
      </c>
      <c r="D16" s="104">
        <f t="shared" ca="1" si="10"/>
        <v>0</v>
      </c>
      <c r="E16" s="104">
        <f t="shared" ca="1" si="10"/>
        <v>0</v>
      </c>
      <c r="F16" s="104">
        <f t="shared" ca="1" si="10"/>
        <v>0</v>
      </c>
      <c r="G16" s="104">
        <f t="shared" ca="1" si="10"/>
        <v>0</v>
      </c>
      <c r="H16" s="104">
        <f t="shared" ca="1" si="10"/>
        <v>0</v>
      </c>
      <c r="I16" s="104">
        <f t="shared" ca="1" si="10"/>
        <v>0</v>
      </c>
      <c r="J16" s="104">
        <f t="shared" ca="1" si="10"/>
        <v>0</v>
      </c>
      <c r="K16" s="104">
        <f t="shared" ca="1" si="10"/>
        <v>0</v>
      </c>
      <c r="L16" s="104">
        <f t="shared" ca="1" si="10"/>
        <v>0</v>
      </c>
      <c r="M16" s="104">
        <f t="shared" ca="1" si="10"/>
        <v>0</v>
      </c>
      <c r="N16" s="104">
        <f t="shared" ca="1" si="10"/>
        <v>0</v>
      </c>
      <c r="O16" s="104">
        <f t="shared" ca="1" si="10"/>
        <v>0</v>
      </c>
      <c r="P16" s="104">
        <f t="shared" ca="1" si="10"/>
        <v>0</v>
      </c>
      <c r="Q16" s="104">
        <f t="shared" ca="1" si="10"/>
        <v>745.952374864744</v>
      </c>
      <c r="R16" s="104">
        <f t="shared" ca="1" si="10"/>
        <v>765.42449791930721</v>
      </c>
      <c r="S16" s="104">
        <f t="shared" ca="1" si="10"/>
        <v>953.82103062189685</v>
      </c>
      <c r="T16" s="104">
        <f t="shared" ca="1" si="10"/>
        <v>970.44438114605532</v>
      </c>
      <c r="U16" s="104">
        <f t="shared" ca="1" si="10"/>
        <v>984.57422909159038</v>
      </c>
      <c r="V16" s="104">
        <f t="shared" ca="1" si="10"/>
        <v>996.5845998452952</v>
      </c>
      <c r="W16" s="104">
        <f t="shared" ca="1" si="10"/>
        <v>1006.793414985944</v>
      </c>
      <c r="X16" s="104">
        <f t="shared" ca="1" si="10"/>
        <v>1015.4709078554955</v>
      </c>
      <c r="Y16" s="104">
        <f t="shared" ca="1" si="10"/>
        <v>1022.8467767946137</v>
      </c>
      <c r="Z16" s="104">
        <f t="shared" ca="1" si="10"/>
        <v>1029.1162653928654</v>
      </c>
    </row>
    <row r="17" spans="1:26" s="4" customFormat="1">
      <c r="A17" s="104"/>
      <c r="B17" s="104"/>
      <c r="C17" s="104"/>
      <c r="D17" s="104"/>
      <c r="E17" s="104"/>
      <c r="F17" s="104"/>
      <c r="G17" s="104"/>
      <c r="H17" s="104"/>
      <c r="I17" s="104"/>
      <c r="J17" s="104"/>
      <c r="K17" s="104"/>
      <c r="L17" s="104"/>
      <c r="M17" s="104"/>
      <c r="N17" s="104"/>
      <c r="O17" s="104"/>
      <c r="P17" s="104"/>
      <c r="Q17" s="104"/>
      <c r="R17" s="104"/>
      <c r="S17" s="104"/>
      <c r="T17" s="104"/>
      <c r="U17" s="104"/>
      <c r="V17" s="104"/>
      <c r="W17" s="104"/>
      <c r="X17" s="104"/>
      <c r="Y17" s="104"/>
      <c r="Z17" s="104"/>
    </row>
    <row r="18" spans="1:26" s="4" customFormat="1">
      <c r="A18" s="129" t="s">
        <v>91</v>
      </c>
      <c r="B18" s="104"/>
      <c r="C18" s="104"/>
      <c r="D18" s="104"/>
      <c r="E18" s="104"/>
      <c r="F18" s="104"/>
      <c r="G18" s="104"/>
      <c r="H18" s="104"/>
      <c r="I18" s="104"/>
      <c r="J18" s="104"/>
      <c r="K18" s="104"/>
      <c r="L18" s="104"/>
      <c r="M18" s="104"/>
      <c r="N18" s="104"/>
      <c r="O18" s="104"/>
      <c r="P18" s="104"/>
      <c r="Q18" s="104"/>
      <c r="R18" s="104"/>
      <c r="S18" s="104"/>
      <c r="T18" s="104"/>
      <c r="U18" s="104"/>
      <c r="V18" s="104"/>
      <c r="W18" s="104"/>
      <c r="X18" s="104"/>
      <c r="Y18" s="104"/>
      <c r="Z18" s="104"/>
    </row>
    <row r="19" spans="1:26" s="4" customFormat="1">
      <c r="A19" s="104" t="s">
        <v>76</v>
      </c>
      <c r="B19" s="104">
        <f ca="1">B2</f>
        <v>1815.5588546718432</v>
      </c>
      <c r="C19" s="104">
        <f ca="1">C2</f>
        <v>1734.1319158700903</v>
      </c>
      <c r="D19" s="104">
        <f ca="1">D2</f>
        <v>1778.5042827560771</v>
      </c>
      <c r="E19" s="104">
        <f t="shared" ref="E19:Z19" ca="1" si="11">E2</f>
        <v>1823.7009631428164</v>
      </c>
      <c r="F19" s="104">
        <f t="shared" ca="1" si="11"/>
        <v>1868.4854867791805</v>
      </c>
      <c r="G19" s="104">
        <f t="shared" ca="1" si="11"/>
        <v>1913.270010415546</v>
      </c>
      <c r="H19" s="104">
        <f t="shared" ca="1" si="11"/>
        <v>1958.1331666016574</v>
      </c>
      <c r="I19" s="104">
        <f t="shared" ca="1" si="11"/>
        <v>2002.8390576882707</v>
      </c>
      <c r="J19" s="104">
        <f t="shared" ca="1" si="11"/>
        <v>2047.623581324634</v>
      </c>
      <c r="K19" s="104">
        <f t="shared" ca="1" si="11"/>
        <v>2092.4081049609999</v>
      </c>
      <c r="L19" s="104">
        <f t="shared" ca="1" si="11"/>
        <v>2137.7620504472325</v>
      </c>
      <c r="M19" s="104">
        <f t="shared" ca="1" si="11"/>
        <v>2181.9771522337269</v>
      </c>
      <c r="N19" s="104">
        <f t="shared" ca="1" si="11"/>
        <v>1049.7074236788826</v>
      </c>
      <c r="O19" s="104">
        <f t="shared" ca="1" si="11"/>
        <v>964.97082670522514</v>
      </c>
      <c r="P19" s="104">
        <f t="shared" ca="1" si="11"/>
        <v>880.40730991848318</v>
      </c>
      <c r="Q19" s="104">
        <f t="shared" ca="1" si="11"/>
        <v>827.46294637645997</v>
      </c>
      <c r="R19" s="104">
        <f t="shared" ca="1" si="11"/>
        <v>817.05996150817782</v>
      </c>
      <c r="S19" s="104">
        <f t="shared" ca="1" si="11"/>
        <v>1313.7932646355425</v>
      </c>
      <c r="T19" s="104">
        <f t="shared" ca="1" si="11"/>
        <v>1419.0192591561004</v>
      </c>
      <c r="U19" s="104">
        <f t="shared" ca="1" si="11"/>
        <v>3132.2252646355428</v>
      </c>
      <c r="V19" s="104">
        <f t="shared" ca="1" si="11"/>
        <v>3132.2252646355432</v>
      </c>
      <c r="W19" s="104">
        <f t="shared" ca="1" si="11"/>
        <v>3132.2252646355432</v>
      </c>
      <c r="X19" s="104">
        <f t="shared" ca="1" si="11"/>
        <v>3132.2252646355432</v>
      </c>
      <c r="Y19" s="104">
        <f t="shared" ca="1" si="11"/>
        <v>3132.225264635541</v>
      </c>
      <c r="Z19" s="104">
        <f t="shared" ca="1" si="11"/>
        <v>3132.2252646355428</v>
      </c>
    </row>
    <row r="20" spans="1:26" s="4" customFormat="1">
      <c r="A20" s="104" t="s">
        <v>85</v>
      </c>
      <c r="B20" s="104">
        <f ca="1">B19*Assumption!$D$64</f>
        <v>308.55422735147977</v>
      </c>
      <c r="C20" s="104">
        <f ca="1">C19*Assumption!$D$64</f>
        <v>294.71571910212191</v>
      </c>
      <c r="D20" s="104">
        <f ca="1">D19*Assumption!$D$64</f>
        <v>302.25680285439535</v>
      </c>
      <c r="E20" s="104">
        <f ca="1">E19*Assumption!$D$64</f>
        <v>309.93797868612165</v>
      </c>
      <c r="F20" s="104">
        <f ca="1">F19*Assumption!$D$64</f>
        <v>317.54910847812175</v>
      </c>
      <c r="G20" s="104">
        <f ca="1">G19*Assumption!$D$64</f>
        <v>325.16023827012208</v>
      </c>
      <c r="H20" s="104">
        <f ca="1">H19*Assumption!$D$64</f>
        <v>332.78473166395173</v>
      </c>
      <c r="I20" s="104">
        <f ca="1">I19*Assumption!$D$64</f>
        <v>340.38249785412165</v>
      </c>
      <c r="J20" s="104">
        <f ca="1">J19*Assumption!$D$64</f>
        <v>347.99362764612158</v>
      </c>
      <c r="K20" s="104">
        <f ca="1">K19*Assumption!$D$64</f>
        <v>355.60475743812196</v>
      </c>
      <c r="L20" s="104">
        <f ca="1">L19*Assumption!$D$64</f>
        <v>363.31266047350721</v>
      </c>
      <c r="M20" s="104">
        <f ca="1">M19*Assumption!$D$64</f>
        <v>370.82701702212194</v>
      </c>
      <c r="N20" s="104">
        <f ca="1">N19*Assumption!$D$64</f>
        <v>178.39777665422611</v>
      </c>
      <c r="O20" s="104">
        <f ca="1">O19*Assumption!$D$64</f>
        <v>163.99679199855302</v>
      </c>
      <c r="P20" s="104">
        <f ca="1">P19*Assumption!$D$64</f>
        <v>149.62522232064623</v>
      </c>
      <c r="Q20" s="104">
        <f ca="1">Q19*Assumption!$D$64</f>
        <v>140.62732773667938</v>
      </c>
      <c r="R20" s="104">
        <f ca="1">R19*Assumption!$D$64</f>
        <v>138.85934045831485</v>
      </c>
      <c r="S20" s="104">
        <f ca="1">S19*Assumption!$D$64</f>
        <v>223.27916532481046</v>
      </c>
      <c r="T20" s="104">
        <f ca="1">T19*Assumption!$D$64</f>
        <v>241.16232309357929</v>
      </c>
      <c r="U20" s="104">
        <f ca="1">U19*Assumption!$D$64</f>
        <v>532.32168372481055</v>
      </c>
      <c r="V20" s="104">
        <f ca="1">V19*Assumption!$D$64</f>
        <v>532.32168372481067</v>
      </c>
      <c r="W20" s="104">
        <f ca="1">W19*Assumption!$D$64</f>
        <v>532.32168372481067</v>
      </c>
      <c r="X20" s="104">
        <f ca="1">X19*Assumption!$D$64</f>
        <v>532.32168372481067</v>
      </c>
      <c r="Y20" s="104">
        <f ca="1">Y19*Assumption!$D$64</f>
        <v>532.32168372481021</v>
      </c>
      <c r="Z20" s="104">
        <f ca="1">Z19*Assumption!$D$64</f>
        <v>532.32168372481055</v>
      </c>
    </row>
    <row r="21" spans="1:26" s="106" customFormat="1">
      <c r="A21" s="105" t="s">
        <v>92</v>
      </c>
      <c r="B21" s="105">
        <f ca="1">MAX(B20,B16)</f>
        <v>308.55422735147977</v>
      </c>
      <c r="C21" s="105">
        <f t="shared" ref="C21:Z21" ca="1" si="12">MAX(C20,C16)</f>
        <v>294.71571910212191</v>
      </c>
      <c r="D21" s="105">
        <f t="shared" ca="1" si="12"/>
        <v>302.25680285439535</v>
      </c>
      <c r="E21" s="105">
        <f t="shared" ca="1" si="12"/>
        <v>309.93797868612165</v>
      </c>
      <c r="F21" s="105">
        <f t="shared" ca="1" si="12"/>
        <v>317.54910847812175</v>
      </c>
      <c r="G21" s="105">
        <f t="shared" ca="1" si="12"/>
        <v>325.16023827012208</v>
      </c>
      <c r="H21" s="105">
        <f t="shared" ca="1" si="12"/>
        <v>332.78473166395173</v>
      </c>
      <c r="I21" s="105">
        <f t="shared" ca="1" si="12"/>
        <v>340.38249785412165</v>
      </c>
      <c r="J21" s="105">
        <f t="shared" ca="1" si="12"/>
        <v>347.99362764612158</v>
      </c>
      <c r="K21" s="105">
        <f t="shared" ca="1" si="12"/>
        <v>355.60475743812196</v>
      </c>
      <c r="L21" s="105">
        <f t="shared" ca="1" si="12"/>
        <v>363.31266047350721</v>
      </c>
      <c r="M21" s="105">
        <f t="shared" ca="1" si="12"/>
        <v>370.82701702212194</v>
      </c>
      <c r="N21" s="105">
        <f t="shared" ca="1" si="12"/>
        <v>178.39777665422611</v>
      </c>
      <c r="O21" s="105">
        <f t="shared" ca="1" si="12"/>
        <v>163.99679199855302</v>
      </c>
      <c r="P21" s="105">
        <f t="shared" ca="1" si="12"/>
        <v>149.62522232064623</v>
      </c>
      <c r="Q21" s="105">
        <f t="shared" ca="1" si="12"/>
        <v>745.952374864744</v>
      </c>
      <c r="R21" s="105">
        <f t="shared" ca="1" si="12"/>
        <v>765.42449791930721</v>
      </c>
      <c r="S21" s="105">
        <f t="shared" ca="1" si="12"/>
        <v>953.82103062189685</v>
      </c>
      <c r="T21" s="105">
        <f t="shared" ca="1" si="12"/>
        <v>970.44438114605532</v>
      </c>
      <c r="U21" s="105">
        <f t="shared" ca="1" si="12"/>
        <v>984.57422909159038</v>
      </c>
      <c r="V21" s="105">
        <f t="shared" ca="1" si="12"/>
        <v>996.5845998452952</v>
      </c>
      <c r="W21" s="105">
        <f t="shared" ca="1" si="12"/>
        <v>1006.793414985944</v>
      </c>
      <c r="X21" s="105">
        <f t="shared" ca="1" si="12"/>
        <v>1015.4709078554955</v>
      </c>
      <c r="Y21" s="105">
        <f t="shared" ca="1" si="12"/>
        <v>1022.8467767946137</v>
      </c>
      <c r="Z21" s="105">
        <f t="shared" ca="1" si="12"/>
        <v>1029.1162653928654</v>
      </c>
    </row>
    <row r="22" spans="1:26" s="131" customFormat="1">
      <c r="A22" s="105" t="s">
        <v>77</v>
      </c>
      <c r="B22" s="130" t="str">
        <f t="shared" ref="B22:Z22" ca="1" si="13">IF(B21=B20, "MAT", "Normal Tax")</f>
        <v>MAT</v>
      </c>
      <c r="C22" s="130" t="str">
        <f t="shared" ca="1" si="13"/>
        <v>MAT</v>
      </c>
      <c r="D22" s="130" t="str">
        <f t="shared" ca="1" si="13"/>
        <v>MAT</v>
      </c>
      <c r="E22" s="130" t="str">
        <f t="shared" ca="1" si="13"/>
        <v>MAT</v>
      </c>
      <c r="F22" s="130" t="str">
        <f t="shared" ca="1" si="13"/>
        <v>MAT</v>
      </c>
      <c r="G22" s="130" t="str">
        <f t="shared" ca="1" si="13"/>
        <v>MAT</v>
      </c>
      <c r="H22" s="130" t="str">
        <f t="shared" ca="1" si="13"/>
        <v>MAT</v>
      </c>
      <c r="I22" s="130" t="str">
        <f t="shared" ca="1" si="13"/>
        <v>MAT</v>
      </c>
      <c r="J22" s="130" t="str">
        <f t="shared" ca="1" si="13"/>
        <v>MAT</v>
      </c>
      <c r="K22" s="130" t="str">
        <f t="shared" ca="1" si="13"/>
        <v>MAT</v>
      </c>
      <c r="L22" s="130" t="str">
        <f t="shared" ca="1" si="13"/>
        <v>MAT</v>
      </c>
      <c r="M22" s="130" t="str">
        <f t="shared" ca="1" si="13"/>
        <v>MAT</v>
      </c>
      <c r="N22" s="130" t="str">
        <f t="shared" ca="1" si="13"/>
        <v>MAT</v>
      </c>
      <c r="O22" s="130" t="str">
        <f t="shared" ca="1" si="13"/>
        <v>MAT</v>
      </c>
      <c r="P22" s="130" t="str">
        <f t="shared" ca="1" si="13"/>
        <v>MAT</v>
      </c>
      <c r="Q22" s="130" t="str">
        <f t="shared" ca="1" si="13"/>
        <v>Normal Tax</v>
      </c>
      <c r="R22" s="130" t="str">
        <f t="shared" ca="1" si="13"/>
        <v>Normal Tax</v>
      </c>
      <c r="S22" s="130" t="str">
        <f t="shared" ca="1" si="13"/>
        <v>Normal Tax</v>
      </c>
      <c r="T22" s="130" t="str">
        <f t="shared" ca="1" si="13"/>
        <v>Normal Tax</v>
      </c>
      <c r="U22" s="130" t="str">
        <f t="shared" ca="1" si="13"/>
        <v>Normal Tax</v>
      </c>
      <c r="V22" s="130" t="str">
        <f t="shared" ca="1" si="13"/>
        <v>Normal Tax</v>
      </c>
      <c r="W22" s="130" t="str">
        <f t="shared" ca="1" si="13"/>
        <v>Normal Tax</v>
      </c>
      <c r="X22" s="130" t="str">
        <f t="shared" ca="1" si="13"/>
        <v>Normal Tax</v>
      </c>
      <c r="Y22" s="130" t="str">
        <f t="shared" ca="1" si="13"/>
        <v>Normal Tax</v>
      </c>
      <c r="Z22" s="130" t="str">
        <f t="shared" ca="1" si="13"/>
        <v>Normal Tax</v>
      </c>
    </row>
    <row r="23" spans="1:26" s="106" customFormat="1">
      <c r="A23" s="105" t="s">
        <v>182</v>
      </c>
      <c r="B23" s="105">
        <f ca="1">IF(B21=B20,(B20-B16),0)</f>
        <v>308.55422735147977</v>
      </c>
      <c r="C23" s="105">
        <f t="shared" ref="C23:Z23" ca="1" si="14">IF(C21=C20,(C20-C16),0)</f>
        <v>294.71571910212191</v>
      </c>
      <c r="D23" s="105">
        <f t="shared" ca="1" si="14"/>
        <v>302.25680285439535</v>
      </c>
      <c r="E23" s="105">
        <f t="shared" ca="1" si="14"/>
        <v>309.93797868612165</v>
      </c>
      <c r="F23" s="105">
        <f t="shared" ca="1" si="14"/>
        <v>317.54910847812175</v>
      </c>
      <c r="G23" s="105">
        <f t="shared" ca="1" si="14"/>
        <v>325.16023827012208</v>
      </c>
      <c r="H23" s="105">
        <f t="shared" ca="1" si="14"/>
        <v>332.78473166395173</v>
      </c>
      <c r="I23" s="105">
        <f t="shared" ca="1" si="14"/>
        <v>340.38249785412165</v>
      </c>
      <c r="J23" s="105">
        <f t="shared" ca="1" si="14"/>
        <v>347.99362764612158</v>
      </c>
      <c r="K23" s="105">
        <f t="shared" ca="1" si="14"/>
        <v>355.60475743812196</v>
      </c>
      <c r="L23" s="105">
        <f t="shared" ca="1" si="14"/>
        <v>363.31266047350721</v>
      </c>
      <c r="M23" s="105">
        <f t="shared" ca="1" si="14"/>
        <v>370.82701702212194</v>
      </c>
      <c r="N23" s="105">
        <f t="shared" ca="1" si="14"/>
        <v>178.39777665422611</v>
      </c>
      <c r="O23" s="105">
        <f t="shared" ca="1" si="14"/>
        <v>163.99679199855302</v>
      </c>
      <c r="P23" s="105">
        <f t="shared" ca="1" si="14"/>
        <v>149.62522232064623</v>
      </c>
      <c r="Q23" s="105">
        <f t="shared" ca="1" si="14"/>
        <v>0</v>
      </c>
      <c r="R23" s="105">
        <f t="shared" ca="1" si="14"/>
        <v>0</v>
      </c>
      <c r="S23" s="105">
        <f t="shared" ca="1" si="14"/>
        <v>0</v>
      </c>
      <c r="T23" s="105">
        <f t="shared" ca="1" si="14"/>
        <v>0</v>
      </c>
      <c r="U23" s="105">
        <f t="shared" ca="1" si="14"/>
        <v>0</v>
      </c>
      <c r="V23" s="105">
        <f t="shared" ca="1" si="14"/>
        <v>0</v>
      </c>
      <c r="W23" s="105">
        <f t="shared" ca="1" si="14"/>
        <v>0</v>
      </c>
      <c r="X23" s="105">
        <f t="shared" ca="1" si="14"/>
        <v>0</v>
      </c>
      <c r="Y23" s="105">
        <f t="shared" ca="1" si="14"/>
        <v>0</v>
      </c>
      <c r="Z23" s="105">
        <f t="shared" ca="1" si="14"/>
        <v>0</v>
      </c>
    </row>
    <row r="24" spans="1:26" s="106" customFormat="1">
      <c r="A24" s="105" t="s">
        <v>78</v>
      </c>
      <c r="B24" s="132">
        <f>DATE(YEAR(B1)+7,MONTH(B1),DAY(B1))</f>
        <v>44286</v>
      </c>
      <c r="C24" s="132">
        <f t="shared" ref="C24:Z24" si="15">DATE(YEAR(C1)+7,MONTH(C1),DAY(C1))</f>
        <v>44651</v>
      </c>
      <c r="D24" s="132">
        <f t="shared" si="15"/>
        <v>45016</v>
      </c>
      <c r="E24" s="132">
        <f t="shared" si="15"/>
        <v>45382</v>
      </c>
      <c r="F24" s="132">
        <f t="shared" si="15"/>
        <v>45747</v>
      </c>
      <c r="G24" s="132">
        <f t="shared" si="15"/>
        <v>46112</v>
      </c>
      <c r="H24" s="132">
        <f t="shared" si="15"/>
        <v>46477</v>
      </c>
      <c r="I24" s="132">
        <f t="shared" si="15"/>
        <v>46843</v>
      </c>
      <c r="J24" s="132">
        <f t="shared" si="15"/>
        <v>47208</v>
      </c>
      <c r="K24" s="132">
        <f t="shared" si="15"/>
        <v>47573</v>
      </c>
      <c r="L24" s="132">
        <f t="shared" si="15"/>
        <v>47938</v>
      </c>
      <c r="M24" s="132">
        <f t="shared" si="15"/>
        <v>48304</v>
      </c>
      <c r="N24" s="132">
        <f t="shared" si="15"/>
        <v>48669</v>
      </c>
      <c r="O24" s="132">
        <f t="shared" si="15"/>
        <v>49034</v>
      </c>
      <c r="P24" s="132">
        <f t="shared" si="15"/>
        <v>49399</v>
      </c>
      <c r="Q24" s="132">
        <f t="shared" si="15"/>
        <v>49765</v>
      </c>
      <c r="R24" s="132">
        <f t="shared" si="15"/>
        <v>50130</v>
      </c>
      <c r="S24" s="132">
        <f t="shared" si="15"/>
        <v>50495</v>
      </c>
      <c r="T24" s="132">
        <f t="shared" si="15"/>
        <v>50860</v>
      </c>
      <c r="U24" s="132">
        <f t="shared" si="15"/>
        <v>51226</v>
      </c>
      <c r="V24" s="132">
        <f t="shared" si="15"/>
        <v>51591</v>
      </c>
      <c r="W24" s="132">
        <f t="shared" si="15"/>
        <v>51956</v>
      </c>
      <c r="X24" s="132">
        <f t="shared" si="15"/>
        <v>52321</v>
      </c>
      <c r="Y24" s="132">
        <f t="shared" si="15"/>
        <v>52687</v>
      </c>
      <c r="Z24" s="132">
        <f t="shared" si="15"/>
        <v>53052</v>
      </c>
    </row>
    <row r="25" spans="1:26" s="131" customFormat="1">
      <c r="A25" s="105" t="s">
        <v>183</v>
      </c>
      <c r="B25" s="130" t="str">
        <f ca="1">IF(B21=B16, "Yes", "No")</f>
        <v>No</v>
      </c>
      <c r="C25" s="130" t="str">
        <f t="shared" ref="C25:Z25" ca="1" si="16">IF(C21=C16, "Yes", "No")</f>
        <v>No</v>
      </c>
      <c r="D25" s="130" t="str">
        <f t="shared" ca="1" si="16"/>
        <v>No</v>
      </c>
      <c r="E25" s="130" t="str">
        <f t="shared" ca="1" si="16"/>
        <v>No</v>
      </c>
      <c r="F25" s="130" t="str">
        <f t="shared" ca="1" si="16"/>
        <v>No</v>
      </c>
      <c r="G25" s="130" t="str">
        <f t="shared" ca="1" si="16"/>
        <v>No</v>
      </c>
      <c r="H25" s="130" t="str">
        <f t="shared" ca="1" si="16"/>
        <v>No</v>
      </c>
      <c r="I25" s="130" t="str">
        <f t="shared" ca="1" si="16"/>
        <v>No</v>
      </c>
      <c r="J25" s="130" t="str">
        <f t="shared" ca="1" si="16"/>
        <v>No</v>
      </c>
      <c r="K25" s="130" t="str">
        <f t="shared" ca="1" si="16"/>
        <v>No</v>
      </c>
      <c r="L25" s="130" t="str">
        <f t="shared" ca="1" si="16"/>
        <v>No</v>
      </c>
      <c r="M25" s="130" t="str">
        <f t="shared" ca="1" si="16"/>
        <v>No</v>
      </c>
      <c r="N25" s="130" t="str">
        <f t="shared" ca="1" si="16"/>
        <v>No</v>
      </c>
      <c r="O25" s="130" t="str">
        <f t="shared" ca="1" si="16"/>
        <v>No</v>
      </c>
      <c r="P25" s="130" t="str">
        <f t="shared" ca="1" si="16"/>
        <v>No</v>
      </c>
      <c r="Q25" s="130" t="str">
        <f t="shared" ca="1" si="16"/>
        <v>Yes</v>
      </c>
      <c r="R25" s="130" t="str">
        <f t="shared" ca="1" si="16"/>
        <v>Yes</v>
      </c>
      <c r="S25" s="130" t="str">
        <f t="shared" ca="1" si="16"/>
        <v>Yes</v>
      </c>
      <c r="T25" s="130" t="str">
        <f t="shared" ca="1" si="16"/>
        <v>Yes</v>
      </c>
      <c r="U25" s="130" t="str">
        <f t="shared" ca="1" si="16"/>
        <v>Yes</v>
      </c>
      <c r="V25" s="130" t="str">
        <f t="shared" ca="1" si="16"/>
        <v>Yes</v>
      </c>
      <c r="W25" s="130" t="str">
        <f t="shared" ca="1" si="16"/>
        <v>Yes</v>
      </c>
      <c r="X25" s="130" t="str">
        <f t="shared" ca="1" si="16"/>
        <v>Yes</v>
      </c>
      <c r="Y25" s="130" t="str">
        <f t="shared" ca="1" si="16"/>
        <v>Yes</v>
      </c>
      <c r="Z25" s="130" t="str">
        <f t="shared" ca="1" si="16"/>
        <v>Yes</v>
      </c>
    </row>
    <row r="26" spans="1:26" s="106" customFormat="1">
      <c r="A26" s="105" t="s">
        <v>79</v>
      </c>
      <c r="B26" s="105">
        <f ca="1">IF(B22="MAT",0,(B16-B20))</f>
        <v>0</v>
      </c>
      <c r="C26" s="105">
        <f t="shared" ref="C26:Z26" ca="1" si="17">IF(C22="MAT",0,(C16-C20))</f>
        <v>0</v>
      </c>
      <c r="D26" s="105">
        <f t="shared" ca="1" si="17"/>
        <v>0</v>
      </c>
      <c r="E26" s="105">
        <f t="shared" ca="1" si="17"/>
        <v>0</v>
      </c>
      <c r="F26" s="105">
        <f t="shared" ca="1" si="17"/>
        <v>0</v>
      </c>
      <c r="G26" s="105">
        <f t="shared" ca="1" si="17"/>
        <v>0</v>
      </c>
      <c r="H26" s="105">
        <f t="shared" ca="1" si="17"/>
        <v>0</v>
      </c>
      <c r="I26" s="105">
        <f t="shared" ca="1" si="17"/>
        <v>0</v>
      </c>
      <c r="J26" s="105">
        <f t="shared" ca="1" si="17"/>
        <v>0</v>
      </c>
      <c r="K26" s="105">
        <f t="shared" ca="1" si="17"/>
        <v>0</v>
      </c>
      <c r="L26" s="105">
        <f t="shared" ca="1" si="17"/>
        <v>0</v>
      </c>
      <c r="M26" s="105">
        <f t="shared" ca="1" si="17"/>
        <v>0</v>
      </c>
      <c r="N26" s="105">
        <f t="shared" ca="1" si="17"/>
        <v>0</v>
      </c>
      <c r="O26" s="105">
        <f t="shared" ca="1" si="17"/>
        <v>0</v>
      </c>
      <c r="P26" s="105">
        <f t="shared" ca="1" si="17"/>
        <v>0</v>
      </c>
      <c r="Q26" s="105">
        <f t="shared" ca="1" si="17"/>
        <v>605.32504712806463</v>
      </c>
      <c r="R26" s="105">
        <f t="shared" ca="1" si="17"/>
        <v>626.5651574609924</v>
      </c>
      <c r="S26" s="105">
        <f t="shared" ca="1" si="17"/>
        <v>730.54186529708636</v>
      </c>
      <c r="T26" s="105">
        <f t="shared" ca="1" si="17"/>
        <v>729.28205805247603</v>
      </c>
      <c r="U26" s="105">
        <f t="shared" ca="1" si="17"/>
        <v>452.25254536677983</v>
      </c>
      <c r="V26" s="105">
        <f t="shared" ca="1" si="17"/>
        <v>464.26291612048453</v>
      </c>
      <c r="W26" s="105">
        <f t="shared" ca="1" si="17"/>
        <v>474.4717312611333</v>
      </c>
      <c r="X26" s="105">
        <f t="shared" ca="1" si="17"/>
        <v>483.14922413068484</v>
      </c>
      <c r="Y26" s="105">
        <f t="shared" ca="1" si="17"/>
        <v>490.52509306980346</v>
      </c>
      <c r="Z26" s="105">
        <f t="shared" ca="1" si="17"/>
        <v>496.79458166805489</v>
      </c>
    </row>
    <row r="27" spans="1:26" s="106" customFormat="1">
      <c r="A27" s="104" t="s">
        <v>184</v>
      </c>
      <c r="B27" s="105">
        <v>0</v>
      </c>
      <c r="C27" s="105">
        <f t="shared" ref="C27:Z27" ca="1" si="18">B32</f>
        <v>308.55422735147977</v>
      </c>
      <c r="D27" s="105">
        <f t="shared" ca="1" si="18"/>
        <v>603.26994645360173</v>
      </c>
      <c r="E27" s="105">
        <f t="shared" ca="1" si="18"/>
        <v>905.52674930799708</v>
      </c>
      <c r="F27" s="105">
        <f t="shared" ca="1" si="18"/>
        <v>1215.4647279941187</v>
      </c>
      <c r="G27" s="105">
        <f t="shared" ca="1" si="18"/>
        <v>1533.0138364722404</v>
      </c>
      <c r="H27" s="105">
        <f t="shared" ca="1" si="18"/>
        <v>1858.1740747423626</v>
      </c>
      <c r="I27" s="105">
        <f t="shared" ca="1" si="18"/>
        <v>2190.9588064063141</v>
      </c>
      <c r="J27" s="105">
        <f t="shared" ca="1" si="18"/>
        <v>2222.7870769089559</v>
      </c>
      <c r="K27" s="105">
        <f t="shared" ca="1" si="18"/>
        <v>2276.0649854529556</v>
      </c>
      <c r="L27" s="105">
        <f t="shared" ca="1" si="18"/>
        <v>2329.4129400366819</v>
      </c>
      <c r="M27" s="105">
        <f t="shared" ca="1" si="18"/>
        <v>2382.7876218240672</v>
      </c>
      <c r="N27" s="105">
        <f t="shared" ca="1" si="18"/>
        <v>2436.0655303680678</v>
      </c>
      <c r="O27" s="105">
        <f t="shared" ca="1" si="18"/>
        <v>2289.3030687521718</v>
      </c>
      <c r="P27" s="105">
        <f t="shared" ca="1" si="18"/>
        <v>2120.515129086773</v>
      </c>
      <c r="Q27" s="105">
        <f t="shared" ca="1" si="18"/>
        <v>1929.7578535532975</v>
      </c>
      <c r="R27" s="105">
        <f t="shared" ca="1" si="18"/>
        <v>1324.4328064252329</v>
      </c>
      <c r="S27" s="105">
        <f t="shared" ca="1" si="18"/>
        <v>697.86764896424052</v>
      </c>
      <c r="T27" s="105">
        <f t="shared" ca="1" si="18"/>
        <v>0</v>
      </c>
      <c r="U27" s="105">
        <f t="shared" ca="1" si="18"/>
        <v>0</v>
      </c>
      <c r="V27" s="105">
        <f t="shared" ca="1" si="18"/>
        <v>0</v>
      </c>
      <c r="W27" s="105">
        <f t="shared" ca="1" si="18"/>
        <v>0</v>
      </c>
      <c r="X27" s="105">
        <f t="shared" ca="1" si="18"/>
        <v>0</v>
      </c>
      <c r="Y27" s="105">
        <f t="shared" ca="1" si="18"/>
        <v>0</v>
      </c>
      <c r="Z27" s="105">
        <f t="shared" ca="1" si="18"/>
        <v>0</v>
      </c>
    </row>
    <row r="28" spans="1:26" s="106" customFormat="1">
      <c r="A28" s="104" t="s">
        <v>185</v>
      </c>
      <c r="B28" s="105">
        <f t="shared" ref="B28:Z28" ca="1" si="19">B23</f>
        <v>308.55422735147977</v>
      </c>
      <c r="C28" s="105">
        <f t="shared" ca="1" si="19"/>
        <v>294.71571910212191</v>
      </c>
      <c r="D28" s="105">
        <f t="shared" ca="1" si="19"/>
        <v>302.25680285439535</v>
      </c>
      <c r="E28" s="105">
        <f t="shared" ca="1" si="19"/>
        <v>309.93797868612165</v>
      </c>
      <c r="F28" s="105">
        <f t="shared" ca="1" si="19"/>
        <v>317.54910847812175</v>
      </c>
      <c r="G28" s="105">
        <f t="shared" ca="1" si="19"/>
        <v>325.16023827012208</v>
      </c>
      <c r="H28" s="105">
        <f t="shared" ca="1" si="19"/>
        <v>332.78473166395173</v>
      </c>
      <c r="I28" s="105">
        <f t="shared" ca="1" si="19"/>
        <v>340.38249785412165</v>
      </c>
      <c r="J28" s="105">
        <f t="shared" ca="1" si="19"/>
        <v>347.99362764612158</v>
      </c>
      <c r="K28" s="105">
        <f t="shared" ca="1" si="19"/>
        <v>355.60475743812196</v>
      </c>
      <c r="L28" s="105">
        <f t="shared" ca="1" si="19"/>
        <v>363.31266047350721</v>
      </c>
      <c r="M28" s="105">
        <f t="shared" ca="1" si="19"/>
        <v>370.82701702212194</v>
      </c>
      <c r="N28" s="105">
        <f t="shared" ca="1" si="19"/>
        <v>178.39777665422611</v>
      </c>
      <c r="O28" s="105">
        <f t="shared" ca="1" si="19"/>
        <v>163.99679199855302</v>
      </c>
      <c r="P28" s="105">
        <f t="shared" ca="1" si="19"/>
        <v>149.62522232064623</v>
      </c>
      <c r="Q28" s="105">
        <f t="shared" ca="1" si="19"/>
        <v>0</v>
      </c>
      <c r="R28" s="105">
        <f t="shared" ca="1" si="19"/>
        <v>0</v>
      </c>
      <c r="S28" s="105">
        <f t="shared" ca="1" si="19"/>
        <v>0</v>
      </c>
      <c r="T28" s="105">
        <f t="shared" ca="1" si="19"/>
        <v>0</v>
      </c>
      <c r="U28" s="105">
        <f t="shared" ca="1" si="19"/>
        <v>0</v>
      </c>
      <c r="V28" s="105">
        <f t="shared" ca="1" si="19"/>
        <v>0</v>
      </c>
      <c r="W28" s="105">
        <f t="shared" ca="1" si="19"/>
        <v>0</v>
      </c>
      <c r="X28" s="105">
        <f t="shared" ca="1" si="19"/>
        <v>0</v>
      </c>
      <c r="Y28" s="105">
        <f t="shared" ca="1" si="19"/>
        <v>0</v>
      </c>
      <c r="Z28" s="105">
        <f t="shared" ca="1" si="19"/>
        <v>0</v>
      </c>
    </row>
    <row r="29" spans="1:26" s="106" customFormat="1">
      <c r="A29" s="104" t="s">
        <v>206</v>
      </c>
      <c r="B29" s="105"/>
      <c r="C29" s="105"/>
      <c r="D29" s="105"/>
      <c r="E29" s="105"/>
      <c r="F29" s="105"/>
      <c r="G29" s="105"/>
      <c r="H29" s="105"/>
      <c r="I29" s="105">
        <f ca="1">B28</f>
        <v>308.55422735147977</v>
      </c>
      <c r="J29" s="105">
        <f t="shared" ref="J29:P29" ca="1" si="20">C28</f>
        <v>294.71571910212191</v>
      </c>
      <c r="K29" s="105">
        <f t="shared" ca="1" si="20"/>
        <v>302.25680285439535</v>
      </c>
      <c r="L29" s="105">
        <f t="shared" ca="1" si="20"/>
        <v>309.93797868612165</v>
      </c>
      <c r="M29" s="105">
        <f t="shared" ca="1" si="20"/>
        <v>317.54910847812175</v>
      </c>
      <c r="N29" s="105">
        <f t="shared" ca="1" si="20"/>
        <v>325.16023827012208</v>
      </c>
      <c r="O29" s="105">
        <f t="shared" ca="1" si="20"/>
        <v>332.78473166395173</v>
      </c>
      <c r="P29" s="105">
        <f t="shared" ca="1" si="20"/>
        <v>340.38249785412165</v>
      </c>
      <c r="Q29" s="105">
        <v>0</v>
      </c>
      <c r="R29" s="105">
        <v>0</v>
      </c>
      <c r="S29" s="105">
        <v>0</v>
      </c>
      <c r="T29" s="105">
        <v>0</v>
      </c>
      <c r="U29" s="105">
        <v>0</v>
      </c>
      <c r="V29" s="105">
        <v>0</v>
      </c>
      <c r="W29" s="105">
        <v>0</v>
      </c>
      <c r="X29" s="105">
        <v>0</v>
      </c>
      <c r="Y29" s="105">
        <v>0</v>
      </c>
      <c r="Z29" s="105">
        <v>0</v>
      </c>
    </row>
    <row r="30" spans="1:26" s="106" customFormat="1">
      <c r="A30" s="104" t="s">
        <v>86</v>
      </c>
      <c r="B30" s="105">
        <f t="shared" ref="B30" ca="1" si="21">B27+B28</f>
        <v>308.55422735147977</v>
      </c>
      <c r="C30" s="105">
        <f t="shared" ref="C30:H30" ca="1" si="22">C27+C28-(C29-B29)</f>
        <v>603.26994645360173</v>
      </c>
      <c r="D30" s="105">
        <f t="shared" ca="1" si="22"/>
        <v>905.52674930799708</v>
      </c>
      <c r="E30" s="105">
        <f t="shared" ca="1" si="22"/>
        <v>1215.4647279941187</v>
      </c>
      <c r="F30" s="105">
        <f t="shared" ca="1" si="22"/>
        <v>1533.0138364722404</v>
      </c>
      <c r="G30" s="105">
        <f t="shared" ca="1" si="22"/>
        <v>1858.1740747423626</v>
      </c>
      <c r="H30" s="105">
        <f t="shared" ca="1" si="22"/>
        <v>2190.9588064063141</v>
      </c>
      <c r="I30" s="105">
        <f ca="1">I27+I28-(I29-H29)</f>
        <v>2222.7870769089559</v>
      </c>
      <c r="J30" s="105">
        <f ca="1">J27+J28-J29</f>
        <v>2276.0649854529556</v>
      </c>
      <c r="K30" s="105">
        <f t="shared" ref="K30:Z30" ca="1" si="23">K27+K28-K29</f>
        <v>2329.4129400366819</v>
      </c>
      <c r="L30" s="105">
        <f t="shared" ca="1" si="23"/>
        <v>2382.7876218240672</v>
      </c>
      <c r="M30" s="105">
        <f t="shared" ca="1" si="23"/>
        <v>2436.0655303680678</v>
      </c>
      <c r="N30" s="105">
        <f t="shared" ca="1" si="23"/>
        <v>2289.3030687521718</v>
      </c>
      <c r="O30" s="105">
        <f t="shared" ca="1" si="23"/>
        <v>2120.515129086773</v>
      </c>
      <c r="P30" s="105">
        <f t="shared" ca="1" si="23"/>
        <v>1929.7578535532975</v>
      </c>
      <c r="Q30" s="105">
        <f t="shared" ca="1" si="23"/>
        <v>1929.7578535532975</v>
      </c>
      <c r="R30" s="105">
        <f t="shared" ca="1" si="23"/>
        <v>1324.4328064252329</v>
      </c>
      <c r="S30" s="105">
        <f t="shared" ca="1" si="23"/>
        <v>697.86764896424052</v>
      </c>
      <c r="T30" s="105">
        <f t="shared" ca="1" si="23"/>
        <v>0</v>
      </c>
      <c r="U30" s="105">
        <f t="shared" ca="1" si="23"/>
        <v>0</v>
      </c>
      <c r="V30" s="105">
        <f t="shared" ca="1" si="23"/>
        <v>0</v>
      </c>
      <c r="W30" s="105">
        <f t="shared" ca="1" si="23"/>
        <v>0</v>
      </c>
      <c r="X30" s="105">
        <f t="shared" ca="1" si="23"/>
        <v>0</v>
      </c>
      <c r="Y30" s="105">
        <f t="shared" ca="1" si="23"/>
        <v>0</v>
      </c>
      <c r="Z30" s="105">
        <f t="shared" ca="1" si="23"/>
        <v>0</v>
      </c>
    </row>
    <row r="31" spans="1:26" s="106" customFormat="1">
      <c r="A31" s="104" t="s">
        <v>186</v>
      </c>
      <c r="B31" s="105">
        <f t="shared" ref="B31:P31" ca="1" si="24">IF(B22="MAT",0,IF((MIN(B26,B30)&gt;0),MIN(B26,B30),0))</f>
        <v>0</v>
      </c>
      <c r="C31" s="105">
        <f t="shared" ca="1" si="24"/>
        <v>0</v>
      </c>
      <c r="D31" s="105">
        <f t="shared" ca="1" si="24"/>
        <v>0</v>
      </c>
      <c r="E31" s="105">
        <f t="shared" ca="1" si="24"/>
        <v>0</v>
      </c>
      <c r="F31" s="105">
        <f t="shared" ca="1" si="24"/>
        <v>0</v>
      </c>
      <c r="G31" s="105">
        <f t="shared" ca="1" si="24"/>
        <v>0</v>
      </c>
      <c r="H31" s="105">
        <f t="shared" ca="1" si="24"/>
        <v>0</v>
      </c>
      <c r="I31" s="105">
        <f t="shared" ca="1" si="24"/>
        <v>0</v>
      </c>
      <c r="J31" s="105">
        <f t="shared" ca="1" si="24"/>
        <v>0</v>
      </c>
      <c r="K31" s="105">
        <f t="shared" ca="1" si="24"/>
        <v>0</v>
      </c>
      <c r="L31" s="105">
        <f t="shared" ca="1" si="24"/>
        <v>0</v>
      </c>
      <c r="M31" s="105">
        <f t="shared" ca="1" si="24"/>
        <v>0</v>
      </c>
      <c r="N31" s="105">
        <f t="shared" ca="1" si="24"/>
        <v>0</v>
      </c>
      <c r="O31" s="105">
        <f t="shared" ca="1" si="24"/>
        <v>0</v>
      </c>
      <c r="P31" s="105">
        <f t="shared" ca="1" si="24"/>
        <v>0</v>
      </c>
      <c r="Q31" s="105">
        <f ca="1">IF(Q22="MAT",0,MIN(Q26,Q30))</f>
        <v>605.32504712806463</v>
      </c>
      <c r="R31" s="105">
        <f t="shared" ref="R31:Z31" ca="1" si="25">IF(R22="MAT",0,MIN(R26,R30))</f>
        <v>626.5651574609924</v>
      </c>
      <c r="S31" s="105">
        <f t="shared" ca="1" si="25"/>
        <v>697.86764896424052</v>
      </c>
      <c r="T31" s="105">
        <f t="shared" ca="1" si="25"/>
        <v>0</v>
      </c>
      <c r="U31" s="105">
        <f t="shared" ca="1" si="25"/>
        <v>0</v>
      </c>
      <c r="V31" s="105">
        <f t="shared" ca="1" si="25"/>
        <v>0</v>
      </c>
      <c r="W31" s="105">
        <f t="shared" ca="1" si="25"/>
        <v>0</v>
      </c>
      <c r="X31" s="105">
        <f t="shared" ca="1" si="25"/>
        <v>0</v>
      </c>
      <c r="Y31" s="105">
        <f t="shared" ca="1" si="25"/>
        <v>0</v>
      </c>
      <c r="Z31" s="105">
        <f t="shared" ca="1" si="25"/>
        <v>0</v>
      </c>
    </row>
    <row r="32" spans="1:26" s="106" customFormat="1">
      <c r="A32" s="104" t="s">
        <v>187</v>
      </c>
      <c r="B32" s="105">
        <f t="shared" ref="B32:Z32" ca="1" si="26">B30-B31</f>
        <v>308.55422735147977</v>
      </c>
      <c r="C32" s="105">
        <f t="shared" ca="1" si="26"/>
        <v>603.26994645360173</v>
      </c>
      <c r="D32" s="105">
        <f t="shared" ca="1" si="26"/>
        <v>905.52674930799708</v>
      </c>
      <c r="E32" s="105">
        <f t="shared" ca="1" si="26"/>
        <v>1215.4647279941187</v>
      </c>
      <c r="F32" s="105">
        <f t="shared" ca="1" si="26"/>
        <v>1533.0138364722404</v>
      </c>
      <c r="G32" s="105">
        <f t="shared" ca="1" si="26"/>
        <v>1858.1740747423626</v>
      </c>
      <c r="H32" s="105">
        <f t="shared" ca="1" si="26"/>
        <v>2190.9588064063141</v>
      </c>
      <c r="I32" s="105">
        <f t="shared" ca="1" si="26"/>
        <v>2222.7870769089559</v>
      </c>
      <c r="J32" s="105">
        <f t="shared" ca="1" si="26"/>
        <v>2276.0649854529556</v>
      </c>
      <c r="K32" s="105">
        <f t="shared" ca="1" si="26"/>
        <v>2329.4129400366819</v>
      </c>
      <c r="L32" s="105">
        <f t="shared" ca="1" si="26"/>
        <v>2382.7876218240672</v>
      </c>
      <c r="M32" s="105">
        <f t="shared" ca="1" si="26"/>
        <v>2436.0655303680678</v>
      </c>
      <c r="N32" s="105">
        <f t="shared" ca="1" si="26"/>
        <v>2289.3030687521718</v>
      </c>
      <c r="O32" s="105">
        <f t="shared" ca="1" si="26"/>
        <v>2120.515129086773</v>
      </c>
      <c r="P32" s="105">
        <f t="shared" ca="1" si="26"/>
        <v>1929.7578535532975</v>
      </c>
      <c r="Q32" s="105">
        <f t="shared" ca="1" si="26"/>
        <v>1324.4328064252329</v>
      </c>
      <c r="R32" s="105">
        <f t="shared" ca="1" si="26"/>
        <v>697.86764896424052</v>
      </c>
      <c r="S32" s="105">
        <f t="shared" ca="1" si="26"/>
        <v>0</v>
      </c>
      <c r="T32" s="105">
        <f t="shared" ca="1" si="26"/>
        <v>0</v>
      </c>
      <c r="U32" s="105">
        <f t="shared" ca="1" si="26"/>
        <v>0</v>
      </c>
      <c r="V32" s="105">
        <f t="shared" ca="1" si="26"/>
        <v>0</v>
      </c>
      <c r="W32" s="105">
        <f t="shared" ca="1" si="26"/>
        <v>0</v>
      </c>
      <c r="X32" s="105">
        <f t="shared" ca="1" si="26"/>
        <v>0</v>
      </c>
      <c r="Y32" s="105">
        <f t="shared" ca="1" si="26"/>
        <v>0</v>
      </c>
      <c r="Z32" s="105">
        <f t="shared" ca="1" si="26"/>
        <v>0</v>
      </c>
    </row>
    <row r="33" spans="1:26" s="106" customFormat="1">
      <c r="A33" s="104" t="s">
        <v>188</v>
      </c>
      <c r="B33" s="105">
        <f t="shared" ref="B33:Z33" ca="1" si="27">B21-B31</f>
        <v>308.55422735147977</v>
      </c>
      <c r="C33" s="105">
        <f t="shared" ca="1" si="27"/>
        <v>294.71571910212191</v>
      </c>
      <c r="D33" s="105">
        <f t="shared" ca="1" si="27"/>
        <v>302.25680285439535</v>
      </c>
      <c r="E33" s="105">
        <f t="shared" ca="1" si="27"/>
        <v>309.93797868612165</v>
      </c>
      <c r="F33" s="105">
        <f t="shared" ca="1" si="27"/>
        <v>317.54910847812175</v>
      </c>
      <c r="G33" s="105">
        <f t="shared" ca="1" si="27"/>
        <v>325.16023827012208</v>
      </c>
      <c r="H33" s="105">
        <f t="shared" ca="1" si="27"/>
        <v>332.78473166395173</v>
      </c>
      <c r="I33" s="105">
        <f t="shared" ca="1" si="27"/>
        <v>340.38249785412165</v>
      </c>
      <c r="J33" s="105">
        <f t="shared" ca="1" si="27"/>
        <v>347.99362764612158</v>
      </c>
      <c r="K33" s="105">
        <f t="shared" ca="1" si="27"/>
        <v>355.60475743812196</v>
      </c>
      <c r="L33" s="105">
        <f t="shared" ca="1" si="27"/>
        <v>363.31266047350721</v>
      </c>
      <c r="M33" s="105">
        <f t="shared" ca="1" si="27"/>
        <v>370.82701702212194</v>
      </c>
      <c r="N33" s="105">
        <f t="shared" ca="1" si="27"/>
        <v>178.39777665422611</v>
      </c>
      <c r="O33" s="105">
        <f t="shared" ca="1" si="27"/>
        <v>163.99679199855302</v>
      </c>
      <c r="P33" s="105">
        <f t="shared" ca="1" si="27"/>
        <v>149.62522232064623</v>
      </c>
      <c r="Q33" s="105">
        <f t="shared" ca="1" si="27"/>
        <v>140.62732773667938</v>
      </c>
      <c r="R33" s="105">
        <f t="shared" ca="1" si="27"/>
        <v>138.85934045831482</v>
      </c>
      <c r="S33" s="105">
        <f t="shared" ca="1" si="27"/>
        <v>255.95338165765634</v>
      </c>
      <c r="T33" s="105">
        <f t="shared" ca="1" si="27"/>
        <v>970.44438114605532</v>
      </c>
      <c r="U33" s="105">
        <f t="shared" ca="1" si="27"/>
        <v>984.57422909159038</v>
      </c>
      <c r="V33" s="105">
        <f t="shared" ca="1" si="27"/>
        <v>996.5845998452952</v>
      </c>
      <c r="W33" s="105">
        <f t="shared" ca="1" si="27"/>
        <v>1006.793414985944</v>
      </c>
      <c r="X33" s="105">
        <f t="shared" ca="1" si="27"/>
        <v>1015.4709078554955</v>
      </c>
      <c r="Y33" s="105">
        <f t="shared" ca="1" si="27"/>
        <v>1022.8467767946137</v>
      </c>
      <c r="Z33" s="105">
        <f t="shared" ca="1" si="27"/>
        <v>1029.1162653928654</v>
      </c>
    </row>
    <row r="34" spans="1:26" s="4" customFormat="1"/>
    <row r="35" spans="1:26" s="4" customFormat="1">
      <c r="A35" s="104" t="s">
        <v>157</v>
      </c>
      <c r="B35" s="132">
        <f>DATE(YEAR(B1)+8,MONTH(B1),DAY(B1))</f>
        <v>44651</v>
      </c>
      <c r="C35" s="132">
        <f t="shared" ref="C35:Z35" si="28">DATE(YEAR(C1)+8,MONTH(C1),DAY(C1))</f>
        <v>45016</v>
      </c>
      <c r="D35" s="132">
        <f t="shared" si="28"/>
        <v>45382</v>
      </c>
      <c r="E35" s="132">
        <f t="shared" si="28"/>
        <v>45747</v>
      </c>
      <c r="F35" s="132">
        <f t="shared" si="28"/>
        <v>46112</v>
      </c>
      <c r="G35" s="132">
        <f t="shared" si="28"/>
        <v>46477</v>
      </c>
      <c r="H35" s="132">
        <f t="shared" si="28"/>
        <v>46843</v>
      </c>
      <c r="I35" s="132">
        <f t="shared" si="28"/>
        <v>47208</v>
      </c>
      <c r="J35" s="132">
        <f t="shared" si="28"/>
        <v>47573</v>
      </c>
      <c r="K35" s="132">
        <f t="shared" si="28"/>
        <v>47938</v>
      </c>
      <c r="L35" s="132">
        <f t="shared" si="28"/>
        <v>48304</v>
      </c>
      <c r="M35" s="132">
        <f t="shared" si="28"/>
        <v>48669</v>
      </c>
      <c r="N35" s="132">
        <f t="shared" si="28"/>
        <v>49034</v>
      </c>
      <c r="O35" s="132">
        <f t="shared" si="28"/>
        <v>49399</v>
      </c>
      <c r="P35" s="132">
        <f t="shared" si="28"/>
        <v>49765</v>
      </c>
      <c r="Q35" s="132">
        <f t="shared" si="28"/>
        <v>50130</v>
      </c>
      <c r="R35" s="132">
        <f t="shared" si="28"/>
        <v>50495</v>
      </c>
      <c r="S35" s="132">
        <f t="shared" si="28"/>
        <v>50860</v>
      </c>
      <c r="T35" s="132">
        <f t="shared" si="28"/>
        <v>51226</v>
      </c>
      <c r="U35" s="132">
        <f t="shared" si="28"/>
        <v>51591</v>
      </c>
      <c r="V35" s="132">
        <f t="shared" si="28"/>
        <v>51956</v>
      </c>
      <c r="W35" s="132">
        <f t="shared" si="28"/>
        <v>52321</v>
      </c>
      <c r="X35" s="132">
        <f t="shared" si="28"/>
        <v>52687</v>
      </c>
      <c r="Y35" s="132">
        <f t="shared" si="28"/>
        <v>53052</v>
      </c>
      <c r="Z35" s="132">
        <f t="shared" si="28"/>
        <v>53417</v>
      </c>
    </row>
    <row r="36" spans="1:26" s="4" customFormat="1">
      <c r="A36" s="104" t="s">
        <v>82</v>
      </c>
      <c r="B36" s="11">
        <v>0</v>
      </c>
      <c r="C36" s="105">
        <f ca="1">B43</f>
        <v>-1536.9911508076088</v>
      </c>
      <c r="D36" s="105">
        <f ca="1">C43</f>
        <v>-2375.5272349375177</v>
      </c>
      <c r="E36" s="105">
        <f t="shared" ref="E36:Z36" ca="1" si="29">D43</f>
        <v>-2511.0259521814405</v>
      </c>
      <c r="F36" s="105">
        <f t="shared" ca="1" si="29"/>
        <v>-2041.462739038624</v>
      </c>
      <c r="G36" s="105">
        <f t="shared" ca="1" si="29"/>
        <v>-1051.2295397594435</v>
      </c>
      <c r="H36" s="105">
        <f t="shared" ca="1" si="29"/>
        <v>0</v>
      </c>
      <c r="I36" s="105">
        <f t="shared" ca="1" si="29"/>
        <v>0</v>
      </c>
      <c r="J36" s="105">
        <f t="shared" ca="1" si="29"/>
        <v>0</v>
      </c>
      <c r="K36" s="105">
        <f t="shared" ca="1" si="29"/>
        <v>0</v>
      </c>
      <c r="L36" s="105">
        <f t="shared" ca="1" si="29"/>
        <v>0</v>
      </c>
      <c r="M36" s="105">
        <f t="shared" ca="1" si="29"/>
        <v>0</v>
      </c>
      <c r="N36" s="105">
        <f t="shared" ca="1" si="29"/>
        <v>0</v>
      </c>
      <c r="O36" s="105">
        <f t="shared" ca="1" si="29"/>
        <v>0</v>
      </c>
      <c r="P36" s="105">
        <f t="shared" ca="1" si="29"/>
        <v>0</v>
      </c>
      <c r="Q36" s="105">
        <f t="shared" ca="1" si="29"/>
        <v>0</v>
      </c>
      <c r="R36" s="105">
        <f t="shared" ca="1" si="29"/>
        <v>0</v>
      </c>
      <c r="S36" s="105">
        <f t="shared" ca="1" si="29"/>
        <v>0</v>
      </c>
      <c r="T36" s="105">
        <f t="shared" ca="1" si="29"/>
        <v>0</v>
      </c>
      <c r="U36" s="105">
        <f t="shared" ca="1" si="29"/>
        <v>0</v>
      </c>
      <c r="V36" s="105">
        <f t="shared" ca="1" si="29"/>
        <v>0</v>
      </c>
      <c r="W36" s="105">
        <f t="shared" ca="1" si="29"/>
        <v>0</v>
      </c>
      <c r="X36" s="105">
        <f t="shared" ca="1" si="29"/>
        <v>0</v>
      </c>
      <c r="Y36" s="105">
        <f t="shared" ca="1" si="29"/>
        <v>0</v>
      </c>
      <c r="Z36" s="105">
        <f t="shared" ca="1" si="29"/>
        <v>0</v>
      </c>
    </row>
    <row r="37" spans="1:26" s="4" customFormat="1">
      <c r="A37" s="104" t="s">
        <v>158</v>
      </c>
      <c r="B37" s="104">
        <v>0</v>
      </c>
      <c r="C37" s="104">
        <v>0</v>
      </c>
      <c r="D37" s="104">
        <v>0</v>
      </c>
      <c r="E37" s="104">
        <v>0</v>
      </c>
      <c r="F37" s="104">
        <v>0</v>
      </c>
      <c r="G37" s="104">
        <v>0</v>
      </c>
      <c r="H37" s="104">
        <v>0</v>
      </c>
      <c r="I37" s="104">
        <v>0</v>
      </c>
      <c r="J37" s="104">
        <v>0</v>
      </c>
      <c r="K37" s="104">
        <f ca="1">IF(AND(ABS(J42)&gt;J41,ABS(K36)&gt;0)=TRUE,J42+J41,0)</f>
        <v>0</v>
      </c>
      <c r="L37" s="104">
        <f ca="1">IF(AND(ABS(K42)&gt;K40,ABS(L36)&gt;0)=TRUE,K42+K40,0)</f>
        <v>0</v>
      </c>
      <c r="M37" s="104">
        <f t="shared" ref="M37:Z37" ca="1" si="30">IF(AND(ABS(L42)&gt;L40,ABS(M36)&gt;0)=TRUE,L42+L40,0)</f>
        <v>0</v>
      </c>
      <c r="N37" s="104">
        <f t="shared" ca="1" si="30"/>
        <v>0</v>
      </c>
      <c r="O37" s="104">
        <f t="shared" ca="1" si="30"/>
        <v>0</v>
      </c>
      <c r="P37" s="104">
        <f t="shared" ca="1" si="30"/>
        <v>0</v>
      </c>
      <c r="Q37" s="104">
        <f t="shared" ca="1" si="30"/>
        <v>0</v>
      </c>
      <c r="R37" s="104">
        <f t="shared" ca="1" si="30"/>
        <v>0</v>
      </c>
      <c r="S37" s="104">
        <f t="shared" ca="1" si="30"/>
        <v>0</v>
      </c>
      <c r="T37" s="104">
        <f t="shared" ca="1" si="30"/>
        <v>0</v>
      </c>
      <c r="U37" s="104">
        <f t="shared" ca="1" si="30"/>
        <v>0</v>
      </c>
      <c r="V37" s="104">
        <f t="shared" ca="1" si="30"/>
        <v>0</v>
      </c>
      <c r="W37" s="104">
        <f t="shared" ca="1" si="30"/>
        <v>0</v>
      </c>
      <c r="X37" s="104">
        <f t="shared" ca="1" si="30"/>
        <v>0</v>
      </c>
      <c r="Y37" s="104">
        <f t="shared" ca="1" si="30"/>
        <v>0</v>
      </c>
      <c r="Z37" s="104">
        <f t="shared" ca="1" si="30"/>
        <v>0</v>
      </c>
    </row>
    <row r="38" spans="1:26">
      <c r="A38" s="47" t="s">
        <v>159</v>
      </c>
      <c r="B38" s="47">
        <f>B36-B37</f>
        <v>0</v>
      </c>
      <c r="C38" s="47">
        <f t="shared" ref="C38:Z38" ca="1" si="31">C36-C37</f>
        <v>-1536.9911508076088</v>
      </c>
      <c r="D38" s="47">
        <f t="shared" ca="1" si="31"/>
        <v>-2375.5272349375177</v>
      </c>
      <c r="E38" s="47">
        <f t="shared" ca="1" si="31"/>
        <v>-2511.0259521814405</v>
      </c>
      <c r="F38" s="47">
        <f t="shared" ca="1" si="31"/>
        <v>-2041.462739038624</v>
      </c>
      <c r="G38" s="47">
        <f t="shared" ca="1" si="31"/>
        <v>-1051.2295397594435</v>
      </c>
      <c r="H38" s="47">
        <f t="shared" ca="1" si="31"/>
        <v>0</v>
      </c>
      <c r="I38" s="47">
        <f t="shared" ca="1" si="31"/>
        <v>0</v>
      </c>
      <c r="J38" s="47">
        <f t="shared" ca="1" si="31"/>
        <v>0</v>
      </c>
      <c r="K38" s="47">
        <f t="shared" ca="1" si="31"/>
        <v>0</v>
      </c>
      <c r="L38" s="47">
        <f t="shared" ca="1" si="31"/>
        <v>0</v>
      </c>
      <c r="M38" s="47">
        <f t="shared" ca="1" si="31"/>
        <v>0</v>
      </c>
      <c r="N38" s="47">
        <f t="shared" ca="1" si="31"/>
        <v>0</v>
      </c>
      <c r="O38" s="47">
        <f t="shared" ca="1" si="31"/>
        <v>0</v>
      </c>
      <c r="P38" s="47">
        <f t="shared" ca="1" si="31"/>
        <v>0</v>
      </c>
      <c r="Q38" s="47">
        <f t="shared" ca="1" si="31"/>
        <v>0</v>
      </c>
      <c r="R38" s="47">
        <f t="shared" ca="1" si="31"/>
        <v>0</v>
      </c>
      <c r="S38" s="47">
        <f t="shared" ca="1" si="31"/>
        <v>0</v>
      </c>
      <c r="T38" s="47">
        <f t="shared" ca="1" si="31"/>
        <v>0</v>
      </c>
      <c r="U38" s="47">
        <f t="shared" ca="1" si="31"/>
        <v>0</v>
      </c>
      <c r="V38" s="47">
        <f t="shared" ca="1" si="31"/>
        <v>0</v>
      </c>
      <c r="W38" s="47">
        <f t="shared" ca="1" si="31"/>
        <v>0</v>
      </c>
      <c r="X38" s="47">
        <f t="shared" ca="1" si="31"/>
        <v>0</v>
      </c>
      <c r="Y38" s="47">
        <f t="shared" ca="1" si="31"/>
        <v>0</v>
      </c>
      <c r="Z38" s="47">
        <f t="shared" ca="1" si="31"/>
        <v>0</v>
      </c>
    </row>
    <row r="39" spans="1:26">
      <c r="A39" s="47" t="s">
        <v>81</v>
      </c>
      <c r="B39" s="47">
        <f ca="1">B8</f>
        <v>-1536.9911508076088</v>
      </c>
      <c r="C39" s="47">
        <f t="shared" ref="C39:Z39" ca="1" si="32">C8</f>
        <v>-838.53608412990889</v>
      </c>
      <c r="D39" s="47">
        <f t="shared" ca="1" si="32"/>
        <v>-135.49871724392278</v>
      </c>
      <c r="E39" s="47">
        <f t="shared" ca="1" si="32"/>
        <v>0</v>
      </c>
      <c r="F39" s="47">
        <f t="shared" ca="1" si="32"/>
        <v>0</v>
      </c>
      <c r="G39" s="47">
        <f t="shared" ca="1" si="32"/>
        <v>0</v>
      </c>
      <c r="H39" s="47">
        <f t="shared" ca="1" si="32"/>
        <v>0</v>
      </c>
      <c r="I39" s="47">
        <f t="shared" ca="1" si="32"/>
        <v>0</v>
      </c>
      <c r="J39" s="47">
        <f t="shared" ca="1" si="32"/>
        <v>0</v>
      </c>
      <c r="K39" s="47">
        <f t="shared" ca="1" si="32"/>
        <v>0</v>
      </c>
      <c r="L39" s="47">
        <f t="shared" ca="1" si="32"/>
        <v>0</v>
      </c>
      <c r="M39" s="47">
        <f t="shared" ca="1" si="32"/>
        <v>0</v>
      </c>
      <c r="N39" s="47">
        <f t="shared" ca="1" si="32"/>
        <v>0</v>
      </c>
      <c r="O39" s="47">
        <f t="shared" ca="1" si="32"/>
        <v>0</v>
      </c>
      <c r="P39" s="47">
        <f t="shared" ca="1" si="32"/>
        <v>0</v>
      </c>
      <c r="Q39" s="47">
        <f t="shared" ca="1" si="32"/>
        <v>0</v>
      </c>
      <c r="R39" s="47">
        <f t="shared" ca="1" si="32"/>
        <v>0</v>
      </c>
      <c r="S39" s="47">
        <f t="shared" ca="1" si="32"/>
        <v>0</v>
      </c>
      <c r="T39" s="47">
        <f t="shared" ca="1" si="32"/>
        <v>0</v>
      </c>
      <c r="U39" s="47">
        <f t="shared" ca="1" si="32"/>
        <v>0</v>
      </c>
      <c r="V39" s="47">
        <f t="shared" ca="1" si="32"/>
        <v>0</v>
      </c>
      <c r="W39" s="47">
        <f t="shared" ca="1" si="32"/>
        <v>0</v>
      </c>
      <c r="X39" s="47">
        <f t="shared" ca="1" si="32"/>
        <v>0</v>
      </c>
      <c r="Y39" s="47">
        <f t="shared" ca="1" si="32"/>
        <v>0</v>
      </c>
      <c r="Z39" s="47">
        <f t="shared" ca="1" si="32"/>
        <v>0</v>
      </c>
    </row>
    <row r="40" spans="1:26">
      <c r="A40" s="47" t="s">
        <v>89</v>
      </c>
      <c r="B40" s="47">
        <f ca="1">IF(B6&gt;0, MIN(B6,ABS(B38)),0)</f>
        <v>0</v>
      </c>
      <c r="C40" s="47">
        <f t="shared" ref="C40:Z40" ca="1" si="33">IF(C6&gt;0, MIN(C6,ABS(C38)),0)</f>
        <v>0</v>
      </c>
      <c r="D40" s="47">
        <f t="shared" ca="1" si="33"/>
        <v>0</v>
      </c>
      <c r="E40" s="47">
        <f t="shared" ca="1" si="33"/>
        <v>469.56321314281649</v>
      </c>
      <c r="F40" s="47">
        <f t="shared" ca="1" si="33"/>
        <v>990.23319927918055</v>
      </c>
      <c r="G40" s="47">
        <f t="shared" ca="1" si="33"/>
        <v>1051.2295397594435</v>
      </c>
      <c r="H40" s="47">
        <f t="shared" ca="1" si="33"/>
        <v>0</v>
      </c>
      <c r="I40" s="47">
        <f t="shared" ca="1" si="33"/>
        <v>0</v>
      </c>
      <c r="J40" s="47">
        <f t="shared" ca="1" si="33"/>
        <v>0</v>
      </c>
      <c r="K40" s="47">
        <f t="shared" ca="1" si="33"/>
        <v>0</v>
      </c>
      <c r="L40" s="47">
        <f t="shared" ca="1" si="33"/>
        <v>0</v>
      </c>
      <c r="M40" s="47">
        <f t="shared" ca="1" si="33"/>
        <v>0</v>
      </c>
      <c r="N40" s="47">
        <f t="shared" ca="1" si="33"/>
        <v>0</v>
      </c>
      <c r="O40" s="47">
        <f t="shared" ca="1" si="33"/>
        <v>0</v>
      </c>
      <c r="P40" s="47">
        <f t="shared" ca="1" si="33"/>
        <v>0</v>
      </c>
      <c r="Q40" s="47">
        <f t="shared" ca="1" si="33"/>
        <v>0</v>
      </c>
      <c r="R40" s="47">
        <f t="shared" ca="1" si="33"/>
        <v>0</v>
      </c>
      <c r="S40" s="47">
        <f t="shared" ca="1" si="33"/>
        <v>0</v>
      </c>
      <c r="T40" s="47">
        <f t="shared" ca="1" si="33"/>
        <v>0</v>
      </c>
      <c r="U40" s="47">
        <f t="shared" ca="1" si="33"/>
        <v>0</v>
      </c>
      <c r="V40" s="47">
        <f t="shared" ca="1" si="33"/>
        <v>0</v>
      </c>
      <c r="W40" s="47">
        <f t="shared" ca="1" si="33"/>
        <v>0</v>
      </c>
      <c r="X40" s="47">
        <f t="shared" ca="1" si="33"/>
        <v>0</v>
      </c>
      <c r="Y40" s="47">
        <f t="shared" ca="1" si="33"/>
        <v>0</v>
      </c>
      <c r="Z40" s="47">
        <f t="shared" ca="1" si="33"/>
        <v>0</v>
      </c>
    </row>
    <row r="41" spans="1:26">
      <c r="A41" s="104" t="s">
        <v>160</v>
      </c>
      <c r="B41" s="47">
        <f ca="1">B40</f>
        <v>0</v>
      </c>
      <c r="C41" s="47">
        <f ca="1">B41+C40</f>
        <v>0</v>
      </c>
      <c r="D41" s="47">
        <f ca="1">C41+D40</f>
        <v>0</v>
      </c>
      <c r="E41" s="47">
        <f t="shared" ref="E41:Z41" ca="1" si="34">D41+E40</f>
        <v>469.56321314281649</v>
      </c>
      <c r="F41" s="47">
        <f t="shared" ca="1" si="34"/>
        <v>1459.796412421997</v>
      </c>
      <c r="G41" s="47">
        <f t="shared" ca="1" si="34"/>
        <v>2511.0259521814405</v>
      </c>
      <c r="H41" s="47">
        <f t="shared" ca="1" si="34"/>
        <v>2511.0259521814405</v>
      </c>
      <c r="I41" s="47">
        <f t="shared" ca="1" si="34"/>
        <v>2511.0259521814405</v>
      </c>
      <c r="J41" s="47">
        <f t="shared" ca="1" si="34"/>
        <v>2511.0259521814405</v>
      </c>
      <c r="K41" s="47">
        <f t="shared" ca="1" si="34"/>
        <v>2511.0259521814405</v>
      </c>
      <c r="L41" s="47">
        <f t="shared" ca="1" si="34"/>
        <v>2511.0259521814405</v>
      </c>
      <c r="M41" s="47">
        <f t="shared" ca="1" si="34"/>
        <v>2511.0259521814405</v>
      </c>
      <c r="N41" s="47">
        <f t="shared" ca="1" si="34"/>
        <v>2511.0259521814405</v>
      </c>
      <c r="O41" s="47">
        <f t="shared" ca="1" si="34"/>
        <v>2511.0259521814405</v>
      </c>
      <c r="P41" s="47">
        <f t="shared" ca="1" si="34"/>
        <v>2511.0259521814405</v>
      </c>
      <c r="Q41" s="47">
        <f t="shared" ca="1" si="34"/>
        <v>2511.0259521814405</v>
      </c>
      <c r="R41" s="47">
        <f t="shared" ca="1" si="34"/>
        <v>2511.0259521814405</v>
      </c>
      <c r="S41" s="47">
        <f t="shared" ca="1" si="34"/>
        <v>2511.0259521814405</v>
      </c>
      <c r="T41" s="47">
        <f t="shared" ca="1" si="34"/>
        <v>2511.0259521814405</v>
      </c>
      <c r="U41" s="47">
        <f t="shared" ca="1" si="34"/>
        <v>2511.0259521814405</v>
      </c>
      <c r="V41" s="47">
        <f t="shared" ca="1" si="34"/>
        <v>2511.0259521814405</v>
      </c>
      <c r="W41" s="47">
        <f t="shared" ca="1" si="34"/>
        <v>2511.0259521814405</v>
      </c>
      <c r="X41" s="47">
        <f t="shared" ca="1" si="34"/>
        <v>2511.0259521814405</v>
      </c>
      <c r="Y41" s="47">
        <f t="shared" ca="1" si="34"/>
        <v>2511.0259521814405</v>
      </c>
      <c r="Z41" s="47">
        <f t="shared" ca="1" si="34"/>
        <v>2511.0259521814405</v>
      </c>
    </row>
    <row r="42" spans="1:26">
      <c r="A42" s="47" t="s">
        <v>161</v>
      </c>
      <c r="B42" s="43">
        <v>0</v>
      </c>
      <c r="C42" s="43">
        <v>0</v>
      </c>
      <c r="D42" s="43">
        <v>0</v>
      </c>
      <c r="E42" s="43">
        <v>0</v>
      </c>
      <c r="F42" s="43">
        <v>0</v>
      </c>
      <c r="G42" s="43">
        <v>0</v>
      </c>
      <c r="H42" s="43">
        <v>0</v>
      </c>
      <c r="I42" s="43">
        <v>0</v>
      </c>
      <c r="J42" s="43">
        <f ca="1">B39</f>
        <v>-1536.9911508076088</v>
      </c>
      <c r="K42" s="43">
        <f t="shared" ref="K42:Z42" ca="1" si="35">C39</f>
        <v>-838.53608412990889</v>
      </c>
      <c r="L42" s="43">
        <f t="shared" ca="1" si="35"/>
        <v>-135.49871724392278</v>
      </c>
      <c r="M42" s="43">
        <f t="shared" ca="1" si="35"/>
        <v>0</v>
      </c>
      <c r="N42" s="43">
        <f t="shared" ca="1" si="35"/>
        <v>0</v>
      </c>
      <c r="O42" s="43">
        <f t="shared" ca="1" si="35"/>
        <v>0</v>
      </c>
      <c r="P42" s="43">
        <f t="shared" ca="1" si="35"/>
        <v>0</v>
      </c>
      <c r="Q42" s="43">
        <f t="shared" ca="1" si="35"/>
        <v>0</v>
      </c>
      <c r="R42" s="43">
        <f t="shared" ca="1" si="35"/>
        <v>0</v>
      </c>
      <c r="S42" s="43">
        <f t="shared" ca="1" si="35"/>
        <v>0</v>
      </c>
      <c r="T42" s="43">
        <f t="shared" ca="1" si="35"/>
        <v>0</v>
      </c>
      <c r="U42" s="43">
        <f t="shared" ca="1" si="35"/>
        <v>0</v>
      </c>
      <c r="V42" s="43">
        <f t="shared" ca="1" si="35"/>
        <v>0</v>
      </c>
      <c r="W42" s="43">
        <f t="shared" ca="1" si="35"/>
        <v>0</v>
      </c>
      <c r="X42" s="43">
        <f t="shared" ca="1" si="35"/>
        <v>0</v>
      </c>
      <c r="Y42" s="43">
        <f t="shared" ca="1" si="35"/>
        <v>0</v>
      </c>
      <c r="Z42" s="43">
        <f t="shared" ca="1" si="35"/>
        <v>0</v>
      </c>
    </row>
    <row r="43" spans="1:26">
      <c r="A43" s="47" t="s">
        <v>83</v>
      </c>
      <c r="B43" s="47">
        <f t="shared" ref="B43:J43" ca="1" si="36">B38+B39+B40</f>
        <v>-1536.9911508076088</v>
      </c>
      <c r="C43" s="47">
        <f t="shared" ca="1" si="36"/>
        <v>-2375.5272349375177</v>
      </c>
      <c r="D43" s="47">
        <f t="shared" ca="1" si="36"/>
        <v>-2511.0259521814405</v>
      </c>
      <c r="E43" s="47">
        <f t="shared" ca="1" si="36"/>
        <v>-2041.462739038624</v>
      </c>
      <c r="F43" s="47">
        <f t="shared" ca="1" si="36"/>
        <v>-1051.2295397594435</v>
      </c>
      <c r="G43" s="47">
        <f t="shared" ca="1" si="36"/>
        <v>0</v>
      </c>
      <c r="H43" s="47">
        <f t="shared" ca="1" si="36"/>
        <v>0</v>
      </c>
      <c r="I43" s="47">
        <f t="shared" ca="1" si="36"/>
        <v>0</v>
      </c>
      <c r="J43" s="47">
        <f t="shared" ca="1" si="36"/>
        <v>0</v>
      </c>
      <c r="K43" s="47">
        <f ca="1">K38+K39+K40</f>
        <v>0</v>
      </c>
      <c r="L43" s="47">
        <f t="shared" ref="L43:Z43" ca="1" si="37">L38+L39+L40</f>
        <v>0</v>
      </c>
      <c r="M43" s="47">
        <f t="shared" ca="1" si="37"/>
        <v>0</v>
      </c>
      <c r="N43" s="47">
        <f t="shared" ca="1" si="37"/>
        <v>0</v>
      </c>
      <c r="O43" s="47">
        <f t="shared" ca="1" si="37"/>
        <v>0</v>
      </c>
      <c r="P43" s="47">
        <f t="shared" ca="1" si="37"/>
        <v>0</v>
      </c>
      <c r="Q43" s="47">
        <f t="shared" ca="1" si="37"/>
        <v>0</v>
      </c>
      <c r="R43" s="47">
        <f t="shared" ca="1" si="37"/>
        <v>0</v>
      </c>
      <c r="S43" s="47">
        <f t="shared" ca="1" si="37"/>
        <v>0</v>
      </c>
      <c r="T43" s="47">
        <f t="shared" ca="1" si="37"/>
        <v>0</v>
      </c>
      <c r="U43" s="47">
        <f t="shared" ca="1" si="37"/>
        <v>0</v>
      </c>
      <c r="V43" s="47">
        <f t="shared" ca="1" si="37"/>
        <v>0</v>
      </c>
      <c r="W43" s="47">
        <f t="shared" ca="1" si="37"/>
        <v>0</v>
      </c>
      <c r="X43" s="47">
        <f t="shared" ca="1" si="37"/>
        <v>0</v>
      </c>
      <c r="Y43" s="47">
        <f t="shared" ca="1" si="37"/>
        <v>0</v>
      </c>
      <c r="Z43" s="47">
        <f t="shared" ca="1" si="37"/>
        <v>0</v>
      </c>
    </row>
    <row r="44" spans="1:26">
      <c r="C44" s="27"/>
    </row>
    <row r="45" spans="1:26">
      <c r="A45" s="104" t="s">
        <v>189</v>
      </c>
      <c r="B45" s="111">
        <f ca="1">IF(B20=B33,Assumption!$D$64,Assumption!$D$63)</f>
        <v>0.16995000000000002</v>
      </c>
      <c r="C45" s="111">
        <f ca="1">IF(C20=C33,Assumption!$D$64,Assumption!$D$63)</f>
        <v>0.16995000000000002</v>
      </c>
      <c r="D45" s="111">
        <f ca="1">IF(D20=D33,Assumption!$D$64,Assumption!$D$63)</f>
        <v>0.16995000000000002</v>
      </c>
      <c r="E45" s="111">
        <f ca="1">IF(E20=E33,Assumption!$D$64,Assumption!$D$63)</f>
        <v>0.16995000000000002</v>
      </c>
      <c r="F45" s="111">
        <f ca="1">IF(F20=F33,Assumption!$D$64,Assumption!$D$63)</f>
        <v>0.16995000000000002</v>
      </c>
      <c r="G45" s="111">
        <f ca="1">IF(G20=G33,Assumption!$D$64,Assumption!$D$63)</f>
        <v>0.16995000000000002</v>
      </c>
      <c r="H45" s="111">
        <f ca="1">IF(H20=H33,Assumption!$D$64,Assumption!$D$63)</f>
        <v>0.16995000000000002</v>
      </c>
      <c r="I45" s="111">
        <f ca="1">IF(I20=I33,Assumption!$D$64,Assumption!$D$63)</f>
        <v>0.16995000000000002</v>
      </c>
      <c r="J45" s="111">
        <f ca="1">IF(J20=J33,Assumption!$D$64,Assumption!$D$63)</f>
        <v>0.16995000000000002</v>
      </c>
      <c r="K45" s="111">
        <f ca="1">IF(K20=K33,Assumption!$D$64,Assumption!$D$63)</f>
        <v>0.16995000000000002</v>
      </c>
      <c r="L45" s="111">
        <f ca="1">IF(L20=L33,Assumption!$D$64,Assumption!$D$63)</f>
        <v>0.16995000000000002</v>
      </c>
      <c r="M45" s="111">
        <f ca="1">IF(M20=M33,Assumption!$D$64,Assumption!$D$63)</f>
        <v>0.16995000000000002</v>
      </c>
      <c r="N45" s="111">
        <f ca="1">IF(N20=N33,Assumption!$D$64,Assumption!$D$63)</f>
        <v>0.16995000000000002</v>
      </c>
      <c r="O45" s="111">
        <f ca="1">IF(O20=O33,Assumption!$D$64,Assumption!$D$63)</f>
        <v>0.16995000000000002</v>
      </c>
      <c r="P45" s="111">
        <f ca="1">IF(P20=P33,Assumption!$D$64,Assumption!$D$63)</f>
        <v>0.16995000000000002</v>
      </c>
      <c r="Q45" s="111">
        <f ca="1">IF(Q20=Q33,Assumption!$D$64,Assumption!$D$63)</f>
        <v>0.16995000000000002</v>
      </c>
      <c r="R45" s="111">
        <f ca="1">IF(R20=R33,Assumption!$D$64,Assumption!$D$63)</f>
        <v>0.16995000000000002</v>
      </c>
      <c r="S45" s="111">
        <f ca="1">IF(S20=S33,Assumption!$D$64,Assumption!$D$63)</f>
        <v>0.33990000000000004</v>
      </c>
      <c r="T45" s="111">
        <f ca="1">IF(T20=T33,Assumption!$D$64,Assumption!$D$63)</f>
        <v>0.33990000000000004</v>
      </c>
      <c r="U45" s="111">
        <f ca="1">IF(U20=U33,Assumption!$D$64,Assumption!$D$63)</f>
        <v>0.33990000000000004</v>
      </c>
      <c r="V45" s="111">
        <f ca="1">IF(V20=V33,Assumption!$D$64,Assumption!$D$63)</f>
        <v>0.33990000000000004</v>
      </c>
      <c r="W45" s="111">
        <f ca="1">IF(W20=W33,Assumption!$D$64,Assumption!$D$63)</f>
        <v>0.33990000000000004</v>
      </c>
      <c r="X45" s="111">
        <f ca="1">IF(X20=X33,Assumption!$D$64,Assumption!$D$63)</f>
        <v>0.33990000000000004</v>
      </c>
      <c r="Y45" s="111">
        <f ca="1">IF(Y20=Y33,Assumption!$D$64,Assumption!$D$63)</f>
        <v>0.33990000000000004</v>
      </c>
      <c r="Z45" s="111">
        <f ca="1">IF(Z20=Z33,Assumption!$D$64,Assumption!$D$63)</f>
        <v>0.33990000000000004</v>
      </c>
    </row>
    <row r="46" spans="1:26" ht="45">
      <c r="A46" s="110" t="s">
        <v>163</v>
      </c>
      <c r="B46" s="107">
        <f ca="1">Assumption!$D$58/(1-B45)</f>
        <v>0.18673573881091501</v>
      </c>
      <c r="C46" s="107">
        <f ca="1">Assumption!$D$58/(1-C45)</f>
        <v>0.18673573881091501</v>
      </c>
      <c r="D46" s="107">
        <f ca="1">Assumption!$D$58/(1-D45)</f>
        <v>0.18673573881091501</v>
      </c>
      <c r="E46" s="107">
        <f ca="1">Assumption!$D$58/(1-E45)</f>
        <v>0.18673573881091501</v>
      </c>
      <c r="F46" s="107">
        <f ca="1">Assumption!$D$58/(1-F45)</f>
        <v>0.18673573881091501</v>
      </c>
      <c r="G46" s="107">
        <f ca="1">Assumption!$D$58/(1-G45)</f>
        <v>0.18673573881091501</v>
      </c>
      <c r="H46" s="107">
        <f ca="1">Assumption!$D$58/(1-H45)</f>
        <v>0.18673573881091501</v>
      </c>
      <c r="I46" s="107">
        <f ca="1">Assumption!$D$58/(1-I45)</f>
        <v>0.18673573881091501</v>
      </c>
      <c r="J46" s="107">
        <f ca="1">Assumption!$D$58/(1-J45)</f>
        <v>0.18673573881091501</v>
      </c>
      <c r="K46" s="107">
        <f ca="1">Assumption!$D$58/(1-K45)</f>
        <v>0.18673573881091501</v>
      </c>
      <c r="L46" s="107">
        <f ca="1">Assumption!$D$58/(1-L45)</f>
        <v>0.18673573881091501</v>
      </c>
      <c r="M46" s="107">
        <f ca="1">Assumption!$D$58/(1-M45)</f>
        <v>0.18673573881091501</v>
      </c>
      <c r="N46" s="107">
        <f ca="1">Assumption!$D$58/(1-N45)</f>
        <v>0.18673573881091501</v>
      </c>
      <c r="O46" s="107">
        <f ca="1">Assumption!$D$58/(1-O45)</f>
        <v>0.18673573881091501</v>
      </c>
      <c r="P46" s="107">
        <f ca="1">Assumption!$D$58/(1-P45)</f>
        <v>0.18673573881091501</v>
      </c>
      <c r="Q46" s="107">
        <f ca="1">Assumption!$D$58/(1-Q45)</f>
        <v>0.18673573881091501</v>
      </c>
      <c r="R46" s="107">
        <f ca="1">Assumption!$D$58/(1-R45)</f>
        <v>0.18673573881091501</v>
      </c>
      <c r="S46" s="107">
        <f ca="1">Assumption!$D$58/(1-S45)</f>
        <v>0.23481290713528255</v>
      </c>
      <c r="T46" s="107">
        <f ca="1">Assumption!$D$58/(1-T45)</f>
        <v>0.23481290713528255</v>
      </c>
      <c r="U46" s="107">
        <f ca="1">Assumption!$D$58/(1-U45)</f>
        <v>0.23481290713528255</v>
      </c>
      <c r="V46" s="107">
        <f ca="1">Assumption!$D$58/(1-V45)</f>
        <v>0.23481290713528255</v>
      </c>
      <c r="W46" s="107">
        <f ca="1">Assumption!$D$58/(1-W45)</f>
        <v>0.23481290713528255</v>
      </c>
      <c r="X46" s="107">
        <f ca="1">Assumption!$D$58/(1-X45)</f>
        <v>0.23481290713528255</v>
      </c>
      <c r="Y46" s="107">
        <f ca="1">Assumption!$D$58/(1-Y45)</f>
        <v>0.23481290713528255</v>
      </c>
      <c r="Z46" s="107">
        <f ca="1">Assumption!$D$58/(1-Z45)</f>
        <v>0.23481290713528255</v>
      </c>
    </row>
    <row r="47" spans="1:26">
      <c r="C47" s="27"/>
    </row>
    <row r="48" spans="1:26">
      <c r="C48" s="27"/>
    </row>
    <row r="49" spans="3:3">
      <c r="C49" s="27"/>
    </row>
    <row r="50" spans="3:3">
      <c r="C50" s="27"/>
    </row>
    <row r="51" spans="3:3">
      <c r="C51" s="27"/>
    </row>
    <row r="52" spans="3:3">
      <c r="C52" s="27"/>
    </row>
    <row r="53" spans="3:3">
      <c r="C53" s="27"/>
    </row>
    <row r="54" spans="3:3">
      <c r="C54" s="27"/>
    </row>
    <row r="55" spans="3:3">
      <c r="C55" s="27"/>
    </row>
    <row r="56" spans="3:3">
      <c r="C56" s="27"/>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Assumption</vt:lpstr>
      <vt:lpstr>Sensitivity Analysis</vt:lpstr>
      <vt:lpstr>Fuel Pricing_Coal</vt:lpstr>
      <vt:lpstr>depre</vt:lpstr>
      <vt:lpstr>term loan </vt:lpstr>
      <vt:lpstr>fuel</vt:lpstr>
      <vt:lpstr>fixed cost</vt:lpstr>
      <vt:lpstr>Sheet1</vt:lpstr>
      <vt:lpstr>Tax</vt:lpstr>
      <vt:lpstr>PL</vt:lpstr>
      <vt:lpstr>Assumption!Print_Area</vt:lpstr>
      <vt:lpstr>depre!Print_Area</vt:lpstr>
      <vt:lpstr>'fixed cost'!Print_Area</vt:lpstr>
      <vt:lpstr>fuel!Print_Area</vt:lpstr>
      <vt:lpstr>PL!Print_Area</vt:lpstr>
      <vt:lpstr>'term loan '!Print_Area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220265</cp:lastModifiedBy>
  <cp:lastPrinted>2011-05-31T10:19:21Z</cp:lastPrinted>
  <dcterms:created xsi:type="dcterms:W3CDTF">1996-10-14T23:33:28Z</dcterms:created>
  <dcterms:modified xsi:type="dcterms:W3CDTF">2012-11-03T09:19:43Z</dcterms:modified>
</cp:coreProperties>
</file>