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2120" windowHeight="9120" tabRatio="807"/>
  </bookViews>
  <sheets>
    <sheet name="Assumption" sheetId="1" r:id="rId1"/>
    <sheet name="Sensitivity Analysis" sheetId="12" r:id="rId2"/>
    <sheet name="Lignite Price" sheetId="13" r:id="rId3"/>
    <sheet name="depre" sheetId="2" r:id="rId4"/>
    <sheet name="term loan " sheetId="3" r:id="rId5"/>
    <sheet name="fuel" sheetId="4" r:id="rId6"/>
    <sheet name="fixed cost" sheetId="5" r:id="rId7"/>
    <sheet name="Sheet1" sheetId="6" state="hidden" r:id="rId8"/>
    <sheet name="Tax" sheetId="7" r:id="rId9"/>
    <sheet name="PL" sheetId="11"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 localSheetId="9">'[1]Top Sheet'!#REF!</definedName>
    <definedName name="\b" localSheetId="9">#REF!</definedName>
    <definedName name="\c" localSheetId="9">#REF!</definedName>
    <definedName name="_2500_T_PRESS" localSheetId="9">'[2]COST SHEET'!#REF!</definedName>
    <definedName name="_3150_T_PRESS" localSheetId="9">'[2]COST SHEET'!#REF!</definedName>
    <definedName name="_800_T_PRESS" localSheetId="9">'[2]COST SHEET'!#REF!</definedName>
    <definedName name="_kedar" localSheetId="9" hidden="1">#REF!</definedName>
    <definedName name="_Key2" localSheetId="9" hidden="1">'[2]COST SHEET'!#REF!</definedName>
    <definedName name="_Order1" hidden="1">0</definedName>
    <definedName name="_Order2" hidden="1">255</definedName>
    <definedName name="_Sort" hidden="1">'[2]#REF'!$M$10:$M$64</definedName>
    <definedName name="a">'[3]Break up of RMcost'!$D$5</definedName>
    <definedName name="AC">[4]Details!$D$187</definedName>
    <definedName name="ALLOY__ROD" localSheetId="9">'[2]COST SHEET'!#REF!</definedName>
    <definedName name="ALLOY_INGO" localSheetId="9">'[2]COST SHEET'!#REF!</definedName>
    <definedName name="ALUMINA_HYDRATE" localSheetId="9">'[2]COST SHEET'!#REF!</definedName>
    <definedName name="ANODE_PASTE" localSheetId="9">'[2]COST SHEET'!#REF!</definedName>
    <definedName name="anscount" hidden="1">1</definedName>
    <definedName name="b">[5]Variables!$A$5</definedName>
    <definedName name="best" localSheetId="9">'[2]Top Sheet'!#REF!</definedName>
    <definedName name="BILLET" localSheetId="9">'[2]COST SHEET'!#REF!</definedName>
    <definedName name="BU">'[6]Report Setup Sheet'!$B$50</definedName>
    <definedName name="C.R.P" localSheetId="9">'[2]COST SHEET'!#REF!</definedName>
    <definedName name="CALCINED_ALUMIN" localSheetId="9">'[2]COST SHEET'!#REF!</definedName>
    <definedName name="CCR" localSheetId="9">[7]REFNCOMPARE!#REF!</definedName>
    <definedName name="CCRFIN" localSheetId="9">[7]REFNCOMPARE!#REF!</definedName>
    <definedName name="CELL_REL_CONTRACT" localSheetId="9">'[2]cell rel'!#REF!</definedName>
    <definedName name="CELL_RELINING_MATERIAL" localSheetId="9">'[2]cell rel'!#REF!</definedName>
    <definedName name="COMPARATIVE">'[2]#REF'!$C$10</definedName>
    <definedName name="con" localSheetId="9">#REF!</definedName>
    <definedName name="CONBUDGET">'[2]#REF'!$I$38</definedName>
    <definedName name="contangoforoct">[8]CONTANGO!$I$38</definedName>
    <definedName name="CONTRACT_SUMMARY" localSheetId="9">'[2]Contract Details'!#REF!</definedName>
    <definedName name="COST_ALUMINA">'[2]#REF'!$A$1:$F$22</definedName>
    <definedName name="COUNT">'[2]#REF'!$A$5:$O$48</definedName>
    <definedName name="CRP" localSheetId="9">'[2]COST SHEET'!#REF!</definedName>
    <definedName name="d">'[2]#REF'!$C$51:$N$51</definedName>
    <definedName name="_xlnm.Database" localSheetId="2">'[2]COST SHEET'!#REF!</definedName>
    <definedName name="_xlnm.Database" localSheetId="9">'[2]COST SHEET'!#REF!</definedName>
    <definedName name="_xlnm.Database">'[2]COST SHEET'!#REF!</definedName>
    <definedName name="DepApr" localSheetId="9">'[9]Monthly Break Up'!#REF!</definedName>
    <definedName name="DepAug" localSheetId="9">'[9]Monthly Break Up'!#REF!</definedName>
    <definedName name="DepDec" localSheetId="9">'[9]Monthly Break Up'!#REF!</definedName>
    <definedName name="DepFeb" localSheetId="9">'[9]Monthly Break Up'!#REF!</definedName>
    <definedName name="DepJan" localSheetId="9">'[9]Monthly Break Up'!#REF!</definedName>
    <definedName name="DepJuly" localSheetId="9">'[9]Monthly Break Up'!#REF!</definedName>
    <definedName name="DepJune" localSheetId="9">'[9]Monthly Break Up'!#REF!</definedName>
    <definedName name="DepMar" localSheetId="9">'[9]Monthly Break Up'!#REF!</definedName>
    <definedName name="DepMay" localSheetId="9">'[9]Monthly Break Up'!#REF!</definedName>
    <definedName name="DepNov" localSheetId="9">'[9]Monthly Break Up'!#REF!</definedName>
    <definedName name="DepOct" localSheetId="9">'[9]Monthly Break Up'!#REF!</definedName>
    <definedName name="Depreciation" localSheetId="9">'[9]Monthly Break Up'!#REF!</definedName>
    <definedName name="DepreciationAprActual" localSheetId="9">'[9]Monthly Break Up'!#REF!</definedName>
    <definedName name="DepriciationAprActual" localSheetId="9">'[9]Monthly Break Up'!#REF!</definedName>
    <definedName name="DepriciationAugProj" localSheetId="9">'[9]Monthly Break Up'!#REF!</definedName>
    <definedName name="DepriciationDecProj" localSheetId="9">'[9]Monthly Break Up'!#REF!</definedName>
    <definedName name="DepriciationFebProj" localSheetId="9">'[9]Monthly Break Up'!#REF!</definedName>
    <definedName name="DepriciationJanProj" localSheetId="9">'[9]Monthly Break Up'!#REF!</definedName>
    <definedName name="DepriciationJulyProj" localSheetId="9">'[9]Monthly Break Up'!#REF!</definedName>
    <definedName name="DepriciationJuneProj" localSheetId="9">'[9]Monthly Break Up'!#REF!</definedName>
    <definedName name="DepriciationMarProj" localSheetId="9">'[9]Monthly Break Up'!#REF!</definedName>
    <definedName name="DepriciationMayActual" localSheetId="9">'[9]Monthly Break Up'!#REF!</definedName>
    <definedName name="DepriciationNovProj" localSheetId="9">'[9]Monthly Break Up'!#REF!</definedName>
    <definedName name="DepriciationOctProj" localSheetId="9">'[9]Monthly Break Up'!#REF!</definedName>
    <definedName name="DepriciationSepProj" localSheetId="9">'[9]Monthly Break Up'!#REF!</definedName>
    <definedName name="DepSep" localSheetId="9">'[9]Monthly Break Up'!#REF!</definedName>
    <definedName name="DepSept" localSheetId="9">'[9]Monthly Break Up'!#REF!</definedName>
    <definedName name="ee">'[2]#REF'!$C$436</definedName>
    <definedName name="ex" localSheetId="9">#REF!</definedName>
    <definedName name="_xlnm.Extract" localSheetId="2">'[2]COST SHEET'!#REF!</definedName>
    <definedName name="_xlnm.Extract" localSheetId="9">'[2]COST SHEET'!#REF!</definedName>
    <definedName name="_xlnm.Extract">'[2]COST SHEET'!#REF!</definedName>
    <definedName name="EXTRUSION" localSheetId="9">'[2]COST SHEET'!#REF!</definedName>
    <definedName name="fgdsfdsf" hidden="1">[2]GROUPING!$F$440:$F$1029</definedName>
    <definedName name="G">[4]Details!$D$205</definedName>
    <definedName name="H.R.C." localSheetId="9">'[2]COST SHEET'!#REF!</definedName>
    <definedName name="H.R.P" localSheetId="9">'[2]COST SHEET'!#REF!</definedName>
    <definedName name="HOTMETAL" localSheetId="9">'[2]COST SHEET'!#REF!</definedName>
    <definedName name="inr">[2]assumption!$D$64</definedName>
    <definedName name="jdjfkhdj" localSheetId="9">#REF!</definedName>
    <definedName name="k" localSheetId="2">#REF!</definedName>
    <definedName name="k">#REF!</definedName>
    <definedName name="kedar">'[2]#REF'!$C$10</definedName>
    <definedName name="Kedar1">'[2]OTHER RM'!$B$4:$H$26</definedName>
    <definedName name="lastname" localSheetId="9">'[2]#REF'!#REF!</definedName>
    <definedName name="Levelized_Tariff" localSheetId="2">[10]Assumption!#REF!</definedName>
    <definedName name="Levelized_Tariff">[10]Assumption!#REF!</definedName>
    <definedName name="MAINT_CONSUMPTION">'[2]#REF'!$B$2:$L$48</definedName>
    <definedName name="mar">[11]margin.!$I$17</definedName>
    <definedName name="may" localSheetId="9">#REF!</definedName>
    <definedName name="MGMETALS" localSheetId="9">[2]BREAKUP!#REF!</definedName>
    <definedName name="MHM">[4]Details!$D$156</definedName>
    <definedName name="misgroup" hidden="1">[2]GROUPING!$B$440:$B$1029</definedName>
    <definedName name="N" localSheetId="9">[2]BREAKUP!#REF!</definedName>
    <definedName name="NetProfit">'[2]#REF'!$G$56</definedName>
    <definedName name="om">'[2]#REF'!$C$327</definedName>
    <definedName name="OTHER_RM_SUM" localSheetId="9">'[2]rawmat break up'!#REF!</definedName>
    <definedName name="p" localSheetId="2">'[1]Top Sheet'!#REF!</definedName>
    <definedName name="p">'[1]Top Sheet'!#REF!</definedName>
    <definedName name="PATMonthActual" localSheetId="9">#REF!</definedName>
    <definedName name="PATYearActual" localSheetId="9">#REF!</definedName>
    <definedName name="PIG_CASTING" localSheetId="9">'[2]COST SHEET'!#REF!</definedName>
    <definedName name="post" localSheetId="9" hidden="1">#REF!</definedName>
    <definedName name="power" localSheetId="9">#REF!</definedName>
    <definedName name="print" localSheetId="9">#REF!</definedName>
    <definedName name="_xlnm.Print_Area" localSheetId="0">Assumption!$A$1:$G$75</definedName>
    <definedName name="_xlnm.Print_Area" localSheetId="3">depre!$A$1:$Z$31</definedName>
    <definedName name="_xlnm.Print_Area" localSheetId="6">'fixed cost'!$A$1:$Z$45</definedName>
    <definedName name="_xlnm.Print_Area" localSheetId="5">fuel!$A$1:$AD$78</definedName>
    <definedName name="_xlnm.Print_Area" localSheetId="9">PL!$A$1:$AA$34</definedName>
    <definedName name="_xlnm.Print_Area" localSheetId="4">'term loan '!$A$1:$Q$28</definedName>
    <definedName name="Print_Area_MI" localSheetId="9">#REF!</definedName>
    <definedName name="PRINT_TITLES_MI" localSheetId="9">'[1]Top Sheet'!#REF!</definedName>
    <definedName name="production" localSheetId="9">#REF!</definedName>
    <definedName name="PROFITLOSS" localSheetId="9">#REF!</definedName>
    <definedName name="Project_to_date">'[2]#REF'!$H$9:$J$32</definedName>
    <definedName name="PROPERZI" localSheetId="9">'[2]COST SHEET'!#REF!</definedName>
    <definedName name="rcop" localSheetId="9">#REF!</definedName>
    <definedName name="RCOP1">'[2]#REF'!$K$31</definedName>
    <definedName name="rcu">'[12]lot no 86'!$K$31</definedName>
    <definedName name="Re">[13]margin.!$L$4</definedName>
    <definedName name="REAL">'[2]#REF'!$Q$86</definedName>
    <definedName name="reali" localSheetId="9">#REF!</definedName>
    <definedName name="res">'[2]Break up of RMcost'!$D$5</definedName>
    <definedName name="resd" localSheetId="9">'[2]Top Sheet'!#REF!</definedName>
    <definedName name="RevenueDataEntry" localSheetId="9">'[2]Sales &amp;Sale Cost'!#REF!</definedName>
    <definedName name="rg" localSheetId="9">#REF!</definedName>
    <definedName name="rm">'[2]#REF'!$C$387</definedName>
    <definedName name="RM_VARIANCE">'[2]#REF'!$B$6:$Q$22</definedName>
    <definedName name="ROLLED_PRODUCTS" localSheetId="9">'[2]COST SHEET'!#REF!</definedName>
    <definedName name="rpd">'[12]lot no 86'!$K$29</definedName>
    <definedName name="rpt">'[12]lot no 86'!$K$28</definedName>
    <definedName name="rs" localSheetId="9">#REF!</definedName>
    <definedName name="SL">[4]Details!$D$195</definedName>
    <definedName name="SLAB_CASTING" localSheetId="9">'[2]COST SHEET'!#REF!</definedName>
    <definedName name="STEAM" localSheetId="9">#REF!</definedName>
    <definedName name="STEAM_PLANT" localSheetId="9">'[2]COST SHEET'!#REF!</definedName>
    <definedName name="StockMovementEntry">'[2]Stock Cal'!$A$100:$D$103</definedName>
    <definedName name="STORES">'[2]#REF'!$A$1:$L$61</definedName>
    <definedName name="STORES_DETAILS">'[2]#REF'!$A$4:$J$76</definedName>
    <definedName name="STORES_SUMMARY">'[2]#REF'!$B$78:$D$86</definedName>
    <definedName name="TB">'[2]#REF'!$A$1:$C$68</definedName>
    <definedName name="tonnes_railed_wmt">'[2]#REF'!$C$51:$N$51</definedName>
    <definedName name="Variance_analysis">'[2]#REF'!$A$73:$F$127</definedName>
    <definedName name="X">'[2]#REF'!$E$511:$E$539</definedName>
    <definedName name="z">[14]DETAILS!$C$5</definedName>
    <definedName name="Z_6D27EB6A_3939_4201_8E4B_897AA8118F21_.wvu.Cols" localSheetId="0" hidden="1">Assumption!$G:$G</definedName>
    <definedName name="Z_6D27EB6A_3939_4201_8E4B_897AA8118F21_.wvu.PrintArea" localSheetId="0" hidden="1">Assumption!$A$1:$G$75</definedName>
    <definedName name="Z_6D27EB6A_3939_4201_8E4B_897AA8118F21_.wvu.PrintArea" localSheetId="3" hidden="1">depre!$A$1:$Z$24</definedName>
    <definedName name="Z_6D27EB6A_3939_4201_8E4B_897AA8118F21_.wvu.PrintArea" localSheetId="6" hidden="1">'fixed cost'!$A$1:$Z$45</definedName>
    <definedName name="Z_6D27EB6A_3939_4201_8E4B_897AA8118F21_.wvu.PrintArea" localSheetId="5" hidden="1">fuel!$A$1:$AD$72</definedName>
    <definedName name="Z_6D27EB6A_3939_4201_8E4B_897AA8118F21_.wvu.PrintArea" localSheetId="4" hidden="1">'term loan '!$A$1:$F$28</definedName>
  </definedNames>
  <calcPr calcId="125725"/>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D5" i="13"/>
  <c r="D4"/>
  <c r="D3"/>
  <c r="D2"/>
  <c r="D40" i="1"/>
  <c r="D41" s="1"/>
  <c r="D16"/>
  <c r="D10"/>
  <c r="Q16" i="3"/>
  <c r="Q17"/>
  <c r="Q18"/>
  <c r="Q19"/>
  <c r="Q20"/>
  <c r="Q21"/>
  <c r="D53" i="1"/>
  <c r="F2" i="13" l="1"/>
  <c r="F3"/>
  <c r="F4"/>
  <c r="F5"/>
  <c r="E2"/>
  <c r="G2" s="1"/>
  <c r="E3"/>
  <c r="G3" s="1"/>
  <c r="E4"/>
  <c r="G4" s="1"/>
  <c r="E5"/>
  <c r="G5" s="1"/>
  <c r="D66" i="1"/>
  <c r="D50"/>
  <c r="D55" s="1"/>
  <c r="D58"/>
  <c r="G6" i="13" l="1"/>
  <c r="D42" i="1" s="1"/>
  <c r="Z14" i="5"/>
  <c r="AA13" i="11"/>
  <c r="B59" i="4"/>
  <c r="B18" i="2"/>
  <c r="D65" i="1"/>
  <c r="D49"/>
  <c r="B12" i="2" l="1"/>
  <c r="B37" i="7"/>
  <c r="B7" s="1"/>
  <c r="C5" i="11" l="1"/>
  <c r="G5" i="3"/>
  <c r="G6" s="1"/>
  <c r="G7" s="1"/>
  <c r="G8" s="1"/>
  <c r="G9" s="1"/>
  <c r="G10" s="1"/>
  <c r="G11" s="1"/>
  <c r="G12" s="1"/>
  <c r="G13" s="1"/>
  <c r="G14" s="1"/>
  <c r="G15" s="1"/>
  <c r="G16" s="1"/>
  <c r="G17" s="1"/>
  <c r="G18" s="1"/>
  <c r="G19" s="1"/>
  <c r="G20" s="1"/>
  <c r="G21" s="1"/>
  <c r="A34" i="1"/>
  <c r="Y44" i="4" l="1"/>
  <c r="Y45" s="1"/>
  <c r="W44"/>
  <c r="W45" s="1"/>
  <c r="U44"/>
  <c r="U45" s="1"/>
  <c r="S44"/>
  <c r="S45" s="1"/>
  <c r="Q44"/>
  <c r="Q45" s="1"/>
  <c r="O44"/>
  <c r="O45" s="1"/>
  <c r="M44"/>
  <c r="M45" s="1"/>
  <c r="K44"/>
  <c r="K45" s="1"/>
  <c r="I44"/>
  <c r="I45" s="1"/>
  <c r="G44"/>
  <c r="G45" s="1"/>
  <c r="E44"/>
  <c r="E45" s="1"/>
  <c r="C44"/>
  <c r="C45" s="1"/>
  <c r="Z44"/>
  <c r="Z45" s="1"/>
  <c r="X44"/>
  <c r="X45" s="1"/>
  <c r="V44"/>
  <c r="V45" s="1"/>
  <c r="T44"/>
  <c r="T45" s="1"/>
  <c r="R44"/>
  <c r="R45" s="1"/>
  <c r="P44"/>
  <c r="P45" s="1"/>
  <c r="N44"/>
  <c r="N45" s="1"/>
  <c r="L44"/>
  <c r="L45" s="1"/>
  <c r="J44"/>
  <c r="J45" s="1"/>
  <c r="H44"/>
  <c r="H45" s="1"/>
  <c r="F44"/>
  <c r="F45" s="1"/>
  <c r="D44"/>
  <c r="D45" s="1"/>
  <c r="B44"/>
  <c r="B45" s="1"/>
  <c r="Z38"/>
  <c r="X38"/>
  <c r="V38"/>
  <c r="T38"/>
  <c r="R38"/>
  <c r="P38"/>
  <c r="N38"/>
  <c r="L38"/>
  <c r="J38"/>
  <c r="H38"/>
  <c r="F38"/>
  <c r="D38"/>
  <c r="B38"/>
  <c r="Y38"/>
  <c r="W38"/>
  <c r="U38"/>
  <c r="S38"/>
  <c r="Q38"/>
  <c r="O38"/>
  <c r="M38"/>
  <c r="K38"/>
  <c r="I38"/>
  <c r="G38"/>
  <c r="E38"/>
  <c r="C38"/>
  <c r="Y37"/>
  <c r="W37"/>
  <c r="U37"/>
  <c r="S37"/>
  <c r="Q37"/>
  <c r="O37"/>
  <c r="M37"/>
  <c r="K37"/>
  <c r="I37"/>
  <c r="G37"/>
  <c r="E37"/>
  <c r="C37"/>
  <c r="Z37"/>
  <c r="X37"/>
  <c r="V37"/>
  <c r="T37"/>
  <c r="R37"/>
  <c r="P37"/>
  <c r="N37"/>
  <c r="L37"/>
  <c r="J37"/>
  <c r="H37"/>
  <c r="F37"/>
  <c r="D37"/>
  <c r="B37"/>
  <c r="E39" l="1"/>
  <c r="I39"/>
  <c r="M39"/>
  <c r="Q39"/>
  <c r="U39"/>
  <c r="Y39"/>
  <c r="D39"/>
  <c r="H39"/>
  <c r="L39"/>
  <c r="P39"/>
  <c r="T39"/>
  <c r="X39"/>
  <c r="C39"/>
  <c r="G39"/>
  <c r="K39"/>
  <c r="O39"/>
  <c r="S39"/>
  <c r="W39"/>
  <c r="B39"/>
  <c r="F39"/>
  <c r="J39"/>
  <c r="N39"/>
  <c r="R39"/>
  <c r="V39"/>
  <c r="Z39"/>
  <c r="C2" i="5"/>
  <c r="D2" s="1"/>
  <c r="E2" s="1"/>
  <c r="F2" s="1"/>
  <c r="G2" s="1"/>
  <c r="H2" s="1"/>
  <c r="I2" s="1"/>
  <c r="J2" s="1"/>
  <c r="K2" s="1"/>
  <c r="L2" s="1"/>
  <c r="M2" s="1"/>
  <c r="N2" s="1"/>
  <c r="O2" s="1"/>
  <c r="P2" s="1"/>
  <c r="Q2" s="1"/>
  <c r="R2" s="1"/>
  <c r="S2" s="1"/>
  <c r="T2" s="1"/>
  <c r="U2" s="1"/>
  <c r="V2" s="1"/>
  <c r="W2" s="1"/>
  <c r="X2" s="1"/>
  <c r="Y2" s="1"/>
  <c r="Z2" s="1"/>
  <c r="E58" i="4" l="1"/>
  <c r="B74" l="1"/>
  <c r="B76" s="1"/>
  <c r="Z18"/>
  <c r="Z19" s="1"/>
  <c r="U18"/>
  <c r="U19" s="1"/>
  <c r="S18"/>
  <c r="S19" s="1"/>
  <c r="Q18"/>
  <c r="Q19" s="1"/>
  <c r="O18"/>
  <c r="O19" s="1"/>
  <c r="M18"/>
  <c r="M19" s="1"/>
  <c r="K18"/>
  <c r="K19" s="1"/>
  <c r="J18"/>
  <c r="J19" s="1"/>
  <c r="I18"/>
  <c r="I19" s="1"/>
  <c r="H18"/>
  <c r="H19" s="1"/>
  <c r="G18"/>
  <c r="G19" s="1"/>
  <c r="F18"/>
  <c r="F19" s="1"/>
  <c r="E18"/>
  <c r="E19" s="1"/>
  <c r="D18"/>
  <c r="D19" s="1"/>
  <c r="C18"/>
  <c r="C19" s="1"/>
  <c r="B18"/>
  <c r="B19" s="1"/>
  <c r="Z22" l="1"/>
  <c r="X22"/>
  <c r="V22"/>
  <c r="T22"/>
  <c r="R22"/>
  <c r="P22"/>
  <c r="N22"/>
  <c r="L22"/>
  <c r="J22"/>
  <c r="H22"/>
  <c r="F22"/>
  <c r="D22"/>
  <c r="B22"/>
  <c r="Y22"/>
  <c r="W22"/>
  <c r="U22"/>
  <c r="S22"/>
  <c r="Q22"/>
  <c r="O22"/>
  <c r="M22"/>
  <c r="K22"/>
  <c r="I22"/>
  <c r="G22"/>
  <c r="E22"/>
  <c r="C22"/>
  <c r="F20"/>
  <c r="F21" s="1"/>
  <c r="H20"/>
  <c r="H21" s="1"/>
  <c r="J20"/>
  <c r="J21" s="1"/>
  <c r="M20"/>
  <c r="M21" s="1"/>
  <c r="Q20"/>
  <c r="Q21" s="1"/>
  <c r="U20"/>
  <c r="U21" s="1"/>
  <c r="B20"/>
  <c r="B21" s="1"/>
  <c r="D20"/>
  <c r="D21" s="1"/>
  <c r="C20"/>
  <c r="C21" s="1"/>
  <c r="E20"/>
  <c r="E21" s="1"/>
  <c r="G20"/>
  <c r="G21" s="1"/>
  <c r="I20"/>
  <c r="I21" s="1"/>
  <c r="K20"/>
  <c r="K21" s="1"/>
  <c r="O20"/>
  <c r="O21" s="1"/>
  <c r="S20"/>
  <c r="S21" s="1"/>
  <c r="Z20"/>
  <c r="Z21" s="1"/>
  <c r="W18"/>
  <c r="W19" s="1"/>
  <c r="Y18"/>
  <c r="Y19" s="1"/>
  <c r="L18"/>
  <c r="L19" s="1"/>
  <c r="N18"/>
  <c r="N19" s="1"/>
  <c r="P18"/>
  <c r="P19" s="1"/>
  <c r="R18"/>
  <c r="R19" s="1"/>
  <c r="T18"/>
  <c r="T19" s="1"/>
  <c r="V18"/>
  <c r="V19" s="1"/>
  <c r="X18"/>
  <c r="X19" s="1"/>
  <c r="D6" i="1"/>
  <c r="D9" s="1"/>
  <c r="X20" i="4" l="1"/>
  <c r="X21" s="1"/>
  <c r="P20"/>
  <c r="P21" s="1"/>
  <c r="L20"/>
  <c r="L21" s="1"/>
  <c r="W20"/>
  <c r="W21" s="1"/>
  <c r="T20"/>
  <c r="T21" s="1"/>
  <c r="V20"/>
  <c r="V21" s="1"/>
  <c r="R20"/>
  <c r="R21" s="1"/>
  <c r="N20"/>
  <c r="N21" s="1"/>
  <c r="Y20"/>
  <c r="Y21" s="1"/>
  <c r="Z12" i="5"/>
  <c r="AA20" i="11" s="1"/>
  <c r="X12" i="5"/>
  <c r="Y20" i="11" s="1"/>
  <c r="V12" i="5"/>
  <c r="W20" i="11" s="1"/>
  <c r="T12" i="5"/>
  <c r="U20" i="11" s="1"/>
  <c r="R12" i="5"/>
  <c r="S20" i="11" s="1"/>
  <c r="P12" i="5"/>
  <c r="Q20" i="11" s="1"/>
  <c r="N12" i="5"/>
  <c r="O20" i="11" s="1"/>
  <c r="L12" i="5"/>
  <c r="M20" i="11" s="1"/>
  <c r="J12" i="5"/>
  <c r="K20" i="11" s="1"/>
  <c r="H12" i="5"/>
  <c r="I20" i="11" s="1"/>
  <c r="F12" i="5"/>
  <c r="G20" i="11" s="1"/>
  <c r="D12" i="5"/>
  <c r="E20" i="11" s="1"/>
  <c r="B12" i="5"/>
  <c r="C20" i="11" s="1"/>
  <c r="Y12" i="5"/>
  <c r="Z20" i="11" s="1"/>
  <c r="W12" i="5"/>
  <c r="X20" i="11" s="1"/>
  <c r="U12" i="5"/>
  <c r="V20" i="11" s="1"/>
  <c r="S12" i="5"/>
  <c r="T20" i="11" s="1"/>
  <c r="Q12" i="5"/>
  <c r="R20" i="11" s="1"/>
  <c r="O12" i="5"/>
  <c r="P20" i="11" s="1"/>
  <c r="M12" i="5"/>
  <c r="N20" i="11" s="1"/>
  <c r="K12" i="5"/>
  <c r="L20" i="11" s="1"/>
  <c r="I12" i="5"/>
  <c r="J20" i="11" s="1"/>
  <c r="G12" i="5"/>
  <c r="H20" i="11" s="1"/>
  <c r="E12" i="5"/>
  <c r="F20" i="11" s="1"/>
  <c r="C12" i="5"/>
  <c r="D20" i="11" s="1"/>
  <c r="A1" i="7"/>
  <c r="C10" i="4"/>
  <c r="D10" s="1"/>
  <c r="E10" s="1"/>
  <c r="F10" s="1"/>
  <c r="B3"/>
  <c r="A5"/>
  <c r="A4"/>
  <c r="A3"/>
  <c r="G10" l="1"/>
  <c r="H10" s="1"/>
  <c r="I10" s="1"/>
  <c r="J10" s="1"/>
  <c r="K10" s="1"/>
  <c r="L10" s="1"/>
  <c r="M10" s="1"/>
  <c r="N10" s="1"/>
  <c r="O10" s="1"/>
  <c r="P10" s="1"/>
  <c r="Q10" s="1"/>
  <c r="R10" s="1"/>
  <c r="S10" s="1"/>
  <c r="T10" s="1"/>
  <c r="U10" s="1"/>
  <c r="V10" s="1"/>
  <c r="W10" s="1"/>
  <c r="X10" s="1"/>
  <c r="Y10" s="1"/>
  <c r="Z10" s="1"/>
  <c r="AA10" s="1"/>
  <c r="AB10" s="1"/>
  <c r="AC10" s="1"/>
  <c r="AD10" s="1"/>
  <c r="D29" i="1" l="1"/>
  <c r="A22" i="2"/>
  <c r="C2"/>
  <c r="D2" l="1"/>
  <c r="D5" i="11"/>
  <c r="C3" i="4"/>
  <c r="B5" i="2"/>
  <c r="B6" i="4"/>
  <c r="C6" i="11" l="1"/>
  <c r="B5" i="4"/>
  <c r="B16" s="1"/>
  <c r="B3" i="5" s="1"/>
  <c r="B1" i="7" s="1"/>
  <c r="B23" s="1"/>
  <c r="E2" i="2"/>
  <c r="E5" i="11"/>
  <c r="D3" i="4"/>
  <c r="C6"/>
  <c r="C5" i="2"/>
  <c r="B17"/>
  <c r="B22" s="1"/>
  <c r="B26" s="1"/>
  <c r="B34" i="7" l="1"/>
  <c r="D6" i="11"/>
  <c r="C5" i="4"/>
  <c r="C16" s="1"/>
  <c r="C3" i="5" s="1"/>
  <c r="C1" i="7" s="1"/>
  <c r="C23" s="1"/>
  <c r="F2" i="2"/>
  <c r="F5" i="11"/>
  <c r="E3" i="4"/>
  <c r="D6"/>
  <c r="D5" i="2"/>
  <c r="C17"/>
  <c r="C22" s="1"/>
  <c r="C26" s="1"/>
  <c r="C34" i="7" l="1"/>
  <c r="E6" i="11"/>
  <c r="D5" i="4"/>
  <c r="D16" s="1"/>
  <c r="D3" i="5" s="1"/>
  <c r="D1" i="7" s="1"/>
  <c r="D23" s="1"/>
  <c r="G2" i="2"/>
  <c r="G5" i="11"/>
  <c r="F3" i="4"/>
  <c r="E6"/>
  <c r="E5" i="2"/>
  <c r="D17"/>
  <c r="D22" s="1"/>
  <c r="D26" s="1"/>
  <c r="D34" i="7" l="1"/>
  <c r="F6" i="11"/>
  <c r="E5" i="4"/>
  <c r="E16" s="1"/>
  <c r="E3" i="5" s="1"/>
  <c r="E1" i="7" s="1"/>
  <c r="E23" s="1"/>
  <c r="H2" i="2"/>
  <c r="H5" i="11"/>
  <c r="G3" i="4"/>
  <c r="F6"/>
  <c r="F5" i="2"/>
  <c r="E17"/>
  <c r="E22" s="1"/>
  <c r="E26" s="1"/>
  <c r="E34" i="7" l="1"/>
  <c r="G6" i="11"/>
  <c r="F5" i="4"/>
  <c r="F16" s="1"/>
  <c r="F3" i="5" s="1"/>
  <c r="F1" i="7" s="1"/>
  <c r="F23" s="1"/>
  <c r="I2" i="2"/>
  <c r="I5" i="11"/>
  <c r="H3" i="4"/>
  <c r="G6"/>
  <c r="G5" i="2"/>
  <c r="F17"/>
  <c r="F22" s="1"/>
  <c r="F26" s="1"/>
  <c r="F34" i="7" l="1"/>
  <c r="H6" i="11"/>
  <c r="G5" i="4"/>
  <c r="G16" s="1"/>
  <c r="G3" i="5" s="1"/>
  <c r="G1" i="7" s="1"/>
  <c r="G23" s="1"/>
  <c r="J2" i="2"/>
  <c r="J5" i="11"/>
  <c r="I3" i="4"/>
  <c r="H6"/>
  <c r="H5" i="2"/>
  <c r="G17"/>
  <c r="G22" s="1"/>
  <c r="G26" s="1"/>
  <c r="G34" i="7" l="1"/>
  <c r="I6" i="11"/>
  <c r="H5" i="4"/>
  <c r="H16" s="1"/>
  <c r="H3" i="5" s="1"/>
  <c r="H1" i="7" s="1"/>
  <c r="H23" s="1"/>
  <c r="K2" i="2"/>
  <c r="K5" i="11"/>
  <c r="J3" i="4"/>
  <c r="I6"/>
  <c r="I5" i="2"/>
  <c r="H17"/>
  <c r="H22" s="1"/>
  <c r="H26" s="1"/>
  <c r="H34" i="7" l="1"/>
  <c r="J6" i="11"/>
  <c r="I5" i="4"/>
  <c r="I16" s="1"/>
  <c r="I3" i="5" s="1"/>
  <c r="I1" i="7" s="1"/>
  <c r="I23" s="1"/>
  <c r="L2" i="2"/>
  <c r="L5" i="11"/>
  <c r="K3" i="4"/>
  <c r="J6"/>
  <c r="J5" i="2"/>
  <c r="I17"/>
  <c r="I22" s="1"/>
  <c r="I26" s="1"/>
  <c r="I34" i="7" l="1"/>
  <c r="K6" i="11"/>
  <c r="J5" i="4"/>
  <c r="J16" s="1"/>
  <c r="J3" i="5" s="1"/>
  <c r="J1" i="7" s="1"/>
  <c r="J23" s="1"/>
  <c r="M2" i="2"/>
  <c r="M5" i="11"/>
  <c r="L3" i="4"/>
  <c r="K6"/>
  <c r="K5" i="2"/>
  <c r="J17"/>
  <c r="J22" s="1"/>
  <c r="J26" s="1"/>
  <c r="J34" i="7" l="1"/>
  <c r="L6" i="11"/>
  <c r="K5" i="4"/>
  <c r="K16" s="1"/>
  <c r="K3" i="5" s="1"/>
  <c r="K1" i="7" s="1"/>
  <c r="K23" s="1"/>
  <c r="N2" i="2"/>
  <c r="N5" i="11"/>
  <c r="M3" i="4"/>
  <c r="L6"/>
  <c r="L5" i="2"/>
  <c r="K17"/>
  <c r="K22" s="1"/>
  <c r="K26" s="1"/>
  <c r="K34" i="7" l="1"/>
  <c r="M6" i="11"/>
  <c r="L5" i="4"/>
  <c r="L16" s="1"/>
  <c r="L3" i="5" s="1"/>
  <c r="L1" i="7" s="1"/>
  <c r="L23" s="1"/>
  <c r="O2" i="2"/>
  <c r="O5" i="11"/>
  <c r="N3" i="4"/>
  <c r="M6"/>
  <c r="M5" i="2"/>
  <c r="L17"/>
  <c r="L22" s="1"/>
  <c r="L26" s="1"/>
  <c r="L34" i="7" l="1"/>
  <c r="N6" i="11"/>
  <c r="M5" i="4"/>
  <c r="M16" s="1"/>
  <c r="M3" i="5" s="1"/>
  <c r="M1" i="7" s="1"/>
  <c r="M23" s="1"/>
  <c r="P2" i="2"/>
  <c r="P5" i="11"/>
  <c r="O3" i="4"/>
  <c r="N6"/>
  <c r="N5" i="2"/>
  <c r="M17"/>
  <c r="M22" s="1"/>
  <c r="M26" s="1"/>
  <c r="M34" i="7" l="1"/>
  <c r="O6" i="11"/>
  <c r="N5" i="4"/>
  <c r="N16" s="1"/>
  <c r="N3" i="5" s="1"/>
  <c r="N1" i="7" s="1"/>
  <c r="N23" s="1"/>
  <c r="Q2" i="2"/>
  <c r="Q5" i="11"/>
  <c r="P3" i="4"/>
  <c r="O6"/>
  <c r="O5" i="2"/>
  <c r="N17"/>
  <c r="N22" s="1"/>
  <c r="N26" s="1"/>
  <c r="N34" i="7" l="1"/>
  <c r="P6" i="11"/>
  <c r="O5" i="4"/>
  <c r="O16" s="1"/>
  <c r="O3" i="5" s="1"/>
  <c r="O1" i="7" s="1"/>
  <c r="O23" s="1"/>
  <c r="R2" i="2"/>
  <c r="R5" i="11"/>
  <c r="Q3" i="4"/>
  <c r="P6"/>
  <c r="P5" i="2"/>
  <c r="O17"/>
  <c r="O22" s="1"/>
  <c r="O26" s="1"/>
  <c r="O34" i="7" l="1"/>
  <c r="Q6" i="11"/>
  <c r="P5" i="4"/>
  <c r="P16" s="1"/>
  <c r="P3" i="5" s="1"/>
  <c r="P1" i="7" s="1"/>
  <c r="P23" s="1"/>
  <c r="S2" i="2"/>
  <c r="S5" i="11"/>
  <c r="R3" i="4"/>
  <c r="Q6"/>
  <c r="Q5" i="2"/>
  <c r="P17"/>
  <c r="P22" s="1"/>
  <c r="P26" s="1"/>
  <c r="P34" i="7" l="1"/>
  <c r="R6" i="11"/>
  <c r="Q5" i="4"/>
  <c r="Q16" s="1"/>
  <c r="Q3" i="5" s="1"/>
  <c r="Q1" i="7" s="1"/>
  <c r="Q23" s="1"/>
  <c r="T2" i="2"/>
  <c r="T5" i="11"/>
  <c r="S3" i="4"/>
  <c r="R6"/>
  <c r="R5" i="2"/>
  <c r="Q17"/>
  <c r="Q22" s="1"/>
  <c r="Q26" s="1"/>
  <c r="Q34" i="7" l="1"/>
  <c r="S6" i="11"/>
  <c r="R5" i="4"/>
  <c r="R16" s="1"/>
  <c r="R3" i="5" s="1"/>
  <c r="R1" i="7" s="1"/>
  <c r="R23" s="1"/>
  <c r="U2" i="2"/>
  <c r="U5" i="11"/>
  <c r="T3" i="4"/>
  <c r="S6"/>
  <c r="S5" i="2"/>
  <c r="R17"/>
  <c r="R22" s="1"/>
  <c r="R26" s="1"/>
  <c r="R34" i="7" l="1"/>
  <c r="T6" i="11"/>
  <c r="S5" i="4"/>
  <c r="S16" s="1"/>
  <c r="S3" i="5" s="1"/>
  <c r="S1" i="7" s="1"/>
  <c r="S23" s="1"/>
  <c r="V2" i="2"/>
  <c r="V5" i="11"/>
  <c r="U3" i="4"/>
  <c r="T6"/>
  <c r="T5" i="2"/>
  <c r="S17"/>
  <c r="S22" s="1"/>
  <c r="S26" s="1"/>
  <c r="S34" i="7" l="1"/>
  <c r="U6" i="11"/>
  <c r="T5" i="4"/>
  <c r="T16" s="1"/>
  <c r="T3" i="5" s="1"/>
  <c r="T1" i="7" s="1"/>
  <c r="T23" s="1"/>
  <c r="W2" i="2"/>
  <c r="W5" i="11"/>
  <c r="V3" i="4"/>
  <c r="U6"/>
  <c r="U5" i="2"/>
  <c r="T17"/>
  <c r="T22" s="1"/>
  <c r="T26" s="1"/>
  <c r="T34" i="7" l="1"/>
  <c r="V6" i="11"/>
  <c r="U5" i="4"/>
  <c r="U16" s="1"/>
  <c r="U3" i="5" s="1"/>
  <c r="U1" i="7" s="1"/>
  <c r="U23" s="1"/>
  <c r="X2" i="2"/>
  <c r="X5" i="11"/>
  <c r="W3" i="4"/>
  <c r="V6"/>
  <c r="V5" i="2"/>
  <c r="U17"/>
  <c r="U22" s="1"/>
  <c r="U26" s="1"/>
  <c r="U34" i="7" l="1"/>
  <c r="W6" i="11"/>
  <c r="V5" i="4"/>
  <c r="V16" s="1"/>
  <c r="V3" i="5" s="1"/>
  <c r="V1" i="7" s="1"/>
  <c r="V23" s="1"/>
  <c r="Y2" i="2"/>
  <c r="Y5" i="11"/>
  <c r="X3" i="4"/>
  <c r="W6"/>
  <c r="W5" i="2"/>
  <c r="V17"/>
  <c r="V22" s="1"/>
  <c r="V26" s="1"/>
  <c r="V34" i="7" l="1"/>
  <c r="X6" i="11"/>
  <c r="W5" i="4"/>
  <c r="W16" s="1"/>
  <c r="W3" i="5" s="1"/>
  <c r="W1" i="7" s="1"/>
  <c r="W23" s="1"/>
  <c r="Z2" i="2"/>
  <c r="Z5" i="11"/>
  <c r="Y3" i="4"/>
  <c r="X6"/>
  <c r="X5" i="2"/>
  <c r="W17"/>
  <c r="W22" s="1"/>
  <c r="W26" s="1"/>
  <c r="W34" i="7" l="1"/>
  <c r="Y6" i="11"/>
  <c r="X5" i="4"/>
  <c r="X16" s="1"/>
  <c r="X3" i="5" s="1"/>
  <c r="X1" i="7" s="1"/>
  <c r="X23" s="1"/>
  <c r="AA5" i="11"/>
  <c r="Z3" i="4"/>
  <c r="Y6"/>
  <c r="Y5" i="2"/>
  <c r="X17"/>
  <c r="X22" s="1"/>
  <c r="X26" s="1"/>
  <c r="X34" i="7" l="1"/>
  <c r="Z6" i="11"/>
  <c r="Y5" i="4"/>
  <c r="Y16" s="1"/>
  <c r="Y3" i="5" s="1"/>
  <c r="Y1" i="7" s="1"/>
  <c r="Y23" s="1"/>
  <c r="Z6" i="4"/>
  <c r="Z5" i="2"/>
  <c r="Y17"/>
  <c r="Y22" s="1"/>
  <c r="Y26" s="1"/>
  <c r="Y34" i="7" l="1"/>
  <c r="Z17" i="2"/>
  <c r="Z22" s="1"/>
  <c r="Z26" s="1"/>
  <c r="AA6" i="11"/>
  <c r="Z5" i="4"/>
  <c r="Z16" s="1"/>
  <c r="Z3" i="5" s="1"/>
  <c r="Z1" i="7" s="1"/>
  <c r="Z23" s="1"/>
  <c r="Z18" i="5"/>
  <c r="X18"/>
  <c r="V18"/>
  <c r="T18"/>
  <c r="R18"/>
  <c r="Y18"/>
  <c r="W18"/>
  <c r="U18"/>
  <c r="S18"/>
  <c r="Q18"/>
  <c r="Z34" i="7" l="1"/>
  <c r="B13" i="2"/>
  <c r="B14" l="1"/>
  <c r="B4" i="7"/>
  <c r="X4" i="2" l="1"/>
  <c r="P4"/>
  <c r="H4"/>
  <c r="T4"/>
  <c r="L4"/>
  <c r="D4"/>
  <c r="Y4"/>
  <c r="W4"/>
  <c r="U4"/>
  <c r="S4"/>
  <c r="Q4"/>
  <c r="Z4"/>
  <c r="V4"/>
  <c r="R4"/>
  <c r="N4"/>
  <c r="J4"/>
  <c r="F4"/>
  <c r="O4"/>
  <c r="M4"/>
  <c r="K4"/>
  <c r="I4"/>
  <c r="G4"/>
  <c r="E4"/>
  <c r="C4"/>
  <c r="D7" i="11" l="1"/>
  <c r="C3" i="2"/>
  <c r="C11" i="5" s="1"/>
  <c r="L7" i="11"/>
  <c r="K3" i="2"/>
  <c r="K11" i="5" s="1"/>
  <c r="K7" i="11"/>
  <c r="J3" i="2"/>
  <c r="J11" i="5" s="1"/>
  <c r="AA7" i="11"/>
  <c r="Z3" i="2"/>
  <c r="Z11" i="5" s="1"/>
  <c r="X7" i="11"/>
  <c r="W3" i="2"/>
  <c r="W11" i="5" s="1"/>
  <c r="F7" i="11"/>
  <c r="E3" i="2"/>
  <c r="E11" i="5" s="1"/>
  <c r="J7" i="11"/>
  <c r="I3" i="2"/>
  <c r="I11" i="5" s="1"/>
  <c r="N7" i="11"/>
  <c r="M3" i="2"/>
  <c r="M11" i="5" s="1"/>
  <c r="G7" i="11"/>
  <c r="F3" i="2"/>
  <c r="F11" i="5" s="1"/>
  <c r="O7" i="11"/>
  <c r="N3" i="2"/>
  <c r="N11" i="5" s="1"/>
  <c r="W7" i="11"/>
  <c r="V3" i="2"/>
  <c r="V11" i="5" s="1"/>
  <c r="R7" i="11"/>
  <c r="Q3" i="2"/>
  <c r="Q11" i="5" s="1"/>
  <c r="V7" i="11"/>
  <c r="U3" i="2"/>
  <c r="U11" i="5" s="1"/>
  <c r="Z7" i="11"/>
  <c r="Y3" i="2"/>
  <c r="Y11" i="5" s="1"/>
  <c r="M7" i="11"/>
  <c r="L3" i="2"/>
  <c r="L11" i="5" s="1"/>
  <c r="I7" i="11"/>
  <c r="H3" i="2"/>
  <c r="H11" i="5" s="1"/>
  <c r="Y7" i="11"/>
  <c r="X3" i="2"/>
  <c r="X11" i="5" s="1"/>
  <c r="H7" i="11"/>
  <c r="G3" i="2"/>
  <c r="G11" i="5" s="1"/>
  <c r="P7" i="11"/>
  <c r="O3" i="2"/>
  <c r="O11" i="5" s="1"/>
  <c r="S7" i="11"/>
  <c r="R3" i="2"/>
  <c r="R11" i="5" s="1"/>
  <c r="T7" i="11"/>
  <c r="S3" i="2"/>
  <c r="S11" i="5" s="1"/>
  <c r="E7" i="11"/>
  <c r="D3" i="2"/>
  <c r="D11" i="5" s="1"/>
  <c r="U7" i="11"/>
  <c r="T3" i="2"/>
  <c r="T11" i="5" s="1"/>
  <c r="Q7" i="11"/>
  <c r="P3" i="2"/>
  <c r="P11" i="5" s="1"/>
  <c r="E4" i="4"/>
  <c r="I4"/>
  <c r="M4"/>
  <c r="F4"/>
  <c r="N4"/>
  <c r="V4"/>
  <c r="Q4"/>
  <c r="U4"/>
  <c r="Y4"/>
  <c r="L4"/>
  <c r="H4"/>
  <c r="X4"/>
  <c r="C4"/>
  <c r="G4"/>
  <c r="K4"/>
  <c r="O4"/>
  <c r="J4"/>
  <c r="R4"/>
  <c r="Z4"/>
  <c r="S4"/>
  <c r="W4"/>
  <c r="D4"/>
  <c r="T4"/>
  <c r="P4"/>
  <c r="D17" i="1"/>
  <c r="B18" i="5"/>
  <c r="C18"/>
  <c r="D18"/>
  <c r="E18"/>
  <c r="F18"/>
  <c r="G18"/>
  <c r="H18"/>
  <c r="I18"/>
  <c r="J18"/>
  <c r="K18"/>
  <c r="L18"/>
  <c r="M18"/>
  <c r="N18"/>
  <c r="O18"/>
  <c r="P18"/>
  <c r="B11" i="4"/>
  <c r="C11" s="1"/>
  <c r="D11" s="1"/>
  <c r="E11" s="1"/>
  <c r="F11" s="1"/>
  <c r="G11" s="1"/>
  <c r="H11" s="1"/>
  <c r="I11" s="1"/>
  <c r="J11" s="1"/>
  <c r="K11" s="1"/>
  <c r="L11" s="1"/>
  <c r="M11" s="1"/>
  <c r="N11" s="1"/>
  <c r="O11" s="1"/>
  <c r="P11" s="1"/>
  <c r="Q11" s="1"/>
  <c r="R11" s="1"/>
  <c r="S11" s="1"/>
  <c r="T11" s="1"/>
  <c r="C59"/>
  <c r="D59" s="1"/>
  <c r="E59" s="1"/>
  <c r="F59" s="1"/>
  <c r="B54"/>
  <c r="C54" s="1"/>
  <c r="B58"/>
  <c r="C58" s="1"/>
  <c r="D58" s="1"/>
  <c r="F58" s="1"/>
  <c r="G58" s="1"/>
  <c r="H58" s="1"/>
  <c r="I58" s="1"/>
  <c r="J58" s="1"/>
  <c r="K58" s="1"/>
  <c r="L58" s="1"/>
  <c r="M58" s="1"/>
  <c r="N58" s="1"/>
  <c r="O58" s="1"/>
  <c r="P58" s="1"/>
  <c r="Q58" s="1"/>
  <c r="R58" s="1"/>
  <c r="S58" s="1"/>
  <c r="T58" s="1"/>
  <c r="U58" s="1"/>
  <c r="V58" s="1"/>
  <c r="W58" s="1"/>
  <c r="X58" s="1"/>
  <c r="Y58" s="1"/>
  <c r="Z58" s="1"/>
  <c r="C12"/>
  <c r="A5" i="3"/>
  <c r="A6" s="1"/>
  <c r="A7" s="1"/>
  <c r="A8" s="1"/>
  <c r="A9" s="1"/>
  <c r="A10" s="1"/>
  <c r="A11" s="1"/>
  <c r="A12" s="1"/>
  <c r="A13" s="1"/>
  <c r="A14" s="1"/>
  <c r="A15" s="1"/>
  <c r="A16" s="1"/>
  <c r="A17" s="1"/>
  <c r="A18" s="1"/>
  <c r="A19" s="1"/>
  <c r="A20" s="1"/>
  <c r="A21" s="1"/>
  <c r="D18" i="1" l="1"/>
  <c r="K6" i="3"/>
  <c r="O6"/>
  <c r="K7"/>
  <c r="O7"/>
  <c r="K8"/>
  <c r="O8"/>
  <c r="K9"/>
  <c r="O9"/>
  <c r="K10"/>
  <c r="O10"/>
  <c r="K11"/>
  <c r="O11"/>
  <c r="K12"/>
  <c r="O12"/>
  <c r="K13"/>
  <c r="O13"/>
  <c r="K14"/>
  <c r="O14"/>
  <c r="K15"/>
  <c r="O15"/>
  <c r="M5"/>
  <c r="I5"/>
  <c r="I6"/>
  <c r="M6"/>
  <c r="I7"/>
  <c r="M7"/>
  <c r="I8"/>
  <c r="M8"/>
  <c r="I9"/>
  <c r="M9"/>
  <c r="I10"/>
  <c r="M10"/>
  <c r="I11"/>
  <c r="M11"/>
  <c r="I12"/>
  <c r="M12"/>
  <c r="I13"/>
  <c r="M13"/>
  <c r="I14"/>
  <c r="M14"/>
  <c r="I15"/>
  <c r="M15"/>
  <c r="O5"/>
  <c r="K5"/>
  <c r="X39" i="5"/>
  <c r="U39"/>
  <c r="S42"/>
  <c r="B55" i="4"/>
  <c r="D54"/>
  <c r="D55" s="1"/>
  <c r="C62"/>
  <c r="C66" s="1"/>
  <c r="C70" s="1"/>
  <c r="U12"/>
  <c r="U11"/>
  <c r="C55"/>
  <c r="C13"/>
  <c r="D12"/>
  <c r="G59"/>
  <c r="E12"/>
  <c r="C25" i="3"/>
  <c r="B31" i="2" s="1"/>
  <c r="I42" i="5" l="1"/>
  <c r="J18" i="11"/>
  <c r="F42" i="5"/>
  <c r="G18" i="11"/>
  <c r="V39" i="5"/>
  <c r="W18" i="11"/>
  <c r="U42" i="5"/>
  <c r="V18" i="11"/>
  <c r="L42" i="5"/>
  <c r="M18" i="11"/>
  <c r="X42" i="5"/>
  <c r="Y18" i="11"/>
  <c r="G42" i="5"/>
  <c r="H18" i="11"/>
  <c r="O42" i="5"/>
  <c r="P18" i="11"/>
  <c r="R42" i="5"/>
  <c r="S18" i="11"/>
  <c r="S39" i="5"/>
  <c r="T18" i="11"/>
  <c r="D42" i="5"/>
  <c r="E18" i="11"/>
  <c r="P42" i="5"/>
  <c r="Q18" i="11"/>
  <c r="E42" i="5"/>
  <c r="F18" i="11"/>
  <c r="M42" i="5"/>
  <c r="N18" i="11"/>
  <c r="N42" i="5"/>
  <c r="O18" i="11"/>
  <c r="Q42" i="5"/>
  <c r="R18" i="11"/>
  <c r="Y42" i="5"/>
  <c r="Z18" i="11"/>
  <c r="H42" i="5"/>
  <c r="I18" i="11"/>
  <c r="C42" i="5"/>
  <c r="D18" i="11"/>
  <c r="K42" i="5"/>
  <c r="L18" i="11"/>
  <c r="J42" i="5"/>
  <c r="K18" i="11"/>
  <c r="Z39" i="5"/>
  <c r="AA18" i="11"/>
  <c r="W42" i="5"/>
  <c r="X18" i="11"/>
  <c r="T39" i="5"/>
  <c r="U18" i="11"/>
  <c r="Y39" i="5"/>
  <c r="V42"/>
  <c r="R39"/>
  <c r="E54" i="4"/>
  <c r="D39" i="5"/>
  <c r="W39"/>
  <c r="Q39"/>
  <c r="Z42"/>
  <c r="T42"/>
  <c r="E39"/>
  <c r="C39"/>
  <c r="E62" i="4"/>
  <c r="E66" s="1"/>
  <c r="D62"/>
  <c r="E55"/>
  <c r="U13"/>
  <c r="R17" s="1"/>
  <c r="V11"/>
  <c r="V12"/>
  <c r="D13"/>
  <c r="C67"/>
  <c r="F54"/>
  <c r="F55" s="1"/>
  <c r="C63"/>
  <c r="C31" s="1"/>
  <c r="C71"/>
  <c r="F12"/>
  <c r="E13"/>
  <c r="B17" s="1"/>
  <c r="F39" i="5"/>
  <c r="H59" i="4"/>
  <c r="D63"/>
  <c r="D31" s="1"/>
  <c r="C27" i="3"/>
  <c r="C26"/>
  <c r="B4" l="1"/>
  <c r="H4"/>
  <c r="U36" i="11"/>
  <c r="U39"/>
  <c r="X39"/>
  <c r="X36"/>
  <c r="AA36"/>
  <c r="AA39"/>
  <c r="K36"/>
  <c r="K39"/>
  <c r="L39"/>
  <c r="L36"/>
  <c r="D39"/>
  <c r="D36"/>
  <c r="I36"/>
  <c r="I39"/>
  <c r="Z39"/>
  <c r="Z36"/>
  <c r="R39"/>
  <c r="R36"/>
  <c r="O36"/>
  <c r="O39"/>
  <c r="N39"/>
  <c r="N36"/>
  <c r="F39"/>
  <c r="F36"/>
  <c r="Q36"/>
  <c r="Q39"/>
  <c r="E36"/>
  <c r="E39"/>
  <c r="T39"/>
  <c r="T36"/>
  <c r="S36"/>
  <c r="S39"/>
  <c r="P39"/>
  <c r="P36"/>
  <c r="H39"/>
  <c r="H36"/>
  <c r="Y36"/>
  <c r="Y39"/>
  <c r="M36"/>
  <c r="M39"/>
  <c r="V39"/>
  <c r="V36"/>
  <c r="W36"/>
  <c r="W39"/>
  <c r="G36"/>
  <c r="G39"/>
  <c r="J39"/>
  <c r="J36"/>
  <c r="C28" i="4"/>
  <c r="D8" i="11"/>
  <c r="D32" i="4"/>
  <c r="D40"/>
  <c r="C32"/>
  <c r="C40"/>
  <c r="G54"/>
  <c r="G62" s="1"/>
  <c r="G66" s="1"/>
  <c r="E63"/>
  <c r="E31" s="1"/>
  <c r="D66"/>
  <c r="D67" s="1"/>
  <c r="F62"/>
  <c r="F66" s="1"/>
  <c r="V13"/>
  <c r="S17" s="1"/>
  <c r="W11"/>
  <c r="W12"/>
  <c r="I59"/>
  <c r="G39" i="5"/>
  <c r="G12" i="4"/>
  <c r="F13"/>
  <c r="C17" s="1"/>
  <c r="E70"/>
  <c r="C18" i="2"/>
  <c r="C23" s="1"/>
  <c r="B19"/>
  <c r="J4" i="3" l="1"/>
  <c r="L4" s="1"/>
  <c r="N4" s="1"/>
  <c r="P4" s="1"/>
  <c r="H5" s="1"/>
  <c r="B7" i="2"/>
  <c r="E32" i="4"/>
  <c r="E40"/>
  <c r="C46"/>
  <c r="C47" s="1"/>
  <c r="C41"/>
  <c r="C33" s="1"/>
  <c r="C34" s="1"/>
  <c r="C23" s="1"/>
  <c r="C24" s="1"/>
  <c r="C25" s="1"/>
  <c r="D41"/>
  <c r="D33" s="1"/>
  <c r="D34" s="1"/>
  <c r="D23" s="1"/>
  <c r="D24" s="1"/>
  <c r="D25" s="1"/>
  <c r="D46"/>
  <c r="D47" s="1"/>
  <c r="H54"/>
  <c r="H62" s="1"/>
  <c r="H66" s="1"/>
  <c r="F63"/>
  <c r="F31" s="1"/>
  <c r="D70"/>
  <c r="D71" s="1"/>
  <c r="E67"/>
  <c r="W13"/>
  <c r="T17" s="1"/>
  <c r="X12"/>
  <c r="X11"/>
  <c r="H12"/>
  <c r="G13"/>
  <c r="D17" s="1"/>
  <c r="G63"/>
  <c r="G31" s="1"/>
  <c r="H39" i="5"/>
  <c r="J59" i="4"/>
  <c r="E71"/>
  <c r="F70"/>
  <c r="G55"/>
  <c r="C12" i="2"/>
  <c r="D18"/>
  <c r="D23" s="1"/>
  <c r="C24"/>
  <c r="C8" s="1"/>
  <c r="C19"/>
  <c r="J5" i="3" l="1"/>
  <c r="L5" s="1"/>
  <c r="N5" s="1"/>
  <c r="P5" s="1"/>
  <c r="H6" s="1"/>
  <c r="J6" s="1"/>
  <c r="L6" s="1"/>
  <c r="N6" s="1"/>
  <c r="P6" s="1"/>
  <c r="H7" s="1"/>
  <c r="D48" i="4"/>
  <c r="D26" s="1"/>
  <c r="C48"/>
  <c r="C26" s="1"/>
  <c r="D40" i="5"/>
  <c r="E37" i="11"/>
  <c r="C40" i="5"/>
  <c r="D37" i="11"/>
  <c r="C7" i="2"/>
  <c r="E28" i="4"/>
  <c r="F8" i="11"/>
  <c r="D28" i="4"/>
  <c r="E8" i="11"/>
  <c r="G32" i="4"/>
  <c r="G40"/>
  <c r="F32"/>
  <c r="F40"/>
  <c r="E46"/>
  <c r="E47" s="1"/>
  <c r="E41"/>
  <c r="E33" s="1"/>
  <c r="E34" s="1"/>
  <c r="E23" s="1"/>
  <c r="E24" s="1"/>
  <c r="E25" s="1"/>
  <c r="H55"/>
  <c r="C5" i="3"/>
  <c r="C6" s="1"/>
  <c r="C7" s="1"/>
  <c r="C8" s="1"/>
  <c r="C9" s="1"/>
  <c r="C10" s="1"/>
  <c r="C11" s="1"/>
  <c r="C12" s="1"/>
  <c r="C13" s="1"/>
  <c r="C14" s="1"/>
  <c r="C15" s="1"/>
  <c r="I54" i="4"/>
  <c r="I62" s="1"/>
  <c r="I66" s="1"/>
  <c r="C10" i="5"/>
  <c r="X13" i="4"/>
  <c r="U17" s="1"/>
  <c r="Y12"/>
  <c r="Y11"/>
  <c r="C13" i="2"/>
  <c r="F67" i="4"/>
  <c r="K59"/>
  <c r="I39" i="5"/>
  <c r="G67" i="4"/>
  <c r="I12"/>
  <c r="H13"/>
  <c r="E17" s="1"/>
  <c r="F71"/>
  <c r="G70"/>
  <c r="D24" i="2"/>
  <c r="D8" s="1"/>
  <c r="D19"/>
  <c r="E18"/>
  <c r="E23" s="1"/>
  <c r="Q5" i="3" l="1"/>
  <c r="Q6"/>
  <c r="C41" i="5"/>
  <c r="C27" i="4"/>
  <c r="D38" i="11"/>
  <c r="D41" i="5"/>
  <c r="E38" i="11"/>
  <c r="D27" i="4"/>
  <c r="E48"/>
  <c r="E26" s="1"/>
  <c r="E40" i="5"/>
  <c r="F37" i="11"/>
  <c r="D19"/>
  <c r="D21" s="1"/>
  <c r="D25"/>
  <c r="D7" i="2"/>
  <c r="J7" i="3"/>
  <c r="L7" s="1"/>
  <c r="N7" s="1"/>
  <c r="P7" s="1"/>
  <c r="H8" s="1"/>
  <c r="F28" i="4"/>
  <c r="G8" i="11"/>
  <c r="J54" i="4"/>
  <c r="K54" s="1"/>
  <c r="F41"/>
  <c r="F33" s="1"/>
  <c r="F34" s="1"/>
  <c r="F23" s="1"/>
  <c r="F24" s="1"/>
  <c r="F25" s="1"/>
  <c r="F46"/>
  <c r="F47" s="1"/>
  <c r="G46"/>
  <c r="G47" s="1"/>
  <c r="G41"/>
  <c r="G33" s="1"/>
  <c r="G34" s="1"/>
  <c r="G23" s="1"/>
  <c r="G24" s="1"/>
  <c r="G25" s="1"/>
  <c r="D10" i="5"/>
  <c r="C14" i="2"/>
  <c r="D12" s="1"/>
  <c r="D13" s="1"/>
  <c r="C4" i="7"/>
  <c r="Y13" i="4"/>
  <c r="V17" s="1"/>
  <c r="Z11"/>
  <c r="Z12"/>
  <c r="I63"/>
  <c r="I31" s="1"/>
  <c r="I70"/>
  <c r="H67"/>
  <c r="H70"/>
  <c r="J12"/>
  <c r="I13"/>
  <c r="F17" s="1"/>
  <c r="J39" i="5"/>
  <c r="L59" i="4"/>
  <c r="G71"/>
  <c r="H63"/>
  <c r="H31" s="1"/>
  <c r="I55"/>
  <c r="E24" i="2"/>
  <c r="E8" s="1"/>
  <c r="E19"/>
  <c r="F18"/>
  <c r="F23" s="1"/>
  <c r="Q7" i="3" l="1"/>
  <c r="D29" i="4"/>
  <c r="D5" i="5"/>
  <c r="D6" s="1"/>
  <c r="C29" i="4"/>
  <c r="C5" i="5"/>
  <c r="C6" s="1"/>
  <c r="E19" i="11"/>
  <c r="E21" s="1"/>
  <c r="F38"/>
  <c r="E27" i="4"/>
  <c r="E41" i="5"/>
  <c r="G48" i="4"/>
  <c r="G26" s="1"/>
  <c r="F48"/>
  <c r="F26" s="1"/>
  <c r="E7" i="2"/>
  <c r="G40" i="5"/>
  <c r="H37" i="11"/>
  <c r="F40" i="5"/>
  <c r="G37" i="11"/>
  <c r="J55" i="4"/>
  <c r="J62"/>
  <c r="J66" s="1"/>
  <c r="E25" i="11"/>
  <c r="J8" i="3"/>
  <c r="L8" s="1"/>
  <c r="N8" s="1"/>
  <c r="P8" s="1"/>
  <c r="H9" s="1"/>
  <c r="G28" i="4"/>
  <c r="H8" i="11"/>
  <c r="H32" i="4"/>
  <c r="H40"/>
  <c r="I32"/>
  <c r="I40"/>
  <c r="E10" i="5"/>
  <c r="D14" i="2"/>
  <c r="E12" s="1"/>
  <c r="E13" s="1"/>
  <c r="D4" i="7"/>
  <c r="K62" i="4"/>
  <c r="K66" s="1"/>
  <c r="Z13"/>
  <c r="W17" s="1"/>
  <c r="AA12"/>
  <c r="AA11"/>
  <c r="M59"/>
  <c r="K39" i="5"/>
  <c r="K12" i="4"/>
  <c r="J13"/>
  <c r="G17" s="1"/>
  <c r="L54"/>
  <c r="K55"/>
  <c r="I67"/>
  <c r="H71"/>
  <c r="G18" i="2"/>
  <c r="G23" s="1"/>
  <c r="F24"/>
  <c r="F8" s="1"/>
  <c r="F19"/>
  <c r="Q8" i="3" l="1"/>
  <c r="E29" i="4"/>
  <c r="E5" i="5"/>
  <c r="E6" s="1"/>
  <c r="G38" i="11"/>
  <c r="F41" i="5"/>
  <c r="F27" i="4"/>
  <c r="H38" i="11"/>
  <c r="G41" i="5"/>
  <c r="G27" i="4"/>
  <c r="F19" i="11"/>
  <c r="F21" s="1"/>
  <c r="F7" i="2"/>
  <c r="J63" i="4"/>
  <c r="J31" s="1"/>
  <c r="J32" s="1"/>
  <c r="J9" i="3"/>
  <c r="L9" s="1"/>
  <c r="N9" s="1"/>
  <c r="P9" s="1"/>
  <c r="H10" s="1"/>
  <c r="F25" i="11"/>
  <c r="H28" i="4"/>
  <c r="I8" i="11"/>
  <c r="I46" i="4"/>
  <c r="I47" s="1"/>
  <c r="I41"/>
  <c r="I33" s="1"/>
  <c r="I34" s="1"/>
  <c r="I23" s="1"/>
  <c r="I24" s="1"/>
  <c r="I25" s="1"/>
  <c r="H41"/>
  <c r="H33" s="1"/>
  <c r="H34" s="1"/>
  <c r="H23" s="1"/>
  <c r="H24" s="1"/>
  <c r="H25" s="1"/>
  <c r="H46"/>
  <c r="H47" s="1"/>
  <c r="F10" i="5"/>
  <c r="E14" i="2"/>
  <c r="F12" s="1"/>
  <c r="E4" i="7"/>
  <c r="L62" i="4"/>
  <c r="L66" s="1"/>
  <c r="AA13"/>
  <c r="X17" s="1"/>
  <c r="AB11"/>
  <c r="AB12"/>
  <c r="I71"/>
  <c r="L12"/>
  <c r="K13"/>
  <c r="H17" s="1"/>
  <c r="K63"/>
  <c r="K31" s="1"/>
  <c r="N59"/>
  <c r="K70"/>
  <c r="L55"/>
  <c r="M54"/>
  <c r="L39" i="5"/>
  <c r="J70" i="4"/>
  <c r="H18" i="2"/>
  <c r="H23" s="1"/>
  <c r="G24"/>
  <c r="G8" s="1"/>
  <c r="G19"/>
  <c r="Q9" i="3" l="1"/>
  <c r="F29" i="4"/>
  <c r="F5" i="5"/>
  <c r="F6" s="1"/>
  <c r="G29" i="4"/>
  <c r="G5" i="5"/>
  <c r="G6" s="1"/>
  <c r="G19" i="11"/>
  <c r="G21" s="1"/>
  <c r="I48" i="4"/>
  <c r="I26" s="1"/>
  <c r="H48"/>
  <c r="H26" s="1"/>
  <c r="J40"/>
  <c r="J41" s="1"/>
  <c r="J33" s="1"/>
  <c r="J34" s="1"/>
  <c r="J23" s="1"/>
  <c r="J24" s="1"/>
  <c r="J25" s="1"/>
  <c r="H19" i="11"/>
  <c r="H21" s="1"/>
  <c r="G7" i="2"/>
  <c r="I40" i="5"/>
  <c r="J37" i="11"/>
  <c r="H40" i="5"/>
  <c r="I37" i="11"/>
  <c r="G25"/>
  <c r="J10" i="3"/>
  <c r="L10" s="1"/>
  <c r="N10" s="1"/>
  <c r="P10" s="1"/>
  <c r="H11" s="1"/>
  <c r="I28" i="4"/>
  <c r="J8" i="11"/>
  <c r="K32" i="4"/>
  <c r="K40"/>
  <c r="G10" i="5"/>
  <c r="M62" i="4"/>
  <c r="M66" s="1"/>
  <c r="AB13"/>
  <c r="Y17" s="1"/>
  <c r="AC12"/>
  <c r="AC11"/>
  <c r="F13" i="2"/>
  <c r="J67" i="4"/>
  <c r="J71"/>
  <c r="N54"/>
  <c r="L70"/>
  <c r="O59"/>
  <c r="M39" i="5"/>
  <c r="K71" i="4"/>
  <c r="L63"/>
  <c r="L31" s="1"/>
  <c r="M12"/>
  <c r="L13"/>
  <c r="I17" s="1"/>
  <c r="K67"/>
  <c r="H24" i="2"/>
  <c r="H8" s="1"/>
  <c r="H19"/>
  <c r="I18"/>
  <c r="I23" s="1"/>
  <c r="Q10" i="3" l="1"/>
  <c r="J46" i="4"/>
  <c r="J47" s="1"/>
  <c r="J48" s="1"/>
  <c r="J26" s="1"/>
  <c r="I38" i="11"/>
  <c r="H41" i="5"/>
  <c r="H27" i="4"/>
  <c r="J38" i="11"/>
  <c r="I41" i="5"/>
  <c r="I27" i="4"/>
  <c r="J19" i="11" s="1"/>
  <c r="J21" s="1"/>
  <c r="H7" i="2"/>
  <c r="J40" i="5"/>
  <c r="K37" i="11"/>
  <c r="J11" i="3"/>
  <c r="L11" s="1"/>
  <c r="N11" s="1"/>
  <c r="P11" s="1"/>
  <c r="H12" s="1"/>
  <c r="H25" i="11"/>
  <c r="J28" i="4"/>
  <c r="K8" i="11"/>
  <c r="K28" i="4"/>
  <c r="L8" i="11"/>
  <c r="L32" i="4"/>
  <c r="L40"/>
  <c r="K46"/>
  <c r="K47" s="1"/>
  <c r="K41"/>
  <c r="K33" s="1"/>
  <c r="K34" s="1"/>
  <c r="K23" s="1"/>
  <c r="K24" s="1"/>
  <c r="K25" s="1"/>
  <c r="H10" i="5"/>
  <c r="F14" i="2"/>
  <c r="G12" s="1"/>
  <c r="G13" s="1"/>
  <c r="F4" i="7"/>
  <c r="N62" i="4"/>
  <c r="N66" s="1"/>
  <c r="AC13"/>
  <c r="Z17" s="1"/>
  <c r="AD11"/>
  <c r="AD12"/>
  <c r="N12"/>
  <c r="M13"/>
  <c r="J17" s="1"/>
  <c r="O54"/>
  <c r="M70"/>
  <c r="L71"/>
  <c r="N55"/>
  <c r="N39" i="5"/>
  <c r="P59" i="4"/>
  <c r="Q59" s="1"/>
  <c r="L67"/>
  <c r="M55"/>
  <c r="J18" i="2"/>
  <c r="J23" s="1"/>
  <c r="I24"/>
  <c r="I8" s="1"/>
  <c r="I19"/>
  <c r="Q11" i="3" l="1"/>
  <c r="H29" i="4"/>
  <c r="H5" i="5"/>
  <c r="H6" s="1"/>
  <c r="I29" i="4"/>
  <c r="I5" i="5"/>
  <c r="I6" s="1"/>
  <c r="I19" i="11"/>
  <c r="I21" s="1"/>
  <c r="J41" i="5"/>
  <c r="J27" i="4"/>
  <c r="K38" i="11"/>
  <c r="K48" i="4"/>
  <c r="K26" s="1"/>
  <c r="I7" i="2"/>
  <c r="K40" i="5"/>
  <c r="L37" i="11"/>
  <c r="I25"/>
  <c r="J12" i="3"/>
  <c r="L12" s="1"/>
  <c r="N12" s="1"/>
  <c r="P12" s="1"/>
  <c r="H13" s="1"/>
  <c r="L28" i="4"/>
  <c r="M8" i="11"/>
  <c r="L41" i="4"/>
  <c r="L33" s="1"/>
  <c r="L34" s="1"/>
  <c r="L23" s="1"/>
  <c r="L24" s="1"/>
  <c r="L25" s="1"/>
  <c r="L46"/>
  <c r="L47" s="1"/>
  <c r="I10" i="5"/>
  <c r="G14" i="2"/>
  <c r="H12" s="1"/>
  <c r="H13" s="1"/>
  <c r="G4" i="7"/>
  <c r="O62" i="4"/>
  <c r="O66" s="1"/>
  <c r="R59"/>
  <c r="AD13"/>
  <c r="M71"/>
  <c r="N63"/>
  <c r="N31" s="1"/>
  <c r="N70"/>
  <c r="P54"/>
  <c r="O55"/>
  <c r="O12"/>
  <c r="N13"/>
  <c r="K17" s="1"/>
  <c r="M63"/>
  <c r="M31" s="1"/>
  <c r="P39" i="5"/>
  <c r="O39"/>
  <c r="K18" i="2"/>
  <c r="K23" s="1"/>
  <c r="J24"/>
  <c r="J8" s="1"/>
  <c r="J19"/>
  <c r="Q12" i="3" l="1"/>
  <c r="J29" i="4"/>
  <c r="J5" i="5"/>
  <c r="K41"/>
  <c r="L38" i="11"/>
  <c r="K19"/>
  <c r="K21" s="1"/>
  <c r="L48" i="4"/>
  <c r="L26" s="1"/>
  <c r="K27"/>
  <c r="J6" i="5"/>
  <c r="J7" i="2"/>
  <c r="L40" i="5"/>
  <c r="M37" i="11"/>
  <c r="J13" i="3"/>
  <c r="L13" s="1"/>
  <c r="N13" s="1"/>
  <c r="P13" s="1"/>
  <c r="H14" s="1"/>
  <c r="J25" i="11"/>
  <c r="M28" i="4"/>
  <c r="N8" i="11"/>
  <c r="M32" i="4"/>
  <c r="M40"/>
  <c r="N32"/>
  <c r="N40"/>
  <c r="H14" i="2"/>
  <c r="I12" s="1"/>
  <c r="I13" s="1"/>
  <c r="H4" i="7"/>
  <c r="J10" i="5"/>
  <c r="S59" i="4"/>
  <c r="Q54"/>
  <c r="R54" s="1"/>
  <c r="P62"/>
  <c r="P66" s="1"/>
  <c r="Q55"/>
  <c r="M67"/>
  <c r="P12"/>
  <c r="O13"/>
  <c r="L17" s="1"/>
  <c r="O70"/>
  <c r="N71"/>
  <c r="O63"/>
  <c r="O31" s="1"/>
  <c r="N67"/>
  <c r="L18" i="2"/>
  <c r="L23" s="1"/>
  <c r="K24"/>
  <c r="K8" s="1"/>
  <c r="K19"/>
  <c r="Q13" i="3" l="1"/>
  <c r="K29" i="4"/>
  <c r="K5" i="5"/>
  <c r="K6" s="1"/>
  <c r="L19" i="11"/>
  <c r="L21" s="1"/>
  <c r="L41" i="5"/>
  <c r="L27" i="4"/>
  <c r="M38" i="11"/>
  <c r="K7" i="2"/>
  <c r="K25" i="11"/>
  <c r="J14" i="3"/>
  <c r="L14" s="1"/>
  <c r="N14" s="1"/>
  <c r="P14" s="1"/>
  <c r="H15" s="1"/>
  <c r="N28" i="4"/>
  <c r="O8" i="11"/>
  <c r="O32" i="4"/>
  <c r="O40"/>
  <c r="N41"/>
  <c r="N33" s="1"/>
  <c r="N34" s="1"/>
  <c r="N23" s="1"/>
  <c r="N24" s="1"/>
  <c r="N25" s="1"/>
  <c r="N46"/>
  <c r="N47" s="1"/>
  <c r="M46"/>
  <c r="M47" s="1"/>
  <c r="M41"/>
  <c r="M33" s="1"/>
  <c r="M34" s="1"/>
  <c r="M23" s="1"/>
  <c r="M24" s="1"/>
  <c r="M25" s="1"/>
  <c r="K10" i="5"/>
  <c r="I14" i="2"/>
  <c r="J12" s="1"/>
  <c r="J13" s="1"/>
  <c r="I4" i="7"/>
  <c r="R62" i="4"/>
  <c r="R66" s="1"/>
  <c r="R67" s="1"/>
  <c r="Q62"/>
  <c r="Q66" s="1"/>
  <c r="Q67" s="1"/>
  <c r="T59"/>
  <c r="R55"/>
  <c r="S54"/>
  <c r="P55"/>
  <c r="O67"/>
  <c r="P63"/>
  <c r="P31" s="1"/>
  <c r="P70"/>
  <c r="Q12"/>
  <c r="P13"/>
  <c r="M17" s="1"/>
  <c r="L24" i="2"/>
  <c r="L8" s="1"/>
  <c r="M18"/>
  <c r="M23" s="1"/>
  <c r="L19"/>
  <c r="Q14" i="3" l="1"/>
  <c r="L29" i="4"/>
  <c r="L5" i="5"/>
  <c r="L6" s="1"/>
  <c r="M48" i="4"/>
  <c r="M26" s="1"/>
  <c r="N48"/>
  <c r="N26" s="1"/>
  <c r="M19" i="11"/>
  <c r="M21" s="1"/>
  <c r="L7" i="2"/>
  <c r="M40" i="5"/>
  <c r="N37" i="11"/>
  <c r="N40" i="5"/>
  <c r="O37" i="11"/>
  <c r="R63" i="4"/>
  <c r="R31" s="1"/>
  <c r="R40" s="1"/>
  <c r="J15" i="3"/>
  <c r="L15" s="1"/>
  <c r="N15" s="1"/>
  <c r="P15" s="1"/>
  <c r="L25" i="11"/>
  <c r="P32" i="4"/>
  <c r="P40"/>
  <c r="O46"/>
  <c r="O47" s="1"/>
  <c r="O41"/>
  <c r="O33" s="1"/>
  <c r="O34" s="1"/>
  <c r="O23" s="1"/>
  <c r="O24" s="1"/>
  <c r="O25" s="1"/>
  <c r="J14" i="2"/>
  <c r="K12" s="1"/>
  <c r="K13" s="1"/>
  <c r="J4" i="7"/>
  <c r="Q63" i="4"/>
  <c r="Q31" s="1"/>
  <c r="L10" i="5"/>
  <c r="S62" i="4"/>
  <c r="S66" s="1"/>
  <c r="S67" s="1"/>
  <c r="R70"/>
  <c r="R71" s="1"/>
  <c r="Q70"/>
  <c r="Q71" s="1"/>
  <c r="U59"/>
  <c r="T54"/>
  <c r="S55"/>
  <c r="O71"/>
  <c r="R12"/>
  <c r="Q13"/>
  <c r="N17" s="1"/>
  <c r="P71"/>
  <c r="P67"/>
  <c r="M24" i="2"/>
  <c r="M8" s="1"/>
  <c r="N18"/>
  <c r="M19"/>
  <c r="Q15" i="3" l="1"/>
  <c r="N25" i="11" s="1"/>
  <c r="N41" i="5"/>
  <c r="O38" i="11"/>
  <c r="N27" i="4"/>
  <c r="M41" i="5"/>
  <c r="M27" i="4"/>
  <c r="N38" i="11"/>
  <c r="O48" i="4"/>
  <c r="O26" s="1"/>
  <c r="M7" i="2"/>
  <c r="O40" i="5"/>
  <c r="P37" i="11"/>
  <c r="R32" i="4"/>
  <c r="M25" i="11"/>
  <c r="O28" i="4"/>
  <c r="P8" i="11"/>
  <c r="Q28" i="4"/>
  <c r="R8" i="11"/>
  <c r="P28" i="4"/>
  <c r="Q8" i="11"/>
  <c r="R28" i="4"/>
  <c r="S8" i="11"/>
  <c r="Q32" i="4"/>
  <c r="Q40"/>
  <c r="R41"/>
  <c r="R33" s="1"/>
  <c r="R46"/>
  <c r="R47" s="1"/>
  <c r="P41"/>
  <c r="P33" s="1"/>
  <c r="P34" s="1"/>
  <c r="P23" s="1"/>
  <c r="P24" s="1"/>
  <c r="P25" s="1"/>
  <c r="P46"/>
  <c r="P47" s="1"/>
  <c r="S63"/>
  <c r="S31" s="1"/>
  <c r="K14" i="2"/>
  <c r="L12" s="1"/>
  <c r="L13" s="1"/>
  <c r="K4" i="7"/>
  <c r="M10" i="5"/>
  <c r="T62" i="4"/>
  <c r="T63" s="1"/>
  <c r="T31" s="1"/>
  <c r="S70"/>
  <c r="S71" s="1"/>
  <c r="V59"/>
  <c r="T55"/>
  <c r="U54"/>
  <c r="S12"/>
  <c r="T12"/>
  <c r="T13" s="1"/>
  <c r="Q17" s="1"/>
  <c r="R13"/>
  <c r="O17" s="1"/>
  <c r="O18" i="2"/>
  <c r="N19"/>
  <c r="M29" i="4" l="1"/>
  <c r="M5" i="5"/>
  <c r="M6" s="1"/>
  <c r="N29" i="4"/>
  <c r="N5" i="5"/>
  <c r="N6" s="1"/>
  <c r="O19" i="11"/>
  <c r="O21" s="1"/>
  <c r="N19"/>
  <c r="N21" s="1"/>
  <c r="R34" i="4"/>
  <c r="R23" s="1"/>
  <c r="R24" s="1"/>
  <c r="P38" i="11"/>
  <c r="O41" i="5"/>
  <c r="O27" i="4"/>
  <c r="P48"/>
  <c r="P26" s="1"/>
  <c r="R48"/>
  <c r="R26" s="1"/>
  <c r="N7" i="2"/>
  <c r="P40" i="5"/>
  <c r="Q37" i="11"/>
  <c r="S28" i="4"/>
  <c r="T8" i="11"/>
  <c r="T32" i="4"/>
  <c r="T40"/>
  <c r="S32"/>
  <c r="S40"/>
  <c r="Q46"/>
  <c r="Q47" s="1"/>
  <c r="Q41"/>
  <c r="Q33" s="1"/>
  <c r="Q34" s="1"/>
  <c r="Q23" s="1"/>
  <c r="Q24" s="1"/>
  <c r="Q25" s="1"/>
  <c r="T66"/>
  <c r="T67" s="1"/>
  <c r="L4" i="7"/>
  <c r="U62" i="4"/>
  <c r="U63" s="1"/>
  <c r="U31" s="1"/>
  <c r="W59"/>
  <c r="V54"/>
  <c r="U55"/>
  <c r="S13"/>
  <c r="P17" s="1"/>
  <c r="L14" i="2"/>
  <c r="M12" s="1"/>
  <c r="P18"/>
  <c r="O19"/>
  <c r="R25" i="4" l="1"/>
  <c r="S37" i="11" s="1"/>
  <c r="O29" i="4"/>
  <c r="O5" i="5"/>
  <c r="O6" s="1"/>
  <c r="P19" i="11"/>
  <c r="P21" s="1"/>
  <c r="S38"/>
  <c r="R41" i="5"/>
  <c r="Q38" i="11"/>
  <c r="P41" i="5"/>
  <c r="Q48" i="4"/>
  <c r="Q26" s="1"/>
  <c r="P27"/>
  <c r="O7" i="2"/>
  <c r="Q40" i="5"/>
  <c r="R37" i="11"/>
  <c r="U32" i="4"/>
  <c r="U40"/>
  <c r="S46"/>
  <c r="S47" s="1"/>
  <c r="S41"/>
  <c r="S33" s="1"/>
  <c r="S34" s="1"/>
  <c r="S23" s="1"/>
  <c r="S24" s="1"/>
  <c r="S25" s="1"/>
  <c r="T41"/>
  <c r="T33" s="1"/>
  <c r="T34" s="1"/>
  <c r="T23" s="1"/>
  <c r="T24" s="1"/>
  <c r="T25" s="1"/>
  <c r="T46"/>
  <c r="T47" s="1"/>
  <c r="T70"/>
  <c r="T71" s="1"/>
  <c r="U66"/>
  <c r="U67" s="1"/>
  <c r="V62"/>
  <c r="V66" s="1"/>
  <c r="V67" s="1"/>
  <c r="X59"/>
  <c r="V55"/>
  <c r="W54"/>
  <c r="M13" i="2"/>
  <c r="Q18"/>
  <c r="P19"/>
  <c r="R27" i="4" l="1"/>
  <c r="R5" i="5" s="1"/>
  <c r="R6" s="1"/>
  <c r="R40"/>
  <c r="P29" i="4"/>
  <c r="P5" i="5"/>
  <c r="P6" s="1"/>
  <c r="R29" i="4"/>
  <c r="Q19" i="11"/>
  <c r="Q21" s="1"/>
  <c r="Q41" i="5"/>
  <c r="Q27" i="4"/>
  <c r="R38" i="11"/>
  <c r="S48" i="4"/>
  <c r="S26" s="1"/>
  <c r="T48"/>
  <c r="T26" s="1"/>
  <c r="P7" i="2"/>
  <c r="T40" i="5"/>
  <c r="U37" i="11"/>
  <c r="S40" i="5"/>
  <c r="T37" i="11"/>
  <c r="U70" i="4"/>
  <c r="U71" s="1"/>
  <c r="U28" s="1"/>
  <c r="T28"/>
  <c r="U8" i="11"/>
  <c r="U46" i="4"/>
  <c r="U47" s="1"/>
  <c r="U41"/>
  <c r="U33" s="1"/>
  <c r="U34" s="1"/>
  <c r="U23" s="1"/>
  <c r="U24" s="1"/>
  <c r="U25" s="1"/>
  <c r="V63"/>
  <c r="V31" s="1"/>
  <c r="M4" i="7"/>
  <c r="Q19" i="2"/>
  <c r="R18"/>
  <c r="S18" s="1"/>
  <c r="W62" i="4"/>
  <c r="W66" s="1"/>
  <c r="W67" s="1"/>
  <c r="V70"/>
  <c r="V71" s="1"/>
  <c r="Y59"/>
  <c r="X54"/>
  <c r="W55"/>
  <c r="M14" i="2"/>
  <c r="N12" s="1"/>
  <c r="S19" i="11" l="1"/>
  <c r="S21" s="1"/>
  <c r="Q29" i="4"/>
  <c r="Q5" i="5"/>
  <c r="Q6" s="1"/>
  <c r="R19" i="11"/>
  <c r="R21" s="1"/>
  <c r="T38"/>
  <c r="S41" i="5"/>
  <c r="S27" i="4"/>
  <c r="U38" i="11"/>
  <c r="T27" i="4"/>
  <c r="T41" i="5"/>
  <c r="U48" i="4"/>
  <c r="U26" s="1"/>
  <c r="Q7" i="2"/>
  <c r="U40" i="5"/>
  <c r="V37" i="11"/>
  <c r="V8"/>
  <c r="V28" i="4"/>
  <c r="W8" i="11"/>
  <c r="V32" i="4"/>
  <c r="V40"/>
  <c r="R19" i="2"/>
  <c r="W63" i="4"/>
  <c r="W31" s="1"/>
  <c r="X62"/>
  <c r="X66" s="1"/>
  <c r="X67" s="1"/>
  <c r="W70"/>
  <c r="W71" s="1"/>
  <c r="Z59"/>
  <c r="X55"/>
  <c r="Y54"/>
  <c r="N13" i="2"/>
  <c r="T18"/>
  <c r="S19"/>
  <c r="T29" i="4" l="1"/>
  <c r="T5" i="5"/>
  <c r="T6" s="1"/>
  <c r="S29" i="4"/>
  <c r="S5" i="5"/>
  <c r="S6" s="1"/>
  <c r="T19" i="11"/>
  <c r="T21" s="1"/>
  <c r="U19"/>
  <c r="U21" s="1"/>
  <c r="V38"/>
  <c r="U41" i="5"/>
  <c r="U27" i="4"/>
  <c r="S7" i="2"/>
  <c r="R7"/>
  <c r="W28" i="4"/>
  <c r="X8" i="11"/>
  <c r="W32" i="4"/>
  <c r="W40"/>
  <c r="V41"/>
  <c r="V33" s="1"/>
  <c r="V34" s="1"/>
  <c r="V23" s="1"/>
  <c r="V24" s="1"/>
  <c r="V25" s="1"/>
  <c r="V46"/>
  <c r="V47" s="1"/>
  <c r="X63"/>
  <c r="X31" s="1"/>
  <c r="N4" i="7"/>
  <c r="Y62" i="4"/>
  <c r="Y63" s="1"/>
  <c r="Y31" s="1"/>
  <c r="X70"/>
  <c r="X71" s="1"/>
  <c r="Z54"/>
  <c r="Y55"/>
  <c r="N14" i="2"/>
  <c r="O12" s="1"/>
  <c r="O13" s="1"/>
  <c r="U18"/>
  <c r="T19"/>
  <c r="T7" s="1"/>
  <c r="U29" i="4" l="1"/>
  <c r="U5" i="5"/>
  <c r="U6" s="1"/>
  <c r="V19" i="11"/>
  <c r="V21" s="1"/>
  <c r="V48" i="4"/>
  <c r="V26" s="1"/>
  <c r="V40" i="5"/>
  <c r="W37" i="11"/>
  <c r="X28" i="4"/>
  <c r="Y8" i="11"/>
  <c r="Y32" i="4"/>
  <c r="Y40"/>
  <c r="X32"/>
  <c r="X40"/>
  <c r="W46"/>
  <c r="W47" s="1"/>
  <c r="W41"/>
  <c r="W33" s="1"/>
  <c r="W34" s="1"/>
  <c r="W23" s="1"/>
  <c r="W24" s="1"/>
  <c r="W25" s="1"/>
  <c r="Y66"/>
  <c r="Y67" s="1"/>
  <c r="O4" i="7"/>
  <c r="Z55" i="4"/>
  <c r="Z62"/>
  <c r="O14" i="2"/>
  <c r="P12" s="1"/>
  <c r="V18"/>
  <c r="U19"/>
  <c r="U7" s="1"/>
  <c r="W38" i="11" l="1"/>
  <c r="V41" i="5"/>
  <c r="V27" i="4"/>
  <c r="W48"/>
  <c r="W26" s="1"/>
  <c r="W40" i="5"/>
  <c r="X37" i="11"/>
  <c r="X41" i="4"/>
  <c r="X33" s="1"/>
  <c r="X34" s="1"/>
  <c r="X23" s="1"/>
  <c r="X24" s="1"/>
  <c r="X25" s="1"/>
  <c r="X46"/>
  <c r="X47" s="1"/>
  <c r="Y46"/>
  <c r="Y47" s="1"/>
  <c r="Y41"/>
  <c r="Y33" s="1"/>
  <c r="Y34" s="1"/>
  <c r="Y23" s="1"/>
  <c r="Y24" s="1"/>
  <c r="Y25" s="1"/>
  <c r="Y70"/>
  <c r="Y71" s="1"/>
  <c r="Z63"/>
  <c r="Z31" s="1"/>
  <c r="Z66"/>
  <c r="Z67" s="1"/>
  <c r="P13" i="2"/>
  <c r="P4" i="7" s="1"/>
  <c r="W18" i="2"/>
  <c r="V19"/>
  <c r="V7" s="1"/>
  <c r="V29" i="4" l="1"/>
  <c r="V5" i="5"/>
  <c r="V6" s="1"/>
  <c r="W19" i="11"/>
  <c r="W21" s="1"/>
  <c r="X38"/>
  <c r="W41" i="5"/>
  <c r="W27" i="4"/>
  <c r="X48"/>
  <c r="X26" s="1"/>
  <c r="Y48"/>
  <c r="Y26" s="1"/>
  <c r="Y40" i="5"/>
  <c r="Z37" i="11"/>
  <c r="X40" i="5"/>
  <c r="Y37" i="11"/>
  <c r="Y28" i="4"/>
  <c r="Z8" i="11"/>
  <c r="Z32" i="4"/>
  <c r="Z40"/>
  <c r="P14" i="2"/>
  <c r="Q12" s="1"/>
  <c r="Z70" i="4"/>
  <c r="Z71" s="1"/>
  <c r="X18" i="2"/>
  <c r="W19"/>
  <c r="W7" s="1"/>
  <c r="W29" i="4" l="1"/>
  <c r="W5" i="5"/>
  <c r="X19" i="11"/>
  <c r="X21" s="1"/>
  <c r="W6" i="5"/>
  <c r="Z38" i="11"/>
  <c r="Y41" i="5"/>
  <c r="Y27" i="4"/>
  <c r="Y38" i="11"/>
  <c r="X41" i="5"/>
  <c r="X27" i="4"/>
  <c r="Z28"/>
  <c r="AA8" i="11"/>
  <c r="Z41" i="4"/>
  <c r="Z33" s="1"/>
  <c r="Z34" s="1"/>
  <c r="Z23" s="1"/>
  <c r="Z24" s="1"/>
  <c r="Z25" s="1"/>
  <c r="Z46"/>
  <c r="Z47" s="1"/>
  <c r="Q13" i="2"/>
  <c r="Q4" i="7" s="1"/>
  <c r="Y18" i="2"/>
  <c r="X19"/>
  <c r="X7" s="1"/>
  <c r="X29" i="4" l="1"/>
  <c r="X5" i="5"/>
  <c r="Y29" i="4"/>
  <c r="Y5" i="5"/>
  <c r="Y6" s="1"/>
  <c r="Z19" i="11"/>
  <c r="Z21" s="1"/>
  <c r="Y19"/>
  <c r="Y21" s="1"/>
  <c r="Z48" i="4"/>
  <c r="Z26" s="1"/>
  <c r="X6" i="5"/>
  <c r="Z40"/>
  <c r="AA37" i="11"/>
  <c r="Q14" i="2"/>
  <c r="R12" s="1"/>
  <c r="R13" s="1"/>
  <c r="Z18"/>
  <c r="Y19"/>
  <c r="Y7" s="1"/>
  <c r="AA38" i="11" l="1"/>
  <c r="Z41" i="5"/>
  <c r="Z27" i="4"/>
  <c r="R4" i="7"/>
  <c r="R14" i="2"/>
  <c r="S12" s="1"/>
  <c r="Z19"/>
  <c r="Z7" s="1"/>
  <c r="Z29" i="4" l="1"/>
  <c r="Z5" i="5"/>
  <c r="Z6" s="1"/>
  <c r="AA19" i="11"/>
  <c r="AA21" s="1"/>
  <c r="S13" i="2"/>
  <c r="S4" i="7" l="1"/>
  <c r="S14" i="2"/>
  <c r="T12" s="1"/>
  <c r="T13" l="1"/>
  <c r="T4" i="7" s="1"/>
  <c r="T14" i="2" l="1"/>
  <c r="U12" s="1"/>
  <c r="U13" l="1"/>
  <c r="U4" i="7" s="1"/>
  <c r="U14" i="2" l="1"/>
  <c r="V12" s="1"/>
  <c r="V13" l="1"/>
  <c r="V4" i="7" s="1"/>
  <c r="V14" i="2" l="1"/>
  <c r="W12" s="1"/>
  <c r="W13" l="1"/>
  <c r="W4" i="7" s="1"/>
  <c r="W14" i="2" l="1"/>
  <c r="X12" s="1"/>
  <c r="X13" l="1"/>
  <c r="X4" i="7" s="1"/>
  <c r="X14" i="2" l="1"/>
  <c r="Y12" s="1"/>
  <c r="Y13" l="1"/>
  <c r="Y4" i="7" s="1"/>
  <c r="Y14" i="2" l="1"/>
  <c r="Z12" s="1"/>
  <c r="Z13" l="1"/>
  <c r="Z4" i="7" s="1"/>
  <c r="Z14" i="2" l="1"/>
  <c r="C33" i="5" l="1"/>
  <c r="C28"/>
  <c r="D28" s="1"/>
  <c r="E28" s="1"/>
  <c r="F28" s="1"/>
  <c r="G28" s="1"/>
  <c r="H28" s="1"/>
  <c r="I28" s="1"/>
  <c r="J28" s="1"/>
  <c r="K28" s="1"/>
  <c r="L28" s="1"/>
  <c r="M28" s="1"/>
  <c r="N28" s="1"/>
  <c r="O28" s="1"/>
  <c r="P28" s="1"/>
  <c r="Q28" s="1"/>
  <c r="R28" s="1"/>
  <c r="S28" s="1"/>
  <c r="T28" s="1"/>
  <c r="U28" s="1"/>
  <c r="V28" s="1"/>
  <c r="W28" s="1"/>
  <c r="X28" s="1"/>
  <c r="Y28" s="1"/>
  <c r="Z28" s="1"/>
  <c r="D33" l="1"/>
  <c r="E33" l="1"/>
  <c r="F33" l="1"/>
  <c r="G33" l="1"/>
  <c r="H33" l="1"/>
  <c r="I33" l="1"/>
  <c r="J33" l="1"/>
  <c r="K33" l="1"/>
  <c r="L33" l="1"/>
  <c r="M33" l="1"/>
  <c r="N33" l="1"/>
  <c r="O33" l="1"/>
  <c r="P33" l="1"/>
  <c r="Q33" l="1"/>
  <c r="R33" l="1"/>
  <c r="S33" l="1"/>
  <c r="T33" l="1"/>
  <c r="U33" l="1"/>
  <c r="V33" l="1"/>
  <c r="W33" l="1"/>
  <c r="X33" l="1"/>
  <c r="Y33" l="1"/>
  <c r="Z33" l="1"/>
  <c r="B4" i="2" l="1"/>
  <c r="B23" l="1"/>
  <c r="B11" i="5"/>
  <c r="C18" i="11" s="1"/>
  <c r="B27" i="2"/>
  <c r="C7" i="11"/>
  <c r="F4" i="3"/>
  <c r="B4" i="4"/>
  <c r="Q4" i="3" l="1"/>
  <c r="C25" i="11" s="1"/>
  <c r="N23" i="2"/>
  <c r="N24" s="1"/>
  <c r="N8" s="1"/>
  <c r="R23"/>
  <c r="R24" s="1"/>
  <c r="R8" s="1"/>
  <c r="V23"/>
  <c r="V24" s="1"/>
  <c r="V8" s="1"/>
  <c r="Z23"/>
  <c r="Z24" s="1"/>
  <c r="Z8" s="1"/>
  <c r="P23"/>
  <c r="P24" s="1"/>
  <c r="P8" s="1"/>
  <c r="T23"/>
  <c r="T24" s="1"/>
  <c r="T8" s="1"/>
  <c r="X23"/>
  <c r="W23"/>
  <c r="S23"/>
  <c r="S24" s="1"/>
  <c r="S8" s="1"/>
  <c r="O23"/>
  <c r="O24" s="1"/>
  <c r="O8" s="1"/>
  <c r="Y23"/>
  <c r="Y24" s="1"/>
  <c r="Y8" s="1"/>
  <c r="U23"/>
  <c r="U24" s="1"/>
  <c r="U8" s="1"/>
  <c r="Q23"/>
  <c r="W24"/>
  <c r="W8" s="1"/>
  <c r="B28"/>
  <c r="B29" s="1"/>
  <c r="C27" i="11"/>
  <c r="B3" i="7" s="1"/>
  <c r="C36" i="11"/>
  <c r="C39"/>
  <c r="Q24" i="2"/>
  <c r="Q8" s="1"/>
  <c r="B24"/>
  <c r="B8" s="1"/>
  <c r="X24"/>
  <c r="X8" s="1"/>
  <c r="B62" i="4"/>
  <c r="B42" i="5"/>
  <c r="B39"/>
  <c r="B30" i="2" l="1"/>
  <c r="C27"/>
  <c r="C28" s="1"/>
  <c r="C29" s="1"/>
  <c r="X10" i="5"/>
  <c r="P10"/>
  <c r="U10"/>
  <c r="B9" i="2"/>
  <c r="C9" s="1"/>
  <c r="D9" s="1"/>
  <c r="E9" s="1"/>
  <c r="F9" s="1"/>
  <c r="G9" s="1"/>
  <c r="H9" s="1"/>
  <c r="I9" s="1"/>
  <c r="J9" s="1"/>
  <c r="K9" s="1"/>
  <c r="L9" s="1"/>
  <c r="M9" s="1"/>
  <c r="N9" s="1"/>
  <c r="O9" s="1"/>
  <c r="P9" s="1"/>
  <c r="Q9" s="1"/>
  <c r="R9" s="1"/>
  <c r="S9" s="1"/>
  <c r="T9" s="1"/>
  <c r="U9" s="1"/>
  <c r="V9" s="1"/>
  <c r="W9" s="1"/>
  <c r="X9" s="1"/>
  <c r="Y9" s="1"/>
  <c r="Z9" s="1"/>
  <c r="C4" i="3"/>
  <c r="D4" s="1"/>
  <c r="B10" i="5"/>
  <c r="V10"/>
  <c r="N10"/>
  <c r="C16" i="3"/>
  <c r="C17" s="1"/>
  <c r="C18" s="1"/>
  <c r="S10" i="5"/>
  <c r="B63" i="4"/>
  <c r="B31" s="1"/>
  <c r="B66"/>
  <c r="B67" s="1"/>
  <c r="T10" i="5"/>
  <c r="Y10"/>
  <c r="Q10"/>
  <c r="Z10"/>
  <c r="R10"/>
  <c r="W10"/>
  <c r="O10"/>
  <c r="D27" i="11" l="1"/>
  <c r="C3" i="7" s="1"/>
  <c r="C30" i="2"/>
  <c r="D27"/>
  <c r="D28" s="1"/>
  <c r="D29" s="1"/>
  <c r="B32" i="4"/>
  <c r="B40"/>
  <c r="B5" i="3"/>
  <c r="E4"/>
  <c r="B9" i="5" s="1"/>
  <c r="B70" i="4"/>
  <c r="B71" s="1"/>
  <c r="D30" i="2" l="1"/>
  <c r="E27"/>
  <c r="F27" i="11" s="1"/>
  <c r="E3" i="7" s="1"/>
  <c r="E27" i="11"/>
  <c r="D3" i="7" s="1"/>
  <c r="B28" i="4"/>
  <c r="C8" i="11"/>
  <c r="B41" i="4"/>
  <c r="B33" s="1"/>
  <c r="B34" s="1"/>
  <c r="B23" s="1"/>
  <c r="B24" s="1"/>
  <c r="B25" s="1"/>
  <c r="B46"/>
  <c r="B47" s="1"/>
  <c r="D5" i="3"/>
  <c r="B6" s="1"/>
  <c r="E28" i="2" l="1"/>
  <c r="E29" s="1"/>
  <c r="B48" i="4"/>
  <c r="B26" s="1"/>
  <c r="B40" i="5"/>
  <c r="C37" i="11"/>
  <c r="E5" i="3"/>
  <c r="C9" i="5" s="1"/>
  <c r="D6" i="3"/>
  <c r="B7" s="1"/>
  <c r="E30" i="2" l="1"/>
  <c r="F27"/>
  <c r="C38" i="11"/>
  <c r="B41" i="5"/>
  <c r="B27" i="4"/>
  <c r="E6" i="3"/>
  <c r="D9" i="5" s="1"/>
  <c r="D7" i="3"/>
  <c r="B8" s="1"/>
  <c r="B29" i="4" l="1"/>
  <c r="B5" i="5"/>
  <c r="B6" s="1"/>
  <c r="G27" i="11"/>
  <c r="F3" i="7" s="1"/>
  <c r="F28" i="2"/>
  <c r="F29" s="1"/>
  <c r="C19" i="11"/>
  <c r="C21" s="1"/>
  <c r="E7" i="3"/>
  <c r="E9" i="5" s="1"/>
  <c r="D8" i="3"/>
  <c r="B9" s="1"/>
  <c r="F30" i="2" l="1"/>
  <c r="G27"/>
  <c r="E8" i="3"/>
  <c r="F9" i="5" s="1"/>
  <c r="D9" i="3"/>
  <c r="B10" s="1"/>
  <c r="H27" i="11" l="1"/>
  <c r="G3" i="7" s="1"/>
  <c r="G28" i="2"/>
  <c r="G29" s="1"/>
  <c r="E9" i="3"/>
  <c r="G9" i="5" s="1"/>
  <c r="D10" i="3"/>
  <c r="B11" s="1"/>
  <c r="G30" i="2" l="1"/>
  <c r="H27"/>
  <c r="E10" i="3"/>
  <c r="H9" i="5" s="1"/>
  <c r="D11" i="3"/>
  <c r="B12" s="1"/>
  <c r="H28" i="2" l="1"/>
  <c r="H29" s="1"/>
  <c r="I27" i="11"/>
  <c r="H3" i="7" s="1"/>
  <c r="E11" i="3"/>
  <c r="I9" i="5" s="1"/>
  <c r="D12" i="3"/>
  <c r="B13" s="1"/>
  <c r="H30" i="2" l="1"/>
  <c r="I27"/>
  <c r="E12" i="3"/>
  <c r="J9" i="5" s="1"/>
  <c r="D13" i="3"/>
  <c r="B14" s="1"/>
  <c r="I28" i="2" l="1"/>
  <c r="I29" s="1"/>
  <c r="J27" i="11"/>
  <c r="I3" i="7" s="1"/>
  <c r="E13" i="3"/>
  <c r="K9" i="5" s="1"/>
  <c r="D14" i="3"/>
  <c r="B15" s="1"/>
  <c r="I30" i="2" l="1"/>
  <c r="J27"/>
  <c r="D15" i="3"/>
  <c r="B16" s="1"/>
  <c r="E14"/>
  <c r="L9" i="5" s="1"/>
  <c r="J28" i="2" l="1"/>
  <c r="J29" s="1"/>
  <c r="K27" i="11"/>
  <c r="J3" i="7" s="1"/>
  <c r="E15" i="3"/>
  <c r="M9" i="5" s="1"/>
  <c r="D16" i="3"/>
  <c r="B17" s="1"/>
  <c r="J30" i="2" l="1"/>
  <c r="K27"/>
  <c r="E16" i="3"/>
  <c r="N9" i="5" s="1"/>
  <c r="D17" i="3"/>
  <c r="B18" s="1"/>
  <c r="K28" i="2" l="1"/>
  <c r="K29" s="1"/>
  <c r="L27" i="11"/>
  <c r="K3" i="7" s="1"/>
  <c r="E17" i="3"/>
  <c r="O9" i="5" s="1"/>
  <c r="D18" i="3"/>
  <c r="B19" s="1"/>
  <c r="C19" s="1"/>
  <c r="K30" i="2" l="1"/>
  <c r="L27"/>
  <c r="E18" i="3"/>
  <c r="P9" i="5" s="1"/>
  <c r="D19" i="3"/>
  <c r="B20" s="1"/>
  <c r="L28" i="2" l="1"/>
  <c r="L29" s="1"/>
  <c r="M27" i="11"/>
  <c r="L3" i="7" s="1"/>
  <c r="E19" i="3"/>
  <c r="Q9" i="5" s="1"/>
  <c r="D20" i="3"/>
  <c r="B21" s="1"/>
  <c r="C21" s="1"/>
  <c r="D21" s="1"/>
  <c r="E21" s="1"/>
  <c r="S9" i="5" s="1"/>
  <c r="L30" i="2" l="1"/>
  <c r="M27"/>
  <c r="E20" i="3"/>
  <c r="R9" i="5" s="1"/>
  <c r="M28" i="2" l="1"/>
  <c r="M29" s="1"/>
  <c r="N27" i="11"/>
  <c r="M3" i="7" s="1"/>
  <c r="B34" i="5"/>
  <c r="C3" i="6"/>
  <c r="M30" i="2" l="1"/>
  <c r="N27"/>
  <c r="C34" i="5"/>
  <c r="D34"/>
  <c r="N28" i="2" l="1"/>
  <c r="N29" s="1"/>
  <c r="O27" i="11"/>
  <c r="N3" i="7" s="1"/>
  <c r="E34" i="5"/>
  <c r="N30" i="2" l="1"/>
  <c r="O27"/>
  <c r="F34" i="5"/>
  <c r="O28" i="2" l="1"/>
  <c r="O29" s="1"/>
  <c r="P27" i="11"/>
  <c r="O3" i="7" s="1"/>
  <c r="G34" i="5"/>
  <c r="O30" i="2" l="1"/>
  <c r="P27"/>
  <c r="H34" i="5"/>
  <c r="P28" i="2" l="1"/>
  <c r="P29" s="1"/>
  <c r="Q27" i="11"/>
  <c r="P3" i="7" s="1"/>
  <c r="I34" i="5"/>
  <c r="P30" i="2" l="1"/>
  <c r="Q27"/>
  <c r="J34" i="5"/>
  <c r="Q28" i="2" l="1"/>
  <c r="Q29" s="1"/>
  <c r="R27" i="11"/>
  <c r="Q3" i="7" s="1"/>
  <c r="K34" i="5"/>
  <c r="Q30" i="2" l="1"/>
  <c r="R27"/>
  <c r="L34" i="5"/>
  <c r="R28" i="2" l="1"/>
  <c r="R29" s="1"/>
  <c r="S27" i="11"/>
  <c r="R3" i="7" s="1"/>
  <c r="M34" i="5"/>
  <c r="R30" i="2" l="1"/>
  <c r="S27"/>
  <c r="N34" i="5"/>
  <c r="S28" i="2" l="1"/>
  <c r="S29" s="1"/>
  <c r="S30" s="1"/>
  <c r="T27" s="1"/>
  <c r="T27" i="11"/>
  <c r="S3" i="7" s="1"/>
  <c r="O34" i="5"/>
  <c r="U27" i="11" l="1"/>
  <c r="T3" i="7" s="1"/>
  <c r="T28" i="2"/>
  <c r="T29" s="1"/>
  <c r="T30" s="1"/>
  <c r="U27" s="1"/>
  <c r="P34" i="5"/>
  <c r="U28" i="2" l="1"/>
  <c r="U29" s="1"/>
  <c r="U30" s="1"/>
  <c r="V27" s="1"/>
  <c r="V27" i="11"/>
  <c r="U3" i="7" s="1"/>
  <c r="Q34" i="5"/>
  <c r="W27" i="11" l="1"/>
  <c r="V3" i="7" s="1"/>
  <c r="V28" i="2"/>
  <c r="V29" s="1"/>
  <c r="V30" s="1"/>
  <c r="W27" s="1"/>
  <c r="R34" i="5"/>
  <c r="W28" i="2" l="1"/>
  <c r="W29" s="1"/>
  <c r="W30" s="1"/>
  <c r="X27" s="1"/>
  <c r="X27" i="11"/>
  <c r="W3" i="7" s="1"/>
  <c r="S34" i="5"/>
  <c r="X28" i="2" l="1"/>
  <c r="X29" s="1"/>
  <c r="X30" s="1"/>
  <c r="Y27" s="1"/>
  <c r="Y27" i="11"/>
  <c r="X3" i="7" s="1"/>
  <c r="T34" i="5"/>
  <c r="Y28" i="2" l="1"/>
  <c r="Y29" s="1"/>
  <c r="Y30" s="1"/>
  <c r="Z27" s="1"/>
  <c r="Z27" i="11"/>
  <c r="Y3" i="7" s="1"/>
  <c r="U34" i="5"/>
  <c r="Z28" i="2" l="1"/>
  <c r="Z29" s="1"/>
  <c r="Z30" s="1"/>
  <c r="AA27" i="11"/>
  <c r="Z3" i="7" s="1"/>
  <c r="V34" i="5"/>
  <c r="W34" l="1"/>
  <c r="X34" l="1"/>
  <c r="Z34" l="1"/>
  <c r="Y34"/>
  <c r="B35" l="1"/>
  <c r="K15" l="1"/>
  <c r="C6" i="12"/>
  <c r="C2"/>
  <c r="C3"/>
  <c r="C4"/>
  <c r="C5"/>
  <c r="C39" i="7"/>
  <c r="C9"/>
  <c r="E39"/>
  <c r="E9"/>
  <c r="G39"/>
  <c r="G9"/>
  <c r="I39"/>
  <c r="I9"/>
  <c r="K39"/>
  <c r="K9"/>
  <c r="M39"/>
  <c r="M9"/>
  <c r="O39"/>
  <c r="O9"/>
  <c r="Q39"/>
  <c r="Q9"/>
  <c r="S39"/>
  <c r="S9"/>
  <c r="U39"/>
  <c r="U9"/>
  <c r="W39"/>
  <c r="W9"/>
  <c r="Y39"/>
  <c r="Y9"/>
  <c r="D9"/>
  <c r="D39"/>
  <c r="F9"/>
  <c r="F39"/>
  <c r="H9"/>
  <c r="H39"/>
  <c r="J9"/>
  <c r="J39"/>
  <c r="L9"/>
  <c r="L39"/>
  <c r="N9"/>
  <c r="N39"/>
  <c r="P9"/>
  <c r="P39"/>
  <c r="R9"/>
  <c r="R39"/>
  <c r="T9"/>
  <c r="T39"/>
  <c r="V9"/>
  <c r="V39"/>
  <c r="X9"/>
  <c r="X39"/>
  <c r="Z9"/>
  <c r="Z39"/>
  <c r="U15"/>
  <c r="H24"/>
  <c r="J15" i="5"/>
  <c r="E10" i="7"/>
  <c r="F30"/>
  <c r="F25"/>
  <c r="N30"/>
  <c r="N25"/>
  <c r="V30"/>
  <c r="V25"/>
  <c r="W26" i="11"/>
  <c r="F21" i="7"/>
  <c r="F24"/>
  <c r="N21"/>
  <c r="N24"/>
  <c r="V24"/>
  <c r="V21"/>
  <c r="D30"/>
  <c r="D25"/>
  <c r="F29" i="5"/>
  <c r="T12" i="7"/>
  <c r="J24"/>
  <c r="Y24"/>
  <c r="T26" i="11"/>
  <c r="E24" i="7"/>
  <c r="M24"/>
  <c r="J29" i="5"/>
  <c r="K45"/>
  <c r="H29"/>
  <c r="O33" i="11"/>
  <c r="V15" i="5"/>
  <c r="U12" i="7"/>
  <c r="U11"/>
  <c r="U14"/>
  <c r="K33" i="11"/>
  <c r="D21" i="7"/>
  <c r="D24"/>
  <c r="Q26" i="11"/>
  <c r="F32" i="7"/>
  <c r="G31" i="11"/>
  <c r="Q10" i="7"/>
  <c r="I15"/>
  <c r="T30"/>
  <c r="T25"/>
  <c r="D12"/>
  <c r="R24"/>
  <c r="S29" i="5"/>
  <c r="W15"/>
  <c r="Z29"/>
  <c r="W12" i="7"/>
  <c r="Z12"/>
  <c r="E7"/>
  <c r="Z30"/>
  <c r="Z25"/>
  <c r="Q42" i="11"/>
  <c r="L26"/>
  <c r="X25" i="7"/>
  <c r="X30"/>
  <c r="E33" i="11"/>
  <c r="L24" i="7"/>
  <c r="U31" i="11"/>
  <c r="M29" i="5"/>
  <c r="Z24" i="7"/>
  <c r="Z21"/>
  <c r="K26" i="11"/>
  <c r="V12" i="7"/>
  <c r="Y10"/>
  <c r="S28"/>
  <c r="U15" i="5"/>
  <c r="J12" i="7"/>
  <c r="Y33" i="11"/>
  <c r="D29" i="5"/>
  <c r="X21" i="7"/>
  <c r="X24"/>
  <c r="O10"/>
  <c r="C12"/>
  <c r="G33" i="11"/>
  <c r="Z26"/>
  <c r="J31"/>
  <c r="V31"/>
  <c r="L29" i="5"/>
  <c r="W45"/>
  <c r="F12" i="7"/>
  <c r="G15"/>
  <c r="X26" i="11"/>
  <c r="P31"/>
  <c r="X31"/>
  <c r="U29" i="5"/>
  <c r="S12" i="7"/>
  <c r="V10"/>
  <c r="H32"/>
  <c r="I31" i="11"/>
  <c r="T31"/>
  <c r="K24" i="7"/>
  <c r="Y29" i="5"/>
  <c r="P12" i="7"/>
  <c r="T24"/>
  <c r="T32"/>
  <c r="T21"/>
  <c r="V33" i="11"/>
  <c r="R31"/>
  <c r="W10" i="7"/>
  <c r="P24"/>
  <c r="B24"/>
  <c r="M33" i="11"/>
  <c r="G24" i="7"/>
  <c r="C10"/>
  <c r="N33" i="11"/>
  <c r="V26"/>
  <c r="K29" i="5"/>
  <c r="Z15"/>
  <c r="Z32" i="7"/>
  <c r="AA31" i="11"/>
  <c r="Y12" i="7"/>
  <c r="Q33" i="11"/>
  <c r="O15" i="5"/>
  <c r="M15" i="7"/>
  <c r="W11"/>
  <c r="W14"/>
  <c r="W15"/>
  <c r="O24"/>
  <c r="O32"/>
  <c r="C7"/>
  <c r="N29" i="5"/>
  <c r="Z45"/>
  <c r="L12" i="7"/>
  <c r="U27"/>
  <c r="W27"/>
  <c r="Y22"/>
  <c r="Y27"/>
  <c r="L42" i="11"/>
  <c r="N12" i="7"/>
  <c r="I12"/>
  <c r="I11"/>
  <c r="I14"/>
  <c r="H15" i="5"/>
  <c r="Q28" i="7"/>
  <c r="B25"/>
  <c r="B21"/>
  <c r="B30"/>
  <c r="K42" i="11"/>
  <c r="S33"/>
  <c r="Z33"/>
  <c r="O12" i="7"/>
  <c r="O29" i="5"/>
  <c r="I28" i="7"/>
  <c r="W28"/>
  <c r="S26" i="11"/>
  <c r="X32" i="7"/>
  <c r="Y31" i="11"/>
  <c r="S15" i="5"/>
  <c r="D31" i="11"/>
  <c r="U33"/>
  <c r="B12" i="7"/>
  <c r="F33" i="11"/>
  <c r="J26"/>
  <c r="U10" i="7"/>
  <c r="O45" i="5"/>
  <c r="W44"/>
  <c r="M28" i="7"/>
  <c r="R15" i="5"/>
  <c r="I26" i="11"/>
  <c r="M15" i="5"/>
  <c r="U45"/>
  <c r="Y15"/>
  <c r="X42" i="11"/>
  <c r="V45" i="5"/>
  <c r="I33" i="11"/>
  <c r="Q41"/>
  <c r="U30" i="7"/>
  <c r="U25"/>
  <c r="T29" i="5"/>
  <c r="S24" i="7"/>
  <c r="S32"/>
  <c r="J32"/>
  <c r="K31" i="11"/>
  <c r="K10" i="7"/>
  <c r="E32"/>
  <c r="F31" i="11"/>
  <c r="C29" i="5"/>
  <c r="K32" i="7"/>
  <c r="L31" i="11"/>
  <c r="X12" i="7"/>
  <c r="Q44" i="5"/>
  <c r="Q45"/>
  <c r="Q15"/>
  <c r="Q15" i="7"/>
  <c r="F26" i="11"/>
  <c r="C15" i="5"/>
  <c r="H25" i="7"/>
  <c r="H21"/>
  <c r="H30"/>
  <c r="Q24"/>
  <c r="Q32"/>
  <c r="G29" i="5"/>
  <c r="I24" i="7"/>
  <c r="I32"/>
  <c r="R25"/>
  <c r="R21"/>
  <c r="R30"/>
  <c r="G15" i="5"/>
  <c r="G10" i="7"/>
  <c r="H12"/>
  <c r="X29" i="5"/>
  <c r="W24" i="7"/>
  <c r="W32"/>
  <c r="W22"/>
  <c r="E26" i="11"/>
  <c r="U24" i="7"/>
  <c r="U32"/>
  <c r="U22"/>
  <c r="U21"/>
  <c r="P33" i="11"/>
  <c r="Z42" i="7"/>
  <c r="W29" i="5"/>
  <c r="D32" i="7"/>
  <c r="E31" i="11"/>
  <c r="L32" i="7"/>
  <c r="M31" i="11"/>
  <c r="R12" i="7"/>
  <c r="M12"/>
  <c r="M11"/>
  <c r="M14"/>
  <c r="D26" i="11"/>
  <c r="Q29" i="5"/>
  <c r="T33" i="11"/>
  <c r="P42"/>
  <c r="P26"/>
  <c r="N15" i="5"/>
  <c r="C11" i="7"/>
  <c r="C14"/>
  <c r="C15"/>
  <c r="C24"/>
  <c r="C32"/>
  <c r="I29" i="5"/>
  <c r="X45"/>
  <c r="X15"/>
  <c r="Y11" i="7"/>
  <c r="Y14"/>
  <c r="Y15"/>
  <c r="K15"/>
  <c r="G45" i="5"/>
  <c r="D41" i="11"/>
  <c r="D42"/>
  <c r="C43" i="5"/>
  <c r="C44"/>
  <c r="C45"/>
  <c r="P44"/>
  <c r="P45"/>
  <c r="P15"/>
  <c r="G32" i="7"/>
  <c r="H31" i="11"/>
  <c r="L25" i="7"/>
  <c r="L21"/>
  <c r="L30"/>
  <c r="M26" i="11"/>
  <c r="K44" i="5"/>
  <c r="S11" i="7"/>
  <c r="S14"/>
  <c r="S15"/>
  <c r="G12"/>
  <c r="G11"/>
  <c r="G14"/>
  <c r="R33" i="11"/>
  <c r="P29" i="5"/>
  <c r="Q12" i="7"/>
  <c r="Q11"/>
  <c r="Q14"/>
  <c r="D44" i="5"/>
  <c r="D45"/>
  <c r="D15"/>
  <c r="P25" i="7"/>
  <c r="P21"/>
  <c r="P30"/>
  <c r="Y42" i="11"/>
  <c r="Y26"/>
  <c r="B32" i="7"/>
  <c r="C31" i="11"/>
  <c r="N32" i="7"/>
  <c r="O31" i="11"/>
  <c r="R32" i="7"/>
  <c r="S31" i="11"/>
  <c r="W42"/>
  <c r="F43" i="5"/>
  <c r="F44"/>
  <c r="F45"/>
  <c r="F15"/>
  <c r="V42" i="11"/>
  <c r="J25" i="7"/>
  <c r="J21"/>
  <c r="J30"/>
  <c r="E15"/>
  <c r="L33" i="11"/>
  <c r="V29" i="5"/>
  <c r="K12" i="7"/>
  <c r="K11"/>
  <c r="K14"/>
  <c r="X33" i="11"/>
  <c r="T42"/>
  <c r="J33"/>
  <c r="D33"/>
  <c r="Y28" i="7"/>
  <c r="Z43" i="5"/>
  <c r="Z44"/>
  <c r="T40" i="11"/>
  <c r="T41"/>
  <c r="Y41"/>
  <c r="L45" i="5"/>
  <c r="L15"/>
  <c r="C40" i="11"/>
  <c r="C41"/>
  <c r="C42"/>
  <c r="C26"/>
  <c r="L40"/>
  <c r="L41"/>
  <c r="AA33"/>
  <c r="R29" i="5"/>
  <c r="V32" i="7"/>
  <c r="W31" i="11"/>
  <c r="H44" i="5"/>
  <c r="H45"/>
  <c r="W33" i="11"/>
  <c r="N42"/>
  <c r="N26"/>
  <c r="M32" i="7"/>
  <c r="N31" i="11"/>
  <c r="Y32" i="7"/>
  <c r="Z31" i="11"/>
  <c r="O28" i="7"/>
  <c r="T44" i="5"/>
  <c r="T45"/>
  <c r="T15"/>
  <c r="K40" i="11"/>
  <c r="K41"/>
  <c r="H33"/>
  <c r="B15" i="5"/>
  <c r="O11" i="7"/>
  <c r="O14"/>
  <c r="O15"/>
  <c r="E15" i="5"/>
  <c r="B30"/>
  <c r="E29"/>
  <c r="B43"/>
  <c r="B44"/>
  <c r="B45"/>
  <c r="N40" i="11"/>
  <c r="N41"/>
  <c r="M10" i="7"/>
  <c r="S42" i="11"/>
  <c r="S43" i="5"/>
  <c r="S44"/>
  <c r="S45"/>
  <c r="U28" i="7"/>
  <c r="K28"/>
  <c r="X43" i="5"/>
  <c r="X44"/>
  <c r="G26" i="11"/>
  <c r="S41"/>
  <c r="J42"/>
  <c r="Z40"/>
  <c r="Z41"/>
  <c r="Z42"/>
  <c r="D43" i="5"/>
  <c r="T43"/>
  <c r="AA41" i="11"/>
  <c r="AA42"/>
  <c r="AA26"/>
  <c r="P32" i="7"/>
  <c r="Q31" i="11"/>
  <c r="G43" i="5"/>
  <c r="G44"/>
  <c r="O43"/>
  <c r="O44"/>
  <c r="W43"/>
  <c r="D40" i="11"/>
  <c r="C33"/>
  <c r="R45" i="5"/>
  <c r="I40" i="11"/>
  <c r="I41"/>
  <c r="I42"/>
  <c r="B9" i="7"/>
  <c r="I7"/>
  <c r="I10"/>
  <c r="G40" i="11"/>
  <c r="G41"/>
  <c r="G42"/>
  <c r="O40"/>
  <c r="O41"/>
  <c r="O42"/>
  <c r="O26"/>
  <c r="W40"/>
  <c r="W41"/>
  <c r="E43" i="5"/>
  <c r="E44"/>
  <c r="E45"/>
  <c r="I43"/>
  <c r="I44"/>
  <c r="I45"/>
  <c r="I15"/>
  <c r="M43"/>
  <c r="M44"/>
  <c r="M45"/>
  <c r="Q43"/>
  <c r="U44"/>
  <c r="Y43"/>
  <c r="Y44"/>
  <c r="Y45"/>
  <c r="H43"/>
  <c r="P43"/>
  <c r="H41" i="11"/>
  <c r="H42"/>
  <c r="H26"/>
  <c r="P40"/>
  <c r="P41"/>
  <c r="X40"/>
  <c r="X41"/>
  <c r="B29" i="5"/>
  <c r="S7" i="7"/>
  <c r="S10"/>
  <c r="N45" i="5"/>
  <c r="V43"/>
  <c r="V44"/>
  <c r="E40" i="11"/>
  <c r="E41"/>
  <c r="E42"/>
  <c r="M40"/>
  <c r="M41"/>
  <c r="M42"/>
  <c r="U40"/>
  <c r="U41"/>
  <c r="U42"/>
  <c r="U26"/>
  <c r="K43" i="5"/>
  <c r="U43"/>
  <c r="J43"/>
  <c r="J44"/>
  <c r="J45"/>
  <c r="L43"/>
  <c r="L44"/>
  <c r="N43"/>
  <c r="N44"/>
  <c r="R43"/>
  <c r="R44"/>
  <c r="F40" i="11"/>
  <c r="F41"/>
  <c r="F42"/>
  <c r="J40"/>
  <c r="J41"/>
  <c r="R40"/>
  <c r="R41"/>
  <c r="R42"/>
  <c r="R26"/>
  <c r="V40"/>
  <c r="V41"/>
  <c r="H40"/>
  <c r="E12" i="7"/>
  <c r="E11"/>
  <c r="E14"/>
  <c r="Q40" i="11"/>
  <c r="T28" i="7"/>
  <c r="N11"/>
  <c r="N14"/>
  <c r="N15"/>
  <c r="J10"/>
  <c r="H20"/>
  <c r="H22"/>
  <c r="H27"/>
  <c r="L20"/>
  <c r="L22"/>
  <c r="L27"/>
  <c r="V8"/>
  <c r="V38"/>
  <c r="K36"/>
  <c r="T8"/>
  <c r="T38"/>
  <c r="R28"/>
  <c r="T36"/>
  <c r="Y40" i="11"/>
  <c r="W30" i="7"/>
  <c r="W21"/>
  <c r="W25"/>
  <c r="Q25"/>
  <c r="Q21"/>
  <c r="Q30"/>
  <c r="D10"/>
  <c r="M25"/>
  <c r="M21"/>
  <c r="M30"/>
  <c r="Z20"/>
  <c r="Z22"/>
  <c r="Z27"/>
  <c r="D7"/>
  <c r="F11"/>
  <c r="F14"/>
  <c r="F15"/>
  <c r="V7"/>
  <c r="U20"/>
  <c r="Y36"/>
  <c r="K22"/>
  <c r="K27"/>
  <c r="S41"/>
  <c r="P28"/>
  <c r="P11"/>
  <c r="P14"/>
  <c r="P15"/>
  <c r="Y30"/>
  <c r="Y21"/>
  <c r="Y25"/>
  <c r="G7"/>
  <c r="L10"/>
  <c r="T20"/>
  <c r="T22"/>
  <c r="T27"/>
  <c r="K25"/>
  <c r="K21"/>
  <c r="K30"/>
  <c r="B11"/>
  <c r="B14"/>
  <c r="B15"/>
  <c r="Z37"/>
  <c r="Z7"/>
  <c r="Z10"/>
  <c r="P20"/>
  <c r="P22"/>
  <c r="P27"/>
  <c r="N20"/>
  <c r="N22"/>
  <c r="N27"/>
  <c r="S40" i="11"/>
  <c r="C25" i="7"/>
  <c r="C21"/>
  <c r="C30"/>
  <c r="W6"/>
  <c r="W8"/>
  <c r="W38"/>
  <c r="T10"/>
  <c r="U36"/>
  <c r="Z8"/>
  <c r="Z38"/>
  <c r="N28"/>
  <c r="N36"/>
  <c r="J7"/>
  <c r="L11"/>
  <c r="L14"/>
  <c r="L15"/>
  <c r="U7"/>
  <c r="Z11"/>
  <c r="Z14"/>
  <c r="Z15"/>
  <c r="W36"/>
  <c r="AA40" i="11"/>
  <c r="Z29" i="7"/>
  <c r="Z31"/>
  <c r="H11"/>
  <c r="H14"/>
  <c r="H15"/>
  <c r="U41"/>
  <c r="V36"/>
  <c r="Q20"/>
  <c r="Q22"/>
  <c r="Q27"/>
  <c r="X28"/>
  <c r="V20"/>
  <c r="V22"/>
  <c r="V27"/>
  <c r="U6"/>
  <c r="U8"/>
  <c r="U38"/>
  <c r="S25"/>
  <c r="S21"/>
  <c r="S30"/>
  <c r="X36"/>
  <c r="D20"/>
  <c r="D22"/>
  <c r="D27"/>
  <c r="O7"/>
  <c r="F10"/>
  <c r="R20"/>
  <c r="R22"/>
  <c r="R27"/>
  <c r="P36"/>
  <c r="O25"/>
  <c r="O21"/>
  <c r="O30"/>
  <c r="B10"/>
  <c r="I25"/>
  <c r="I21"/>
  <c r="I30"/>
  <c r="G25"/>
  <c r="G21"/>
  <c r="G30"/>
  <c r="J41"/>
  <c r="E25"/>
  <c r="E21"/>
  <c r="E30"/>
  <c r="K7"/>
  <c r="R36"/>
  <c r="M36"/>
  <c r="Y7"/>
  <c r="J11"/>
  <c r="J14"/>
  <c r="J15"/>
  <c r="L7"/>
  <c r="J28"/>
  <c r="M7"/>
  <c r="K20"/>
  <c r="Y6"/>
  <c r="Y8"/>
  <c r="Y38"/>
  <c r="V28"/>
  <c r="X8"/>
  <c r="X38"/>
  <c r="N7"/>
  <c r="N10"/>
  <c r="E20"/>
  <c r="E22"/>
  <c r="E27"/>
  <c r="L28"/>
  <c r="M20"/>
  <c r="M22"/>
  <c r="M27"/>
  <c r="S6"/>
  <c r="S8"/>
  <c r="S38"/>
  <c r="W41"/>
  <c r="F7"/>
  <c r="W20"/>
  <c r="O41"/>
  <c r="Z28"/>
  <c r="W7"/>
  <c r="R7"/>
  <c r="R10"/>
  <c r="R41"/>
  <c r="S36"/>
  <c r="T7"/>
  <c r="M41"/>
  <c r="Y20"/>
  <c r="Z6"/>
  <c r="Q7"/>
  <c r="H7"/>
  <c r="H10"/>
  <c r="P7"/>
  <c r="P10"/>
  <c r="X7"/>
  <c r="X10"/>
  <c r="X6"/>
  <c r="X11"/>
  <c r="X14"/>
  <c r="X15"/>
  <c r="Z26"/>
  <c r="D11"/>
  <c r="D14"/>
  <c r="D15"/>
  <c r="T11"/>
  <c r="T14"/>
  <c r="T15"/>
  <c r="Q36"/>
  <c r="Q41"/>
  <c r="S20"/>
  <c r="S22"/>
  <c r="S27"/>
  <c r="I6"/>
  <c r="I8"/>
  <c r="I38"/>
  <c r="Z36"/>
  <c r="J6"/>
  <c r="J8"/>
  <c r="J38"/>
  <c r="R11"/>
  <c r="R14"/>
  <c r="R15"/>
  <c r="F20"/>
  <c r="F22"/>
  <c r="F27"/>
  <c r="V11"/>
  <c r="V14"/>
  <c r="V15"/>
  <c r="E6"/>
  <c r="E8"/>
  <c r="E38"/>
  <c r="X41"/>
  <c r="T41"/>
  <c r="X20"/>
  <c r="X22"/>
  <c r="X27"/>
  <c r="O20"/>
  <c r="O22"/>
  <c r="O27"/>
  <c r="C20"/>
  <c r="C22"/>
  <c r="C27"/>
  <c r="V6"/>
  <c r="G6"/>
  <c r="G8"/>
  <c r="G38"/>
  <c r="L6"/>
  <c r="L8"/>
  <c r="L38"/>
  <c r="O6"/>
  <c r="O8"/>
  <c r="O38"/>
  <c r="T6"/>
  <c r="Z40"/>
  <c r="J20"/>
  <c r="J22"/>
  <c r="J27"/>
  <c r="G20"/>
  <c r="G22"/>
  <c r="G27"/>
  <c r="L36"/>
  <c r="Y37"/>
  <c r="Y42"/>
  <c r="Z35"/>
  <c r="M6"/>
  <c r="M8"/>
  <c r="M38"/>
  <c r="I20"/>
  <c r="I22"/>
  <c r="I27"/>
  <c r="H6"/>
  <c r="H8"/>
  <c r="H38"/>
  <c r="P41"/>
  <c r="N41"/>
  <c r="O36"/>
  <c r="Y29"/>
  <c r="Y31"/>
  <c r="K6"/>
  <c r="K8"/>
  <c r="K38"/>
  <c r="N6"/>
  <c r="N8"/>
  <c r="N38"/>
  <c r="V41"/>
  <c r="L41"/>
  <c r="P6"/>
  <c r="P8"/>
  <c r="P38"/>
  <c r="V40"/>
  <c r="W40"/>
  <c r="X40"/>
  <c r="Y40"/>
  <c r="Y41"/>
  <c r="R6"/>
  <c r="R8"/>
  <c r="R38"/>
  <c r="Z41"/>
  <c r="F6"/>
  <c r="F8"/>
  <c r="F38"/>
  <c r="Y26"/>
  <c r="U29" i="11"/>
  <c r="T2" i="7"/>
  <c r="T18"/>
  <c r="T19"/>
  <c r="T44"/>
  <c r="T45"/>
  <c r="T13" i="5"/>
  <c r="T16"/>
  <c r="T20"/>
  <c r="T21"/>
  <c r="T24"/>
  <c r="U10" i="11"/>
  <c r="U12"/>
  <c r="U14"/>
  <c r="U23"/>
  <c r="V13" i="5"/>
  <c r="V16"/>
  <c r="V20"/>
  <c r="V21"/>
  <c r="V24"/>
  <c r="W10" i="11"/>
  <c r="W12"/>
  <c r="W14"/>
  <c r="W23"/>
  <c r="W29"/>
  <c r="V2" i="7"/>
  <c r="V18"/>
  <c r="V19"/>
  <c r="V44"/>
  <c r="V45"/>
  <c r="Y29" i="11"/>
  <c r="X2" i="7"/>
  <c r="X18"/>
  <c r="X19"/>
  <c r="X44"/>
  <c r="X45"/>
  <c r="X13" i="5"/>
  <c r="X16"/>
  <c r="X20"/>
  <c r="X21"/>
  <c r="X24"/>
  <c r="Y10" i="11"/>
  <c r="Y12"/>
  <c r="Y14"/>
  <c r="Y23"/>
  <c r="Z13" i="5"/>
  <c r="Z16"/>
  <c r="Z20"/>
  <c r="Z21"/>
  <c r="Z24"/>
  <c r="AA10" i="11"/>
  <c r="AA12"/>
  <c r="AA14"/>
  <c r="AA23"/>
  <c r="AA29"/>
  <c r="Z2" i="7"/>
  <c r="Z18"/>
  <c r="Z19"/>
  <c r="Z44"/>
  <c r="Z45"/>
  <c r="B20"/>
  <c r="B22"/>
  <c r="B27"/>
  <c r="B29"/>
  <c r="B31"/>
  <c r="C26"/>
  <c r="C29"/>
  <c r="C31"/>
  <c r="D26"/>
  <c r="D29"/>
  <c r="D31"/>
  <c r="E26"/>
  <c r="E29"/>
  <c r="E31"/>
  <c r="F26"/>
  <c r="F29"/>
  <c r="F31"/>
  <c r="G26"/>
  <c r="G29"/>
  <c r="G31"/>
  <c r="H26"/>
  <c r="H29"/>
  <c r="H31"/>
  <c r="I26"/>
  <c r="I29"/>
  <c r="I31"/>
  <c r="J26"/>
  <c r="J29"/>
  <c r="J31"/>
  <c r="K26"/>
  <c r="K29"/>
  <c r="K31"/>
  <c r="L26"/>
  <c r="L29"/>
  <c r="L31"/>
  <c r="M26"/>
  <c r="M29"/>
  <c r="M31"/>
  <c r="N26"/>
  <c r="N29"/>
  <c r="N31"/>
  <c r="O26"/>
  <c r="O29"/>
  <c r="O31"/>
  <c r="P26"/>
  <c r="P29"/>
  <c r="P31"/>
  <c r="Q26"/>
  <c r="Q29"/>
  <c r="Q31"/>
  <c r="R26"/>
  <c r="R29"/>
  <c r="R31"/>
  <c r="S26"/>
  <c r="S29"/>
  <c r="S31"/>
  <c r="T26"/>
  <c r="T29"/>
  <c r="T31"/>
  <c r="U26"/>
  <c r="U29"/>
  <c r="U31"/>
  <c r="V26"/>
  <c r="V29"/>
  <c r="V31"/>
  <c r="W26"/>
  <c r="W29"/>
  <c r="W31"/>
  <c r="X26"/>
  <c r="X29"/>
  <c r="X31"/>
  <c r="C6"/>
  <c r="C8"/>
  <c r="C38"/>
  <c r="K41"/>
  <c r="Q6"/>
  <c r="Q8"/>
  <c r="Q38"/>
  <c r="B8"/>
  <c r="B38"/>
  <c r="B42"/>
  <c r="C35"/>
  <c r="C37"/>
  <c r="C42"/>
  <c r="D35"/>
  <c r="D37"/>
  <c r="D42"/>
  <c r="E35"/>
  <c r="E37"/>
  <c r="E42"/>
  <c r="F35"/>
  <c r="F37"/>
  <c r="F42"/>
  <c r="G35"/>
  <c r="G37"/>
  <c r="G42"/>
  <c r="H35"/>
  <c r="H37"/>
  <c r="H42"/>
  <c r="I35"/>
  <c r="I37"/>
  <c r="I42"/>
  <c r="J35"/>
  <c r="J37"/>
  <c r="J42"/>
  <c r="K35"/>
  <c r="K37"/>
  <c r="K42"/>
  <c r="L35"/>
  <c r="L37"/>
  <c r="L42"/>
  <c r="M35"/>
  <c r="M37"/>
  <c r="M42"/>
  <c r="N35"/>
  <c r="N37"/>
  <c r="N42"/>
  <c r="O35"/>
  <c r="O37"/>
  <c r="O42"/>
  <c r="P35"/>
  <c r="P37"/>
  <c r="P42"/>
  <c r="Q35"/>
  <c r="Q37"/>
  <c r="Q42"/>
  <c r="R35"/>
  <c r="R37"/>
  <c r="R42"/>
  <c r="S35"/>
  <c r="S37"/>
  <c r="S42"/>
  <c r="T35"/>
  <c r="T37"/>
  <c r="T42"/>
  <c r="U35"/>
  <c r="U37"/>
  <c r="U42"/>
  <c r="V35"/>
  <c r="V37"/>
  <c r="V42"/>
  <c r="W35"/>
  <c r="W37"/>
  <c r="W42"/>
  <c r="X35"/>
  <c r="X37"/>
  <c r="X42"/>
  <c r="Y35"/>
  <c r="D6"/>
  <c r="D8"/>
  <c r="D38"/>
  <c r="B18"/>
  <c r="B19"/>
  <c r="B44"/>
  <c r="B45"/>
  <c r="B13" i="5"/>
  <c r="B16"/>
  <c r="B20"/>
  <c r="B21"/>
  <c r="B24"/>
  <c r="C10" i="11"/>
  <c r="C12"/>
  <c r="C14"/>
  <c r="C23"/>
  <c r="C29"/>
  <c r="B2" i="7"/>
  <c r="B6"/>
  <c r="B39"/>
  <c r="B40"/>
  <c r="C40"/>
  <c r="D40"/>
  <c r="E40"/>
  <c r="F40"/>
  <c r="G40"/>
  <c r="H40"/>
  <c r="I40"/>
  <c r="J40"/>
  <c r="K40"/>
  <c r="L40"/>
  <c r="M40"/>
  <c r="N40"/>
  <c r="O40"/>
  <c r="P40"/>
  <c r="Q40"/>
  <c r="R40"/>
  <c r="S40"/>
  <c r="T40"/>
  <c r="U40"/>
  <c r="E12" i="11"/>
  <c r="E14"/>
  <c r="E23"/>
  <c r="E29"/>
  <c r="D2" i="7"/>
  <c r="D18"/>
  <c r="D19"/>
  <c r="D44"/>
  <c r="D45"/>
  <c r="D13" i="5"/>
  <c r="D16"/>
  <c r="D20"/>
  <c r="D21"/>
  <c r="D24"/>
  <c r="E10" i="11"/>
  <c r="G12"/>
  <c r="G14"/>
  <c r="G23"/>
  <c r="G29"/>
  <c r="F2" i="7"/>
  <c r="F18"/>
  <c r="F19"/>
  <c r="F44"/>
  <c r="F45"/>
  <c r="F13" i="5"/>
  <c r="F16"/>
  <c r="F20"/>
  <c r="F21"/>
  <c r="F24"/>
  <c r="G10" i="11"/>
  <c r="H16" i="5"/>
  <c r="H20"/>
  <c r="H21"/>
  <c r="H24"/>
  <c r="I10" i="11"/>
  <c r="I12"/>
  <c r="I14"/>
  <c r="I23"/>
  <c r="I29"/>
  <c r="H2" i="7"/>
  <c r="H18"/>
  <c r="H19"/>
  <c r="H44"/>
  <c r="H45"/>
  <c r="H13" i="5"/>
  <c r="J16"/>
  <c r="J20"/>
  <c r="J21"/>
  <c r="J24"/>
  <c r="K10" i="11"/>
  <c r="K12"/>
  <c r="K14"/>
  <c r="K23"/>
  <c r="K29"/>
  <c r="J2" i="7"/>
  <c r="J18"/>
  <c r="J19"/>
  <c r="J44"/>
  <c r="J45"/>
  <c r="J13" i="5"/>
  <c r="M29" i="11"/>
  <c r="L2" i="7"/>
  <c r="L18"/>
  <c r="L19"/>
  <c r="L44"/>
  <c r="L45"/>
  <c r="L13" i="5"/>
  <c r="L16"/>
  <c r="L20"/>
  <c r="L21"/>
  <c r="L24"/>
  <c r="M10" i="11"/>
  <c r="M12"/>
  <c r="M14"/>
  <c r="M23"/>
  <c r="N16" i="5"/>
  <c r="N20"/>
  <c r="N21"/>
  <c r="N24"/>
  <c r="O10" i="11"/>
  <c r="O12"/>
  <c r="O14"/>
  <c r="O23"/>
  <c r="O29"/>
  <c r="N2" i="7"/>
  <c r="N18"/>
  <c r="N19"/>
  <c r="N44"/>
  <c r="N45"/>
  <c r="N13" i="5"/>
  <c r="Q12" i="11"/>
  <c r="Q14"/>
  <c r="Q23"/>
  <c r="Q29"/>
  <c r="P2" i="7"/>
  <c r="P18"/>
  <c r="P19"/>
  <c r="P44"/>
  <c r="P45"/>
  <c r="P13" i="5"/>
  <c r="P16"/>
  <c r="P20"/>
  <c r="P21"/>
  <c r="P24"/>
  <c r="Q10" i="11"/>
  <c r="R13" i="5"/>
  <c r="R16"/>
  <c r="R20"/>
  <c r="R21"/>
  <c r="R24"/>
  <c r="S10" i="11"/>
  <c r="S12"/>
  <c r="S14"/>
  <c r="S23"/>
  <c r="S29"/>
  <c r="R2" i="7"/>
  <c r="R18"/>
  <c r="R19"/>
  <c r="R44"/>
  <c r="R45"/>
  <c r="D29" i="11"/>
  <c r="C2" i="7"/>
  <c r="C18"/>
  <c r="C19"/>
  <c r="C44"/>
  <c r="C45"/>
  <c r="C13" i="5"/>
  <c r="C16"/>
  <c r="C20"/>
  <c r="C21"/>
  <c r="C24"/>
  <c r="D10" i="11"/>
  <c r="D12"/>
  <c r="D14"/>
  <c r="D23"/>
  <c r="E13" i="5"/>
  <c r="E16"/>
  <c r="E20"/>
  <c r="E21"/>
  <c r="E24"/>
  <c r="F10" i="11"/>
  <c r="F12"/>
  <c r="F14"/>
  <c r="F23"/>
  <c r="F29"/>
  <c r="E2" i="7"/>
  <c r="E18"/>
  <c r="E19"/>
  <c r="E44"/>
  <c r="E45"/>
  <c r="H29" i="11"/>
  <c r="G2" i="7"/>
  <c r="G18"/>
  <c r="G19"/>
  <c r="G44"/>
  <c r="G45"/>
  <c r="G13" i="5"/>
  <c r="G16"/>
  <c r="G20"/>
  <c r="G21"/>
  <c r="G24"/>
  <c r="H10" i="11"/>
  <c r="H12"/>
  <c r="H14"/>
  <c r="H23"/>
  <c r="I13" i="5"/>
  <c r="I16"/>
  <c r="I20"/>
  <c r="I21"/>
  <c r="I24"/>
  <c r="J10" i="11"/>
  <c r="J12"/>
  <c r="J14"/>
  <c r="J23"/>
  <c r="J29"/>
  <c r="I2" i="7"/>
  <c r="I18"/>
  <c r="I19"/>
  <c r="I44"/>
  <c r="I45"/>
  <c r="L29" i="11"/>
  <c r="K2" i="7"/>
  <c r="K18"/>
  <c r="K19"/>
  <c r="K44"/>
  <c r="K45"/>
  <c r="K13" i="5"/>
  <c r="K16"/>
  <c r="K20"/>
  <c r="K21"/>
  <c r="K24"/>
  <c r="L10" i="11"/>
  <c r="L12"/>
  <c r="L14"/>
  <c r="L23"/>
  <c r="M13" i="5"/>
  <c r="M16"/>
  <c r="M20"/>
  <c r="M21"/>
  <c r="M24"/>
  <c r="N10" i="11"/>
  <c r="N12"/>
  <c r="N14"/>
  <c r="N23"/>
  <c r="N29"/>
  <c r="M2" i="7"/>
  <c r="M18"/>
  <c r="M19"/>
  <c r="M44"/>
  <c r="M45"/>
  <c r="P29" i="11"/>
  <c r="O2" i="7"/>
  <c r="O18"/>
  <c r="O19"/>
  <c r="O44"/>
  <c r="O45"/>
  <c r="O13" i="5"/>
  <c r="O16"/>
  <c r="O20"/>
  <c r="O21"/>
  <c r="O24"/>
  <c r="P10" i="11"/>
  <c r="P12"/>
  <c r="P14"/>
  <c r="P23"/>
  <c r="Q13" i="5"/>
  <c r="Q16"/>
  <c r="Q20"/>
  <c r="Q21"/>
  <c r="Q24"/>
  <c r="R10" i="11"/>
  <c r="R12"/>
  <c r="R14"/>
  <c r="R23"/>
  <c r="R29"/>
  <c r="Q2" i="7"/>
  <c r="Q18"/>
  <c r="Q19"/>
  <c r="Q44"/>
  <c r="Q45"/>
  <c r="T29" i="11"/>
  <c r="S2" i="7"/>
  <c r="S18"/>
  <c r="S19"/>
  <c r="S44"/>
  <c r="S45"/>
  <c r="S13" i="5"/>
  <c r="S16"/>
  <c r="S20"/>
  <c r="S21"/>
  <c r="S24"/>
  <c r="T10" i="11"/>
  <c r="T12"/>
  <c r="T14"/>
  <c r="T23"/>
  <c r="U13" i="5"/>
  <c r="U16"/>
  <c r="U20"/>
  <c r="U21"/>
  <c r="U24"/>
  <c r="V10" i="11"/>
  <c r="V12"/>
  <c r="V14"/>
  <c r="V23"/>
  <c r="V29"/>
  <c r="U2" i="7"/>
  <c r="U18"/>
  <c r="U19"/>
  <c r="U44"/>
  <c r="U45"/>
  <c r="W24" i="5"/>
  <c r="X10" i="11"/>
  <c r="X12"/>
  <c r="X14"/>
  <c r="X23"/>
  <c r="X29"/>
  <c r="W2" i="7"/>
  <c r="W18"/>
  <c r="W19"/>
  <c r="W44"/>
  <c r="W45"/>
  <c r="W13" i="5"/>
  <c r="W16"/>
  <c r="W20"/>
  <c r="W21"/>
  <c r="Y2" i="7"/>
  <c r="Y18"/>
  <c r="Y19"/>
  <c r="Y44"/>
  <c r="Y45"/>
  <c r="Y13" i="5"/>
  <c r="Y16"/>
  <c r="Y20"/>
  <c r="Y21"/>
  <c r="Y24"/>
  <c r="Z10" i="11"/>
  <c r="Z12"/>
  <c r="Z14"/>
  <c r="Z23"/>
  <c r="Z29"/>
</calcChain>
</file>

<file path=xl/sharedStrings.xml><?xml version="1.0" encoding="utf-8"?>
<sst xmlns="http://schemas.openxmlformats.org/spreadsheetml/2006/main" count="370" uniqueCount="304">
  <si>
    <t>Year Ending</t>
  </si>
  <si>
    <t>Particulars</t>
  </si>
  <si>
    <t>Operative Days</t>
  </si>
  <si>
    <t>Calculation Of Interest On Term Loan</t>
  </si>
  <si>
    <t>Year</t>
  </si>
  <si>
    <t>Depre</t>
  </si>
  <si>
    <t>Calculation Of Operation &amp; Maintainence Charges</t>
  </si>
  <si>
    <t>Calculation Of Applicable Exchange rate</t>
  </si>
  <si>
    <t>Calculation Of Fuel Charges</t>
  </si>
  <si>
    <t>Kcal</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</si>
  <si>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</si>
  <si>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</si>
  <si>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</si>
  <si>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</si>
  <si>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</si>
  <si>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</si>
  <si>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</si>
  <si>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</si>
  <si>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</si>
  <si>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</si>
  <si>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</si>
  <si>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</si>
  <si>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</si>
  <si>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 xml:space="preserve">AUX </t>
  </si>
  <si>
    <t>Tariff Assumptions</t>
  </si>
  <si>
    <t>Operating And Maintainence Exp.</t>
  </si>
  <si>
    <t>Operating Days</t>
  </si>
  <si>
    <t>Tax Assumptions</t>
  </si>
  <si>
    <t>Corporate Tax</t>
  </si>
  <si>
    <t>MAT Tax</t>
  </si>
  <si>
    <t>Rate Of Interest On Working Capital</t>
  </si>
  <si>
    <t xml:space="preserve">Interest On Term Loan </t>
  </si>
  <si>
    <t>No. Of Quarterly Installments</t>
  </si>
  <si>
    <t xml:space="preserve">Repayment </t>
  </si>
  <si>
    <t>Repayment Counters Per Annum</t>
  </si>
  <si>
    <t>Present Vale Per Unit Cost</t>
  </si>
  <si>
    <t>Capacity Details</t>
  </si>
  <si>
    <t>Term Loan Details</t>
  </si>
  <si>
    <t>Variable cost</t>
  </si>
  <si>
    <t>Fuel (months)</t>
  </si>
  <si>
    <t>O &amp; M Expenses (months)</t>
  </si>
  <si>
    <t>Total project cost</t>
  </si>
  <si>
    <t>Gross Block</t>
  </si>
  <si>
    <t>Debt</t>
  </si>
  <si>
    <t>Present Value</t>
  </si>
  <si>
    <t>Total Capacity ( MW)</t>
  </si>
  <si>
    <t>Calculation Of Cost</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</si>
  <si>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</si>
  <si>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</si>
  <si>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</si>
  <si>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</si>
  <si>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</si>
  <si>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</si>
  <si>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</si>
  <si>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</si>
  <si>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</si>
  <si>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</si>
  <si>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</si>
  <si>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</si>
  <si>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</si>
  <si>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Total ( Million Units)</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</si>
  <si>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</si>
  <si>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</si>
  <si>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</si>
  <si>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</si>
  <si>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</si>
  <si>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</si>
  <si>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</si>
  <si>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</si>
  <si>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</si>
  <si>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</si>
  <si>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</si>
  <si>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</si>
  <si>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</si>
  <si>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</si>
  <si>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</si>
  <si>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</si>
  <si>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</si>
  <si>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</si>
  <si>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</si>
  <si>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</si>
  <si>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</si>
  <si>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</si>
  <si>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</si>
  <si>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</si>
  <si>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</si>
  <si>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</si>
  <si>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</si>
  <si>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</si>
  <si>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</si>
  <si>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</si>
  <si>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</si>
  <si>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 xml:space="preserve"> PLF (%)</t>
  </si>
  <si>
    <t xml:space="preserve"> Performance</t>
  </si>
  <si>
    <t xml:space="preserve"> PLF</t>
  </si>
  <si>
    <t xml:space="preserve"> Heat Rate ( Kcal/ KWh)</t>
  </si>
  <si>
    <t xml:space="preserve"> Generation</t>
  </si>
  <si>
    <t>1 Kg=</t>
  </si>
  <si>
    <t>1 Mt=</t>
  </si>
  <si>
    <t>Kg</t>
  </si>
  <si>
    <t>1 Litre=</t>
  </si>
  <si>
    <t>Useful Conversions</t>
  </si>
  <si>
    <t>Normative Net generation (MU)</t>
  </si>
  <si>
    <t>Compensation Allowance</t>
  </si>
  <si>
    <t>Year of Operation</t>
  </si>
  <si>
    <t>0-10</t>
  </si>
  <si>
    <t>16-20</t>
  </si>
  <si>
    <t>11-15</t>
  </si>
  <si>
    <t>21-25</t>
  </si>
  <si>
    <t>Compensatory Allowance</t>
  </si>
  <si>
    <t>Heat Rate ( Kcal/KWh)</t>
  </si>
  <si>
    <t>Shortage</t>
  </si>
  <si>
    <t>Secondary Fuel Oil Consumption (months)</t>
  </si>
  <si>
    <t>Kcal in 1 mt</t>
  </si>
  <si>
    <t>Net energy input for Lignite (kcal)</t>
  </si>
  <si>
    <t>Total no. of mt of Lignite required ( MT)</t>
  </si>
  <si>
    <t>Total energy into the system (kcal)</t>
  </si>
  <si>
    <t>Energy of oil consumption (kcal)</t>
  </si>
  <si>
    <t>Net energy input for lignite (kcal)</t>
  </si>
  <si>
    <t>Gross generation (MU)</t>
  </si>
  <si>
    <t>Oil Consumption Cost-Kcal</t>
  </si>
  <si>
    <t>Cal.Value (kcal/kg)</t>
  </si>
  <si>
    <t>Oil consumption (Kg/kwh)</t>
  </si>
  <si>
    <t>Cal value of oil consumption (kcal/kwh)</t>
  </si>
  <si>
    <t>Total kwh( MU convert to KWh)</t>
  </si>
  <si>
    <t>Total kwh ( MU converted into KWh)</t>
  </si>
  <si>
    <t>Total consumption (ML)</t>
  </si>
  <si>
    <t xml:space="preserve">Secondary fuel </t>
  </si>
  <si>
    <t xml:space="preserve">Depreciation </t>
  </si>
  <si>
    <t>Depreciation on plant and Machinery as per Companies Act, 1956</t>
  </si>
  <si>
    <t>Depreciation as per Companies Act</t>
  </si>
  <si>
    <t>Net Block</t>
  </si>
  <si>
    <t>Calculation Of Interest On Term Loan (Actual)</t>
  </si>
  <si>
    <t>Projected Profitability Statement</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</si>
  <si>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</si>
  <si>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</si>
  <si>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</si>
  <si>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</si>
  <si>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</si>
  <si>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</si>
  <si>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</si>
  <si>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</si>
  <si>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</si>
  <si>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</si>
  <si>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</si>
  <si>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</si>
  <si>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</si>
  <si>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Interest on Working Capital Loan</t>
  </si>
  <si>
    <t>Sensitivity Analysis</t>
  </si>
  <si>
    <t>Fuel Price</t>
  </si>
  <si>
    <t>PLF</t>
  </si>
  <si>
    <t>Secondary Fuel</t>
  </si>
  <si>
    <t>Depreciation on plant and Machinery as per Income tax Act, 1961</t>
  </si>
  <si>
    <t>Calculation Of CERC Depreciation</t>
  </si>
  <si>
    <t>Last year for loss c/f</t>
  </si>
  <si>
    <t>Expired loss</t>
  </si>
  <si>
    <t>Available loss</t>
  </si>
  <si>
    <t>Cumulative utilisation</t>
  </si>
  <si>
    <t>Expiring loss</t>
  </si>
  <si>
    <t>Capacity Utilization</t>
  </si>
  <si>
    <t>Grossed up rate of return on equity as per CERC Tariff Regulations, 2009</t>
  </si>
  <si>
    <t>CERC Margin on Heat Rate</t>
  </si>
  <si>
    <t>No. of Days in the Year</t>
  </si>
  <si>
    <t>Reference/Source</t>
  </si>
  <si>
    <t>RBI website (http://www.rbi.org.in/scripts/ReferenceRateArchive.aspx )</t>
  </si>
  <si>
    <t xml:space="preserve">CO2 baseline Database for Indian Power Sector, November 2009 issued by Central Electricity Authority, Ministry of Power, Government of India.  </t>
  </si>
  <si>
    <t>Value</t>
  </si>
  <si>
    <t>Permissible increase in O &amp; M Per Annum</t>
  </si>
  <si>
    <t>Project Cost</t>
  </si>
  <si>
    <t>Discounting rate( factor)</t>
  </si>
  <si>
    <t>As per The Companies Act, 1956</t>
  </si>
  <si>
    <t>Operating and Manintenance  Exp.</t>
  </si>
  <si>
    <t>Operating and Maintenance Exp.</t>
  </si>
  <si>
    <t>Unit Wise Capacity (Mw)</t>
  </si>
  <si>
    <t>Number Of Units</t>
  </si>
  <si>
    <t>O&amp;M cost</t>
  </si>
  <si>
    <t>Heat Rate</t>
  </si>
  <si>
    <t>Unit 1 ( MW)</t>
  </si>
  <si>
    <t>Unit 1 ( Million Units)</t>
  </si>
  <si>
    <t>MAT Credit arising</t>
  </si>
  <si>
    <t>MAT credit available</t>
  </si>
  <si>
    <t>Opening Bal of MAT Credit</t>
  </si>
  <si>
    <t>MAT arising</t>
  </si>
  <si>
    <t>MAT credit utilised</t>
  </si>
  <si>
    <t>Closing Balance of MAT Credit</t>
  </si>
  <si>
    <t>Tax Payable after MAT credit</t>
  </si>
  <si>
    <t>Actual tax payable in %</t>
  </si>
  <si>
    <t>CERC (Terms and conditions of Tariff) Regulations, 2009 dated 19/01/2009(www.cercind.gov.in)- Annexure III</t>
  </si>
  <si>
    <t>CERC (Terms and conditions of Tariff) Regulations, 2009 dated 19/01/2009(www.cercind.gov.in)- Page 23</t>
  </si>
  <si>
    <t>Central Electricity Regulatory Commission (Terms  &amp; conditions of Tariff) Regulations, 2009 dated 19/01/2009(www.cercind.gov.in) page 48</t>
  </si>
  <si>
    <t>Central Electricity Regulatory Commission (Terms  &amp; conditions of Tariff) Regulations, 2009 dated 19/01/2009(www.cercind.gov.in) page 42</t>
  </si>
  <si>
    <t>Central Electricity Regulatory Commission (Terms  &amp; conditions of Tariff) Regulations, 2009 dated 19/01/2009(www.cercind.gov.in) page 46</t>
  </si>
  <si>
    <t>Central Electricity Regulatory Commission (Terms  &amp; conditions of Tariff) Regulations, 2009 dated 19/01/2009(www.cercind.gov.in) Page 28</t>
  </si>
  <si>
    <t>Central Electricity Regulatory Commission (Terms  &amp; conditions of Tariff) Regulations, 2009 dated 19/01/2009(www.cercind.gov.in) Page 21</t>
  </si>
  <si>
    <t>Central Electricity Regulatory Commission (Terms  &amp; conditions of Tariff) Regulations, 2009 dated 19/01/2009(www.cercind.gov.in) page 35</t>
  </si>
  <si>
    <t>Central Electricity Regulatory Commission (Terms  &amp; conditions of Tariff) Regulations, 2009 dated 19/01/2009(www.cercind.gov.in) Page 25</t>
  </si>
  <si>
    <t>As per Central Electricity Regulatory Commission (Terms  &amp; conditions of Tariff) Regulations, 2009 dated 19/01/2009(www.cercind.gov.in) page 26 , the Rate of interest on working capital shall be on normative basis and shall be equal to the short-term Prime Lending Rate of State Bank of India (http://in.reuters.com/article/2010/01/04/india-plr-idINSGE6030BH20100104)</t>
  </si>
  <si>
    <t>Central Electricity Regulatory Commission (Terms  &amp; conditions of Tariff) Regulations, 2009 dated 19/01/2009(www.cercind.gov.in) page 29</t>
  </si>
  <si>
    <t>Heat rate for levellised cost ( Kcal/KWh)</t>
  </si>
  <si>
    <t>CERC (Terms and conditions of Tariff) Regulations, 2009 dated 19/01/2009(www.cercind.gov.in) Page 13</t>
  </si>
  <si>
    <t>whether 80IA applicable</t>
  </si>
  <si>
    <t>Tax after 80IA</t>
  </si>
  <si>
    <t>Expiry of MAT Credit</t>
  </si>
  <si>
    <t>+10%</t>
  </si>
  <si>
    <t>-10%</t>
  </si>
  <si>
    <t>O&amp;M Cost</t>
  </si>
  <si>
    <t>Income Tax Act, 1961</t>
  </si>
  <si>
    <t xml:space="preserve">Expected salvage Value of Plant in % </t>
  </si>
  <si>
    <t xml:space="preserve">http://energytechnologyexpert.com/financial-models/how-to-evaluate-economic-feasibility-of-a-power-plant-project-use-project-finance-model/ </t>
  </si>
  <si>
    <t>Salvage Value</t>
  </si>
  <si>
    <t>Calculated based on RBI reference Rate for 03/01/2000 and 31/12/2009  (http://www.rbi.org.in)</t>
  </si>
  <si>
    <t>Expected Moisture Content in %</t>
  </si>
  <si>
    <t>Central Electricity Regulatory Commission (Terms  &amp; conditions of Tariff) Regulations, 2009 dated 19/01/2009(www.cercind.gov.in) page 45</t>
  </si>
  <si>
    <t>Calculated as per Central Electricity Regulatory Commission (Terms  &amp; conditions of Tariff) Regulations, 2009 dated 19/01/2009(www.cercind.gov.in) page 45 &amp; 46</t>
  </si>
  <si>
    <t>Heat Rate Factor for Moisture Content @ 30%</t>
  </si>
  <si>
    <t>No. of Operating Days in a year</t>
  </si>
  <si>
    <t>Jallipa-Kapurdi TPL by Raj West Power Limited (JSW) in Rajasthan .(http://www.cea.nic.in/archives/thermal/bs/dec09.pdf ) (Page no. 44)</t>
  </si>
  <si>
    <t>Jallipa-Kapurdi TPL by Raj West Power Limited (JSW) in Rajasthan .(http://www.cea.nic.in/archives/thermal/bs/dec09.pdf ) (Page no. 44) (Total project cost of INR 50750 million divided equally between eight units of 135 MW each)</t>
  </si>
  <si>
    <t>As per Loan Sanction Letter of SBI dated 10/02/2011 for the project activity</t>
  </si>
  <si>
    <t>a) 02/04/2013 to 31/03/2014</t>
  </si>
  <si>
    <t xml:space="preserve">Based on the expected commissioing date of 02/04/2013 for the project activity </t>
  </si>
  <si>
    <t>b) 01/04/2014 to 31/03/2015</t>
  </si>
  <si>
    <t>Exchange rate (INR/US $) on 31/12/2009</t>
  </si>
  <si>
    <t>Exchange rate (INR/ US $) on 03/01/2000</t>
  </si>
  <si>
    <t>No. of Years</t>
  </si>
  <si>
    <t>Calculated for the period 03/01/2000 to 31/12/2009</t>
  </si>
  <si>
    <t xml:space="preserve">Yearly Depreciaition </t>
  </si>
  <si>
    <t>Mine</t>
  </si>
  <si>
    <t>Base Price</t>
  </si>
  <si>
    <t>Royalty</t>
  </si>
  <si>
    <t>Sub Total</t>
  </si>
  <si>
    <t>VAT @ 20%</t>
  </si>
  <si>
    <t>Addl.Tax @ 2.5%</t>
  </si>
  <si>
    <t>Net Rate in INR /MT</t>
  </si>
  <si>
    <t>Matano-madh</t>
  </si>
  <si>
    <t>Bhavnagar</t>
  </si>
  <si>
    <t>Tadkeshwar</t>
  </si>
  <si>
    <t>RAJPARDI</t>
  </si>
  <si>
    <t>Average</t>
  </si>
  <si>
    <t>Source: GMDC (www.gmdcltd.com/downloads/prices_minerals_gmdc.pdf) (Page no. 2) w.e.f 01/01/2010</t>
  </si>
  <si>
    <t>Report on Gujarat Lignite Resources and Scope for Joint Sector Thermal Power and SSI Project (http://www.gidb.org/downloads/reportonGLRS.pdf) (Annexure – IV Page no. 82)</t>
  </si>
  <si>
    <t>CERC Draft Order dated September 2009 (http://cercind.gov.in/2009/August09/Draft-Order-on-price-cap.pdf) (Page no. 4)</t>
  </si>
  <si>
    <t>Landed Price of Lignite (INR/MT)</t>
  </si>
  <si>
    <t>Corrosponding Calorific Value of Lignite (kcal/kg)</t>
  </si>
  <si>
    <t>Landed Cost of Secondary Fuel Oil (HSDO) (INR/Litre)</t>
  </si>
  <si>
    <t>Corrosponding Calorific Value of Secondary Fuel Oil (HSDO) (kcal/kg)</t>
  </si>
  <si>
    <t>Secondary Fuel Oil (HSDO) consumption (ml/kwh)</t>
  </si>
  <si>
    <t>Discount rate as notified by Central Electricity Regulatory Commission on 30/09/2009 (http://cercind.gov.in/Escalation-rate/Notification-dated-30-09-09.pdf) page 1</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</si>
  <si>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</si>
  <si>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 insert value in range ±10%</t>
  </si>
  <si>
    <t>% Change*</t>
  </si>
  <si>
    <t>Levelized Tarif (INR/Kwh)</t>
  </si>
  <si>
    <t>Cost per MW (in INR Millions)</t>
  </si>
  <si>
    <t>Total Project cost (in INR Millions)</t>
  </si>
  <si>
    <t>Quarterly Installment ( INR Million)</t>
  </si>
  <si>
    <t>Annual Installment ( INR Million)</t>
  </si>
  <si>
    <t>INR Million/MW/Year</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</si>
  <si>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</si>
  <si>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</si>
  <si>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</si>
  <si>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</si>
  <si>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</si>
  <si>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</si>
  <si>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</si>
  <si>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</si>
  <si>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</si>
  <si>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</si>
  <si>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</si>
  <si>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 (INR Million)</t>
  </si>
  <si>
    <t>1st Quarterely Installment  ( INR Million)</t>
  </si>
  <si>
    <t>Closing Debt  ( INR Million)</t>
  </si>
  <si>
    <t>2nd Quarterely Installment  ( INR Million)</t>
  </si>
  <si>
    <t>3rd Quarterely Installment  ( INR Million)</t>
  </si>
  <si>
    <t>4th Quarterely Installment  ( INR Million)</t>
  </si>
  <si>
    <t>INR Millions</t>
  </si>
  <si>
    <t>Amount ( INR Million/ MW)</t>
  </si>
  <si>
    <t>Price of Lignite (INR/MT)</t>
  </si>
  <si>
    <t>Shortage on above cost ( INR/Mt)</t>
  </si>
  <si>
    <t>Total cost of Lignite (INRMillions)</t>
  </si>
  <si>
    <t>Total fuel cost (INR Millions)</t>
  </si>
  <si>
    <t>Total Fuel Cost(INR Million)</t>
  </si>
  <si>
    <t>Fixed Cost ( INR Million)</t>
  </si>
  <si>
    <t>Total cost INR/ KWh</t>
  </si>
  <si>
    <t>Calculation Of Working Capital Interest ( INR Million)</t>
  </si>
  <si>
    <t>Unit tariff rate (INR/unit)</t>
  </si>
  <si>
    <t>Total (INR in Millions)</t>
  </si>
  <si>
    <t>Salvage Value (INR in Millions)</t>
  </si>
  <si>
    <t>Revenue (INR in Millions)</t>
  </si>
  <si>
    <t>Cost without shortage (INR/mt)</t>
  </si>
  <si>
    <t>Landed price of Lignite (INR/mt)</t>
  </si>
  <si>
    <t>Total cost of oil (INR Million)</t>
  </si>
  <si>
    <t>Variable cost per unit of generation (INR/unit)</t>
  </si>
  <si>
    <t>Oil Consumption Cost-INR</t>
  </si>
  <si>
    <t>Landed price of oil (INR/Liter)</t>
  </si>
  <si>
    <t>Landed price of oil (INR/ML)</t>
  </si>
  <si>
    <t>Closing ( INR/US $)</t>
  </si>
  <si>
    <t>Opening  ( INR/US $)</t>
  </si>
  <si>
    <t>Average ( INR /US $)</t>
  </si>
  <si>
    <t>Exchange Rate ( INR/ US $)</t>
  </si>
  <si>
    <t>Please refer the sheet "Lignite Price"</t>
  </si>
  <si>
    <t>Income Tax Act, 1961(assessment year 2010-11)</t>
  </si>
  <si>
    <t>INR Million Per Mega Watt for the year 2013-14</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</si>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</sst>
</file>

<file path=xl/styles.xml><?xml version="1.0" encoding="utf-8"?>
<styleSheet xmlns="http://schemas.openxmlformats.org/spreadsheetml/2006/main">
  <numFmts count="17">
    <numFmt numFmtId="43" formatCode="_(* #,##0.00_);_(* \(#,##0.00\);_(* &quot;-&quot;??_);_(@_)"/>
    <numFmt numFmtId="164" formatCode="0.0000"/>
    <numFmt numFmtId="165" formatCode="0.000"/>
    <numFmt numFmtId="166" formatCode="0.0"/>
    <numFmt numFmtId="167" formatCode="dd/mm/yyyy;@"/>
    <numFmt numFmtId="168" formatCode="_(* #,##0_);_(* \(#,##0\);_(* &quot;-&quot;??_);_(@_)"/>
    <numFmt numFmtId="169" formatCode="_(* #,##0.000_);_(* \(#,##0.000\);_(* &quot;-&quot;??_);_(@_)"/>
    <numFmt numFmtId="170" formatCode="_(* #,##0.0_);_(* \(#,##0.0\);_(* &quot;-&quot;??_);_(@_)"/>
    <numFmt numFmtId="171" formatCode="&quot;£&quot;#,##0.0_);\(&quot;£&quot;#,##0.0\)"/>
    <numFmt numFmtId="172" formatCode="_-&quot;Rs&quot;* #,##0.00_-;\-&quot;Rs&quot;* #,##0.00_-;_-&quot;Rs&quot;* &quot;-&quot;??_-;_-@_-"/>
    <numFmt numFmtId="173" formatCode="#,###.#;[Red]\-#,###.#"/>
    <numFmt numFmtId="174" formatCode="mm/dd/yy"/>
    <numFmt numFmtId="175" formatCode="0_)"/>
    <numFmt numFmtId="176" formatCode="0.0000000"/>
    <numFmt numFmtId="177" formatCode="0.0%"/>
    <numFmt numFmtId="178" formatCode="_(* #,##0.0000_);_(* \(#,##0.0000\);_(* &quot;-&quot;??_);_(@_)"/>
    <numFmt numFmtId="179" formatCode="0.000%"/>
  </numFmts>
  <fonts count="25">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sz val="11"/>
      <name val="Times New Roman"/>
      <family val="1"/>
    </font>
    <font>
      <b/>
      <sz val="11"/>
      <name val="Times New Roman"/>
      <family val="1"/>
    </font>
    <font>
      <u/>
      <sz val="10"/>
      <color theme="10"/>
      <name val="Arial"/>
      <family val="2"/>
    </font>
    <font>
      <u/>
      <sz val="11"/>
      <color theme="10"/>
      <name val="Times New Roman"/>
      <family val="1"/>
    </font>
  </fonts>
  <fills count="9">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87">
    <xf numFmtId="0" fontId="0" fillId="0" borderId="0"/>
    <xf numFmtId="43" fontId="3" fillId="0" borderId="0" applyFont="0" applyFill="0" applyBorder="0" applyAlignment="0" applyProtection="0"/>
    <xf numFmtId="9" fontId="3" fillId="0" borderId="0" applyFont="0" applyFill="0" applyBorder="0" applyAlignment="0" applyProtection="0"/>
    <xf numFmtId="0" fontId="6" fillId="0" borderId="0"/>
    <xf numFmtId="0" fontId="3" fillId="0" borderId="0"/>
    <xf numFmtId="0" fontId="3" fillId="0" borderId="0"/>
    <xf numFmtId="0" fontId="7" fillId="0" borderId="0"/>
    <xf numFmtId="0" fontId="8" fillId="0" borderId="0"/>
    <xf numFmtId="0" fontId="3" fillId="0" borderId="0"/>
    <xf numFmtId="0" fontId="3" fillId="0" borderId="0"/>
    <xf numFmtId="0" fontId="3" fillId="0" borderId="0"/>
    <xf numFmtId="0" fontId="9" fillId="0" borderId="0" applyNumberFormat="0" applyFill="0" applyBorder="0" applyAlignment="0" applyProtection="0"/>
    <xf numFmtId="0" fontId="3" fillId="0" borderId="0"/>
    <xf numFmtId="0" fontId="8" fillId="0" borderId="0"/>
    <xf numFmtId="171" fontId="10" fillId="0" borderId="0" applyFill="0" applyBorder="0" applyAlignment="0"/>
    <xf numFmtId="0" fontId="3" fillId="0" borderId="0"/>
    <xf numFmtId="43" fontId="3" fillId="0" borderId="0" applyFont="0" applyFill="0" applyBorder="0" applyAlignment="0" applyProtection="0"/>
    <xf numFmtId="43" fontId="2" fillId="0" borderId="0" applyFont="0" applyFill="0" applyBorder="0" applyAlignment="0" applyProtection="0"/>
    <xf numFmtId="0" fontId="11" fillId="0" borderId="0" applyNumberFormat="0" applyAlignment="0">
      <alignment horizontal="left"/>
    </xf>
    <xf numFmtId="0" fontId="3" fillId="0" borderId="0">
      <protection locked="0"/>
    </xf>
    <xf numFmtId="0" fontId="3" fillId="0" borderId="0"/>
    <xf numFmtId="0" fontId="3" fillId="0" borderId="8"/>
    <xf numFmtId="0" fontId="3" fillId="0" borderId="8"/>
    <xf numFmtId="0" fontId="3" fillId="3" borderId="0"/>
    <xf numFmtId="0" fontId="12" fillId="0" borderId="0" applyNumberFormat="0" applyAlignment="0">
      <alignment horizontal="left"/>
    </xf>
    <xf numFmtId="0" fontId="3" fillId="0" borderId="0">
      <protection locked="0"/>
    </xf>
    <xf numFmtId="0" fontId="3" fillId="0" borderId="0">
      <protection locked="0"/>
    </xf>
    <xf numFmtId="0" fontId="3" fillId="0" borderId="0">
      <protection locked="0"/>
    </xf>
    <xf numFmtId="0" fontId="3" fillId="0" borderId="0">
      <protection locked="0"/>
    </xf>
    <xf numFmtId="0" fontId="3" fillId="0" borderId="0">
      <protection locked="0"/>
    </xf>
    <xf numFmtId="0" fontId="3" fillId="0" borderId="0">
      <protection locked="0"/>
    </xf>
    <xf numFmtId="0" fontId="3" fillId="0" borderId="0">
      <protection locked="0"/>
    </xf>
    <xf numFmtId="172" fontId="3" fillId="0" borderId="0">
      <protection locked="0"/>
    </xf>
    <xf numFmtId="0" fontId="3" fillId="0" borderId="9"/>
    <xf numFmtId="0" fontId="3" fillId="0" borderId="8"/>
    <xf numFmtId="0" fontId="3" fillId="4" borderId="8"/>
    <xf numFmtId="38" fontId="4" fillId="5" borderId="0" applyNumberFormat="0" applyBorder="0" applyAlignment="0" applyProtection="0"/>
    <xf numFmtId="0" fontId="13" fillId="0" borderId="10" applyNumberFormat="0" applyAlignment="0" applyProtection="0">
      <alignment horizontal="left" vertical="center"/>
    </xf>
    <xf numFmtId="0" fontId="13" fillId="0" borderId="3">
      <alignment horizontal="left" vertical="center"/>
    </xf>
    <xf numFmtId="0" fontId="3" fillId="0" borderId="0">
      <protection locked="0"/>
    </xf>
    <xf numFmtId="0" fontId="3" fillId="0" borderId="0">
      <protection locked="0"/>
    </xf>
    <xf numFmtId="0" fontId="14" fillId="0" borderId="0" applyNumberFormat="0" applyFill="0" applyBorder="0" applyAlignment="0" applyProtection="0">
      <alignment vertical="top"/>
      <protection locked="0"/>
    </xf>
    <xf numFmtId="10" fontId="4" fillId="6" borderId="1" applyNumberFormat="0" applyBorder="0" applyAlignment="0" applyProtection="0"/>
    <xf numFmtId="0" fontId="15" fillId="0" borderId="0"/>
    <xf numFmtId="37" fontId="16" fillId="0" borderId="0"/>
    <xf numFmtId="173" fontId="10" fillId="0" borderId="0"/>
    <xf numFmtId="0" fontId="3" fillId="0" borderId="0"/>
    <xf numFmtId="0" fontId="3" fillId="0" borderId="0"/>
    <xf numFmtId="0" fontId="2" fillId="0" borderId="0"/>
    <xf numFmtId="0" fontId="2" fillId="0" borderId="0"/>
    <xf numFmtId="0" fontId="6" fillId="0" borderId="0"/>
    <xf numFmtId="10"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15" fillId="0" borderId="0"/>
    <xf numFmtId="0" fontId="3" fillId="0" borderId="0"/>
    <xf numFmtId="174" fontId="17" fillId="0" borderId="0" applyNumberFormat="0" applyFill="0" applyBorder="0" applyAlignment="0" applyProtection="0">
      <alignment horizontal="left"/>
    </xf>
    <xf numFmtId="0" fontId="3" fillId="0" borderId="0"/>
    <xf numFmtId="0" fontId="8" fillId="0" borderId="0"/>
    <xf numFmtId="40" fontId="18" fillId="0" borderId="0" applyBorder="0">
      <alignment horizontal="right"/>
    </xf>
    <xf numFmtId="0" fontId="19" fillId="0" borderId="0"/>
    <xf numFmtId="175" fontId="5" fillId="0" borderId="11"/>
    <xf numFmtId="0" fontId="8" fillId="0" borderId="0"/>
    <xf numFmtId="0" fontId="8" fillId="0" borderId="0"/>
    <xf numFmtId="0" fontId="4" fillId="0" borderId="0"/>
    <xf numFmtId="0" fontId="15" fillId="0" borderId="0"/>
    <xf numFmtId="0" fontId="15" fillId="0" borderId="0"/>
    <xf numFmtId="0" fontId="15" fillId="0" borderId="0"/>
    <xf numFmtId="0" fontId="3" fillId="0" borderId="0"/>
    <xf numFmtId="0" fontId="20" fillId="0" borderId="0"/>
    <xf numFmtId="0" fontId="3" fillId="0" borderId="0"/>
    <xf numFmtId="43" fontId="1" fillId="0" borderId="0" applyFont="0" applyFill="0" applyBorder="0" applyAlignment="0" applyProtection="0"/>
    <xf numFmtId="43" fontId="1" fillId="0" borderId="0" applyFont="0" applyFill="0" applyBorder="0" applyAlignment="0" applyProtection="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9" fontId="1" fillId="0" borderId="0" applyFont="0" applyFill="0" applyBorder="0" applyAlignment="0" applyProtection="0"/>
    <xf numFmtId="9" fontId="1" fillId="0" borderId="0" applyFont="0" applyFill="0" applyBorder="0" applyAlignment="0" applyProtection="0"/>
    <xf numFmtId="0" fontId="23" fillId="0" borderId="0" applyNumberFormat="0" applyFill="0" applyBorder="0" applyAlignment="0" applyProtection="0">
      <alignment vertical="top"/>
      <protection locked="0"/>
    </xf>
  </cellStyleXfs>
  <cellXfs count="177">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10" fontId="21" fillId="2" borderId="1" xfId="0" applyNumberFormat="1" applyFont="1" applyFill="1" applyBorder="1"/>
    <xf numFmtId="0" fontId="21" fillId="0" borderId="0" xfId="0" applyFont="1" applyFill="1"/>
    <xf numFmtId="0" fontId="21" fillId="0" borderId="1" xfId="0" applyFont="1" applyFill="1" applyBorder="1" applyAlignment="1">
      <alignment horizontal="center"/>
    </xf>
    <xf numFmtId="0" fontId="21" fillId="2" borderId="1" xfId="0" applyFont="1" applyFill="1" applyBorder="1"/>
    <xf numFmtId="2" fontId="21" fillId="2" borderId="1" xfId="0" applyNumberFormat="1" applyFont="1" applyFill="1" applyBorder="1"/>
    <xf numFmtId="0" fontId="21" fillId="0" borderId="0" xfId="0" applyFont="1" applyFill="1" applyBorder="1" applyAlignment="1"/>
    <xf numFmtId="0" fontId="21" fillId="0" borderId="1" xfId="0" applyFont="1" applyFill="1" applyBorder="1"/>
    <xf numFmtId="10" fontId="21" fillId="2" borderId="1" xfId="0" applyNumberFormat="1" applyFont="1" applyFill="1" applyBorder="1" applyAlignment="1">
      <alignment vertical="center"/>
    </xf>
    <xf numFmtId="9" fontId="21" fillId="2" borderId="1" xfId="0" applyNumberFormat="1" applyFont="1" applyFill="1" applyBorder="1"/>
    <xf numFmtId="0" fontId="21" fillId="2" borderId="1" xfId="0" applyFont="1" applyFill="1" applyBorder="1" applyAlignment="1">
      <alignment vertical="center"/>
    </xf>
    <xf numFmtId="0" fontId="21" fillId="0" borderId="1" xfId="0" applyFont="1" applyFill="1" applyBorder="1" applyAlignment="1">
      <alignment wrapText="1"/>
    </xf>
    <xf numFmtId="1" fontId="21" fillId="2" borderId="1" xfId="0" applyNumberFormat="1" applyFont="1" applyFill="1" applyBorder="1"/>
    <xf numFmtId="1" fontId="21" fillId="2" borderId="1" xfId="0" applyNumberFormat="1" applyFont="1" applyFill="1" applyBorder="1" applyAlignment="1">
      <alignment vertical="center"/>
    </xf>
    <xf numFmtId="2" fontId="21" fillId="2" borderId="1" xfId="0" applyNumberFormat="1" applyFont="1" applyFill="1" applyBorder="1" applyAlignment="1">
      <alignment vertical="center"/>
    </xf>
    <xf numFmtId="43" fontId="21" fillId="2" borderId="1" xfId="1" applyFont="1" applyFill="1" applyBorder="1"/>
    <xf numFmtId="9" fontId="21" fillId="0" borderId="0" xfId="0" applyNumberFormat="1" applyFont="1" applyFill="1"/>
    <xf numFmtId="165" fontId="21" fillId="2" borderId="1" xfId="0" applyNumberFormat="1" applyFont="1" applyFill="1" applyBorder="1"/>
    <xf numFmtId="177" fontId="21" fillId="2" borderId="1" xfId="0" applyNumberFormat="1" applyFont="1" applyFill="1" applyBorder="1"/>
    <xf numFmtId="43" fontId="21" fillId="2" borderId="1" xfId="1" applyFont="1" applyFill="1" applyBorder="1" applyAlignment="1">
      <alignment horizontal="right"/>
    </xf>
    <xf numFmtId="0" fontId="21" fillId="2" borderId="1" xfId="0" applyFont="1" applyFill="1" applyBorder="1" applyAlignment="1">
      <alignment horizontal="center" vertical="center" wrapText="1"/>
    </xf>
    <xf numFmtId="2" fontId="21" fillId="0" borderId="1" xfId="0" applyNumberFormat="1" applyFont="1" applyBorder="1"/>
    <xf numFmtId="0" fontId="21" fillId="0" borderId="0" xfId="0" applyFont="1"/>
    <xf numFmtId="0" fontId="21" fillId="0" borderId="0" xfId="3" applyFont="1" applyAlignment="1" applyProtection="1">
      <alignment horizontal="left"/>
    </xf>
    <xf numFmtId="0" fontId="21" fillId="0" borderId="0" xfId="3" applyFont="1"/>
    <xf numFmtId="0" fontId="21" fillId="0" borderId="0" xfId="3" applyFont="1" applyAlignment="1" applyProtection="1">
      <alignment horizontal="left" wrapText="1"/>
    </xf>
    <xf numFmtId="0" fontId="21" fillId="0" borderId="1" xfId="0" applyFont="1" applyBorder="1"/>
    <xf numFmtId="167" fontId="21" fillId="0" borderId="1" xfId="0" applyNumberFormat="1" applyFont="1" applyBorder="1"/>
    <xf numFmtId="1" fontId="21" fillId="0" borderId="1" xfId="0" applyNumberFormat="1" applyFont="1" applyBorder="1"/>
    <xf numFmtId="2" fontId="21" fillId="0" borderId="1" xfId="0" applyNumberFormat="1" applyFont="1" applyFill="1" applyBorder="1"/>
    <xf numFmtId="166" fontId="21" fillId="0" borderId="1" xfId="0" applyNumberFormat="1" applyFont="1" applyBorder="1"/>
    <xf numFmtId="170" fontId="21" fillId="0" borderId="1" xfId="1" applyNumberFormat="1" applyFont="1" applyBorder="1" applyAlignment="1"/>
    <xf numFmtId="170" fontId="21" fillId="0" borderId="0" xfId="1" applyNumberFormat="1" applyFont="1" applyAlignment="1"/>
    <xf numFmtId="0" fontId="21" fillId="0" borderId="0" xfId="0" applyFont="1" applyAlignment="1">
      <alignment horizontal="left" wrapText="1"/>
    </xf>
    <xf numFmtId="0" fontId="21" fillId="0" borderId="0" xfId="0" applyFont="1" applyBorder="1"/>
    <xf numFmtId="43" fontId="21" fillId="0" borderId="1" xfId="1" applyFont="1" applyBorder="1" applyAlignment="1">
      <alignment horizontal="left" wrapText="1"/>
    </xf>
    <xf numFmtId="43" fontId="21" fillId="0" borderId="1" xfId="0" applyNumberFormat="1" applyFont="1" applyBorder="1"/>
    <xf numFmtId="0" fontId="21" fillId="0" borderId="1" xfId="0" applyFont="1" applyBorder="1" applyAlignment="1">
      <alignment horizontal="center"/>
    </xf>
    <xf numFmtId="43" fontId="21" fillId="0" borderId="1" xfId="0" applyNumberFormat="1" applyFont="1" applyFill="1" applyBorder="1"/>
    <xf numFmtId="43" fontId="21" fillId="0" borderId="1" xfId="1" applyFont="1" applyFill="1" applyBorder="1"/>
    <xf numFmtId="43" fontId="21" fillId="0" borderId="0" xfId="1" applyFont="1" applyFill="1"/>
    <xf numFmtId="43" fontId="21" fillId="0" borderId="1" xfId="1" applyFont="1" applyBorder="1"/>
    <xf numFmtId="43" fontId="21" fillId="0" borderId="1" xfId="1" applyFont="1" applyBorder="1" applyAlignment="1">
      <alignment horizontal="center"/>
    </xf>
    <xf numFmtId="43" fontId="21" fillId="0" borderId="0" xfId="1" applyFont="1" applyAlignment="1">
      <alignment horizontal="center"/>
    </xf>
    <xf numFmtId="43" fontId="21" fillId="0" borderId="0" xfId="1" applyFont="1"/>
    <xf numFmtId="43" fontId="21" fillId="0" borderId="1" xfId="0" applyNumberFormat="1" applyFont="1" applyFill="1" applyBorder="1" applyAlignment="1">
      <alignment wrapText="1"/>
    </xf>
    <xf numFmtId="10" fontId="21" fillId="0" borderId="1" xfId="2" applyNumberFormat="1" applyFont="1" applyBorder="1"/>
    <xf numFmtId="2" fontId="21" fillId="0" borderId="0" xfId="0" applyNumberFormat="1" applyFont="1"/>
    <xf numFmtId="166" fontId="21" fillId="0" borderId="0" xfId="0" applyNumberFormat="1" applyFont="1"/>
    <xf numFmtId="9" fontId="21" fillId="0" borderId="1" xfId="0" applyNumberFormat="1" applyFont="1" applyBorder="1"/>
    <xf numFmtId="165" fontId="21" fillId="0" borderId="0" xfId="0" applyNumberFormat="1" applyFont="1"/>
    <xf numFmtId="2" fontId="21" fillId="0" borderId="7" xfId="0" applyNumberFormat="1" applyFont="1" applyBorder="1"/>
    <xf numFmtId="165" fontId="21" fillId="0" borderId="7" xfId="0" applyNumberFormat="1" applyFont="1" applyBorder="1"/>
    <xf numFmtId="0" fontId="21" fillId="0" borderId="7" xfId="0" applyFont="1" applyBorder="1"/>
    <xf numFmtId="168" fontId="21" fillId="0" borderId="1" xfId="1" applyNumberFormat="1" applyFont="1" applyBorder="1"/>
    <xf numFmtId="167" fontId="21" fillId="0" borderId="0" xfId="0" applyNumberFormat="1" applyFont="1"/>
    <xf numFmtId="168" fontId="21" fillId="0" borderId="0" xfId="1" applyNumberFormat="1" applyFont="1"/>
    <xf numFmtId="43" fontId="21" fillId="0" borderId="1" xfId="1" applyNumberFormat="1" applyFont="1" applyBorder="1"/>
    <xf numFmtId="43" fontId="21" fillId="0" borderId="0" xfId="1" applyNumberFormat="1" applyFont="1"/>
    <xf numFmtId="164" fontId="21" fillId="0" borderId="1" xfId="0" applyNumberFormat="1" applyFont="1" applyBorder="1"/>
    <xf numFmtId="165" fontId="21" fillId="0" borderId="0" xfId="0" applyNumberFormat="1" applyFont="1" applyBorder="1"/>
    <xf numFmtId="165" fontId="21" fillId="0" borderId="1" xfId="0" applyNumberFormat="1" applyFont="1" applyBorder="1"/>
    <xf numFmtId="176" fontId="21" fillId="0" borderId="1" xfId="0" applyNumberFormat="1" applyFont="1" applyBorder="1"/>
    <xf numFmtId="1" fontId="21" fillId="0" borderId="0" xfId="0" applyNumberFormat="1" applyFont="1"/>
    <xf numFmtId="169" fontId="21" fillId="0" borderId="1" xfId="1" applyNumberFormat="1" applyFont="1" applyBorder="1"/>
    <xf numFmtId="169" fontId="21" fillId="0" borderId="0" xfId="1" applyNumberFormat="1" applyFont="1"/>
    <xf numFmtId="1" fontId="21" fillId="0" borderId="1" xfId="0" applyNumberFormat="1" applyFont="1" applyBorder="1" applyAlignment="1">
      <alignment horizontal="right"/>
    </xf>
    <xf numFmtId="1" fontId="21" fillId="0" borderId="0" xfId="0" applyNumberFormat="1" applyFont="1" applyBorder="1" applyAlignment="1">
      <alignment horizontal="right"/>
    </xf>
    <xf numFmtId="166" fontId="21" fillId="0" borderId="0" xfId="0" applyNumberFormat="1" applyFont="1" applyBorder="1"/>
    <xf numFmtId="1" fontId="21" fillId="0" borderId="0" xfId="0" applyNumberFormat="1" applyFont="1" applyBorder="1"/>
    <xf numFmtId="0" fontId="21" fillId="0" borderId="0" xfId="0" applyFont="1" applyAlignment="1"/>
    <xf numFmtId="10" fontId="21" fillId="0" borderId="0" xfId="0" applyNumberFormat="1" applyFont="1"/>
    <xf numFmtId="0" fontId="21" fillId="0" borderId="1" xfId="0" applyFont="1" applyBorder="1" applyAlignment="1">
      <alignment horizontal="center" vertical="center" wrapText="1"/>
    </xf>
    <xf numFmtId="0" fontId="21" fillId="0" borderId="1" xfId="0" applyFont="1" applyBorder="1" applyAlignment="1">
      <alignment horizontal="right"/>
    </xf>
    <xf numFmtId="2" fontId="21" fillId="0" borderId="1" xfId="0" applyNumberFormat="1" applyFont="1" applyBorder="1" applyAlignment="1">
      <alignment horizontal="right" vertical="top" wrapText="1"/>
    </xf>
    <xf numFmtId="0" fontId="21" fillId="0" borderId="0" xfId="0" applyFont="1" applyAlignment="1">
      <alignment horizontal="right"/>
    </xf>
    <xf numFmtId="0" fontId="21" fillId="0" borderId="1" xfId="0" applyFont="1" applyBorder="1" applyAlignment="1">
      <alignment wrapText="1"/>
    </xf>
    <xf numFmtId="178" fontId="21" fillId="2" borderId="1" xfId="1" applyNumberFormat="1" applyFont="1" applyFill="1" applyBorder="1"/>
    <xf numFmtId="0" fontId="21" fillId="0" borderId="1" xfId="0" applyFont="1" applyFill="1" applyBorder="1" applyAlignment="1">
      <alignment horizontal="left" vertical="center" wrapText="1"/>
    </xf>
    <xf numFmtId="0" fontId="21" fillId="0" borderId="1" xfId="0" applyFont="1" applyFill="1" applyBorder="1" applyAlignment="1">
      <alignment vertical="center" wrapText="1"/>
    </xf>
    <xf numFmtId="0" fontId="21" fillId="0" borderId="12" xfId="0" applyFont="1" applyFill="1" applyBorder="1" applyAlignment="1">
      <alignment wrapText="1"/>
    </xf>
    <xf numFmtId="0" fontId="21" fillId="7" borderId="1" xfId="0" applyFont="1" applyFill="1" applyBorder="1" applyAlignment="1">
      <alignment horizontal="left" wrapText="1"/>
    </xf>
    <xf numFmtId="169" fontId="21" fillId="2" borderId="1" xfId="1" applyNumberFormat="1" applyFont="1" applyFill="1" applyBorder="1"/>
    <xf numFmtId="179" fontId="21" fillId="0" borderId="1" xfId="2" applyNumberFormat="1" applyFont="1" applyBorder="1"/>
    <xf numFmtId="0" fontId="21" fillId="0" borderId="1" xfId="0" applyFont="1" applyFill="1" applyBorder="1" applyAlignment="1">
      <alignment horizontal="left" vertical="center" wrapText="1"/>
    </xf>
    <xf numFmtId="43" fontId="21" fillId="0" borderId="1" xfId="0" applyNumberFormat="1" applyFont="1" applyFill="1" applyBorder="1" applyAlignment="1">
      <alignment horizontal="center"/>
    </xf>
    <xf numFmtId="167" fontId="21" fillId="0" borderId="1" xfId="0" applyNumberFormat="1" applyFont="1" applyFill="1" applyBorder="1"/>
    <xf numFmtId="43" fontId="21" fillId="0" borderId="1" xfId="1" applyFont="1" applyFill="1" applyBorder="1" applyAlignment="1">
      <alignment horizontal="center"/>
    </xf>
    <xf numFmtId="43" fontId="21" fillId="0" borderId="0" xfId="1" applyFont="1" applyFill="1" applyAlignment="1">
      <alignment horizontal="center"/>
    </xf>
    <xf numFmtId="0" fontId="22" fillId="0" borderId="0" xfId="0" applyFont="1"/>
    <xf numFmtId="0" fontId="22" fillId="0" borderId="1" xfId="0" applyFont="1" applyBorder="1" applyAlignment="1">
      <alignment horizontal="center"/>
    </xf>
    <xf numFmtId="0" fontId="22" fillId="0" borderId="1" xfId="0" quotePrefix="1" applyFont="1" applyBorder="1" applyAlignment="1">
      <alignment horizontal="center"/>
    </xf>
    <xf numFmtId="0" fontId="21" fillId="0" borderId="2" xfId="0" applyFont="1" applyFill="1" applyBorder="1" applyAlignment="1">
      <alignment horizontal="left" vertical="center"/>
    </xf>
    <xf numFmtId="9" fontId="21" fillId="2" borderId="1" xfId="0" applyNumberFormat="1" applyFont="1" applyFill="1" applyBorder="1" applyAlignment="1">
      <alignment vertical="center"/>
    </xf>
    <xf numFmtId="0" fontId="24" fillId="0" borderId="1" xfId="86" applyFont="1" applyFill="1" applyBorder="1" applyAlignment="1" applyProtection="1">
      <alignment horizontal="left" vertical="center" wrapText="1"/>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9" fontId="21" fillId="2" borderId="1" xfId="2" applyFont="1" applyFill="1" applyBorder="1"/>
    <xf numFmtId="0" fontId="21" fillId="0" borderId="1" xfId="0" applyFont="1" applyFill="1" applyBorder="1" applyAlignment="1">
      <alignment horizontal="center" vertical="center" wrapText="1"/>
    </xf>
    <xf numFmtId="0" fontId="21" fillId="0" borderId="1" xfId="0" applyFont="1" applyBorder="1" applyAlignment="1">
      <alignment horizontal="left"/>
    </xf>
    <xf numFmtId="0" fontId="21" fillId="0" borderId="1" xfId="0" applyFont="1" applyFill="1" applyBorder="1" applyAlignment="1">
      <alignment horizontal="left" vertical="center" wrapText="1"/>
    </xf>
    <xf numFmtId="0" fontId="21" fillId="0" borderId="1" xfId="0" applyFont="1" applyFill="1" applyBorder="1" applyAlignment="1">
      <alignment horizontal="center" vertical="center"/>
    </xf>
    <xf numFmtId="43" fontId="21" fillId="2" borderId="1" xfId="1" applyFont="1" applyFill="1" applyBorder="1" applyAlignment="1">
      <alignment vertical="center"/>
    </xf>
    <xf numFmtId="43" fontId="21" fillId="2" borderId="1" xfId="0" applyNumberFormat="1" applyFont="1" applyFill="1" applyBorder="1"/>
    <xf numFmtId="170" fontId="21" fillId="2" borderId="1" xfId="1" applyNumberFormat="1" applyFont="1" applyFill="1" applyBorder="1" applyAlignment="1">
      <alignment vertical="center"/>
    </xf>
    <xf numFmtId="169" fontId="21" fillId="2" borderId="1" xfId="0" applyNumberFormat="1" applyFont="1" applyFill="1" applyBorder="1"/>
    <xf numFmtId="0" fontId="21" fillId="0" borderId="14" xfId="46" applyFont="1" applyBorder="1"/>
    <xf numFmtId="0" fontId="21" fillId="0" borderId="15" xfId="46" applyFont="1" applyBorder="1"/>
    <xf numFmtId="0" fontId="21" fillId="0" borderId="16" xfId="46" applyFont="1" applyBorder="1"/>
    <xf numFmtId="0" fontId="21" fillId="0" borderId="0" xfId="46" applyFont="1"/>
    <xf numFmtId="0" fontId="21" fillId="0" borderId="17" xfId="46" applyFont="1" applyBorder="1"/>
    <xf numFmtId="0" fontId="21" fillId="0" borderId="1" xfId="46" applyFont="1" applyBorder="1"/>
    <xf numFmtId="2" fontId="21" fillId="0" borderId="1" xfId="46" applyNumberFormat="1" applyFont="1" applyBorder="1"/>
    <xf numFmtId="2" fontId="21" fillId="0" borderId="18" xfId="46" applyNumberFormat="1" applyFont="1" applyBorder="1"/>
    <xf numFmtId="2" fontId="21" fillId="0" borderId="21" xfId="46" applyNumberFormat="1" applyFont="1" applyBorder="1"/>
    <xf numFmtId="0" fontId="21" fillId="0" borderId="1" xfId="0" applyNumberFormat="1" applyFont="1" applyFill="1" applyBorder="1" applyAlignment="1">
      <alignment vertical="center" wrapText="1"/>
    </xf>
    <xf numFmtId="0" fontId="21" fillId="0" borderId="1" xfId="0" applyFont="1" applyFill="1" applyBorder="1" applyAlignment="1">
      <alignment horizontal="left" vertical="center"/>
    </xf>
    <xf numFmtId="0" fontId="21" fillId="0" borderId="0" xfId="0" applyFont="1" applyFill="1" applyAlignment="1">
      <alignment horizontal="center"/>
    </xf>
    <xf numFmtId="0" fontId="21" fillId="0" borderId="6" xfId="0" applyFont="1" applyFill="1" applyBorder="1" applyAlignment="1">
      <alignment horizontal="center"/>
    </xf>
    <xf numFmtId="0" fontId="21" fillId="0" borderId="13" xfId="0" applyFont="1" applyFill="1" applyBorder="1" applyAlignment="1">
      <alignment horizontal="center"/>
    </xf>
    <xf numFmtId="0" fontId="21" fillId="0" borderId="3" xfId="0" applyFont="1" applyFill="1" applyBorder="1" applyAlignment="1">
      <alignment horizontal="center"/>
    </xf>
    <xf numFmtId="0" fontId="21" fillId="0" borderId="2" xfId="0" applyFont="1" applyFill="1" applyBorder="1" applyAlignment="1">
      <alignment horizontal="left"/>
    </xf>
    <xf numFmtId="0" fontId="21" fillId="0" borderId="3" xfId="0" applyFont="1" applyFill="1" applyBorder="1" applyAlignment="1">
      <alignment horizontal="left"/>
    </xf>
    <xf numFmtId="0" fontId="21" fillId="0" borderId="4" xfId="0" applyFont="1" applyFill="1" applyBorder="1" applyAlignment="1">
      <alignment horizontal="left"/>
    </xf>
    <xf numFmtId="0" fontId="22" fillId="0" borderId="2" xfId="0" applyFont="1" applyFill="1" applyBorder="1" applyAlignment="1">
      <alignment horizontal="left"/>
    </xf>
    <xf numFmtId="0" fontId="22" fillId="0" borderId="3" xfId="0" applyFont="1" applyFill="1" applyBorder="1" applyAlignment="1">
      <alignment horizontal="left"/>
    </xf>
    <xf numFmtId="0" fontId="22" fillId="0" borderId="4" xfId="0" applyFont="1" applyFill="1" applyBorder="1" applyAlignment="1">
      <alignment horizontal="left"/>
    </xf>
    <xf numFmtId="0" fontId="21" fillId="0" borderId="1" xfId="0" applyFont="1" applyFill="1" applyBorder="1" applyAlignment="1">
      <alignment horizontal="left"/>
    </xf>
    <xf numFmtId="0" fontId="21" fillId="0" borderId="1" xfId="0" applyFont="1" applyBorder="1" applyAlignment="1">
      <alignment horizontal="left"/>
    </xf>
    <xf numFmtId="0" fontId="21" fillId="0" borderId="1" xfId="0" applyFont="1" applyFill="1" applyBorder="1" applyAlignment="1">
      <alignment horizontal="left" vertical="center" wrapText="1"/>
    </xf>
    <xf numFmtId="0" fontId="21" fillId="0" borderId="1" xfId="0" applyFont="1" applyFill="1" applyBorder="1" applyAlignment="1">
      <alignment horizontal="center" vertical="center"/>
    </xf>
    <xf numFmtId="0" fontId="21" fillId="0" borderId="1" xfId="0" applyFont="1" applyBorder="1" applyAlignment="1">
      <alignment horizontal="left" vertical="center"/>
    </xf>
    <xf numFmtId="0" fontId="22" fillId="0" borderId="1" xfId="0" applyFont="1" applyFill="1" applyBorder="1" applyAlignment="1">
      <alignment horizontal="left"/>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2"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4" xfId="0" applyFont="1" applyFill="1" applyBorder="1" applyAlignment="1">
      <alignment horizontal="center" vertical="center"/>
    </xf>
    <xf numFmtId="0" fontId="21" fillId="0" borderId="12"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2" xfId="0" applyFont="1" applyFill="1" applyBorder="1" applyAlignment="1">
      <alignment horizontal="center"/>
    </xf>
    <xf numFmtId="0" fontId="21" fillId="0" borderId="4" xfId="0" applyFont="1" applyFill="1" applyBorder="1" applyAlignment="1">
      <alignment horizontal="center"/>
    </xf>
    <xf numFmtId="0" fontId="22" fillId="8" borderId="0" xfId="0" applyFont="1" applyFill="1" applyAlignment="1">
      <alignment horizontal="left" wrapText="1"/>
    </xf>
    <xf numFmtId="0" fontId="22" fillId="8" borderId="13" xfId="0" applyFont="1" applyFill="1" applyBorder="1" applyAlignment="1">
      <alignment horizontal="left"/>
    </xf>
    <xf numFmtId="0" fontId="21" fillId="0" borderId="19" xfId="46" applyFont="1" applyBorder="1" applyAlignment="1">
      <alignment horizontal="left"/>
    </xf>
    <xf numFmtId="0" fontId="21" fillId="0" borderId="20" xfId="46" applyFont="1" applyBorder="1" applyAlignment="1">
      <alignment horizontal="left"/>
    </xf>
    <xf numFmtId="0" fontId="21" fillId="0" borderId="1" xfId="0" applyFont="1" applyBorder="1" applyAlignment="1">
      <alignment horizontal="center"/>
    </xf>
    <xf numFmtId="0" fontId="21" fillId="0" borderId="12" xfId="0" applyFont="1" applyBorder="1" applyAlignment="1">
      <alignment horizontal="left" vertical="center" wrapText="1"/>
    </xf>
    <xf numFmtId="0" fontId="21" fillId="0" borderId="7" xfId="0" applyFont="1" applyBorder="1" applyAlignment="1">
      <alignment horizontal="left" vertical="center" wrapText="1"/>
    </xf>
    <xf numFmtId="0" fontId="21" fillId="0" borderId="1" xfId="0" applyFont="1" applyBorder="1" applyAlignment="1">
      <alignment horizontal="center" wrapText="1"/>
    </xf>
    <xf numFmtId="165" fontId="21" fillId="0" borderId="1" xfId="0" applyNumberFormat="1" applyFont="1" applyBorder="1" applyAlignment="1">
      <alignment horizontal="left"/>
    </xf>
    <xf numFmtId="0" fontId="21" fillId="0" borderId="2" xfId="3" applyFont="1" applyBorder="1" applyAlignment="1" applyProtection="1">
      <alignment horizontal="left" wrapText="1"/>
    </xf>
    <xf numFmtId="0" fontId="21" fillId="0" borderId="3" xfId="3" applyFont="1" applyBorder="1" applyAlignment="1" applyProtection="1">
      <alignment horizontal="left" wrapText="1"/>
    </xf>
    <xf numFmtId="0" fontId="21" fillId="0" borderId="4" xfId="3" applyFont="1" applyBorder="1" applyAlignment="1" applyProtection="1">
      <alignment horizontal="left" wrapText="1"/>
    </xf>
    <xf numFmtId="0" fontId="21" fillId="0" borderId="2" xfId="0" applyFont="1" applyBorder="1" applyAlignment="1">
      <alignment horizontal="center" wrapText="1"/>
    </xf>
    <xf numFmtId="0" fontId="21" fillId="0" borderId="3" xfId="0" applyFont="1" applyBorder="1" applyAlignment="1">
      <alignment horizontal="center" wrapText="1"/>
    </xf>
    <xf numFmtId="0" fontId="21" fillId="0" borderId="4" xfId="0" applyFont="1" applyBorder="1" applyAlignment="1">
      <alignment horizontal="center" wrapText="1"/>
    </xf>
    <xf numFmtId="0" fontId="21" fillId="0" borderId="22" xfId="0" applyFont="1" applyBorder="1" applyAlignment="1">
      <alignment horizontal="center" wrapText="1"/>
    </xf>
    <xf numFmtId="0" fontId="21" fillId="0" borderId="13" xfId="0" applyFont="1" applyBorder="1" applyAlignment="1">
      <alignment horizontal="center" wrapText="1"/>
    </xf>
    <xf numFmtId="0" fontId="21" fillId="0" borderId="23" xfId="0" applyFont="1" applyBorder="1" applyAlignment="1">
      <alignment horizontal="center" wrapText="1"/>
    </xf>
    <xf numFmtId="0" fontId="21" fillId="0" borderId="5" xfId="0" applyFont="1" applyBorder="1" applyAlignment="1">
      <alignment horizontal="center" wrapText="1"/>
    </xf>
    <xf numFmtId="0" fontId="21" fillId="0" borderId="6" xfId="0" applyFont="1" applyBorder="1" applyAlignment="1">
      <alignment horizontal="center" wrapText="1"/>
    </xf>
    <xf numFmtId="0" fontId="21" fillId="0" borderId="24" xfId="0" applyFont="1" applyBorder="1" applyAlignment="1">
      <alignment horizontal="center" wrapText="1"/>
    </xf>
    <xf numFmtId="0" fontId="21" fillId="0" borderId="2" xfId="0" applyFont="1" applyFill="1" applyBorder="1" applyAlignment="1">
      <alignment horizontal="left" wrapText="1"/>
    </xf>
    <xf numFmtId="0" fontId="0" fillId="0" borderId="4" xfId="0" applyBorder="1" applyAlignment="1">
      <alignment horizontal="left" wrapText="1"/>
    </xf>
    <xf numFmtId="0" fontId="21" fillId="0" borderId="2" xfId="0" applyFont="1" applyBorder="1" applyAlignment="1">
      <alignment horizontal="left" wrapText="1"/>
    </xf>
    <xf numFmtId="0" fontId="21" fillId="0" borderId="3" xfId="0" applyFont="1" applyBorder="1" applyAlignment="1">
      <alignment horizontal="left" wrapText="1"/>
    </xf>
    <xf numFmtId="0" fontId="21" fillId="0" borderId="4" xfId="0" applyFont="1" applyBorder="1" applyAlignment="1">
      <alignment horizontal="left" wrapText="1"/>
    </xf>
    <xf numFmtId="0" fontId="21" fillId="0" borderId="4" xfId="0" applyFont="1" applyFill="1" applyBorder="1" applyAlignment="1">
      <alignment horizontal="left" wrapText="1"/>
    </xf>
    <xf numFmtId="0" fontId="21" fillId="0" borderId="5" xfId="0" applyFont="1" applyBorder="1" applyAlignment="1">
      <alignment horizontal="left" vertical="top" wrapText="1"/>
    </xf>
    <xf numFmtId="0" fontId="21" fillId="0" borderId="6" xfId="0" applyFont="1" applyBorder="1" applyAlignment="1">
      <alignment horizontal="left" vertical="top" wrapText="1"/>
    </xf>
  </cellXfs>
  <cellStyles count="87">
    <cellStyle name=" Names" xfId="4"/>
    <cellStyle name=" Task]_x000d__x000a_TaskName=Scan At_x000d__x000a_TaskID=3_x000d__x000a_WorkstationName=SmarTone_x000d__x000a_LastExecuted=0_x000d__x000a_LastSt" xfId="5"/>
    <cellStyle name="_aux detail 13 9 07" xfId="6"/>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Currency (0)" xfId="14"/>
    <cellStyle name="ⓒb擤¢ⓢb攨¢⓲b敜¢│b斔¢┒b絴¢┢b綜¢┲bCtls" xfId="15"/>
    <cellStyle name="Comma" xfId="1" builtinId="3"/>
    <cellStyle name="Comma 2" xfId="16"/>
    <cellStyle name="Comma 3" xfId="17"/>
    <cellStyle name="Comma 3 2" xfId="71"/>
    <cellStyle name="Comma 3 3" xfId="72"/>
    <cellStyle name="Copied" xfId="18"/>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86" builtinId="8"/>
    <cellStyle name="Hyperlink 2" xfId="41"/>
    <cellStyle name="Input [yellow]" xfId="42"/>
    <cellStyle name="ls" xfId="43"/>
    <cellStyle name="no dec" xfId="44"/>
    <cellStyle name="Normal" xfId="0" builtinId="0"/>
    <cellStyle name="Normal - Style1" xfId="45"/>
    <cellStyle name="Normal 2" xfId="46"/>
    <cellStyle name="Normal 2 2" xfId="73"/>
    <cellStyle name="Normal 2 2 2" xfId="74"/>
    <cellStyle name="Normal 2 2 2 2" xfId="75"/>
    <cellStyle name="Normal 2 3" xfId="76"/>
    <cellStyle name="Normal 2 4" xfId="77"/>
    <cellStyle name="Normal 2 5" xfId="78"/>
    <cellStyle name="Normal 3" xfId="47"/>
    <cellStyle name="Normal 4" xfId="48"/>
    <cellStyle name="Normal 4 2" xfId="79"/>
    <cellStyle name="Normal 4 3" xfId="80"/>
    <cellStyle name="Normal 5" xfId="49"/>
    <cellStyle name="Normal 5 2" xfId="81"/>
    <cellStyle name="Normal 5 3" xfId="82"/>
    <cellStyle name="Normal 6" xfId="83"/>
    <cellStyle name="Normal_Sheet2" xfId="3"/>
    <cellStyle name="original cost" xfId="50"/>
    <cellStyle name="Percent" xfId="2" builtinId="5"/>
    <cellStyle name="Percent [2]" xfId="51"/>
    <cellStyle name="Percent 2" xfId="52"/>
    <cellStyle name="Percent 3" xfId="53"/>
    <cellStyle name="Percent 3 2" xfId="84"/>
    <cellStyle name="Percent 3 3" xfId="85"/>
    <cellStyle name="pObj" xfId="54"/>
    <cellStyle name="Reset range style to defaults" xfId="55"/>
    <cellStyle name="RevList" xfId="56"/>
    <cellStyle name="sion Log" xfId="57"/>
    <cellStyle name="Style 1" xfId="58"/>
    <cellStyle name="Subtotal" xfId="59"/>
    <cellStyle name="TextNormal" xfId="60"/>
    <cellStyle name="totalmarch" xfId="61"/>
    <cellStyle name="umentSummaryInformation" xfId="62"/>
    <cellStyle name="ummaryInformation" xfId="63"/>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iya/Work/Workings%20-%20priya%20for%20CDM/Benchmark%20Analysis/IRR%20Calculation.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0040\LOCALS~1\Temp\Purta%20Main%20&amp;%20Monthlly%20%200506%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eta Value"/>
      <sheetName val="BSE-500"/>
      <sheetName val="Summary"/>
      <sheetName val="Beta Screenshots"/>
      <sheetName val="Benchmark Calculation"/>
      <sheetName val="Sensitivity"/>
      <sheetName val="term loan - for CDM"/>
      <sheetName val="fixed cost"/>
      <sheetName val="Tax"/>
      <sheetName val="Tax for PIRR - change"/>
      <sheetName val="Tax for PIRR - with CDM change"/>
      <sheetName val="Tax for EIRR "/>
      <sheetName val="Tax for EIRR with CDM"/>
      <sheetName val="Beta by Bloomberg"/>
      <sheetName val="Beta of power companies"/>
      <sheetName val="power companies share prices fo"/>
      <sheetName val="POWER-1"/>
      <sheetName val="Beta on bse 500"/>
      <sheetName val="Sheet3"/>
      <sheetName val="Financials-Project IRR"/>
      <sheetName val="Tax for IRR"/>
      <sheetName val="Financials-Project IRR with CDM"/>
      <sheetName val="Tax for IRR - with CDM"/>
      <sheetName val="Sheet8"/>
      <sheetName val="YEARLY SENSEX DATA"/>
      <sheetName val="Nifty values"/>
      <sheetName val="Beta, RRR-sensex"/>
      <sheetName val="Sheet1 (2)"/>
      <sheetName val="Sheet7"/>
      <sheetName val="Sheet9"/>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energytechnologyexpert.com/financial-models/how-to-evaluate-economic-feasibility-of-a-power-plant-project-use-project-finance-model/"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sheetPr codeName="Sheet1"/>
  <dimension ref="A1:G82"/>
  <sheetViews>
    <sheetView tabSelected="1" workbookViewId="0">
      <selection activeCell="A16" sqref="A16:C16"/>
    </sheetView>
  </sheetViews>
  <sheetFormatPr defaultRowHeight="15"/>
  <cols>
    <col min="1" max="1" width="10" style="5" bestFit="1" customWidth="1"/>
    <col min="2" max="2" width="9.140625" style="5"/>
    <col min="3" max="3" width="48.42578125" style="5" customWidth="1"/>
    <col min="4" max="4" width="16" style="5" bestFit="1" customWidth="1"/>
    <col min="5" max="5" width="148" style="5" customWidth="1"/>
    <col min="6" max="6" width="10.7109375" style="5" customWidth="1"/>
    <col min="7" max="7" width="0.28515625" style="5" hidden="1" customWidth="1"/>
    <col min="8" max="16384" width="9.140625" style="5"/>
  </cols>
  <sheetData>
    <row r="1" spans="1:6">
      <c r="A1" s="120"/>
      <c r="B1" s="120"/>
      <c r="C1" s="120"/>
      <c r="D1" s="120"/>
      <c r="E1" s="120"/>
    </row>
    <row r="2" spans="1:6">
      <c r="A2" s="121"/>
      <c r="B2" s="121"/>
      <c r="C2" s="121"/>
      <c r="D2" s="121"/>
      <c r="E2" s="121"/>
    </row>
    <row r="3" spans="1:6">
      <c r="A3" s="127" t="s">
        <v>36</v>
      </c>
      <c r="B3" s="128"/>
      <c r="C3" s="129"/>
      <c r="D3" s="6" t="s">
        <v>166</v>
      </c>
      <c r="E3" s="6" t="s">
        <v>163</v>
      </c>
    </row>
    <row r="4" spans="1:6">
      <c r="A4" s="124" t="s">
        <v>173</v>
      </c>
      <c r="B4" s="125"/>
      <c r="C4" s="126"/>
      <c r="D4" s="7">
        <v>135</v>
      </c>
      <c r="E4" s="132" t="s">
        <v>216</v>
      </c>
    </row>
    <row r="5" spans="1:6">
      <c r="A5" s="124" t="s">
        <v>174</v>
      </c>
      <c r="B5" s="125"/>
      <c r="C5" s="126"/>
      <c r="D5" s="7">
        <v>1</v>
      </c>
      <c r="E5" s="132"/>
    </row>
    <row r="6" spans="1:6">
      <c r="A6" s="124" t="s">
        <v>45</v>
      </c>
      <c r="B6" s="125"/>
      <c r="C6" s="126"/>
      <c r="D6" s="7">
        <f>D5*D4</f>
        <v>135</v>
      </c>
      <c r="E6" s="132"/>
    </row>
    <row r="7" spans="1:6">
      <c r="A7" s="122"/>
      <c r="B7" s="122"/>
      <c r="C7" s="122"/>
      <c r="D7" s="122"/>
      <c r="E7" s="122"/>
    </row>
    <row r="8" spans="1:6">
      <c r="A8" s="121"/>
      <c r="B8" s="121"/>
      <c r="C8" s="121"/>
      <c r="D8" s="121"/>
      <c r="E8" s="121"/>
    </row>
    <row r="9" spans="1:6">
      <c r="A9" s="124" t="s">
        <v>252</v>
      </c>
      <c r="B9" s="125"/>
      <c r="C9" s="126"/>
      <c r="D9" s="18">
        <f>D10/D6</f>
        <v>46.99074074074074</v>
      </c>
      <c r="E9" s="132" t="s">
        <v>217</v>
      </c>
    </row>
    <row r="10" spans="1:6">
      <c r="A10" s="124" t="s">
        <v>253</v>
      </c>
      <c r="B10" s="125"/>
      <c r="C10" s="126"/>
      <c r="D10" s="18">
        <f>(50750/8)*(1+'Sensitivity Analysis'!$B$4)</f>
        <v>6343.75</v>
      </c>
      <c r="E10" s="132"/>
    </row>
    <row r="11" spans="1:6">
      <c r="A11" s="123"/>
      <c r="B11" s="123"/>
      <c r="C11" s="123"/>
      <c r="D11" s="123"/>
      <c r="E11" s="123"/>
    </row>
    <row r="12" spans="1:6">
      <c r="A12" s="127" t="s">
        <v>37</v>
      </c>
      <c r="B12" s="128"/>
      <c r="C12" s="128"/>
      <c r="D12" s="128"/>
      <c r="E12" s="129"/>
      <c r="F12" s="9"/>
    </row>
    <row r="13" spans="1:6" ht="30">
      <c r="A13" s="130" t="s">
        <v>31</v>
      </c>
      <c r="B13" s="131"/>
      <c r="C13" s="131"/>
      <c r="D13" s="4">
        <v>0.12</v>
      </c>
      <c r="E13" s="118" t="s">
        <v>302</v>
      </c>
    </row>
    <row r="14" spans="1:6">
      <c r="A14" s="130" t="s">
        <v>303</v>
      </c>
      <c r="B14" s="130"/>
      <c r="C14" s="130"/>
      <c r="D14" s="105">
        <v>11</v>
      </c>
      <c r="E14" s="132" t="s">
        <v>218</v>
      </c>
    </row>
    <row r="15" spans="1:6">
      <c r="A15" s="130" t="s">
        <v>34</v>
      </c>
      <c r="B15" s="131"/>
      <c r="C15" s="131"/>
      <c r="D15" s="7">
        <v>4</v>
      </c>
      <c r="E15" s="132"/>
    </row>
    <row r="16" spans="1:6">
      <c r="A16" s="130" t="s">
        <v>32</v>
      </c>
      <c r="B16" s="131"/>
      <c r="C16" s="131"/>
      <c r="D16" s="106">
        <f>D14*D15</f>
        <v>44</v>
      </c>
      <c r="E16" s="132"/>
    </row>
    <row r="17" spans="1:6">
      <c r="A17" s="130" t="s">
        <v>254</v>
      </c>
      <c r="B17" s="131"/>
      <c r="C17" s="131"/>
      <c r="D17" s="8">
        <f>(D10*0.7)/D16</f>
        <v>100.92329545454545</v>
      </c>
      <c r="E17" s="132"/>
    </row>
    <row r="18" spans="1:6">
      <c r="A18" s="130" t="s">
        <v>255</v>
      </c>
      <c r="B18" s="131"/>
      <c r="C18" s="131"/>
      <c r="D18" s="8">
        <f>D17*4</f>
        <v>403.69318181818181</v>
      </c>
      <c r="E18" s="132"/>
    </row>
    <row r="19" spans="1:6">
      <c r="A19" s="122"/>
      <c r="B19" s="122"/>
      <c r="C19" s="122"/>
      <c r="D19" s="122"/>
      <c r="E19" s="122"/>
    </row>
    <row r="20" spans="1:6">
      <c r="A20" s="121"/>
      <c r="B20" s="121"/>
      <c r="C20" s="121"/>
      <c r="D20" s="121"/>
      <c r="E20" s="121"/>
    </row>
    <row r="21" spans="1:6">
      <c r="A21" s="135" t="s">
        <v>26</v>
      </c>
      <c r="B21" s="135"/>
      <c r="C21" s="135"/>
      <c r="D21" s="135"/>
      <c r="E21" s="135"/>
      <c r="F21" s="9"/>
    </row>
    <row r="22" spans="1:6">
      <c r="A22" s="130" t="s">
        <v>219</v>
      </c>
      <c r="B22" s="131"/>
      <c r="C22" s="131"/>
      <c r="D22" s="7">
        <v>364</v>
      </c>
      <c r="E22" s="10" t="s">
        <v>220</v>
      </c>
    </row>
    <row r="23" spans="1:6">
      <c r="A23" s="119" t="s">
        <v>221</v>
      </c>
      <c r="B23" s="119"/>
      <c r="C23" s="119"/>
      <c r="D23" s="7">
        <v>365</v>
      </c>
      <c r="E23" s="10"/>
    </row>
    <row r="24" spans="1:6">
      <c r="A24" s="122"/>
      <c r="B24" s="122"/>
      <c r="C24" s="122"/>
      <c r="D24" s="122"/>
      <c r="E24" s="122"/>
    </row>
    <row r="25" spans="1:6">
      <c r="A25" s="121"/>
      <c r="B25" s="121"/>
      <c r="C25" s="121"/>
      <c r="D25" s="121"/>
      <c r="E25" s="121"/>
    </row>
    <row r="26" spans="1:6">
      <c r="A26" s="135" t="s">
        <v>50</v>
      </c>
      <c r="B26" s="135"/>
      <c r="C26" s="135"/>
      <c r="D26" s="135"/>
      <c r="E26" s="135"/>
    </row>
    <row r="27" spans="1:6" ht="15" customHeight="1">
      <c r="A27" s="119" t="s">
        <v>49</v>
      </c>
      <c r="B27" s="134"/>
      <c r="C27" s="134"/>
      <c r="D27" s="11">
        <v>5.28E-2</v>
      </c>
      <c r="E27" s="82" t="s">
        <v>187</v>
      </c>
    </row>
    <row r="28" spans="1:6">
      <c r="A28" s="119" t="s">
        <v>55</v>
      </c>
      <c r="B28" s="134"/>
      <c r="C28" s="134"/>
      <c r="D28" s="4">
        <v>0.1</v>
      </c>
      <c r="E28" s="82" t="s">
        <v>188</v>
      </c>
    </row>
    <row r="29" spans="1:6">
      <c r="A29" s="119" t="s">
        <v>56</v>
      </c>
      <c r="B29" s="134"/>
      <c r="C29" s="134"/>
      <c r="D29" s="4">
        <f>1-D28</f>
        <v>0.9</v>
      </c>
      <c r="E29" s="82" t="s">
        <v>188</v>
      </c>
    </row>
    <row r="30" spans="1:6">
      <c r="A30" s="123"/>
      <c r="B30" s="123"/>
      <c r="C30" s="123"/>
      <c r="D30" s="123"/>
      <c r="E30" s="123"/>
    </row>
    <row r="31" spans="1:6">
      <c r="A31" s="135" t="s">
        <v>128</v>
      </c>
      <c r="B31" s="135"/>
      <c r="C31" s="135"/>
      <c r="D31" s="135"/>
      <c r="E31" s="135"/>
    </row>
    <row r="32" spans="1:6">
      <c r="A32" s="132" t="s">
        <v>152</v>
      </c>
      <c r="B32" s="132"/>
      <c r="C32" s="132"/>
      <c r="D32" s="11">
        <v>0.15</v>
      </c>
      <c r="E32" s="82" t="s">
        <v>206</v>
      </c>
    </row>
    <row r="33" spans="1:5">
      <c r="A33" s="132" t="s">
        <v>129</v>
      </c>
      <c r="B33" s="132"/>
      <c r="C33" s="132"/>
      <c r="D33" s="11">
        <v>5.28E-2</v>
      </c>
      <c r="E33" s="132" t="s">
        <v>170</v>
      </c>
    </row>
    <row r="34" spans="1:5">
      <c r="A34" s="119" t="str">
        <f>A28  &amp; " as per Companies Act, 1956"</f>
        <v>Salvage Value of Plant as per Companies Act, 1956</v>
      </c>
      <c r="B34" s="134"/>
      <c r="C34" s="134"/>
      <c r="D34" s="12">
        <v>0</v>
      </c>
      <c r="E34" s="132"/>
    </row>
    <row r="35" spans="1:5">
      <c r="A35" s="139"/>
      <c r="B35" s="140"/>
      <c r="C35" s="140"/>
      <c r="D35" s="140"/>
      <c r="E35" s="141"/>
    </row>
    <row r="36" spans="1:5">
      <c r="A36" s="119" t="s">
        <v>207</v>
      </c>
      <c r="B36" s="119"/>
      <c r="C36" s="119"/>
      <c r="D36" s="96">
        <v>0.1</v>
      </c>
      <c r="E36" s="97" t="s">
        <v>208</v>
      </c>
    </row>
    <row r="37" spans="1:5">
      <c r="A37" s="146"/>
      <c r="B37" s="123"/>
      <c r="C37" s="123"/>
      <c r="D37" s="123"/>
      <c r="E37" s="147"/>
    </row>
    <row r="38" spans="1:5">
      <c r="A38" s="136" t="s">
        <v>222</v>
      </c>
      <c r="B38" s="144"/>
      <c r="C38" s="145"/>
      <c r="D38" s="13">
        <v>46.68</v>
      </c>
      <c r="E38" s="142" t="s">
        <v>164</v>
      </c>
    </row>
    <row r="39" spans="1:5">
      <c r="A39" s="136" t="s">
        <v>223</v>
      </c>
      <c r="B39" s="144"/>
      <c r="C39" s="145"/>
      <c r="D39" s="13">
        <v>43.48</v>
      </c>
      <c r="E39" s="143"/>
    </row>
    <row r="40" spans="1:5">
      <c r="A40" s="136" t="s">
        <v>224</v>
      </c>
      <c r="B40" s="144"/>
      <c r="C40" s="145"/>
      <c r="D40" s="107">
        <f>DAYS360(DATE(2000,1,3),DATE(2009,12,31))/360</f>
        <v>9.9944444444444436</v>
      </c>
      <c r="E40" s="103" t="s">
        <v>225</v>
      </c>
    </row>
    <row r="41" spans="1:5">
      <c r="A41" s="119" t="s">
        <v>226</v>
      </c>
      <c r="B41" s="134"/>
      <c r="C41" s="134"/>
      <c r="D41" s="108">
        <f>1+ROUND((D38/D39)^(1/D40)-1,3)</f>
        <v>1.0069999999999999</v>
      </c>
      <c r="E41" s="14" t="s">
        <v>210</v>
      </c>
    </row>
    <row r="42" spans="1:5">
      <c r="A42" s="119" t="s">
        <v>242</v>
      </c>
      <c r="B42" s="119"/>
      <c r="C42" s="119"/>
      <c r="D42" s="8">
        <f>'Lignite Price'!G6*(1+'Sensitivity Analysis'!$B$2)</f>
        <v>1663.85625</v>
      </c>
      <c r="E42" s="82" t="s">
        <v>299</v>
      </c>
    </row>
    <row r="43" spans="1:5" ht="30">
      <c r="A43" s="119" t="s">
        <v>243</v>
      </c>
      <c r="B43" s="119"/>
      <c r="C43" s="119"/>
      <c r="D43" s="15">
        <v>3500</v>
      </c>
      <c r="E43" s="82" t="s">
        <v>240</v>
      </c>
    </row>
    <row r="44" spans="1:5">
      <c r="A44" s="136" t="s">
        <v>244</v>
      </c>
      <c r="B44" s="137"/>
      <c r="C44" s="138"/>
      <c r="D44" s="17">
        <v>30.600999999999999</v>
      </c>
      <c r="E44" s="103" t="s">
        <v>241</v>
      </c>
    </row>
    <row r="45" spans="1:5">
      <c r="A45" s="136" t="s">
        <v>245</v>
      </c>
      <c r="B45" s="137"/>
      <c r="C45" s="138"/>
      <c r="D45" s="16">
        <v>10500</v>
      </c>
      <c r="E45" s="81" t="s">
        <v>165</v>
      </c>
    </row>
    <row r="46" spans="1:5">
      <c r="A46" s="136" t="s">
        <v>246</v>
      </c>
      <c r="B46" s="137"/>
      <c r="C46" s="138"/>
      <c r="D46" s="17">
        <v>1.25</v>
      </c>
      <c r="E46" s="87" t="s">
        <v>189</v>
      </c>
    </row>
    <row r="47" spans="1:5">
      <c r="A47" s="123"/>
      <c r="B47" s="123"/>
      <c r="C47" s="123"/>
      <c r="D47" s="123"/>
      <c r="E47" s="123"/>
    </row>
    <row r="48" spans="1:5">
      <c r="A48" s="135" t="s">
        <v>24</v>
      </c>
      <c r="B48" s="135"/>
      <c r="C48" s="135"/>
      <c r="D48" s="135"/>
      <c r="E48" s="135"/>
    </row>
    <row r="49" spans="1:6">
      <c r="A49" s="119" t="s">
        <v>159</v>
      </c>
      <c r="B49" s="119"/>
      <c r="C49" s="119"/>
      <c r="D49" s="12">
        <f>85%*(1+'Sensitivity Analysis'!$B$3)</f>
        <v>0.85</v>
      </c>
      <c r="E49" s="82" t="s">
        <v>190</v>
      </c>
    </row>
    <row r="50" spans="1:6">
      <c r="A50" s="119" t="s">
        <v>110</v>
      </c>
      <c r="B50" s="119"/>
      <c r="C50" s="119"/>
      <c r="D50" s="15">
        <f>2276*(1+'Sensitivity Analysis'!$B$6)</f>
        <v>2276</v>
      </c>
      <c r="E50" s="82" t="s">
        <v>191</v>
      </c>
    </row>
    <row r="51" spans="1:6">
      <c r="A51" s="119" t="s">
        <v>23</v>
      </c>
      <c r="B51" s="119"/>
      <c r="C51" s="119"/>
      <c r="D51" s="12">
        <v>0.1</v>
      </c>
      <c r="E51" s="82" t="s">
        <v>189</v>
      </c>
    </row>
    <row r="52" spans="1:6">
      <c r="A52" s="119" t="s">
        <v>161</v>
      </c>
      <c r="B52" s="119"/>
      <c r="C52" s="119"/>
      <c r="D52" s="85">
        <v>1.0649999999999999</v>
      </c>
      <c r="E52" s="82" t="s">
        <v>191</v>
      </c>
    </row>
    <row r="53" spans="1:6" ht="30">
      <c r="A53" s="95" t="s">
        <v>211</v>
      </c>
      <c r="B53" s="98"/>
      <c r="C53" s="99"/>
      <c r="D53" s="100">
        <f>AVERAGE(25%,35%)</f>
        <v>0.3</v>
      </c>
      <c r="E53" s="82" t="s">
        <v>240</v>
      </c>
    </row>
    <row r="54" spans="1:6">
      <c r="A54" s="136" t="s">
        <v>214</v>
      </c>
      <c r="B54" s="137"/>
      <c r="C54" s="138"/>
      <c r="D54" s="18">
        <v>1.04</v>
      </c>
      <c r="E54" s="82" t="s">
        <v>212</v>
      </c>
    </row>
    <row r="55" spans="1:6">
      <c r="A55" s="119" t="s">
        <v>198</v>
      </c>
      <c r="B55" s="119"/>
      <c r="C55" s="119"/>
      <c r="D55" s="18">
        <f>D50*D52*D54</f>
        <v>2520.8976000000002</v>
      </c>
      <c r="E55" s="82" t="s">
        <v>213</v>
      </c>
    </row>
    <row r="56" spans="1:6">
      <c r="A56" s="123"/>
      <c r="B56" s="123"/>
      <c r="C56" s="123"/>
      <c r="D56" s="123"/>
      <c r="E56" s="123"/>
    </row>
    <row r="57" spans="1:6">
      <c r="A57" s="127" t="s">
        <v>25</v>
      </c>
      <c r="B57" s="128"/>
      <c r="C57" s="128"/>
      <c r="D57" s="128"/>
      <c r="E57" s="129"/>
    </row>
    <row r="58" spans="1:6">
      <c r="A58" s="119" t="s">
        <v>301</v>
      </c>
      <c r="B58" s="134"/>
      <c r="C58" s="134"/>
      <c r="D58" s="20">
        <f>2.998*(1+'Sensitivity Analysis'!$B$5)</f>
        <v>2.9980000000000002</v>
      </c>
      <c r="E58" s="83" t="s">
        <v>192</v>
      </c>
    </row>
    <row r="59" spans="1:6">
      <c r="A59" s="119" t="s">
        <v>167</v>
      </c>
      <c r="B59" s="119"/>
      <c r="C59" s="119"/>
      <c r="D59" s="7">
        <v>1.0571999999999999</v>
      </c>
      <c r="E59" s="14" t="s">
        <v>192</v>
      </c>
      <c r="F59" s="19"/>
    </row>
    <row r="60" spans="1:6">
      <c r="A60" s="119" t="s">
        <v>17</v>
      </c>
      <c r="B60" s="119"/>
      <c r="C60" s="119"/>
      <c r="D60" s="21">
        <v>0.155</v>
      </c>
      <c r="E60" s="83" t="s">
        <v>193</v>
      </c>
    </row>
    <row r="61" spans="1:6">
      <c r="A61" s="119" t="s">
        <v>169</v>
      </c>
      <c r="B61" s="134"/>
      <c r="C61" s="134"/>
      <c r="D61" s="13">
        <v>1.1019000000000001</v>
      </c>
      <c r="E61" s="103" t="s">
        <v>247</v>
      </c>
    </row>
    <row r="62" spans="1:6">
      <c r="A62" s="119" t="s">
        <v>111</v>
      </c>
      <c r="B62" s="119"/>
      <c r="C62" s="119"/>
      <c r="D62" s="4">
        <v>2E-3</v>
      </c>
      <c r="E62" s="84" t="s">
        <v>194</v>
      </c>
    </row>
    <row r="63" spans="1:6">
      <c r="A63" s="123"/>
      <c r="B63" s="123"/>
      <c r="C63" s="123"/>
      <c r="D63" s="123"/>
      <c r="E63" s="123"/>
    </row>
    <row r="64" spans="1:6">
      <c r="A64" s="135" t="s">
        <v>27</v>
      </c>
      <c r="B64" s="135"/>
      <c r="C64" s="135"/>
      <c r="D64" s="135"/>
      <c r="E64" s="135"/>
    </row>
    <row r="65" spans="1:5">
      <c r="A65" s="119" t="s">
        <v>28</v>
      </c>
      <c r="B65" s="119"/>
      <c r="C65" s="119"/>
      <c r="D65" s="4">
        <f>30/100*(1.1*1.03)</f>
        <v>0.33990000000000004</v>
      </c>
      <c r="E65" s="132" t="s">
        <v>300</v>
      </c>
    </row>
    <row r="66" spans="1:5">
      <c r="A66" s="119" t="s">
        <v>29</v>
      </c>
      <c r="B66" s="119"/>
      <c r="C66" s="119"/>
      <c r="D66" s="4">
        <f>15/100*(1.1*1.03)</f>
        <v>0.16995000000000002</v>
      </c>
      <c r="E66" s="132"/>
    </row>
    <row r="67" spans="1:5">
      <c r="A67" s="122"/>
      <c r="B67" s="122"/>
      <c r="C67" s="122"/>
      <c r="D67" s="122"/>
      <c r="E67" s="122"/>
    </row>
    <row r="68" spans="1:5">
      <c r="A68" s="121"/>
      <c r="B68" s="121"/>
      <c r="C68" s="121"/>
      <c r="D68" s="121"/>
      <c r="E68" s="121"/>
    </row>
    <row r="69" spans="1:5">
      <c r="A69" s="135" t="s">
        <v>52</v>
      </c>
      <c r="B69" s="135"/>
      <c r="C69" s="135"/>
      <c r="D69" s="135"/>
      <c r="E69" s="135"/>
    </row>
    <row r="70" spans="1:5">
      <c r="A70" s="119" t="s">
        <v>63</v>
      </c>
      <c r="B70" s="134"/>
      <c r="C70" s="134"/>
      <c r="D70" s="7">
        <v>2</v>
      </c>
      <c r="E70" s="82" t="s">
        <v>195</v>
      </c>
    </row>
    <row r="71" spans="1:5">
      <c r="A71" s="119" t="s">
        <v>39</v>
      </c>
      <c r="B71" s="119"/>
      <c r="C71" s="119"/>
      <c r="D71" s="7">
        <v>1.5</v>
      </c>
      <c r="E71" s="82" t="s">
        <v>195</v>
      </c>
    </row>
    <row r="72" spans="1:5">
      <c r="A72" s="119" t="s">
        <v>40</v>
      </c>
      <c r="B72" s="134"/>
      <c r="C72" s="134"/>
      <c r="D72" s="7">
        <v>1</v>
      </c>
      <c r="E72" s="82" t="s">
        <v>195</v>
      </c>
    </row>
    <row r="73" spans="1:5">
      <c r="A73" s="119" t="s">
        <v>51</v>
      </c>
      <c r="B73" s="119"/>
      <c r="C73" s="119"/>
      <c r="D73" s="12">
        <v>0.2</v>
      </c>
      <c r="E73" s="82" t="s">
        <v>195</v>
      </c>
    </row>
    <row r="74" spans="1:5">
      <c r="A74" s="119" t="s">
        <v>112</v>
      </c>
      <c r="B74" s="134"/>
      <c r="C74" s="134"/>
      <c r="D74" s="22">
        <v>2</v>
      </c>
      <c r="E74" s="82" t="s">
        <v>195</v>
      </c>
    </row>
    <row r="75" spans="1:5" ht="45">
      <c r="A75" s="119" t="s">
        <v>30</v>
      </c>
      <c r="B75" s="119"/>
      <c r="C75" s="119"/>
      <c r="D75" s="4">
        <v>0.11749999999999999</v>
      </c>
      <c r="E75" s="82" t="s">
        <v>196</v>
      </c>
    </row>
    <row r="76" spans="1:5">
      <c r="A76" s="123"/>
      <c r="B76" s="123"/>
      <c r="C76" s="123"/>
      <c r="D76" s="123"/>
      <c r="E76" s="123"/>
    </row>
    <row r="77" spans="1:5">
      <c r="A77" s="135" t="s">
        <v>103</v>
      </c>
      <c r="B77" s="135"/>
      <c r="C77" s="135"/>
      <c r="D77" s="135"/>
      <c r="E77" s="135"/>
    </row>
    <row r="78" spans="1:5" ht="30">
      <c r="A78" s="133" t="s">
        <v>104</v>
      </c>
      <c r="B78" s="133"/>
      <c r="C78" s="133" t="s">
        <v>104</v>
      </c>
      <c r="D78" s="23" t="s">
        <v>256</v>
      </c>
      <c r="E78" s="10"/>
    </row>
    <row r="79" spans="1:5">
      <c r="A79" s="130" t="s">
        <v>105</v>
      </c>
      <c r="B79" s="130"/>
      <c r="C79" s="130"/>
      <c r="D79" s="80">
        <v>0</v>
      </c>
      <c r="E79" s="82" t="s">
        <v>197</v>
      </c>
    </row>
    <row r="80" spans="1:5">
      <c r="A80" s="130" t="s">
        <v>107</v>
      </c>
      <c r="B80" s="130"/>
      <c r="C80" s="130"/>
      <c r="D80" s="80">
        <v>1.4999999999999999E-2</v>
      </c>
      <c r="E80" s="82" t="s">
        <v>197</v>
      </c>
    </row>
    <row r="81" spans="1:5">
      <c r="A81" s="130" t="s">
        <v>106</v>
      </c>
      <c r="B81" s="130"/>
      <c r="C81" s="130"/>
      <c r="D81" s="80">
        <v>3.5000000000000003E-2</v>
      </c>
      <c r="E81" s="82" t="s">
        <v>197</v>
      </c>
    </row>
    <row r="82" spans="1:5">
      <c r="A82" s="130" t="s">
        <v>108</v>
      </c>
      <c r="B82" s="130"/>
      <c r="C82" s="130"/>
      <c r="D82" s="80">
        <v>6.5000000000000002E-2</v>
      </c>
      <c r="E82" s="82" t="s">
        <v>197</v>
      </c>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82">
    <mergeCell ref="A4:C4"/>
    <mergeCell ref="A6:C6"/>
    <mergeCell ref="A13:C13"/>
    <mergeCell ref="A38:C38"/>
    <mergeCell ref="A44:C44"/>
    <mergeCell ref="A33:C33"/>
    <mergeCell ref="A12:E12"/>
    <mergeCell ref="A14:C14"/>
    <mergeCell ref="E14:E18"/>
    <mergeCell ref="A21:E21"/>
    <mergeCell ref="A24:E25"/>
    <mergeCell ref="A48:E48"/>
    <mergeCell ref="A22:C22"/>
    <mergeCell ref="A23:C23"/>
    <mergeCell ref="A27:C27"/>
    <mergeCell ref="A28:C28"/>
    <mergeCell ref="A29:C29"/>
    <mergeCell ref="A34:C34"/>
    <mergeCell ref="A51:C51"/>
    <mergeCell ref="A31:E31"/>
    <mergeCell ref="A26:E26"/>
    <mergeCell ref="A41:C41"/>
    <mergeCell ref="A43:C43"/>
    <mergeCell ref="A45:C45"/>
    <mergeCell ref="A36:C36"/>
    <mergeCell ref="A35:E35"/>
    <mergeCell ref="A42:C42"/>
    <mergeCell ref="E38:E39"/>
    <mergeCell ref="A39:C39"/>
    <mergeCell ref="A40:C40"/>
    <mergeCell ref="A37:E37"/>
    <mergeCell ref="A30:E30"/>
    <mergeCell ref="A32:C32"/>
    <mergeCell ref="A49:C49"/>
    <mergeCell ref="A64:E64"/>
    <mergeCell ref="A74:C74"/>
    <mergeCell ref="A46:C46"/>
    <mergeCell ref="A57:E57"/>
    <mergeCell ref="A55:C55"/>
    <mergeCell ref="A71:C71"/>
    <mergeCell ref="A65:C65"/>
    <mergeCell ref="A66:C66"/>
    <mergeCell ref="A72:C72"/>
    <mergeCell ref="A73:C73"/>
    <mergeCell ref="A54:C54"/>
    <mergeCell ref="A63:E63"/>
    <mergeCell ref="A56:E56"/>
    <mergeCell ref="A47:E47"/>
    <mergeCell ref="A62:C62"/>
    <mergeCell ref="A52:C52"/>
    <mergeCell ref="A82:C82"/>
    <mergeCell ref="A78:C78"/>
    <mergeCell ref="A58:C58"/>
    <mergeCell ref="A59:C59"/>
    <mergeCell ref="A77:E77"/>
    <mergeCell ref="A79:C79"/>
    <mergeCell ref="A80:C80"/>
    <mergeCell ref="E65:E66"/>
    <mergeCell ref="A75:C75"/>
    <mergeCell ref="A61:C61"/>
    <mergeCell ref="A70:C70"/>
    <mergeCell ref="A60:C60"/>
    <mergeCell ref="A69:E69"/>
    <mergeCell ref="A81:C81"/>
    <mergeCell ref="A76:E76"/>
    <mergeCell ref="A67:E68"/>
    <mergeCell ref="A50:C50"/>
    <mergeCell ref="A1:E2"/>
    <mergeCell ref="A7:E8"/>
    <mergeCell ref="A11:E11"/>
    <mergeCell ref="A19:E20"/>
    <mergeCell ref="A5:C5"/>
    <mergeCell ref="A3:C3"/>
    <mergeCell ref="A16:C16"/>
    <mergeCell ref="A17:C17"/>
    <mergeCell ref="A18:C18"/>
    <mergeCell ref="A15:C15"/>
    <mergeCell ref="A9:C9"/>
    <mergeCell ref="A10:C10"/>
    <mergeCell ref="E4:E6"/>
    <mergeCell ref="E9:E10"/>
    <mergeCell ref="E33:E34"/>
  </mergeCells>
  <phoneticPr fontId="4" type="noConversion"/>
  <hyperlinks>
    <hyperlink ref="E36" r:id="rId2"/>
  </hyperlinks>
  <pageMargins left="0.7" right="0.16" top="1" bottom="0.55000000000000004" header="0.5" footer="0.5"/>
  <pageSetup paperSize="9" scale="70" orientation="landscape" r:id="rId3"/>
  <headerFooter alignWithMargins="0"/>
  <colBreaks count="1" manualBreakCount="1">
    <brk id="6" max="111" man="1"/>
  </colBreaks>
</worksheet>
</file>

<file path=xl/worksheets/sheet10.xml><?xml version="1.0" encoding="utf-8"?>
<worksheet xmlns="http://schemas.openxmlformats.org/spreadsheetml/2006/main" xmlns:r="http://schemas.openxmlformats.org/officeDocument/2006/relationships">
  <sheetPr codeName="Sheet9">
    <pageSetUpPr fitToPage="1"/>
  </sheetPr>
  <dimension ref="A1:AA42"/>
  <sheetViews>
    <sheetView workbookViewId="0">
      <pane xSplit="2" ySplit="6" topLeftCell="C7" activePane="bottomRight" state="frozen"/>
      <selection activeCell="H9" sqref="H9"/>
      <selection pane="topRight" activeCell="H9" sqref="H9"/>
      <selection pane="bottomLeft" activeCell="H9" sqref="H9"/>
      <selection pane="bottomRight" activeCell="A35" sqref="A35:AA35"/>
    </sheetView>
  </sheetViews>
  <sheetFormatPr defaultRowHeight="14.25" customHeight="1"/>
  <cols>
    <col min="1" max="1" width="27.42578125" style="36" customWidth="1"/>
    <col min="2" max="2" width="12.42578125" style="25" customWidth="1"/>
    <col min="3" max="27" width="10.140625" style="25" bestFit="1" customWidth="1"/>
    <col min="28" max="256" width="9.140625" style="25"/>
    <col min="257" max="257" width="27.42578125" style="25" customWidth="1"/>
    <col min="258" max="258" width="12.42578125" style="25" customWidth="1"/>
    <col min="259" max="259" width="12.28515625" style="25" bestFit="1" customWidth="1"/>
    <col min="260" max="268" width="8.42578125" style="25" customWidth="1"/>
    <col min="269" max="512" width="9.140625" style="25"/>
    <col min="513" max="513" width="27.42578125" style="25" customWidth="1"/>
    <col min="514" max="514" width="12.42578125" style="25" customWidth="1"/>
    <col min="515" max="515" width="12.28515625" style="25" bestFit="1" customWidth="1"/>
    <col min="516" max="524" width="8.42578125" style="25" customWidth="1"/>
    <col min="525" max="768" width="9.140625" style="25"/>
    <col min="769" max="769" width="27.42578125" style="25" customWidth="1"/>
    <col min="770" max="770" width="12.42578125" style="25" customWidth="1"/>
    <col min="771" max="771" width="12.28515625" style="25" bestFit="1" customWidth="1"/>
    <col min="772" max="780" width="8.42578125" style="25" customWidth="1"/>
    <col min="781" max="1024" width="9.140625" style="25"/>
    <col min="1025" max="1025" width="27.42578125" style="25" customWidth="1"/>
    <col min="1026" max="1026" width="12.42578125" style="25" customWidth="1"/>
    <col min="1027" max="1027" width="12.28515625" style="25" bestFit="1" customWidth="1"/>
    <col min="1028" max="1036" width="8.42578125" style="25" customWidth="1"/>
    <col min="1037" max="1280" width="9.140625" style="25"/>
    <col min="1281" max="1281" width="27.42578125" style="25" customWidth="1"/>
    <col min="1282" max="1282" width="12.42578125" style="25" customWidth="1"/>
    <col min="1283" max="1283" width="12.28515625" style="25" bestFit="1" customWidth="1"/>
    <col min="1284" max="1292" width="8.42578125" style="25" customWidth="1"/>
    <col min="1293" max="1536" width="9.140625" style="25"/>
    <col min="1537" max="1537" width="27.42578125" style="25" customWidth="1"/>
    <col min="1538" max="1538" width="12.42578125" style="25" customWidth="1"/>
    <col min="1539" max="1539" width="12.28515625" style="25" bestFit="1" customWidth="1"/>
    <col min="1540" max="1548" width="8.42578125" style="25" customWidth="1"/>
    <col min="1549" max="1792" width="9.140625" style="25"/>
    <col min="1793" max="1793" width="27.42578125" style="25" customWidth="1"/>
    <col min="1794" max="1794" width="12.42578125" style="25" customWidth="1"/>
    <col min="1795" max="1795" width="12.28515625" style="25" bestFit="1" customWidth="1"/>
    <col min="1796" max="1804" width="8.42578125" style="25" customWidth="1"/>
    <col min="1805" max="2048" width="9.140625" style="25"/>
    <col min="2049" max="2049" width="27.42578125" style="25" customWidth="1"/>
    <col min="2050" max="2050" width="12.42578125" style="25" customWidth="1"/>
    <col min="2051" max="2051" width="12.28515625" style="25" bestFit="1" customWidth="1"/>
    <col min="2052" max="2060" width="8.42578125" style="25" customWidth="1"/>
    <col min="2061" max="2304" width="9.140625" style="25"/>
    <col min="2305" max="2305" width="27.42578125" style="25" customWidth="1"/>
    <col min="2306" max="2306" width="12.42578125" style="25" customWidth="1"/>
    <col min="2307" max="2307" width="12.28515625" style="25" bestFit="1" customWidth="1"/>
    <col min="2308" max="2316" width="8.42578125" style="25" customWidth="1"/>
    <col min="2317" max="2560" width="9.140625" style="25"/>
    <col min="2561" max="2561" width="27.42578125" style="25" customWidth="1"/>
    <col min="2562" max="2562" width="12.42578125" style="25" customWidth="1"/>
    <col min="2563" max="2563" width="12.28515625" style="25" bestFit="1" customWidth="1"/>
    <col min="2564" max="2572" width="8.42578125" style="25" customWidth="1"/>
    <col min="2573" max="2816" width="9.140625" style="25"/>
    <col min="2817" max="2817" width="27.42578125" style="25" customWidth="1"/>
    <col min="2818" max="2818" width="12.42578125" style="25" customWidth="1"/>
    <col min="2819" max="2819" width="12.28515625" style="25" bestFit="1" customWidth="1"/>
    <col min="2820" max="2828" width="8.42578125" style="25" customWidth="1"/>
    <col min="2829" max="3072" width="9.140625" style="25"/>
    <col min="3073" max="3073" width="27.42578125" style="25" customWidth="1"/>
    <col min="3074" max="3074" width="12.42578125" style="25" customWidth="1"/>
    <col min="3075" max="3075" width="12.28515625" style="25" bestFit="1" customWidth="1"/>
    <col min="3076" max="3084" width="8.42578125" style="25" customWidth="1"/>
    <col min="3085" max="3328" width="9.140625" style="25"/>
    <col min="3329" max="3329" width="27.42578125" style="25" customWidth="1"/>
    <col min="3330" max="3330" width="12.42578125" style="25" customWidth="1"/>
    <col min="3331" max="3331" width="12.28515625" style="25" bestFit="1" customWidth="1"/>
    <col min="3332" max="3340" width="8.42578125" style="25" customWidth="1"/>
    <col min="3341" max="3584" width="9.140625" style="25"/>
    <col min="3585" max="3585" width="27.42578125" style="25" customWidth="1"/>
    <col min="3586" max="3586" width="12.42578125" style="25" customWidth="1"/>
    <col min="3587" max="3587" width="12.28515625" style="25" bestFit="1" customWidth="1"/>
    <col min="3588" max="3596" width="8.42578125" style="25" customWidth="1"/>
    <col min="3597" max="3840" width="9.140625" style="25"/>
    <col min="3841" max="3841" width="27.42578125" style="25" customWidth="1"/>
    <col min="3842" max="3842" width="12.42578125" style="25" customWidth="1"/>
    <col min="3843" max="3843" width="12.28515625" style="25" bestFit="1" customWidth="1"/>
    <col min="3844" max="3852" width="8.42578125" style="25" customWidth="1"/>
    <col min="3853" max="4096" width="9.140625" style="25"/>
    <col min="4097" max="4097" width="27.42578125" style="25" customWidth="1"/>
    <col min="4098" max="4098" width="12.42578125" style="25" customWidth="1"/>
    <col min="4099" max="4099" width="12.28515625" style="25" bestFit="1" customWidth="1"/>
    <col min="4100" max="4108" width="8.42578125" style="25" customWidth="1"/>
    <col min="4109" max="4352" width="9.140625" style="25"/>
    <col min="4353" max="4353" width="27.42578125" style="25" customWidth="1"/>
    <col min="4354" max="4354" width="12.42578125" style="25" customWidth="1"/>
    <col min="4355" max="4355" width="12.28515625" style="25" bestFit="1" customWidth="1"/>
    <col min="4356" max="4364" width="8.42578125" style="25" customWidth="1"/>
    <col min="4365" max="4608" width="9.140625" style="25"/>
    <col min="4609" max="4609" width="27.42578125" style="25" customWidth="1"/>
    <col min="4610" max="4610" width="12.42578125" style="25" customWidth="1"/>
    <col min="4611" max="4611" width="12.28515625" style="25" bestFit="1" customWidth="1"/>
    <col min="4612" max="4620" width="8.42578125" style="25" customWidth="1"/>
    <col min="4621" max="4864" width="9.140625" style="25"/>
    <col min="4865" max="4865" width="27.42578125" style="25" customWidth="1"/>
    <col min="4866" max="4866" width="12.42578125" style="25" customWidth="1"/>
    <col min="4867" max="4867" width="12.28515625" style="25" bestFit="1" customWidth="1"/>
    <col min="4868" max="4876" width="8.42578125" style="25" customWidth="1"/>
    <col min="4877" max="5120" width="9.140625" style="25"/>
    <col min="5121" max="5121" width="27.42578125" style="25" customWidth="1"/>
    <col min="5122" max="5122" width="12.42578125" style="25" customWidth="1"/>
    <col min="5123" max="5123" width="12.28515625" style="25" bestFit="1" customWidth="1"/>
    <col min="5124" max="5132" width="8.42578125" style="25" customWidth="1"/>
    <col min="5133" max="5376" width="9.140625" style="25"/>
    <col min="5377" max="5377" width="27.42578125" style="25" customWidth="1"/>
    <col min="5378" max="5378" width="12.42578125" style="25" customWidth="1"/>
    <col min="5379" max="5379" width="12.28515625" style="25" bestFit="1" customWidth="1"/>
    <col min="5380" max="5388" width="8.42578125" style="25" customWidth="1"/>
    <col min="5389" max="5632" width="9.140625" style="25"/>
    <col min="5633" max="5633" width="27.42578125" style="25" customWidth="1"/>
    <col min="5634" max="5634" width="12.42578125" style="25" customWidth="1"/>
    <col min="5635" max="5635" width="12.28515625" style="25" bestFit="1" customWidth="1"/>
    <col min="5636" max="5644" width="8.42578125" style="25" customWidth="1"/>
    <col min="5645" max="5888" width="9.140625" style="25"/>
    <col min="5889" max="5889" width="27.42578125" style="25" customWidth="1"/>
    <col min="5890" max="5890" width="12.42578125" style="25" customWidth="1"/>
    <col min="5891" max="5891" width="12.28515625" style="25" bestFit="1" customWidth="1"/>
    <col min="5892" max="5900" width="8.42578125" style="25" customWidth="1"/>
    <col min="5901" max="6144" width="9.140625" style="25"/>
    <col min="6145" max="6145" width="27.42578125" style="25" customWidth="1"/>
    <col min="6146" max="6146" width="12.42578125" style="25" customWidth="1"/>
    <col min="6147" max="6147" width="12.28515625" style="25" bestFit="1" customWidth="1"/>
    <col min="6148" max="6156" width="8.42578125" style="25" customWidth="1"/>
    <col min="6157" max="6400" width="9.140625" style="25"/>
    <col min="6401" max="6401" width="27.42578125" style="25" customWidth="1"/>
    <col min="6402" max="6402" width="12.42578125" style="25" customWidth="1"/>
    <col min="6403" max="6403" width="12.28515625" style="25" bestFit="1" customWidth="1"/>
    <col min="6404" max="6412" width="8.42578125" style="25" customWidth="1"/>
    <col min="6413" max="6656" width="9.140625" style="25"/>
    <col min="6657" max="6657" width="27.42578125" style="25" customWidth="1"/>
    <col min="6658" max="6658" width="12.42578125" style="25" customWidth="1"/>
    <col min="6659" max="6659" width="12.28515625" style="25" bestFit="1" customWidth="1"/>
    <col min="6660" max="6668" width="8.42578125" style="25" customWidth="1"/>
    <col min="6669" max="6912" width="9.140625" style="25"/>
    <col min="6913" max="6913" width="27.42578125" style="25" customWidth="1"/>
    <col min="6914" max="6914" width="12.42578125" style="25" customWidth="1"/>
    <col min="6915" max="6915" width="12.28515625" style="25" bestFit="1" customWidth="1"/>
    <col min="6916" max="6924" width="8.42578125" style="25" customWidth="1"/>
    <col min="6925" max="7168" width="9.140625" style="25"/>
    <col min="7169" max="7169" width="27.42578125" style="25" customWidth="1"/>
    <col min="7170" max="7170" width="12.42578125" style="25" customWidth="1"/>
    <col min="7171" max="7171" width="12.28515625" style="25" bestFit="1" customWidth="1"/>
    <col min="7172" max="7180" width="8.42578125" style="25" customWidth="1"/>
    <col min="7181" max="7424" width="9.140625" style="25"/>
    <col min="7425" max="7425" width="27.42578125" style="25" customWidth="1"/>
    <col min="7426" max="7426" width="12.42578125" style="25" customWidth="1"/>
    <col min="7427" max="7427" width="12.28515625" style="25" bestFit="1" customWidth="1"/>
    <col min="7428" max="7436" width="8.42578125" style="25" customWidth="1"/>
    <col min="7437" max="7680" width="9.140625" style="25"/>
    <col min="7681" max="7681" width="27.42578125" style="25" customWidth="1"/>
    <col min="7682" max="7682" width="12.42578125" style="25" customWidth="1"/>
    <col min="7683" max="7683" width="12.28515625" style="25" bestFit="1" customWidth="1"/>
    <col min="7684" max="7692" width="8.42578125" style="25" customWidth="1"/>
    <col min="7693" max="7936" width="9.140625" style="25"/>
    <col min="7937" max="7937" width="27.42578125" style="25" customWidth="1"/>
    <col min="7938" max="7938" width="12.42578125" style="25" customWidth="1"/>
    <col min="7939" max="7939" width="12.28515625" style="25" bestFit="1" customWidth="1"/>
    <col min="7940" max="7948" width="8.42578125" style="25" customWidth="1"/>
    <col min="7949" max="8192" width="9.140625" style="25"/>
    <col min="8193" max="8193" width="27.42578125" style="25" customWidth="1"/>
    <col min="8194" max="8194" width="12.42578125" style="25" customWidth="1"/>
    <col min="8195" max="8195" width="12.28515625" style="25" bestFit="1" customWidth="1"/>
    <col min="8196" max="8204" width="8.42578125" style="25" customWidth="1"/>
    <col min="8205" max="8448" width="9.140625" style="25"/>
    <col min="8449" max="8449" width="27.42578125" style="25" customWidth="1"/>
    <col min="8450" max="8450" width="12.42578125" style="25" customWidth="1"/>
    <col min="8451" max="8451" width="12.28515625" style="25" bestFit="1" customWidth="1"/>
    <col min="8452" max="8460" width="8.42578125" style="25" customWidth="1"/>
    <col min="8461" max="8704" width="9.140625" style="25"/>
    <col min="8705" max="8705" width="27.42578125" style="25" customWidth="1"/>
    <col min="8706" max="8706" width="12.42578125" style="25" customWidth="1"/>
    <col min="8707" max="8707" width="12.28515625" style="25" bestFit="1" customWidth="1"/>
    <col min="8708" max="8716" width="8.42578125" style="25" customWidth="1"/>
    <col min="8717" max="8960" width="9.140625" style="25"/>
    <col min="8961" max="8961" width="27.42578125" style="25" customWidth="1"/>
    <col min="8962" max="8962" width="12.42578125" style="25" customWidth="1"/>
    <col min="8963" max="8963" width="12.28515625" style="25" bestFit="1" customWidth="1"/>
    <col min="8964" max="8972" width="8.42578125" style="25" customWidth="1"/>
    <col min="8973" max="9216" width="9.140625" style="25"/>
    <col min="9217" max="9217" width="27.42578125" style="25" customWidth="1"/>
    <col min="9218" max="9218" width="12.42578125" style="25" customWidth="1"/>
    <col min="9219" max="9219" width="12.28515625" style="25" bestFit="1" customWidth="1"/>
    <col min="9220" max="9228" width="8.42578125" style="25" customWidth="1"/>
    <col min="9229" max="9472" width="9.140625" style="25"/>
    <col min="9473" max="9473" width="27.42578125" style="25" customWidth="1"/>
    <col min="9474" max="9474" width="12.42578125" style="25" customWidth="1"/>
    <col min="9475" max="9475" width="12.28515625" style="25" bestFit="1" customWidth="1"/>
    <col min="9476" max="9484" width="8.42578125" style="25" customWidth="1"/>
    <col min="9485" max="9728" width="9.140625" style="25"/>
    <col min="9729" max="9729" width="27.42578125" style="25" customWidth="1"/>
    <col min="9730" max="9730" width="12.42578125" style="25" customWidth="1"/>
    <col min="9731" max="9731" width="12.28515625" style="25" bestFit="1" customWidth="1"/>
    <col min="9732" max="9740" width="8.42578125" style="25" customWidth="1"/>
    <col min="9741" max="9984" width="9.140625" style="25"/>
    <col min="9985" max="9985" width="27.42578125" style="25" customWidth="1"/>
    <col min="9986" max="9986" width="12.42578125" style="25" customWidth="1"/>
    <col min="9987" max="9987" width="12.28515625" style="25" bestFit="1" customWidth="1"/>
    <col min="9988" max="9996" width="8.42578125" style="25" customWidth="1"/>
    <col min="9997" max="10240" width="9.140625" style="25"/>
    <col min="10241" max="10241" width="27.42578125" style="25" customWidth="1"/>
    <col min="10242" max="10242" width="12.42578125" style="25" customWidth="1"/>
    <col min="10243" max="10243" width="12.28515625" style="25" bestFit="1" customWidth="1"/>
    <col min="10244" max="10252" width="8.42578125" style="25" customWidth="1"/>
    <col min="10253" max="10496" width="9.140625" style="25"/>
    <col min="10497" max="10497" width="27.42578125" style="25" customWidth="1"/>
    <col min="10498" max="10498" width="12.42578125" style="25" customWidth="1"/>
    <col min="10499" max="10499" width="12.28515625" style="25" bestFit="1" customWidth="1"/>
    <col min="10500" max="10508" width="8.42578125" style="25" customWidth="1"/>
    <col min="10509" max="10752" width="9.140625" style="25"/>
    <col min="10753" max="10753" width="27.42578125" style="25" customWidth="1"/>
    <col min="10754" max="10754" width="12.42578125" style="25" customWidth="1"/>
    <col min="10755" max="10755" width="12.28515625" style="25" bestFit="1" customWidth="1"/>
    <col min="10756" max="10764" width="8.42578125" style="25" customWidth="1"/>
    <col min="10765" max="11008" width="9.140625" style="25"/>
    <col min="11009" max="11009" width="27.42578125" style="25" customWidth="1"/>
    <col min="11010" max="11010" width="12.42578125" style="25" customWidth="1"/>
    <col min="11011" max="11011" width="12.28515625" style="25" bestFit="1" customWidth="1"/>
    <col min="11012" max="11020" width="8.42578125" style="25" customWidth="1"/>
    <col min="11021" max="11264" width="9.140625" style="25"/>
    <col min="11265" max="11265" width="27.42578125" style="25" customWidth="1"/>
    <col min="11266" max="11266" width="12.42578125" style="25" customWidth="1"/>
    <col min="11267" max="11267" width="12.28515625" style="25" bestFit="1" customWidth="1"/>
    <col min="11268" max="11276" width="8.42578125" style="25" customWidth="1"/>
    <col min="11277" max="11520" width="9.140625" style="25"/>
    <col min="11521" max="11521" width="27.42578125" style="25" customWidth="1"/>
    <col min="11522" max="11522" width="12.42578125" style="25" customWidth="1"/>
    <col min="11523" max="11523" width="12.28515625" style="25" bestFit="1" customWidth="1"/>
    <col min="11524" max="11532" width="8.42578125" style="25" customWidth="1"/>
    <col min="11533" max="11776" width="9.140625" style="25"/>
    <col min="11777" max="11777" width="27.42578125" style="25" customWidth="1"/>
    <col min="11778" max="11778" width="12.42578125" style="25" customWidth="1"/>
    <col min="11779" max="11779" width="12.28515625" style="25" bestFit="1" customWidth="1"/>
    <col min="11780" max="11788" width="8.42578125" style="25" customWidth="1"/>
    <col min="11789" max="12032" width="9.140625" style="25"/>
    <col min="12033" max="12033" width="27.42578125" style="25" customWidth="1"/>
    <col min="12034" max="12034" width="12.42578125" style="25" customWidth="1"/>
    <col min="12035" max="12035" width="12.28515625" style="25" bestFit="1" customWidth="1"/>
    <col min="12036" max="12044" width="8.42578125" style="25" customWidth="1"/>
    <col min="12045" max="12288" width="9.140625" style="25"/>
    <col min="12289" max="12289" width="27.42578125" style="25" customWidth="1"/>
    <col min="12290" max="12290" width="12.42578125" style="25" customWidth="1"/>
    <col min="12291" max="12291" width="12.28515625" style="25" bestFit="1" customWidth="1"/>
    <col min="12292" max="12300" width="8.42578125" style="25" customWidth="1"/>
    <col min="12301" max="12544" width="9.140625" style="25"/>
    <col min="12545" max="12545" width="27.42578125" style="25" customWidth="1"/>
    <col min="12546" max="12546" width="12.42578125" style="25" customWidth="1"/>
    <col min="12547" max="12547" width="12.28515625" style="25" bestFit="1" customWidth="1"/>
    <col min="12548" max="12556" width="8.42578125" style="25" customWidth="1"/>
    <col min="12557" max="12800" width="9.140625" style="25"/>
    <col min="12801" max="12801" width="27.42578125" style="25" customWidth="1"/>
    <col min="12802" max="12802" width="12.42578125" style="25" customWidth="1"/>
    <col min="12803" max="12803" width="12.28515625" style="25" bestFit="1" customWidth="1"/>
    <col min="12804" max="12812" width="8.42578125" style="25" customWidth="1"/>
    <col min="12813" max="13056" width="9.140625" style="25"/>
    <col min="13057" max="13057" width="27.42578125" style="25" customWidth="1"/>
    <col min="13058" max="13058" width="12.42578125" style="25" customWidth="1"/>
    <col min="13059" max="13059" width="12.28515625" style="25" bestFit="1" customWidth="1"/>
    <col min="13060" max="13068" width="8.42578125" style="25" customWidth="1"/>
    <col min="13069" max="13312" width="9.140625" style="25"/>
    <col min="13313" max="13313" width="27.42578125" style="25" customWidth="1"/>
    <col min="13314" max="13314" width="12.42578125" style="25" customWidth="1"/>
    <col min="13315" max="13315" width="12.28515625" style="25" bestFit="1" customWidth="1"/>
    <col min="13316" max="13324" width="8.42578125" style="25" customWidth="1"/>
    <col min="13325" max="13568" width="9.140625" style="25"/>
    <col min="13569" max="13569" width="27.42578125" style="25" customWidth="1"/>
    <col min="13570" max="13570" width="12.42578125" style="25" customWidth="1"/>
    <col min="13571" max="13571" width="12.28515625" style="25" bestFit="1" customWidth="1"/>
    <col min="13572" max="13580" width="8.42578125" style="25" customWidth="1"/>
    <col min="13581" max="13824" width="9.140625" style="25"/>
    <col min="13825" max="13825" width="27.42578125" style="25" customWidth="1"/>
    <col min="13826" max="13826" width="12.42578125" style="25" customWidth="1"/>
    <col min="13827" max="13827" width="12.28515625" style="25" bestFit="1" customWidth="1"/>
    <col min="13828" max="13836" width="8.42578125" style="25" customWidth="1"/>
    <col min="13837" max="14080" width="9.140625" style="25"/>
    <col min="14081" max="14081" width="27.42578125" style="25" customWidth="1"/>
    <col min="14082" max="14082" width="12.42578125" style="25" customWidth="1"/>
    <col min="14083" max="14083" width="12.28515625" style="25" bestFit="1" customWidth="1"/>
    <col min="14084" max="14092" width="8.42578125" style="25" customWidth="1"/>
    <col min="14093" max="14336" width="9.140625" style="25"/>
    <col min="14337" max="14337" width="27.42578125" style="25" customWidth="1"/>
    <col min="14338" max="14338" width="12.42578125" style="25" customWidth="1"/>
    <col min="14339" max="14339" width="12.28515625" style="25" bestFit="1" customWidth="1"/>
    <col min="14340" max="14348" width="8.42578125" style="25" customWidth="1"/>
    <col min="14349" max="14592" width="9.140625" style="25"/>
    <col min="14593" max="14593" width="27.42578125" style="25" customWidth="1"/>
    <col min="14594" max="14594" width="12.42578125" style="25" customWidth="1"/>
    <col min="14595" max="14595" width="12.28515625" style="25" bestFit="1" customWidth="1"/>
    <col min="14596" max="14604" width="8.42578125" style="25" customWidth="1"/>
    <col min="14605" max="14848" width="9.140625" style="25"/>
    <col min="14849" max="14849" width="27.42578125" style="25" customWidth="1"/>
    <col min="14850" max="14850" width="12.42578125" style="25" customWidth="1"/>
    <col min="14851" max="14851" width="12.28515625" style="25" bestFit="1" customWidth="1"/>
    <col min="14852" max="14860" width="8.42578125" style="25" customWidth="1"/>
    <col min="14861" max="15104" width="9.140625" style="25"/>
    <col min="15105" max="15105" width="27.42578125" style="25" customWidth="1"/>
    <col min="15106" max="15106" width="12.42578125" style="25" customWidth="1"/>
    <col min="15107" max="15107" width="12.28515625" style="25" bestFit="1" customWidth="1"/>
    <col min="15108" max="15116" width="8.42578125" style="25" customWidth="1"/>
    <col min="15117" max="15360" width="9.140625" style="25"/>
    <col min="15361" max="15361" width="27.42578125" style="25" customWidth="1"/>
    <col min="15362" max="15362" width="12.42578125" style="25" customWidth="1"/>
    <col min="15363" max="15363" width="12.28515625" style="25" bestFit="1" customWidth="1"/>
    <col min="15364" max="15372" width="8.42578125" style="25" customWidth="1"/>
    <col min="15373" max="15616" width="9.140625" style="25"/>
    <col min="15617" max="15617" width="27.42578125" style="25" customWidth="1"/>
    <col min="15618" max="15618" width="12.42578125" style="25" customWidth="1"/>
    <col min="15619" max="15619" width="12.28515625" style="25" bestFit="1" customWidth="1"/>
    <col min="15620" max="15628" width="8.42578125" style="25" customWidth="1"/>
    <col min="15629" max="15872" width="9.140625" style="25"/>
    <col min="15873" max="15873" width="27.42578125" style="25" customWidth="1"/>
    <col min="15874" max="15874" width="12.42578125" style="25" customWidth="1"/>
    <col min="15875" max="15875" width="12.28515625" style="25" bestFit="1" customWidth="1"/>
    <col min="15876" max="15884" width="8.42578125" style="25" customWidth="1"/>
    <col min="15885" max="16128" width="9.140625" style="25"/>
    <col min="16129" max="16129" width="27.42578125" style="25" customWidth="1"/>
    <col min="16130" max="16130" width="12.42578125" style="25" customWidth="1"/>
    <col min="16131" max="16131" width="12.28515625" style="25" bestFit="1" customWidth="1"/>
    <col min="16132" max="16140" width="8.42578125" style="25" customWidth="1"/>
    <col min="16141" max="16384" width="9.140625" style="25"/>
  </cols>
  <sheetData>
    <row r="1" spans="1:27" ht="15">
      <c r="A1" s="25"/>
      <c r="B1" s="26"/>
      <c r="C1" s="27"/>
    </row>
    <row r="2" spans="1:27" ht="15.75" customHeight="1">
      <c r="A2" s="28"/>
      <c r="B2" s="26"/>
      <c r="C2" s="27"/>
    </row>
    <row r="3" spans="1:27" ht="15">
      <c r="A3" s="28"/>
      <c r="B3" s="26"/>
      <c r="C3" s="27"/>
    </row>
    <row r="4" spans="1:27" ht="15">
      <c r="A4" s="157" t="s">
        <v>133</v>
      </c>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9"/>
    </row>
    <row r="5" spans="1:27" ht="15">
      <c r="A5" s="171" t="s">
        <v>53</v>
      </c>
      <c r="B5" s="170"/>
      <c r="C5" s="29">
        <f>depre!B2</f>
        <v>1</v>
      </c>
      <c r="D5" s="29">
        <f>depre!C2</f>
        <v>2</v>
      </c>
      <c r="E5" s="29">
        <f>depre!D2</f>
        <v>3</v>
      </c>
      <c r="F5" s="29">
        <f>depre!E2</f>
        <v>4</v>
      </c>
      <c r="G5" s="29">
        <f>depre!F2</f>
        <v>5</v>
      </c>
      <c r="H5" s="29">
        <f>depre!G2</f>
        <v>6</v>
      </c>
      <c r="I5" s="29">
        <f>depre!H2</f>
        <v>7</v>
      </c>
      <c r="J5" s="29">
        <f>depre!I2</f>
        <v>8</v>
      </c>
      <c r="K5" s="29">
        <f>depre!J2</f>
        <v>9</v>
      </c>
      <c r="L5" s="29">
        <f>depre!K2</f>
        <v>10</v>
      </c>
      <c r="M5" s="29">
        <f>depre!L2</f>
        <v>11</v>
      </c>
      <c r="N5" s="29">
        <f>depre!M2</f>
        <v>12</v>
      </c>
      <c r="O5" s="29">
        <f>depre!N2</f>
        <v>13</v>
      </c>
      <c r="P5" s="29">
        <f>depre!O2</f>
        <v>14</v>
      </c>
      <c r="Q5" s="29">
        <f>depre!P2</f>
        <v>15</v>
      </c>
      <c r="R5" s="29">
        <f>depre!Q2</f>
        <v>16</v>
      </c>
      <c r="S5" s="29">
        <f>depre!R2</f>
        <v>17</v>
      </c>
      <c r="T5" s="29">
        <f>depre!S2</f>
        <v>18</v>
      </c>
      <c r="U5" s="29">
        <f>depre!T2</f>
        <v>19</v>
      </c>
      <c r="V5" s="29">
        <f>depre!U2</f>
        <v>20</v>
      </c>
      <c r="W5" s="29">
        <f>depre!V2</f>
        <v>21</v>
      </c>
      <c r="X5" s="29">
        <f>depre!W2</f>
        <v>22</v>
      </c>
      <c r="Y5" s="29">
        <f>depre!X2</f>
        <v>23</v>
      </c>
      <c r="Z5" s="29">
        <f>depre!Y2</f>
        <v>24</v>
      </c>
      <c r="AA5" s="29">
        <f>depre!Z2</f>
        <v>25</v>
      </c>
    </row>
    <row r="6" spans="1:27" ht="15">
      <c r="A6" s="157" t="s">
        <v>134</v>
      </c>
      <c r="B6" s="170"/>
      <c r="C6" s="30">
        <f>depre!B5</f>
        <v>41729</v>
      </c>
      <c r="D6" s="30">
        <f>depre!C5</f>
        <v>42094</v>
      </c>
      <c r="E6" s="30">
        <f>depre!D5</f>
        <v>42460</v>
      </c>
      <c r="F6" s="30">
        <f>depre!E5</f>
        <v>42825</v>
      </c>
      <c r="G6" s="30">
        <f>depre!F5</f>
        <v>43190</v>
      </c>
      <c r="H6" s="30">
        <f>depre!G5</f>
        <v>43555</v>
      </c>
      <c r="I6" s="30">
        <f>depre!H5</f>
        <v>43921</v>
      </c>
      <c r="J6" s="30">
        <f>depre!I5</f>
        <v>44286</v>
      </c>
      <c r="K6" s="30">
        <f>depre!J5</f>
        <v>44651</v>
      </c>
      <c r="L6" s="30">
        <f>depre!K5</f>
        <v>45016</v>
      </c>
      <c r="M6" s="30">
        <f>depre!L5</f>
        <v>45382</v>
      </c>
      <c r="N6" s="30">
        <f>depre!M5</f>
        <v>45747</v>
      </c>
      <c r="O6" s="30">
        <f>depre!N5</f>
        <v>46112</v>
      </c>
      <c r="P6" s="30">
        <f>depre!O5</f>
        <v>46477</v>
      </c>
      <c r="Q6" s="30">
        <f>depre!P5</f>
        <v>46843</v>
      </c>
      <c r="R6" s="30">
        <f>depre!Q5</f>
        <v>47208</v>
      </c>
      <c r="S6" s="30">
        <f>depre!R5</f>
        <v>47573</v>
      </c>
      <c r="T6" s="30">
        <f>depre!S5</f>
        <v>47938</v>
      </c>
      <c r="U6" s="30">
        <f>depre!T5</f>
        <v>48304</v>
      </c>
      <c r="V6" s="30">
        <f>depre!U5</f>
        <v>48669</v>
      </c>
      <c r="W6" s="30">
        <f>depre!V5</f>
        <v>49034</v>
      </c>
      <c r="X6" s="30">
        <f>depre!W5</f>
        <v>49399</v>
      </c>
      <c r="Y6" s="30">
        <f>depre!X5</f>
        <v>49765</v>
      </c>
      <c r="Z6" s="30">
        <f>depre!Y5</f>
        <v>50130</v>
      </c>
      <c r="AA6" s="30">
        <f>depre!Z5</f>
        <v>50495</v>
      </c>
    </row>
    <row r="7" spans="1:27" ht="15">
      <c r="A7" s="157" t="s">
        <v>2</v>
      </c>
      <c r="B7" s="170"/>
      <c r="C7" s="29">
        <f>depre!B4</f>
        <v>364</v>
      </c>
      <c r="D7" s="29">
        <f>depre!C4</f>
        <v>365</v>
      </c>
      <c r="E7" s="29">
        <f>depre!D4</f>
        <v>366</v>
      </c>
      <c r="F7" s="29">
        <f>depre!E4</f>
        <v>365</v>
      </c>
      <c r="G7" s="29">
        <f>depre!F4</f>
        <v>365</v>
      </c>
      <c r="H7" s="29">
        <f>depre!G4</f>
        <v>365</v>
      </c>
      <c r="I7" s="29">
        <f>depre!H4</f>
        <v>366</v>
      </c>
      <c r="J7" s="29">
        <f>depre!I4</f>
        <v>365</v>
      </c>
      <c r="K7" s="29">
        <f>depre!J4</f>
        <v>365</v>
      </c>
      <c r="L7" s="29">
        <f>depre!K4</f>
        <v>365</v>
      </c>
      <c r="M7" s="29">
        <f>depre!L4</f>
        <v>366</v>
      </c>
      <c r="N7" s="29">
        <f>depre!M4</f>
        <v>365</v>
      </c>
      <c r="O7" s="29">
        <f>depre!N4</f>
        <v>365</v>
      </c>
      <c r="P7" s="29">
        <f>depre!O4</f>
        <v>365</v>
      </c>
      <c r="Q7" s="29">
        <f>depre!P4</f>
        <v>366</v>
      </c>
      <c r="R7" s="29">
        <f>depre!Q4</f>
        <v>365</v>
      </c>
      <c r="S7" s="29">
        <f>depre!R4</f>
        <v>365</v>
      </c>
      <c r="T7" s="29">
        <f>depre!S4</f>
        <v>365</v>
      </c>
      <c r="U7" s="29">
        <f>depre!T4</f>
        <v>366</v>
      </c>
      <c r="V7" s="29">
        <f>depre!U4</f>
        <v>365</v>
      </c>
      <c r="W7" s="29">
        <f>depre!V4</f>
        <v>365</v>
      </c>
      <c r="X7" s="29">
        <f>depre!W4</f>
        <v>365</v>
      </c>
      <c r="Y7" s="29">
        <f>depre!X4</f>
        <v>366</v>
      </c>
      <c r="Z7" s="29">
        <f>depre!Y4</f>
        <v>365</v>
      </c>
      <c r="AA7" s="29">
        <f>depre!Z4</f>
        <v>365</v>
      </c>
    </row>
    <row r="8" spans="1:27" ht="15">
      <c r="A8" s="171" t="s">
        <v>135</v>
      </c>
      <c r="B8" s="170"/>
      <c r="C8" s="31">
        <f>fuel!B71</f>
        <v>902.21040000000005</v>
      </c>
      <c r="D8" s="31">
        <f>fuel!C71</f>
        <v>904.68900000000008</v>
      </c>
      <c r="E8" s="31">
        <f>fuel!D71</f>
        <v>907.16759999999999</v>
      </c>
      <c r="F8" s="31">
        <f>fuel!E71</f>
        <v>851.47199999999998</v>
      </c>
      <c r="G8" s="31">
        <f>fuel!F71</f>
        <v>851.47199999999998</v>
      </c>
      <c r="H8" s="31">
        <f>fuel!G71</f>
        <v>851.47199999999998</v>
      </c>
      <c r="I8" s="31">
        <f>fuel!H71</f>
        <v>853.8048</v>
      </c>
      <c r="J8" s="31">
        <f>fuel!I71</f>
        <v>851.47199999999998</v>
      </c>
      <c r="K8" s="31">
        <f>fuel!J71</f>
        <v>851.47199999999998</v>
      </c>
      <c r="L8" s="31">
        <f>fuel!K71</f>
        <v>851.47199999999998</v>
      </c>
      <c r="M8" s="31">
        <f>fuel!L71</f>
        <v>853.8048</v>
      </c>
      <c r="N8" s="31">
        <f>fuel!M71</f>
        <v>851.47199999999998</v>
      </c>
      <c r="O8" s="31">
        <f>fuel!N71</f>
        <v>851.47199999999998</v>
      </c>
      <c r="P8" s="31">
        <f>fuel!O71</f>
        <v>851.47199999999998</v>
      </c>
      <c r="Q8" s="31">
        <f>fuel!P71</f>
        <v>853.8048</v>
      </c>
      <c r="R8" s="31">
        <f>fuel!Q71</f>
        <v>851.47199999999998</v>
      </c>
      <c r="S8" s="31">
        <f>fuel!R71</f>
        <v>851.47199999999998</v>
      </c>
      <c r="T8" s="31">
        <f>fuel!S71</f>
        <v>851.47199999999998</v>
      </c>
      <c r="U8" s="31">
        <f>fuel!T71</f>
        <v>853.8048</v>
      </c>
      <c r="V8" s="31">
        <f>fuel!U71</f>
        <v>851.47199999999998</v>
      </c>
      <c r="W8" s="31">
        <f>fuel!V71</f>
        <v>851.47199999999998</v>
      </c>
      <c r="X8" s="31">
        <f>fuel!W71</f>
        <v>851.47199999999998</v>
      </c>
      <c r="Y8" s="31">
        <f>fuel!X71</f>
        <v>853.8048</v>
      </c>
      <c r="Z8" s="31">
        <f>fuel!Y71</f>
        <v>851.47199999999998</v>
      </c>
      <c r="AA8" s="31">
        <f>fuel!Z71</f>
        <v>851.47199999999998</v>
      </c>
    </row>
    <row r="9" spans="1:27" ht="15">
      <c r="A9" s="160"/>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2"/>
    </row>
    <row r="10" spans="1:27" ht="15">
      <c r="A10" s="169" t="s">
        <v>284</v>
      </c>
      <c r="B10" s="170"/>
      <c r="C10" s="32">
        <f ca="1">'fixed cost'!B24</f>
        <v>3.2467978011558252</v>
      </c>
      <c r="D10" s="32">
        <f ca="1">'fixed cost'!C24</f>
        <v>3.2287896535115879</v>
      </c>
      <c r="E10" s="32">
        <f ca="1">'fixed cost'!D24</f>
        <v>3.208698438233248</v>
      </c>
      <c r="F10" s="32">
        <f ca="1">'fixed cost'!E24</f>
        <v>3.3079206640319798</v>
      </c>
      <c r="G10" s="32">
        <f ca="1">'fixed cost'!F24</f>
        <v>3.2936315004784626</v>
      </c>
      <c r="H10" s="32">
        <f ca="1">'fixed cost'!G24</f>
        <v>3.2812790745438183</v>
      </c>
      <c r="I10" s="32">
        <f ca="1">'fixed cost'!H24</f>
        <v>3.2671009312435233</v>
      </c>
      <c r="J10" s="32">
        <f ca="1">'fixed cost'!I24</f>
        <v>3.262833897793957</v>
      </c>
      <c r="K10" s="32">
        <f ca="1">'fixed cost'!J24</f>
        <v>3.2569820823081601</v>
      </c>
      <c r="L10" s="32">
        <f ca="1">'fixed cost'!K24</f>
        <v>3.25354962075071</v>
      </c>
      <c r="M10" s="32">
        <f ca="1">'fixed cost'!L24</f>
        <v>3.2483639606385326</v>
      </c>
      <c r="N10" s="32">
        <f ca="1">'fixed cost'!M24</f>
        <v>3.2545284807230441</v>
      </c>
      <c r="O10" s="32">
        <f ca="1">'fixed cost'!N24</f>
        <v>3.0285156724439006</v>
      </c>
      <c r="P10" s="32">
        <f ca="1">'fixed cost'!O24</f>
        <v>3.065677116131817</v>
      </c>
      <c r="Q10" s="32">
        <f ca="1">'fixed cost'!P24</f>
        <v>3.1017852978244749</v>
      </c>
      <c r="R10" s="32">
        <f ca="1">'fixed cost'!Q24</f>
        <v>3.1568535354806864</v>
      </c>
      <c r="S10" s="32">
        <f ca="1">'fixed cost'!R24</f>
        <v>3.2205606623542145</v>
      </c>
      <c r="T10" s="32">
        <f ca="1">'fixed cost'!S24</f>
        <v>3.3999422224035234</v>
      </c>
      <c r="U10" s="32">
        <f ca="1">'fixed cost'!T24</f>
        <v>3.4684643686481129</v>
      </c>
      <c r="V10" s="32">
        <f ca="1">'fixed cost'!U24</f>
        <v>3.5517001676076356</v>
      </c>
      <c r="W10" s="32">
        <f ca="1">'fixed cost'!V24</f>
        <v>3.6341984110615586</v>
      </c>
      <c r="X10" s="32">
        <f ca="1">'fixed cost'!W24</f>
        <v>3.7213642642274007</v>
      </c>
      <c r="Y10" s="32">
        <f ca="1">'fixed cost'!X24</f>
        <v>3.8073890046507843</v>
      </c>
      <c r="Z10" s="32">
        <f ca="1">'fixed cost'!Y24</f>
        <v>3.9109388236873661</v>
      </c>
      <c r="AA10" s="32">
        <f ca="1">'fixed cost'!Z24</f>
        <v>3.2540192531633174</v>
      </c>
    </row>
    <row r="11" spans="1:27" ht="15">
      <c r="A11" s="160"/>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2"/>
    </row>
    <row r="12" spans="1:27" ht="15">
      <c r="A12" s="171" t="s">
        <v>287</v>
      </c>
      <c r="B12" s="170"/>
      <c r="C12" s="33">
        <f ca="1">(C8*C10)</f>
        <v>2929.2947428999178</v>
      </c>
      <c r="D12" s="33">
        <f t="shared" ref="D12:AA12" ca="1" si="0">(D8*D10)</f>
        <v>2921.0504828457451</v>
      </c>
      <c r="E12" s="33">
        <f t="shared" ca="1" si="0"/>
        <v>2910.827261335804</v>
      </c>
      <c r="F12" s="33">
        <f t="shared" ca="1" si="0"/>
        <v>2816.601823644638</v>
      </c>
      <c r="G12" s="33">
        <f t="shared" ca="1" si="0"/>
        <v>2804.4350009753975</v>
      </c>
      <c r="H12" s="33">
        <f t="shared" ca="1" si="0"/>
        <v>2793.9172561599739</v>
      </c>
      <c r="I12" s="33">
        <f t="shared" ca="1" si="0"/>
        <v>2789.46645718019</v>
      </c>
      <c r="J12" s="33">
        <f t="shared" ca="1" si="0"/>
        <v>2778.2117046224162</v>
      </c>
      <c r="K12" s="33">
        <f t="shared" ca="1" si="0"/>
        <v>2773.2290475870936</v>
      </c>
      <c r="L12" s="33">
        <f t="shared" ca="1" si="0"/>
        <v>2770.3064026798484</v>
      </c>
      <c r="M12" s="33">
        <f t="shared" ca="1" si="0"/>
        <v>2773.4687417401901</v>
      </c>
      <c r="N12" s="33">
        <f t="shared" ca="1" si="0"/>
        <v>2771.1398745382116</v>
      </c>
      <c r="O12" s="33">
        <f t="shared" ca="1" si="0"/>
        <v>2578.6962966471528</v>
      </c>
      <c r="P12" s="33">
        <f t="shared" ca="1" si="0"/>
        <v>2610.3382254269904</v>
      </c>
      <c r="Q12" s="33">
        <f t="shared" ca="1" si="0"/>
        <v>2648.3191758519661</v>
      </c>
      <c r="R12" s="33">
        <f t="shared" ca="1" si="0"/>
        <v>2687.9723935628108</v>
      </c>
      <c r="S12" s="33">
        <f t="shared" ca="1" si="0"/>
        <v>2742.2172282960678</v>
      </c>
      <c r="T12" s="33">
        <f t="shared" ca="1" si="0"/>
        <v>2894.9556039943727</v>
      </c>
      <c r="U12" s="33">
        <f t="shared" ca="1" si="0"/>
        <v>2961.3915265807282</v>
      </c>
      <c r="V12" s="33">
        <f t="shared" ca="1" si="0"/>
        <v>3024.1732451132088</v>
      </c>
      <c r="W12" s="33">
        <f t="shared" ca="1" si="0"/>
        <v>3094.4181894634075</v>
      </c>
      <c r="X12" s="33">
        <f t="shared" ca="1" si="0"/>
        <v>3168.6374727902335</v>
      </c>
      <c r="Y12" s="33">
        <f t="shared" ca="1" si="0"/>
        <v>3250.7670076380618</v>
      </c>
      <c r="Z12" s="33">
        <f t="shared" ca="1" si="0"/>
        <v>3330.0549020827289</v>
      </c>
      <c r="AA12" s="33">
        <f t="shared" ca="1" si="0"/>
        <v>2770.7062815294762</v>
      </c>
    </row>
    <row r="13" spans="1:27" ht="15">
      <c r="A13" s="171" t="s">
        <v>286</v>
      </c>
      <c r="B13" s="170"/>
      <c r="C13" s="44">
        <v>0</v>
      </c>
      <c r="D13" s="44">
        <v>0</v>
      </c>
      <c r="E13" s="44">
        <v>0</v>
      </c>
      <c r="F13" s="44">
        <v>0</v>
      </c>
      <c r="G13" s="44">
        <v>0</v>
      </c>
      <c r="H13" s="44">
        <v>0</v>
      </c>
      <c r="I13" s="44">
        <v>0</v>
      </c>
      <c r="J13" s="44">
        <v>0</v>
      </c>
      <c r="K13" s="44">
        <v>0</v>
      </c>
      <c r="L13" s="44">
        <v>0</v>
      </c>
      <c r="M13" s="44">
        <v>0</v>
      </c>
      <c r="N13" s="44">
        <v>0</v>
      </c>
      <c r="O13" s="44">
        <v>0</v>
      </c>
      <c r="P13" s="44">
        <v>0</v>
      </c>
      <c r="Q13" s="44">
        <v>0</v>
      </c>
      <c r="R13" s="44">
        <v>0</v>
      </c>
      <c r="S13" s="44">
        <v>0</v>
      </c>
      <c r="T13" s="44">
        <v>0</v>
      </c>
      <c r="U13" s="44">
        <v>0</v>
      </c>
      <c r="V13" s="44">
        <v>0</v>
      </c>
      <c r="W13" s="44">
        <v>0</v>
      </c>
      <c r="X13" s="44">
        <v>0</v>
      </c>
      <c r="Y13" s="44">
        <v>0</v>
      </c>
      <c r="Z13" s="44">
        <v>0</v>
      </c>
      <c r="AA13" s="39">
        <f>Assumption!$D$36*Assumption!$D$10</f>
        <v>634.375</v>
      </c>
    </row>
    <row r="14" spans="1:27" ht="15">
      <c r="A14" s="171" t="s">
        <v>285</v>
      </c>
      <c r="B14" s="170"/>
      <c r="C14" s="33">
        <f t="shared" ref="C14:Z14" ca="1" si="1">C12+C13</f>
        <v>2929.2947428999178</v>
      </c>
      <c r="D14" s="33">
        <f t="shared" ca="1" si="1"/>
        <v>2921.0504828457451</v>
      </c>
      <c r="E14" s="33">
        <f t="shared" ca="1" si="1"/>
        <v>2910.827261335804</v>
      </c>
      <c r="F14" s="33">
        <f t="shared" ca="1" si="1"/>
        <v>2816.601823644638</v>
      </c>
      <c r="G14" s="33">
        <f t="shared" ca="1" si="1"/>
        <v>2804.4350009753975</v>
      </c>
      <c r="H14" s="33">
        <f t="shared" ca="1" si="1"/>
        <v>2793.9172561599739</v>
      </c>
      <c r="I14" s="33">
        <f t="shared" ca="1" si="1"/>
        <v>2789.46645718019</v>
      </c>
      <c r="J14" s="33">
        <f t="shared" ca="1" si="1"/>
        <v>2778.2117046224162</v>
      </c>
      <c r="K14" s="33">
        <f t="shared" ca="1" si="1"/>
        <v>2773.2290475870936</v>
      </c>
      <c r="L14" s="33">
        <f t="shared" ca="1" si="1"/>
        <v>2770.3064026798484</v>
      </c>
      <c r="M14" s="33">
        <f t="shared" ca="1" si="1"/>
        <v>2773.4687417401901</v>
      </c>
      <c r="N14" s="33">
        <f t="shared" ca="1" si="1"/>
        <v>2771.1398745382116</v>
      </c>
      <c r="O14" s="33">
        <f t="shared" ca="1" si="1"/>
        <v>2578.6962966471528</v>
      </c>
      <c r="P14" s="33">
        <f t="shared" ca="1" si="1"/>
        <v>2610.3382254269904</v>
      </c>
      <c r="Q14" s="33">
        <f t="shared" ca="1" si="1"/>
        <v>2648.3191758519661</v>
      </c>
      <c r="R14" s="33">
        <f t="shared" ca="1" si="1"/>
        <v>2687.9723935628108</v>
      </c>
      <c r="S14" s="33">
        <f t="shared" ca="1" si="1"/>
        <v>2742.2172282960678</v>
      </c>
      <c r="T14" s="33">
        <f t="shared" ca="1" si="1"/>
        <v>2894.9556039943727</v>
      </c>
      <c r="U14" s="33">
        <f t="shared" ca="1" si="1"/>
        <v>2961.3915265807282</v>
      </c>
      <c r="V14" s="33">
        <f t="shared" ca="1" si="1"/>
        <v>3024.1732451132088</v>
      </c>
      <c r="W14" s="33">
        <f t="shared" ca="1" si="1"/>
        <v>3094.4181894634075</v>
      </c>
      <c r="X14" s="33">
        <f t="shared" ca="1" si="1"/>
        <v>3168.6374727902335</v>
      </c>
      <c r="Y14" s="33">
        <f t="shared" ca="1" si="1"/>
        <v>3250.7670076380618</v>
      </c>
      <c r="Z14" s="33">
        <f t="shared" ca="1" si="1"/>
        <v>3330.0549020827289</v>
      </c>
      <c r="AA14" s="33">
        <f ca="1">AA12+AA13</f>
        <v>3405.0812815294762</v>
      </c>
    </row>
    <row r="15" spans="1:27" ht="15">
      <c r="A15" s="163"/>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5"/>
    </row>
    <row r="16" spans="1:27" ht="15">
      <c r="A16" s="166"/>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8"/>
    </row>
    <row r="17" spans="1:27" ht="15">
      <c r="A17" s="171" t="s">
        <v>136</v>
      </c>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3"/>
    </row>
    <row r="18" spans="1:27" ht="15">
      <c r="A18" s="171" t="s">
        <v>137</v>
      </c>
      <c r="B18" s="170"/>
      <c r="C18" s="24">
        <f>'fixed cost'!B11</f>
        <v>403.62115068493154</v>
      </c>
      <c r="D18" s="24">
        <f>'fixed cost'!C11</f>
        <v>427.8805559999999</v>
      </c>
      <c r="E18" s="24">
        <f>'fixed cost'!D11</f>
        <v>452.35532380319989</v>
      </c>
      <c r="F18" s="24">
        <f>'fixed cost'!E11</f>
        <v>478.23004832474294</v>
      </c>
      <c r="G18" s="24">
        <f>'fixed cost'!F11</f>
        <v>505.58480708891818</v>
      </c>
      <c r="H18" s="24">
        <f>'fixed cost'!G11</f>
        <v>534.5042580544042</v>
      </c>
      <c r="I18" s="24">
        <f>'fixed cost'!H11</f>
        <v>565.07790161511605</v>
      </c>
      <c r="J18" s="24">
        <f>'fixed cost'!I11</f>
        <v>597.40035758750071</v>
      </c>
      <c r="K18" s="24">
        <f>'fixed cost'!J11</f>
        <v>631.57165804150566</v>
      </c>
      <c r="L18" s="24">
        <f>'fixed cost'!K11</f>
        <v>667.69755688147973</v>
      </c>
      <c r="M18" s="24">
        <f>'fixed cost'!L11</f>
        <v>705.88985713510033</v>
      </c>
      <c r="N18" s="24">
        <f>'fixed cost'!M11</f>
        <v>746.2667569632282</v>
      </c>
      <c r="O18" s="24">
        <f>'fixed cost'!N11</f>
        <v>788.95321546152456</v>
      </c>
      <c r="P18" s="24">
        <f>'fixed cost'!O11</f>
        <v>834.08133938592368</v>
      </c>
      <c r="Q18" s="24">
        <f>'fixed cost'!P11</f>
        <v>881.79079199879868</v>
      </c>
      <c r="R18" s="24">
        <f>'fixed cost'!Q11</f>
        <v>932.22922530112999</v>
      </c>
      <c r="S18" s="24">
        <f>'fixed cost'!R11</f>
        <v>985.55273698835447</v>
      </c>
      <c r="T18" s="24">
        <f>'fixed cost'!S11</f>
        <v>1041.9263535440882</v>
      </c>
      <c r="U18" s="24">
        <f>'fixed cost'!T11</f>
        <v>1101.52454096681</v>
      </c>
      <c r="V18" s="24">
        <f>'fixed cost'!U11</f>
        <v>1164.5317447101113</v>
      </c>
      <c r="W18" s="24">
        <f>'fixed cost'!V11</f>
        <v>1231.1429605075296</v>
      </c>
      <c r="X18" s="24">
        <f>'fixed cost'!W11</f>
        <v>1301.5643378485602</v>
      </c>
      <c r="Y18" s="24">
        <f>'fixed cost'!X11</f>
        <v>1376.0138179734979</v>
      </c>
      <c r="Z18" s="24">
        <f>'fixed cost'!Y11</f>
        <v>1454.7218083615817</v>
      </c>
      <c r="AA18" s="24">
        <f>'fixed cost'!Z11</f>
        <v>1537.9318957998642</v>
      </c>
    </row>
    <row r="19" spans="1:27" ht="15">
      <c r="A19" s="171" t="s">
        <v>138</v>
      </c>
      <c r="B19" s="170"/>
      <c r="C19" s="24">
        <f>fuel!B27</f>
        <v>1236.8925196029568</v>
      </c>
      <c r="D19" s="24">
        <f>fuel!C27</f>
        <v>1240.2905759754926</v>
      </c>
      <c r="E19" s="24">
        <f>fuel!D27</f>
        <v>1243.6886323480282</v>
      </c>
      <c r="F19" s="24">
        <f>fuel!E27</f>
        <v>1167.3323068004638</v>
      </c>
      <c r="G19" s="24">
        <f>fuel!F27</f>
        <v>1167.3323068004638</v>
      </c>
      <c r="H19" s="24">
        <f>fuel!G27</f>
        <v>1167.3323068004638</v>
      </c>
      <c r="I19" s="24">
        <f>fuel!H27</f>
        <v>1170.5304775040267</v>
      </c>
      <c r="J19" s="24">
        <f>fuel!I27</f>
        <v>1167.3323068004638</v>
      </c>
      <c r="K19" s="24">
        <f>fuel!J27</f>
        <v>1167.3323068004638</v>
      </c>
      <c r="L19" s="24">
        <f>fuel!K27</f>
        <v>1167.3323068004638</v>
      </c>
      <c r="M19" s="24">
        <f>fuel!L27</f>
        <v>1170.5304775040267</v>
      </c>
      <c r="N19" s="24">
        <f>fuel!M27</f>
        <v>1167.3323068004638</v>
      </c>
      <c r="O19" s="24">
        <f>fuel!N27</f>
        <v>1167.3323068004638</v>
      </c>
      <c r="P19" s="24">
        <f>fuel!O27</f>
        <v>1167.3323068004638</v>
      </c>
      <c r="Q19" s="24">
        <f>fuel!P27</f>
        <v>1170.5304775040267</v>
      </c>
      <c r="R19" s="24">
        <f>fuel!Q27</f>
        <v>1167.3323068004638</v>
      </c>
      <c r="S19" s="24">
        <f>fuel!R27</f>
        <v>1167.3323068004638</v>
      </c>
      <c r="T19" s="24">
        <f>fuel!S27</f>
        <v>1167.3323068004638</v>
      </c>
      <c r="U19" s="24">
        <f>fuel!T27</f>
        <v>1170.5304775040267</v>
      </c>
      <c r="V19" s="24">
        <f>fuel!U27</f>
        <v>1167.3323068004638</v>
      </c>
      <c r="W19" s="24">
        <f>fuel!V27</f>
        <v>1167.3323068004638</v>
      </c>
      <c r="X19" s="24">
        <f>fuel!W27</f>
        <v>1167.3323068004638</v>
      </c>
      <c r="Y19" s="24">
        <f>fuel!X27</f>
        <v>1170.5304775040267</v>
      </c>
      <c r="Z19" s="24">
        <f>fuel!Y27</f>
        <v>1167.3323068004638</v>
      </c>
      <c r="AA19" s="24">
        <f>fuel!Z27</f>
        <v>1167.3323068004638</v>
      </c>
    </row>
    <row r="20" spans="1:27" ht="15">
      <c r="A20" s="171" t="s">
        <v>109</v>
      </c>
      <c r="B20" s="173"/>
      <c r="C20" s="44">
        <f>'fixed cost'!B12</f>
        <v>0</v>
      </c>
      <c r="D20" s="44">
        <f>'fixed cost'!C12</f>
        <v>0</v>
      </c>
      <c r="E20" s="44">
        <f>'fixed cost'!D12</f>
        <v>0</v>
      </c>
      <c r="F20" s="44">
        <f>'fixed cost'!E12</f>
        <v>0</v>
      </c>
      <c r="G20" s="44">
        <f>'fixed cost'!F12</f>
        <v>0</v>
      </c>
      <c r="H20" s="44">
        <f>'fixed cost'!G12</f>
        <v>0</v>
      </c>
      <c r="I20" s="44">
        <f>'fixed cost'!H12</f>
        <v>0</v>
      </c>
      <c r="J20" s="44">
        <f>'fixed cost'!I12</f>
        <v>0</v>
      </c>
      <c r="K20" s="44">
        <f>'fixed cost'!J12</f>
        <v>0</v>
      </c>
      <c r="L20" s="44">
        <f>'fixed cost'!K12</f>
        <v>0</v>
      </c>
      <c r="M20" s="44">
        <f>'fixed cost'!L12</f>
        <v>2.0250000000000001E-2</v>
      </c>
      <c r="N20" s="44">
        <f>'fixed cost'!M12</f>
        <v>2.0250000000000001E-2</v>
      </c>
      <c r="O20" s="44">
        <f>'fixed cost'!N12</f>
        <v>2.0250000000000001E-2</v>
      </c>
      <c r="P20" s="44">
        <f>'fixed cost'!O12</f>
        <v>2.0250000000000001E-2</v>
      </c>
      <c r="Q20" s="44">
        <f>'fixed cost'!P12</f>
        <v>2.0250000000000001E-2</v>
      </c>
      <c r="R20" s="44">
        <f>'fixed cost'!Q12</f>
        <v>4.7250000000000007E-2</v>
      </c>
      <c r="S20" s="44">
        <f>'fixed cost'!R12</f>
        <v>4.7250000000000007E-2</v>
      </c>
      <c r="T20" s="44">
        <f>'fixed cost'!S12</f>
        <v>4.7250000000000007E-2</v>
      </c>
      <c r="U20" s="44">
        <f>'fixed cost'!T12</f>
        <v>4.7250000000000007E-2</v>
      </c>
      <c r="V20" s="44">
        <f>'fixed cost'!U12</f>
        <v>4.7250000000000007E-2</v>
      </c>
      <c r="W20" s="44">
        <f>'fixed cost'!V12</f>
        <v>8.7750000000000009E-2</v>
      </c>
      <c r="X20" s="44">
        <f>'fixed cost'!W12</f>
        <v>8.7750000000000009E-2</v>
      </c>
      <c r="Y20" s="44">
        <f>'fixed cost'!X12</f>
        <v>8.7750000000000009E-2</v>
      </c>
      <c r="Z20" s="44">
        <f>'fixed cost'!Y12</f>
        <v>8.7750000000000009E-2</v>
      </c>
      <c r="AA20" s="44">
        <f>'fixed cost'!Z12</f>
        <v>8.7750000000000009E-2</v>
      </c>
    </row>
    <row r="21" spans="1:27" ht="15">
      <c r="A21" s="171" t="s">
        <v>139</v>
      </c>
      <c r="B21" s="170"/>
      <c r="C21" s="44">
        <f>SUM(C18:C20)</f>
        <v>1640.5136702878883</v>
      </c>
      <c r="D21" s="44">
        <f t="shared" ref="D21:AA21" si="2">SUM(D18:D20)</f>
        <v>1668.1711319754925</v>
      </c>
      <c r="E21" s="44">
        <f t="shared" si="2"/>
        <v>1696.043956151228</v>
      </c>
      <c r="F21" s="44">
        <f t="shared" si="2"/>
        <v>1645.5623551252068</v>
      </c>
      <c r="G21" s="44">
        <f t="shared" si="2"/>
        <v>1672.9171138893821</v>
      </c>
      <c r="H21" s="44">
        <f t="shared" si="2"/>
        <v>1701.8365648548679</v>
      </c>
      <c r="I21" s="44">
        <f t="shared" si="2"/>
        <v>1735.6083791191427</v>
      </c>
      <c r="J21" s="44">
        <f t="shared" si="2"/>
        <v>1764.7326643879646</v>
      </c>
      <c r="K21" s="44">
        <f t="shared" si="2"/>
        <v>1798.9039648419694</v>
      </c>
      <c r="L21" s="44">
        <f t="shared" si="2"/>
        <v>1835.0298636819434</v>
      </c>
      <c r="M21" s="44">
        <f t="shared" si="2"/>
        <v>1876.4405846391271</v>
      </c>
      <c r="N21" s="44">
        <f t="shared" si="2"/>
        <v>1913.6193137636919</v>
      </c>
      <c r="O21" s="44">
        <f t="shared" si="2"/>
        <v>1956.3057722619883</v>
      </c>
      <c r="P21" s="44">
        <f t="shared" si="2"/>
        <v>2001.4338961863875</v>
      </c>
      <c r="Q21" s="44">
        <f t="shared" si="2"/>
        <v>2052.3415195028256</v>
      </c>
      <c r="R21" s="44">
        <f t="shared" si="2"/>
        <v>2099.608782101594</v>
      </c>
      <c r="S21" s="44">
        <f t="shared" si="2"/>
        <v>2152.9322937888182</v>
      </c>
      <c r="T21" s="44">
        <f t="shared" si="2"/>
        <v>2209.3059103445521</v>
      </c>
      <c r="U21" s="44">
        <f t="shared" si="2"/>
        <v>2272.1022684708369</v>
      </c>
      <c r="V21" s="44">
        <f t="shared" si="2"/>
        <v>2331.9113015105754</v>
      </c>
      <c r="W21" s="44">
        <f t="shared" si="2"/>
        <v>2398.5630173079935</v>
      </c>
      <c r="X21" s="44">
        <f t="shared" si="2"/>
        <v>2468.9843946490241</v>
      </c>
      <c r="Y21" s="44">
        <f t="shared" si="2"/>
        <v>2546.6320454775246</v>
      </c>
      <c r="Z21" s="44">
        <f t="shared" si="2"/>
        <v>2622.1418651620456</v>
      </c>
      <c r="AA21" s="44">
        <f t="shared" si="2"/>
        <v>2705.3519526003279</v>
      </c>
    </row>
    <row r="22" spans="1:27" ht="15">
      <c r="A22" s="160"/>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2"/>
    </row>
    <row r="23" spans="1:27" ht="15">
      <c r="A23" s="171" t="s">
        <v>140</v>
      </c>
      <c r="B23" s="170"/>
      <c r="C23" s="33">
        <f t="shared" ref="C23:AA23" ca="1" si="3">C14-C21</f>
        <v>1288.7810726120294</v>
      </c>
      <c r="D23" s="33">
        <f t="shared" ca="1" si="3"/>
        <v>1252.8793508702527</v>
      </c>
      <c r="E23" s="33">
        <f t="shared" ca="1" si="3"/>
        <v>1214.783305184576</v>
      </c>
      <c r="F23" s="33">
        <f t="shared" ca="1" si="3"/>
        <v>1171.0394685194312</v>
      </c>
      <c r="G23" s="33">
        <f t="shared" ca="1" si="3"/>
        <v>1131.5178870860154</v>
      </c>
      <c r="H23" s="33">
        <f t="shared" ca="1" si="3"/>
        <v>1092.080691305106</v>
      </c>
      <c r="I23" s="33">
        <f t="shared" ca="1" si="3"/>
        <v>1053.8580780610473</v>
      </c>
      <c r="J23" s="33">
        <f t="shared" ca="1" si="3"/>
        <v>1013.4790402344515</v>
      </c>
      <c r="K23" s="33">
        <f t="shared" ca="1" si="3"/>
        <v>974.32508274512429</v>
      </c>
      <c r="L23" s="33">
        <f t="shared" ca="1" si="3"/>
        <v>935.27653899790494</v>
      </c>
      <c r="M23" s="33">
        <f t="shared" ca="1" si="3"/>
        <v>897.02815710106302</v>
      </c>
      <c r="N23" s="33">
        <f t="shared" ca="1" si="3"/>
        <v>857.52056077451971</v>
      </c>
      <c r="O23" s="33">
        <f t="shared" ca="1" si="3"/>
        <v>622.39052438516455</v>
      </c>
      <c r="P23" s="33">
        <f t="shared" ca="1" si="3"/>
        <v>608.90432924060292</v>
      </c>
      <c r="Q23" s="33">
        <f t="shared" ca="1" si="3"/>
        <v>595.97765634914049</v>
      </c>
      <c r="R23" s="33">
        <f t="shared" ca="1" si="3"/>
        <v>588.36361146121681</v>
      </c>
      <c r="S23" s="33">
        <f t="shared" ca="1" si="3"/>
        <v>589.28493450724955</v>
      </c>
      <c r="T23" s="33">
        <f t="shared" ca="1" si="3"/>
        <v>685.64969364982062</v>
      </c>
      <c r="U23" s="33">
        <f t="shared" ca="1" si="3"/>
        <v>689.28925810989131</v>
      </c>
      <c r="V23" s="33">
        <f t="shared" ca="1" si="3"/>
        <v>692.26194360263344</v>
      </c>
      <c r="W23" s="33">
        <f t="shared" ca="1" si="3"/>
        <v>695.85517215541404</v>
      </c>
      <c r="X23" s="33">
        <f t="shared" ca="1" si="3"/>
        <v>699.65307814120933</v>
      </c>
      <c r="Y23" s="33">
        <f t="shared" ca="1" si="3"/>
        <v>704.13496216053727</v>
      </c>
      <c r="Z23" s="33">
        <f t="shared" ca="1" si="3"/>
        <v>707.91303692068323</v>
      </c>
      <c r="AA23" s="33">
        <f t="shared" ca="1" si="3"/>
        <v>699.72932892914832</v>
      </c>
    </row>
    <row r="24" spans="1:27" ht="15">
      <c r="A24" s="160"/>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2"/>
    </row>
    <row r="25" spans="1:27" ht="15">
      <c r="A25" s="171" t="s">
        <v>141</v>
      </c>
      <c r="B25" s="170"/>
      <c r="C25" s="33">
        <f>'term loan '!Q4</f>
        <v>531.41506849315067</v>
      </c>
      <c r="D25" s="33">
        <f>'term loan '!Q5</f>
        <v>508.65340909090918</v>
      </c>
      <c r="E25" s="33">
        <f>'term loan '!Q6</f>
        <v>461.47107721046081</v>
      </c>
      <c r="F25" s="33">
        <f>'term loan '!Q7</f>
        <v>411.76704545454555</v>
      </c>
      <c r="G25" s="33">
        <f>'term loan '!Q8</f>
        <v>363.32386363636374</v>
      </c>
      <c r="H25" s="33">
        <f>'term loan '!$Q$9</f>
        <v>314.88068181818187</v>
      </c>
      <c r="I25" s="33">
        <f>'term loan '!$Q$10</f>
        <v>267.16746575342466</v>
      </c>
      <c r="J25" s="33">
        <f>'term loan '!$Q$11</f>
        <v>217.99431818181822</v>
      </c>
      <c r="K25" s="33">
        <f>'term loan '!$Q$12</f>
        <v>169.55113636363637</v>
      </c>
      <c r="L25" s="33">
        <f>'term loan '!$Q$13</f>
        <v>121.1079545454545</v>
      </c>
      <c r="M25" s="33">
        <f>'term loan '!$Q$14</f>
        <v>72.863854296388524</v>
      </c>
      <c r="N25" s="33">
        <f>'term loan '!$Q$15</f>
        <v>24.221590909090889</v>
      </c>
      <c r="O25" s="33">
        <v>0</v>
      </c>
      <c r="P25" s="33">
        <v>0</v>
      </c>
      <c r="Q25" s="33">
        <v>0</v>
      </c>
      <c r="R25" s="33">
        <v>0</v>
      </c>
      <c r="S25" s="33">
        <v>0</v>
      </c>
      <c r="T25" s="33">
        <v>0</v>
      </c>
      <c r="U25" s="33">
        <v>0</v>
      </c>
      <c r="V25" s="33">
        <v>0</v>
      </c>
      <c r="W25" s="33">
        <v>0</v>
      </c>
      <c r="X25" s="33">
        <v>0</v>
      </c>
      <c r="Y25" s="33">
        <v>0</v>
      </c>
      <c r="Z25" s="33">
        <v>0</v>
      </c>
      <c r="AA25" s="33">
        <v>0</v>
      </c>
    </row>
    <row r="26" spans="1:27" s="35" customFormat="1" ht="15">
      <c r="A26" s="171" t="s">
        <v>142</v>
      </c>
      <c r="B26" s="170"/>
      <c r="C26" s="34">
        <f ca="1">C42</f>
        <v>88.912900545584463</v>
      </c>
      <c r="D26" s="34">
        <f t="shared" ref="D26:AA26" ca="1" si="4">D42</f>
        <v>89.853777397784597</v>
      </c>
      <c r="E26" s="34">
        <f t="shared" ca="1" si="4"/>
        <v>90.766799874989786</v>
      </c>
      <c r="F26" s="34">
        <f t="shared" ca="1" si="4"/>
        <v>88.401895046963034</v>
      </c>
      <c r="G26" s="34">
        <f t="shared" ca="1" si="4"/>
        <v>89.074313613547744</v>
      </c>
      <c r="H26" s="34">
        <f t="shared" ca="1" si="4"/>
        <v>89.831117832638355</v>
      </c>
      <c r="I26" s="34">
        <f t="shared" ca="1" si="4"/>
        <v>91.058054943242269</v>
      </c>
      <c r="J26" s="34">
        <f t="shared" ca="1" si="4"/>
        <v>91.617466761983835</v>
      </c>
      <c r="K26" s="34">
        <f t="shared" ca="1" si="4"/>
        <v>92.657509272656682</v>
      </c>
      <c r="L26" s="34">
        <f t="shared" ca="1" si="4"/>
        <v>93.802965525437259</v>
      </c>
      <c r="M26" s="34">
        <f t="shared" ca="1" si="4"/>
        <v>95.444616175039329</v>
      </c>
      <c r="N26" s="34">
        <f t="shared" ca="1" si="4"/>
        <v>96.434987302051766</v>
      </c>
      <c r="O26" s="34">
        <f t="shared" ca="1" si="4"/>
        <v>94.087403915857635</v>
      </c>
      <c r="P26" s="34">
        <f t="shared" ca="1" si="4"/>
        <v>96.209448813445903</v>
      </c>
      <c r="Q26" s="34">
        <f t="shared" ca="1" si="4"/>
        <v>98.859135086208127</v>
      </c>
      <c r="R26" s="34">
        <f t="shared" ca="1" si="4"/>
        <v>100.9972913080328</v>
      </c>
      <c r="S26" s="34">
        <f t="shared" ca="1" si="4"/>
        <v>103.83481456481294</v>
      </c>
      <c r="T26" s="34">
        <f t="shared" ca="1" si="4"/>
        <v>108.70271274007271</v>
      </c>
      <c r="U26" s="34">
        <f t="shared" ca="1" si="4"/>
        <v>112.3422772001434</v>
      </c>
      <c r="V26" s="34">
        <f t="shared" ca="1" si="4"/>
        <v>115.31496269288543</v>
      </c>
      <c r="W26" s="34">
        <f t="shared" ca="1" si="4"/>
        <v>118.90819124566586</v>
      </c>
      <c r="X26" s="34">
        <f t="shared" ca="1" si="4"/>
        <v>122.70609723146136</v>
      </c>
      <c r="Y26" s="34">
        <f t="shared" ca="1" si="4"/>
        <v>127.18798125078908</v>
      </c>
      <c r="Z26" s="34">
        <f t="shared" ca="1" si="4"/>
        <v>130.9660560109354</v>
      </c>
      <c r="AA26" s="34">
        <f t="shared" ca="1" si="4"/>
        <v>122.78234801940036</v>
      </c>
    </row>
    <row r="27" spans="1:27" ht="15">
      <c r="A27" s="169" t="s">
        <v>143</v>
      </c>
      <c r="B27" s="174"/>
      <c r="C27" s="32">
        <f>depre!B27</f>
        <v>334.03232876712332</v>
      </c>
      <c r="D27" s="32">
        <f>depre!C27</f>
        <v>334.95</v>
      </c>
      <c r="E27" s="32">
        <f>depre!D27</f>
        <v>334.95</v>
      </c>
      <c r="F27" s="32">
        <f>depre!E27</f>
        <v>334.95</v>
      </c>
      <c r="G27" s="32">
        <f>depre!F27</f>
        <v>334.95</v>
      </c>
      <c r="H27" s="32">
        <f>depre!G27</f>
        <v>334.95</v>
      </c>
      <c r="I27" s="32">
        <f>depre!H27</f>
        <v>334.95</v>
      </c>
      <c r="J27" s="32">
        <f>depre!I27</f>
        <v>334.95</v>
      </c>
      <c r="K27" s="32">
        <f>depre!J27</f>
        <v>334.95</v>
      </c>
      <c r="L27" s="32">
        <f>depre!K27</f>
        <v>334.95</v>
      </c>
      <c r="M27" s="32">
        <f>depre!L27</f>
        <v>334.95</v>
      </c>
      <c r="N27" s="32">
        <f>depre!M27</f>
        <v>334.95</v>
      </c>
      <c r="O27" s="32">
        <f>depre!N27</f>
        <v>334.95</v>
      </c>
      <c r="P27" s="32">
        <f>depre!O27</f>
        <v>334.95</v>
      </c>
      <c r="Q27" s="32">
        <f>depre!P27</f>
        <v>334.95</v>
      </c>
      <c r="R27" s="32">
        <f>depre!Q27</f>
        <v>334.95</v>
      </c>
      <c r="S27" s="32">
        <f>depre!R27</f>
        <v>334.95</v>
      </c>
      <c r="T27" s="32">
        <f>depre!S27</f>
        <v>334.95</v>
      </c>
      <c r="U27" s="32">
        <f>depre!T27</f>
        <v>315.56767123287864</v>
      </c>
      <c r="V27" s="32">
        <f>depre!U27</f>
        <v>0</v>
      </c>
      <c r="W27" s="32">
        <f>depre!V27</f>
        <v>0</v>
      </c>
      <c r="X27" s="32">
        <f>depre!W27</f>
        <v>0</v>
      </c>
      <c r="Y27" s="32">
        <f>depre!X27</f>
        <v>0</v>
      </c>
      <c r="Z27" s="32">
        <f>depre!Y27</f>
        <v>0</v>
      </c>
      <c r="AA27" s="32">
        <f>depre!Z27</f>
        <v>0</v>
      </c>
    </row>
    <row r="28" spans="1:27" ht="15">
      <c r="A28" s="160"/>
      <c r="B28" s="161"/>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2"/>
    </row>
    <row r="29" spans="1:27" ht="15">
      <c r="A29" s="171" t="s">
        <v>144</v>
      </c>
      <c r="B29" s="173"/>
      <c r="C29" s="33">
        <f ca="1">C23-C25-C26-C27</f>
        <v>334.42077480617104</v>
      </c>
      <c r="D29" s="33">
        <f t="shared" ref="D29:AA29" ca="1" si="5">D23-D25-D26-D27</f>
        <v>319.42216438155884</v>
      </c>
      <c r="E29" s="33">
        <f t="shared" ca="1" si="5"/>
        <v>327.59542809912529</v>
      </c>
      <c r="F29" s="33">
        <f t="shared" ca="1" si="5"/>
        <v>335.92052801792266</v>
      </c>
      <c r="G29" s="33">
        <f t="shared" ca="1" si="5"/>
        <v>344.169709836104</v>
      </c>
      <c r="H29" s="33">
        <f t="shared" ca="1" si="5"/>
        <v>352.4188916542858</v>
      </c>
      <c r="I29" s="33">
        <f t="shared" ca="1" si="5"/>
        <v>360.68255736438033</v>
      </c>
      <c r="J29" s="33">
        <f t="shared" ca="1" si="5"/>
        <v>368.91725529064951</v>
      </c>
      <c r="K29" s="33">
        <f t="shared" ca="1" si="5"/>
        <v>377.16643710883119</v>
      </c>
      <c r="L29" s="33">
        <f t="shared" ca="1" si="5"/>
        <v>385.41561892701321</v>
      </c>
      <c r="M29" s="33">
        <f t="shared" ca="1" si="5"/>
        <v>393.76968662963515</v>
      </c>
      <c r="N29" s="33">
        <f t="shared" ca="1" si="5"/>
        <v>401.91398256337703</v>
      </c>
      <c r="O29" s="33">
        <f t="shared" ca="1" si="5"/>
        <v>193.35312046930693</v>
      </c>
      <c r="P29" s="33">
        <f t="shared" ca="1" si="5"/>
        <v>177.74488042715706</v>
      </c>
      <c r="Q29" s="33">
        <f t="shared" ca="1" si="5"/>
        <v>162.16852126293236</v>
      </c>
      <c r="R29" s="33">
        <f t="shared" ca="1" si="5"/>
        <v>152.41632015318402</v>
      </c>
      <c r="S29" s="33">
        <f t="shared" ca="1" si="5"/>
        <v>150.50011994243658</v>
      </c>
      <c r="T29" s="33">
        <f t="shared" ca="1" si="5"/>
        <v>241.99698090974795</v>
      </c>
      <c r="U29" s="33">
        <f t="shared" ca="1" si="5"/>
        <v>261.3793096768693</v>
      </c>
      <c r="V29" s="33">
        <f t="shared" ca="1" si="5"/>
        <v>576.94698090974805</v>
      </c>
      <c r="W29" s="33">
        <f t="shared" ca="1" si="5"/>
        <v>576.94698090974816</v>
      </c>
      <c r="X29" s="33">
        <f t="shared" ca="1" si="5"/>
        <v>576.94698090974794</v>
      </c>
      <c r="Y29" s="33">
        <f t="shared" ca="1" si="5"/>
        <v>576.94698090974816</v>
      </c>
      <c r="Z29" s="33">
        <f t="shared" ca="1" si="5"/>
        <v>576.94698090974782</v>
      </c>
      <c r="AA29" s="33">
        <f t="shared" ca="1" si="5"/>
        <v>576.94698090974794</v>
      </c>
    </row>
    <row r="30" spans="1:27" ht="15">
      <c r="A30" s="160"/>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2"/>
    </row>
    <row r="31" spans="1:27" ht="15">
      <c r="A31" s="171" t="s">
        <v>145</v>
      </c>
      <c r="B31" s="173"/>
      <c r="C31" s="33">
        <f ca="1">Tax!B32</f>
        <v>56.834810678308777</v>
      </c>
      <c r="D31" s="33">
        <f ca="1">Tax!C32</f>
        <v>54.285796836645929</v>
      </c>
      <c r="E31" s="33">
        <f ca="1">Tax!D32</f>
        <v>55.674843005446348</v>
      </c>
      <c r="F31" s="33">
        <f ca="1">Tax!E32</f>
        <v>57.089693736645962</v>
      </c>
      <c r="G31" s="33">
        <f ca="1">Tax!F32</f>
        <v>58.491642186645883</v>
      </c>
      <c r="H31" s="33">
        <f ca="1">Tax!G32</f>
        <v>59.893590636645875</v>
      </c>
      <c r="I31" s="33">
        <f ca="1">Tax!H32</f>
        <v>61.298000624076444</v>
      </c>
      <c r="J31" s="33">
        <f ca="1">Tax!I32</f>
        <v>62.697487536645887</v>
      </c>
      <c r="K31" s="33">
        <f ca="1">Tax!J32</f>
        <v>64.099435986645872</v>
      </c>
      <c r="L31" s="33">
        <f ca="1">Tax!K32</f>
        <v>65.501384436645907</v>
      </c>
      <c r="M31" s="33">
        <f ca="1">Tax!L32</f>
        <v>66.921158242706497</v>
      </c>
      <c r="N31" s="33">
        <f ca="1">Tax!M32</f>
        <v>68.305281336645933</v>
      </c>
      <c r="O31" s="33">
        <f ca="1">Tax!N32</f>
        <v>32.860362823758713</v>
      </c>
      <c r="P31" s="33">
        <f ca="1">Tax!O32</f>
        <v>30.207742428595346</v>
      </c>
      <c r="Q31" s="33">
        <f ca="1">Tax!P32</f>
        <v>27.560540188635358</v>
      </c>
      <c r="R31" s="33">
        <f ca="1">Tax!Q32</f>
        <v>25.903153610033627</v>
      </c>
      <c r="S31" s="33">
        <f ca="1">Tax!R32</f>
        <v>25.577495384217102</v>
      </c>
      <c r="T31" s="33">
        <f ca="1">Tax!S32</f>
        <v>47.145884578709229</v>
      </c>
      <c r="U31" s="33">
        <f ca="1">Tax!T32</f>
        <v>178.75309358000254</v>
      </c>
      <c r="V31" s="33">
        <f ca="1">Tax!U32</f>
        <v>181.35577136468572</v>
      </c>
      <c r="W31" s="33">
        <f ca="1">Tax!V32</f>
        <v>183.56804748166641</v>
      </c>
      <c r="X31" s="33">
        <f ca="1">Tax!W32</f>
        <v>185.44848218109988</v>
      </c>
      <c r="Y31" s="33">
        <f ca="1">Tax!X32</f>
        <v>187.04685167561848</v>
      </c>
      <c r="Z31" s="33">
        <f ca="1">Tax!Y32</f>
        <v>188.40546574595908</v>
      </c>
      <c r="AA31" s="33">
        <f ca="1">Tax!Z32</f>
        <v>189.56028770574878</v>
      </c>
    </row>
    <row r="32" spans="1:27" ht="15">
      <c r="A32" s="160"/>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2"/>
    </row>
    <row r="33" spans="1:27" ht="15">
      <c r="A33" s="171" t="s">
        <v>146</v>
      </c>
      <c r="B33" s="173"/>
      <c r="C33" s="33">
        <f ca="1">C29-C31-C32</f>
        <v>277.58596412786227</v>
      </c>
      <c r="D33" s="33">
        <f t="shared" ref="D33:AA33" ca="1" si="6">D29-D31-D32</f>
        <v>265.1363675449129</v>
      </c>
      <c r="E33" s="33">
        <f t="shared" ca="1" si="6"/>
        <v>271.92058509367894</v>
      </c>
      <c r="F33" s="33">
        <f t="shared" ca="1" si="6"/>
        <v>278.83083428127668</v>
      </c>
      <c r="G33" s="33">
        <f t="shared" ca="1" si="6"/>
        <v>285.67806764945811</v>
      </c>
      <c r="H33" s="33">
        <f t="shared" ca="1" si="6"/>
        <v>292.52530101763995</v>
      </c>
      <c r="I33" s="33">
        <f t="shared" ca="1" si="6"/>
        <v>299.38455674030388</v>
      </c>
      <c r="J33" s="33">
        <f t="shared" ca="1" si="6"/>
        <v>306.21976775400361</v>
      </c>
      <c r="K33" s="33">
        <f t="shared" ca="1" si="6"/>
        <v>313.06700112218533</v>
      </c>
      <c r="L33" s="33">
        <f t="shared" ca="1" si="6"/>
        <v>319.91423449036733</v>
      </c>
      <c r="M33" s="33">
        <f t="shared" ca="1" si="6"/>
        <v>326.84852838692865</v>
      </c>
      <c r="N33" s="33">
        <f t="shared" ca="1" si="6"/>
        <v>333.60870122673111</v>
      </c>
      <c r="O33" s="33">
        <f t="shared" ca="1" si="6"/>
        <v>160.49275764554821</v>
      </c>
      <c r="P33" s="33">
        <f t="shared" ca="1" si="6"/>
        <v>147.53713799856172</v>
      </c>
      <c r="Q33" s="33">
        <f t="shared" ca="1" si="6"/>
        <v>134.60798107429702</v>
      </c>
      <c r="R33" s="33">
        <f t="shared" ca="1" si="6"/>
        <v>126.51316654315039</v>
      </c>
      <c r="S33" s="33">
        <f t="shared" ca="1" si="6"/>
        <v>124.92262455821948</v>
      </c>
      <c r="T33" s="33">
        <f t="shared" ca="1" si="6"/>
        <v>194.85109633103872</v>
      </c>
      <c r="U33" s="33">
        <f t="shared" ca="1" si="6"/>
        <v>82.626216096866756</v>
      </c>
      <c r="V33" s="33">
        <f t="shared" ca="1" si="6"/>
        <v>395.59120954506233</v>
      </c>
      <c r="W33" s="33">
        <f t="shared" ca="1" si="6"/>
        <v>393.37893342808172</v>
      </c>
      <c r="X33" s="33">
        <f t="shared" ca="1" si="6"/>
        <v>391.49849872864809</v>
      </c>
      <c r="Y33" s="33">
        <f t="shared" ca="1" si="6"/>
        <v>389.90012923412968</v>
      </c>
      <c r="Z33" s="33">
        <f t="shared" ca="1" si="6"/>
        <v>388.54151516378874</v>
      </c>
      <c r="AA33" s="33">
        <f t="shared" ca="1" si="6"/>
        <v>387.38669320399913</v>
      </c>
    </row>
    <row r="34" spans="1:27" ht="15">
      <c r="A34" s="164"/>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row>
    <row r="35" spans="1:27" ht="15" customHeight="1">
      <c r="A35" s="175" t="s">
        <v>283</v>
      </c>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row>
    <row r="36" spans="1:27" ht="15">
      <c r="A36" s="171" t="s">
        <v>172</v>
      </c>
      <c r="B36" s="173"/>
      <c r="C36" s="38">
        <f>C18/12*Assumption!$D$72</f>
        <v>33.635095890410959</v>
      </c>
      <c r="D36" s="38">
        <f>D18/12*Assumption!$D$72</f>
        <v>35.656712999999989</v>
      </c>
      <c r="E36" s="38">
        <f>E18/12*Assumption!$D$72</f>
        <v>37.696276983599994</v>
      </c>
      <c r="F36" s="38">
        <f>F18/12*Assumption!$D$72</f>
        <v>39.852504027061912</v>
      </c>
      <c r="G36" s="38">
        <f>G18/12*Assumption!$D$72</f>
        <v>42.132067257409851</v>
      </c>
      <c r="H36" s="38">
        <f>H18/12*Assumption!$D$72</f>
        <v>44.542021504533686</v>
      </c>
      <c r="I36" s="38">
        <f>I18/12*Assumption!$D$72</f>
        <v>47.089825134593006</v>
      </c>
      <c r="J36" s="38">
        <f>J18/12*Assumption!$D$72</f>
        <v>49.783363132291726</v>
      </c>
      <c r="K36" s="38">
        <f>K18/12*Assumption!$D$72</f>
        <v>52.630971503458802</v>
      </c>
      <c r="L36" s="38">
        <f>L18/12*Assumption!$D$72</f>
        <v>55.641463073456642</v>
      </c>
      <c r="M36" s="38">
        <f>M18/12*Assumption!$D$72</f>
        <v>58.824154761258363</v>
      </c>
      <c r="N36" s="38">
        <f>N18/12*Assumption!$D$72</f>
        <v>62.18889641360235</v>
      </c>
      <c r="O36" s="38">
        <f>O18/12*Assumption!$D$72</f>
        <v>65.74610128846038</v>
      </c>
      <c r="P36" s="38">
        <f>P18/12*Assumption!$D$72</f>
        <v>69.506778282160312</v>
      </c>
      <c r="Q36" s="38">
        <f>Q18/12*Assumption!$D$72</f>
        <v>73.48256599989989</v>
      </c>
      <c r="R36" s="38">
        <f>R18/12*Assumption!$D$72</f>
        <v>77.685768775094161</v>
      </c>
      <c r="S36" s="38">
        <f>S18/12*Assumption!$D$72</f>
        <v>82.129394749029544</v>
      </c>
      <c r="T36" s="38">
        <f>T18/12*Assumption!$D$72</f>
        <v>86.827196128674018</v>
      </c>
      <c r="U36" s="38">
        <f>U18/12*Assumption!$D$72</f>
        <v>91.79371174723417</v>
      </c>
      <c r="V36" s="38">
        <f>V18/12*Assumption!$D$72</f>
        <v>97.044312059175937</v>
      </c>
      <c r="W36" s="38">
        <f>W18/12*Assumption!$D$72</f>
        <v>102.5952467089608</v>
      </c>
      <c r="X36" s="38">
        <f>X18/12*Assumption!$D$72</f>
        <v>108.46369482071334</v>
      </c>
      <c r="Y36" s="38">
        <f>Y18/12*Assumption!$D$72</f>
        <v>114.66781816445815</v>
      </c>
      <c r="Z36" s="38">
        <f>Z18/12*Assumption!$D$72</f>
        <v>121.22681736346514</v>
      </c>
      <c r="AA36" s="38">
        <f>AA18/12*Assumption!$D$72</f>
        <v>128.16099131665536</v>
      </c>
    </row>
    <row r="37" spans="1:27" ht="15">
      <c r="A37" s="171" t="s">
        <v>18</v>
      </c>
      <c r="B37" s="173"/>
      <c r="C37" s="38">
        <f>fuel!B25/12*Assumption!$D$71</f>
        <v>149.81841556661959</v>
      </c>
      <c r="D37" s="38">
        <f>fuel!C25/12*Assumption!$D$71</f>
        <v>150.23000462037407</v>
      </c>
      <c r="E37" s="38">
        <f>fuel!D25/12*Assumption!$D$71</f>
        <v>150.64159367412853</v>
      </c>
      <c r="F37" s="38">
        <f>fuel!E25/12*Assumption!$D$71</f>
        <v>141.39294552505797</v>
      </c>
      <c r="G37" s="38">
        <f>fuel!F25/12*Assumption!$D$71</f>
        <v>141.39294552505797</v>
      </c>
      <c r="H37" s="38">
        <f>fuel!G25/12*Assumption!$D$71</f>
        <v>141.39294552505797</v>
      </c>
      <c r="I37" s="38">
        <f>fuel!H25/12*Assumption!$D$71</f>
        <v>141.78032345800335</v>
      </c>
      <c r="J37" s="38">
        <f>fuel!I25/12*Assumption!$D$71</f>
        <v>141.39294552505797</v>
      </c>
      <c r="K37" s="38">
        <f>fuel!J25/12*Assumption!$D$71</f>
        <v>141.39294552505797</v>
      </c>
      <c r="L37" s="38">
        <f>fuel!K25/12*Assumption!$D$71</f>
        <v>141.39294552505797</v>
      </c>
      <c r="M37" s="38">
        <f>fuel!L25/12*Assumption!$D$71</f>
        <v>141.78032345800335</v>
      </c>
      <c r="N37" s="38">
        <f>fuel!M25/12*Assumption!$D$71</f>
        <v>141.39294552505797</v>
      </c>
      <c r="O37" s="38">
        <f>fuel!N25/12*Assumption!$D$71</f>
        <v>141.39294552505797</v>
      </c>
      <c r="P37" s="38">
        <f>fuel!O25/12*Assumption!$D$71</f>
        <v>141.39294552505797</v>
      </c>
      <c r="Q37" s="38">
        <f>fuel!P25/12*Assumption!$D$71</f>
        <v>141.78032345800335</v>
      </c>
      <c r="R37" s="38">
        <f>fuel!Q25/12*Assumption!$D$71</f>
        <v>141.39294552505797</v>
      </c>
      <c r="S37" s="38">
        <f>fuel!R25/12*Assumption!$D$71</f>
        <v>141.39294552505797</v>
      </c>
      <c r="T37" s="38">
        <f>fuel!S25/12*Assumption!$D$71</f>
        <v>141.39294552505797</v>
      </c>
      <c r="U37" s="38">
        <f>fuel!T25/12*Assumption!$D$71</f>
        <v>141.78032345800335</v>
      </c>
      <c r="V37" s="38">
        <f>fuel!U25/12*Assumption!$D$71</f>
        <v>141.39294552505797</v>
      </c>
      <c r="W37" s="38">
        <f>fuel!V25/12*Assumption!$D$71</f>
        <v>141.39294552505797</v>
      </c>
      <c r="X37" s="38">
        <f>fuel!W25/12*Assumption!$D$71</f>
        <v>141.39294552505797</v>
      </c>
      <c r="Y37" s="38">
        <f>fuel!X25/12*Assumption!$D$71</f>
        <v>141.78032345800335</v>
      </c>
      <c r="Z37" s="38">
        <f>fuel!Y25/12*Assumption!$D$71</f>
        <v>141.39294552505797</v>
      </c>
      <c r="AA37" s="38">
        <f>fuel!Z25/12*Assumption!$D$71</f>
        <v>141.39294552505797</v>
      </c>
    </row>
    <row r="38" spans="1:27" ht="15">
      <c r="A38" s="171" t="s">
        <v>151</v>
      </c>
      <c r="B38" s="173"/>
      <c r="C38" s="38">
        <f>fuel!B26*Assumption!$D$74/12</f>
        <v>6.3908658450000004</v>
      </c>
      <c r="D38" s="38">
        <f>fuel!C26*Assumption!$D$74/12</f>
        <v>6.4084231687500006</v>
      </c>
      <c r="E38" s="38">
        <f>fuel!D26*Assumption!$D$74/12</f>
        <v>6.4259804924999999</v>
      </c>
      <c r="F38" s="38">
        <f>fuel!E26*Assumption!$D$74/12</f>
        <v>6.0314571000000008</v>
      </c>
      <c r="G38" s="38">
        <f>fuel!F26*Assumption!$D$74/12</f>
        <v>6.0314571000000008</v>
      </c>
      <c r="H38" s="38">
        <f>fuel!G26*Assumption!$D$74/12</f>
        <v>6.0314571000000008</v>
      </c>
      <c r="I38" s="38">
        <f>fuel!H26*Assumption!$D$74/12</f>
        <v>6.0479816399999997</v>
      </c>
      <c r="J38" s="38">
        <f>fuel!I26*Assumption!$D$74/12</f>
        <v>6.0314571000000008</v>
      </c>
      <c r="K38" s="38">
        <f>fuel!J26*Assumption!$D$74/12</f>
        <v>6.0314571000000008</v>
      </c>
      <c r="L38" s="38">
        <f>fuel!K26*Assumption!$D$74/12</f>
        <v>6.0314571000000008</v>
      </c>
      <c r="M38" s="38">
        <f>fuel!L26*Assumption!$D$74/12</f>
        <v>6.0479816399999997</v>
      </c>
      <c r="N38" s="38">
        <f>fuel!M26*Assumption!$D$74/12</f>
        <v>6.0314571000000008</v>
      </c>
      <c r="O38" s="38">
        <f>fuel!N26*Assumption!$D$74/12</f>
        <v>6.0314571000000008</v>
      </c>
      <c r="P38" s="38">
        <f>fuel!O26*Assumption!$D$74/12</f>
        <v>6.0314571000000008</v>
      </c>
      <c r="Q38" s="38">
        <f>fuel!P26*Assumption!$D$74/12</f>
        <v>6.0479816399999997</v>
      </c>
      <c r="R38" s="38">
        <f>fuel!Q26*Assumption!$D$74/12</f>
        <v>6.0314571000000008</v>
      </c>
      <c r="S38" s="38">
        <f>fuel!R26*Assumption!$D$74/12</f>
        <v>6.0314571000000008</v>
      </c>
      <c r="T38" s="38">
        <f>fuel!S26*Assumption!$D$74/12</f>
        <v>6.0314571000000008</v>
      </c>
      <c r="U38" s="38">
        <f>fuel!T26*Assumption!$D$74/12</f>
        <v>6.0479816399999997</v>
      </c>
      <c r="V38" s="38">
        <f>fuel!U26*Assumption!$D$74/12</f>
        <v>6.0314571000000008</v>
      </c>
      <c r="W38" s="38">
        <f>fuel!V26*Assumption!$D$74/12</f>
        <v>6.0314571000000008</v>
      </c>
      <c r="X38" s="38">
        <f>fuel!W26*Assumption!$D$74/12</f>
        <v>6.0314571000000008</v>
      </c>
      <c r="Y38" s="38">
        <f>fuel!X26*Assumption!$D$74/12</f>
        <v>6.0479816399999997</v>
      </c>
      <c r="Z38" s="38">
        <f>fuel!Y26*Assumption!$D$74/12</f>
        <v>6.0314571000000008</v>
      </c>
      <c r="AA38" s="38">
        <f>fuel!Z26*Assumption!$D$74/12</f>
        <v>6.0314571000000008</v>
      </c>
    </row>
    <row r="39" spans="1:27" ht="15">
      <c r="A39" s="171" t="s">
        <v>19</v>
      </c>
      <c r="B39" s="173"/>
      <c r="C39" s="38">
        <f>C18*Assumption!$D$73</f>
        <v>80.724230136986307</v>
      </c>
      <c r="D39" s="38">
        <f>D18*Assumption!$D$73</f>
        <v>85.576111199999986</v>
      </c>
      <c r="E39" s="38">
        <f>E18*Assumption!$D$73</f>
        <v>90.47106476063999</v>
      </c>
      <c r="F39" s="38">
        <f>F18*Assumption!$D$73</f>
        <v>95.646009664948593</v>
      </c>
      <c r="G39" s="38">
        <f>G18*Assumption!$D$73</f>
        <v>101.11696141778364</v>
      </c>
      <c r="H39" s="38">
        <f>H18*Assumption!$D$73</f>
        <v>106.90085161088085</v>
      </c>
      <c r="I39" s="38">
        <f>I18*Assumption!$D$73</f>
        <v>113.01558032302322</v>
      </c>
      <c r="J39" s="38">
        <f>J18*Assumption!$D$73</f>
        <v>119.48007151750015</v>
      </c>
      <c r="K39" s="38">
        <f>K18*Assumption!$D$73</f>
        <v>126.31433160830113</v>
      </c>
      <c r="L39" s="38">
        <f>L18*Assumption!$D$73</f>
        <v>133.53951137629596</v>
      </c>
      <c r="M39" s="38">
        <f>M18*Assumption!$D$73</f>
        <v>141.17797142702008</v>
      </c>
      <c r="N39" s="38">
        <f>N18*Assumption!$D$73</f>
        <v>149.25335139264564</v>
      </c>
      <c r="O39" s="38">
        <f>O18*Assumption!$D$73</f>
        <v>157.79064309230492</v>
      </c>
      <c r="P39" s="38">
        <f>P18*Assumption!$D$73</f>
        <v>166.81626787718474</v>
      </c>
      <c r="Q39" s="38">
        <f>Q18*Assumption!$D$73</f>
        <v>176.35815839975976</v>
      </c>
      <c r="R39" s="38">
        <f>R18*Assumption!$D$73</f>
        <v>186.44584506022602</v>
      </c>
      <c r="S39" s="38">
        <f>S18*Assumption!$D$73</f>
        <v>197.1105473976709</v>
      </c>
      <c r="T39" s="38">
        <f>T18*Assumption!$D$73</f>
        <v>208.38527070881764</v>
      </c>
      <c r="U39" s="38">
        <f>U18*Assumption!$D$73</f>
        <v>220.30490819336202</v>
      </c>
      <c r="V39" s="38">
        <f>V18*Assumption!$D$73</f>
        <v>232.90634894202228</v>
      </c>
      <c r="W39" s="38">
        <f>W18*Assumption!$D$73</f>
        <v>246.22859210150591</v>
      </c>
      <c r="X39" s="38">
        <f>X18*Assumption!$D$73</f>
        <v>260.31286756971207</v>
      </c>
      <c r="Y39" s="38">
        <f>Y18*Assumption!$D$73</f>
        <v>275.2027635946996</v>
      </c>
      <c r="Z39" s="38">
        <f>Z18*Assumption!$D$73</f>
        <v>290.94436167231635</v>
      </c>
      <c r="AA39" s="38">
        <f>AA18*Assumption!$D$73</f>
        <v>307.58637915997286</v>
      </c>
    </row>
    <row r="40" spans="1:27" ht="15">
      <c r="A40" s="171" t="s">
        <v>64</v>
      </c>
      <c r="B40" s="173"/>
      <c r="C40" s="38">
        <f ca="1">C12*Assumption!$D$70/12</f>
        <v>488.21579048331961</v>
      </c>
      <c r="D40" s="38">
        <f ca="1">D12*Assumption!$D$70/12</f>
        <v>486.84174714095752</v>
      </c>
      <c r="E40" s="38">
        <f ca="1">E12*Assumption!$D$70/12</f>
        <v>485.13787688930068</v>
      </c>
      <c r="F40" s="38">
        <f ca="1">F12*Assumption!$D$70/12</f>
        <v>469.43363727410633</v>
      </c>
      <c r="G40" s="38">
        <f ca="1">G12*Assumption!$D$70/12</f>
        <v>467.40583349589957</v>
      </c>
      <c r="H40" s="38">
        <f ca="1">H12*Assumption!$D$70/12</f>
        <v>465.65287602666234</v>
      </c>
      <c r="I40" s="38">
        <f ca="1">I12*Assumption!$D$70/12</f>
        <v>464.91107619669833</v>
      </c>
      <c r="J40" s="38">
        <f ca="1">J12*Assumption!$D$70/12</f>
        <v>463.03528410373605</v>
      </c>
      <c r="K40" s="38">
        <f ca="1">K12*Assumption!$D$70/12</f>
        <v>462.20484126451561</v>
      </c>
      <c r="L40" s="38">
        <f ca="1">L12*Assumption!$D$70/12</f>
        <v>461.71773377997471</v>
      </c>
      <c r="M40" s="38">
        <f ca="1">M12*Assumption!$D$70/12</f>
        <v>462.24479029003169</v>
      </c>
      <c r="N40" s="38">
        <f ca="1">N12*Assumption!$D$70/12</f>
        <v>461.85664575636861</v>
      </c>
      <c r="O40" s="38">
        <f ca="1">O12*Assumption!$D$70/12</f>
        <v>429.78271610785879</v>
      </c>
      <c r="P40" s="38">
        <f ca="1">P12*Assumption!$D$70/12</f>
        <v>435.05637090449841</v>
      </c>
      <c r="Q40" s="38">
        <f ca="1">Q12*Assumption!$D$70/12</f>
        <v>441.38652930866101</v>
      </c>
      <c r="R40" s="38">
        <f ca="1">R12*Assumption!$D$70/12</f>
        <v>447.99539892713511</v>
      </c>
      <c r="S40" s="38">
        <f ca="1">S12*Assumption!$D$70/12</f>
        <v>457.0362047160113</v>
      </c>
      <c r="T40" s="38">
        <f ca="1">T12*Assumption!$D$70/12</f>
        <v>482.49260066572879</v>
      </c>
      <c r="U40" s="38">
        <f ca="1">U12*Assumption!$D$70/12</f>
        <v>493.56525443012134</v>
      </c>
      <c r="V40" s="38">
        <f ca="1">V12*Assumption!$D$70/12</f>
        <v>504.02887418553479</v>
      </c>
      <c r="W40" s="38">
        <f ca="1">W12*Assumption!$D$70/12</f>
        <v>515.73636491056789</v>
      </c>
      <c r="X40" s="38">
        <f ca="1">X12*Assumption!$D$70/12</f>
        <v>528.10624546503891</v>
      </c>
      <c r="Y40" s="38">
        <f ca="1">Y12*Assumption!$D$70/12</f>
        <v>541.79450127301027</v>
      </c>
      <c r="Z40" s="38">
        <f ca="1">Z12*Assumption!$D$70/12</f>
        <v>555.00915034712148</v>
      </c>
      <c r="AA40" s="38">
        <f ca="1">AA12*Assumption!$D$70/12</f>
        <v>461.78438025491272</v>
      </c>
    </row>
    <row r="41" spans="1:27" ht="15">
      <c r="A41" s="171" t="s">
        <v>20</v>
      </c>
      <c r="B41" s="173"/>
      <c r="C41" s="38">
        <f t="shared" ref="C41:AA41" ca="1" si="7">SUM(C36:C40)</f>
        <v>758.78439792233644</v>
      </c>
      <c r="D41" s="38">
        <f t="shared" ca="1" si="7"/>
        <v>764.71299913008158</v>
      </c>
      <c r="E41" s="38">
        <f t="shared" ca="1" si="7"/>
        <v>770.37279280016924</v>
      </c>
      <c r="F41" s="38">
        <f t="shared" ca="1" si="7"/>
        <v>752.35655359117482</v>
      </c>
      <c r="G41" s="38">
        <f t="shared" ca="1" si="7"/>
        <v>758.07926479615105</v>
      </c>
      <c r="H41" s="38">
        <f t="shared" ca="1" si="7"/>
        <v>764.52015176713485</v>
      </c>
      <c r="I41" s="38">
        <f t="shared" ca="1" si="7"/>
        <v>772.84478675231787</v>
      </c>
      <c r="J41" s="38">
        <f t="shared" ca="1" si="7"/>
        <v>779.72312137858592</v>
      </c>
      <c r="K41" s="38">
        <f t="shared" ca="1" si="7"/>
        <v>788.57454700133349</v>
      </c>
      <c r="L41" s="38">
        <f t="shared" ca="1" si="7"/>
        <v>798.32311085478523</v>
      </c>
      <c r="M41" s="38">
        <f t="shared" ca="1" si="7"/>
        <v>810.07522157631342</v>
      </c>
      <c r="N41" s="38">
        <f t="shared" ca="1" si="7"/>
        <v>820.72329618767458</v>
      </c>
      <c r="O41" s="38">
        <f t="shared" ca="1" si="7"/>
        <v>800.74386311368198</v>
      </c>
      <c r="P41" s="38">
        <f t="shared" ca="1" si="7"/>
        <v>818.8038196889014</v>
      </c>
      <c r="Q41" s="38">
        <f t="shared" ca="1" si="7"/>
        <v>839.05555880632403</v>
      </c>
      <c r="R41" s="38">
        <f t="shared" ca="1" si="7"/>
        <v>859.55141538751332</v>
      </c>
      <c r="S41" s="38">
        <f t="shared" ca="1" si="7"/>
        <v>883.70054948776976</v>
      </c>
      <c r="T41" s="38">
        <f t="shared" ca="1" si="7"/>
        <v>925.1294701282784</v>
      </c>
      <c r="U41" s="38">
        <f t="shared" ca="1" si="7"/>
        <v>953.49217946872091</v>
      </c>
      <c r="V41" s="38">
        <f t="shared" ca="1" si="7"/>
        <v>981.40393781179091</v>
      </c>
      <c r="W41" s="38">
        <f t="shared" ca="1" si="7"/>
        <v>1011.9846063460925</v>
      </c>
      <c r="X41" s="38">
        <f t="shared" ca="1" si="7"/>
        <v>1044.3072104805224</v>
      </c>
      <c r="Y41" s="38">
        <f t="shared" ca="1" si="7"/>
        <v>1079.4933881301713</v>
      </c>
      <c r="Z41" s="38">
        <f t="shared" ca="1" si="7"/>
        <v>1114.604732007961</v>
      </c>
      <c r="AA41" s="38">
        <f t="shared" ca="1" si="7"/>
        <v>1044.9561533565989</v>
      </c>
    </row>
    <row r="42" spans="1:27" ht="15">
      <c r="A42" s="171" t="s">
        <v>147</v>
      </c>
      <c r="B42" s="173"/>
      <c r="C42" s="38">
        <f ca="1">C41*Assumption!$D$75*C7/365</f>
        <v>88.912900545584463</v>
      </c>
      <c r="D42" s="38">
        <f ca="1">D41*Assumption!$D$75*D7/365</f>
        <v>89.853777397784597</v>
      </c>
      <c r="E42" s="38">
        <f ca="1">E41*Assumption!$D$75*E7/365</f>
        <v>90.766799874989786</v>
      </c>
      <c r="F42" s="38">
        <f ca="1">F41*Assumption!$D$75*F7/365</f>
        <v>88.401895046963034</v>
      </c>
      <c r="G42" s="38">
        <f ca="1">G41*Assumption!$D$75*G7/365</f>
        <v>89.074313613547744</v>
      </c>
      <c r="H42" s="38">
        <f ca="1">H41*Assumption!$D$75*H7/365</f>
        <v>89.831117832638355</v>
      </c>
      <c r="I42" s="38">
        <f ca="1">I41*Assumption!$D$75*I7/365</f>
        <v>91.058054943242269</v>
      </c>
      <c r="J42" s="38">
        <f ca="1">J41*Assumption!$D$75*J7/365</f>
        <v>91.617466761983835</v>
      </c>
      <c r="K42" s="38">
        <f ca="1">K41*Assumption!$D$75*K7/365</f>
        <v>92.657509272656682</v>
      </c>
      <c r="L42" s="38">
        <f ca="1">L41*Assumption!$D$75*L7/365</f>
        <v>93.802965525437259</v>
      </c>
      <c r="M42" s="38">
        <f ca="1">M41*Assumption!$D$75*M7/365</f>
        <v>95.444616175039329</v>
      </c>
      <c r="N42" s="38">
        <f ca="1">N41*Assumption!$D$75*N7/365</f>
        <v>96.434987302051766</v>
      </c>
      <c r="O42" s="38">
        <f ca="1">O41*Assumption!$D$75*O7/365</f>
        <v>94.087403915857635</v>
      </c>
      <c r="P42" s="38">
        <f ca="1">P41*Assumption!$D$75*P7/365</f>
        <v>96.209448813445903</v>
      </c>
      <c r="Q42" s="38">
        <f ca="1">Q41*Assumption!$D$75*Q7/365</f>
        <v>98.859135086208127</v>
      </c>
      <c r="R42" s="38">
        <f ca="1">R41*Assumption!$D$75*R7/365</f>
        <v>100.9972913080328</v>
      </c>
      <c r="S42" s="38">
        <f ca="1">S41*Assumption!$D$75*S7/365</f>
        <v>103.83481456481294</v>
      </c>
      <c r="T42" s="38">
        <f ca="1">T41*Assumption!$D$75*T7/365</f>
        <v>108.70271274007271</v>
      </c>
      <c r="U42" s="38">
        <f ca="1">U41*Assumption!$D$75*U7/365</f>
        <v>112.3422772001434</v>
      </c>
      <c r="V42" s="38">
        <f ca="1">V41*Assumption!$D$75*V7/365</f>
        <v>115.31496269288543</v>
      </c>
      <c r="W42" s="38">
        <f ca="1">W41*Assumption!$D$75*W7/365</f>
        <v>118.90819124566586</v>
      </c>
      <c r="X42" s="38">
        <f ca="1">X41*Assumption!$D$75*X7/365</f>
        <v>122.70609723146136</v>
      </c>
      <c r="Y42" s="38">
        <f ca="1">Y41*Assumption!$D$75*Y7/365</f>
        <v>127.18798125078908</v>
      </c>
      <c r="Z42" s="38">
        <f ca="1">Z41*Assumption!$D$75*Z7/365</f>
        <v>130.9660560109354</v>
      </c>
      <c r="AA42" s="38">
        <f ca="1">AA41*Assumption!$D$75*AA7/365</f>
        <v>122.78234801940036</v>
      </c>
    </row>
  </sheetData>
  <mergeCells count="38">
    <mergeCell ref="A35:AA35"/>
    <mergeCell ref="A42:B42"/>
    <mergeCell ref="A36:B36"/>
    <mergeCell ref="A37:B37"/>
    <mergeCell ref="A38:B38"/>
    <mergeCell ref="A39:B39"/>
    <mergeCell ref="A40:B40"/>
    <mergeCell ref="A41:B41"/>
    <mergeCell ref="A34:AA34"/>
    <mergeCell ref="A31:B31"/>
    <mergeCell ref="A23:B23"/>
    <mergeCell ref="A21:B21"/>
    <mergeCell ref="A20:B20"/>
    <mergeCell ref="A22:AA22"/>
    <mergeCell ref="A24:AA24"/>
    <mergeCell ref="A30:AA30"/>
    <mergeCell ref="A32:AA32"/>
    <mergeCell ref="A33:B33"/>
    <mergeCell ref="A29:B29"/>
    <mergeCell ref="A27:B27"/>
    <mergeCell ref="A26:B26"/>
    <mergeCell ref="A25:B25"/>
    <mergeCell ref="A28:AA28"/>
    <mergeCell ref="A19:B19"/>
    <mergeCell ref="A18:B18"/>
    <mergeCell ref="A14:B14"/>
    <mergeCell ref="A13:B13"/>
    <mergeCell ref="A12:B12"/>
    <mergeCell ref="A17:AA17"/>
    <mergeCell ref="A4:AA4"/>
    <mergeCell ref="A9:AA9"/>
    <mergeCell ref="A11:AA11"/>
    <mergeCell ref="A15:AA16"/>
    <mergeCell ref="A10:B10"/>
    <mergeCell ref="A8:B8"/>
    <mergeCell ref="A7:B7"/>
    <mergeCell ref="A6:B6"/>
    <mergeCell ref="A5:B5"/>
  </mergeCells>
  <pageMargins left="0.25" right="0.05" top="1" bottom="1" header="0.5" footer="0.5"/>
  <pageSetup paperSize="9" scale="82" fitToWidth="2" orientation="landscape"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J15"/>
  <sheetViews>
    <sheetView workbookViewId="0">
      <selection activeCell="C19" sqref="C19"/>
    </sheetView>
  </sheetViews>
  <sheetFormatPr defaultRowHeight="15"/>
  <cols>
    <col min="1" max="1" width="17.42578125" style="25" bestFit="1" customWidth="1"/>
    <col min="2" max="2" width="10.85546875" style="25" customWidth="1"/>
    <col min="3" max="3" width="24.5703125" style="25" bestFit="1" customWidth="1"/>
    <col min="4" max="4" width="13.42578125" style="25" customWidth="1"/>
    <col min="5" max="5" width="12.28515625" style="25" customWidth="1"/>
    <col min="6" max="6" width="10.140625" style="25" customWidth="1"/>
    <col min="7" max="16384" width="9.140625" style="25"/>
  </cols>
  <sheetData>
    <row r="1" spans="1:10">
      <c r="A1" s="29" t="s">
        <v>148</v>
      </c>
      <c r="B1" s="29" t="s">
        <v>250</v>
      </c>
      <c r="C1" s="29" t="s">
        <v>251</v>
      </c>
    </row>
    <row r="2" spans="1:10">
      <c r="A2" s="29" t="s">
        <v>149</v>
      </c>
      <c r="B2" s="52">
        <v>0</v>
      </c>
      <c r="C2" s="24">
        <f ca="1">ROUNDUP(('fixed cost'!$B$30+'fixed cost'!$B$35),2)</f>
        <v>3.28</v>
      </c>
    </row>
    <row r="3" spans="1:10">
      <c r="A3" s="29" t="s">
        <v>150</v>
      </c>
      <c r="B3" s="52">
        <v>0</v>
      </c>
      <c r="C3" s="24">
        <f ca="1">ROUNDUP(('fixed cost'!$B$30+'fixed cost'!$B$35),2)</f>
        <v>3.28</v>
      </c>
    </row>
    <row r="4" spans="1:10">
      <c r="A4" s="29" t="s">
        <v>168</v>
      </c>
      <c r="B4" s="52">
        <v>0</v>
      </c>
      <c r="C4" s="24">
        <f ca="1">ROUNDUP(('fixed cost'!$B$30+'fixed cost'!$B$35),2)</f>
        <v>3.28</v>
      </c>
    </row>
    <row r="5" spans="1:10">
      <c r="A5" s="29" t="s">
        <v>175</v>
      </c>
      <c r="B5" s="52">
        <v>0</v>
      </c>
      <c r="C5" s="24">
        <f ca="1">ROUNDUP(('fixed cost'!$B$30+'fixed cost'!$B$35),2)</f>
        <v>3.28</v>
      </c>
    </row>
    <row r="6" spans="1:10">
      <c r="A6" s="29" t="s">
        <v>176</v>
      </c>
      <c r="B6" s="52">
        <v>0</v>
      </c>
      <c r="C6" s="24">
        <f ca="1">ROUNDUP(('fixed cost'!$B$30+'fixed cost'!$B$35),2)</f>
        <v>3.28</v>
      </c>
    </row>
    <row r="7" spans="1:10">
      <c r="B7" s="149" t="s">
        <v>249</v>
      </c>
      <c r="C7" s="149"/>
    </row>
    <row r="9" spans="1:10">
      <c r="A9" s="92" t="s">
        <v>148</v>
      </c>
    </row>
    <row r="10" spans="1:10">
      <c r="A10" s="93"/>
      <c r="B10" s="93" t="s">
        <v>149</v>
      </c>
      <c r="C10" s="93" t="s">
        <v>150</v>
      </c>
      <c r="D10" s="93" t="s">
        <v>168</v>
      </c>
      <c r="E10" s="93" t="s">
        <v>205</v>
      </c>
      <c r="F10" s="93" t="s">
        <v>176</v>
      </c>
    </row>
    <row r="11" spans="1:10">
      <c r="A11" s="94" t="s">
        <v>203</v>
      </c>
      <c r="B11" s="29">
        <v>3.42</v>
      </c>
      <c r="C11" s="24">
        <v>3.1</v>
      </c>
      <c r="D11" s="29">
        <v>3.38</v>
      </c>
      <c r="E11" s="29">
        <v>3.36</v>
      </c>
      <c r="F11" s="29">
        <v>3.42</v>
      </c>
    </row>
    <row r="12" spans="1:10">
      <c r="A12" s="93">
        <v>0</v>
      </c>
      <c r="B12" s="29">
        <v>3.28</v>
      </c>
      <c r="C12" s="29">
        <v>3.28</v>
      </c>
      <c r="D12" s="29">
        <v>3.28</v>
      </c>
      <c r="E12" s="29">
        <v>3.28</v>
      </c>
      <c r="F12" s="29">
        <v>3.28</v>
      </c>
    </row>
    <row r="13" spans="1:10">
      <c r="A13" s="94" t="s">
        <v>204</v>
      </c>
      <c r="B13" s="29">
        <v>3.14</v>
      </c>
      <c r="C13" s="24">
        <v>3.5</v>
      </c>
      <c r="D13" s="29">
        <v>3.17</v>
      </c>
      <c r="E13" s="24">
        <v>3.2</v>
      </c>
      <c r="F13" s="29">
        <v>3.14</v>
      </c>
    </row>
    <row r="15" spans="1:10" ht="88.5" customHeight="1">
      <c r="A15" s="148" t="s">
        <v>248</v>
      </c>
      <c r="B15" s="148"/>
      <c r="C15" s="148"/>
      <c r="D15" s="148"/>
      <c r="E15" s="148"/>
      <c r="F15" s="148"/>
      <c r="G15" s="148"/>
      <c r="H15" s="148"/>
      <c r="I15" s="148"/>
      <c r="J15" s="148"/>
    </row>
  </sheetData>
  <mergeCells count="2">
    <mergeCell ref="A15:J15"/>
    <mergeCell ref="B7:C7"/>
  </mergeCells>
  <pageMargins left="0.7" right="0.7" top="0.75" bottom="0.75" header="0.3" footer="0.3"/>
  <pageSetup paperSize="9" orientation="portrait" horizontalDpi="300" verticalDpi="300" r:id="rId1"/>
  <ignoredErrors>
    <ignoredError sqref="A11 A13" numberStoredAsText="1"/>
  </ignoredErrors>
</worksheet>
</file>

<file path=xl/worksheets/sheet3.xml><?xml version="1.0" encoding="utf-8"?>
<worksheet xmlns="http://schemas.openxmlformats.org/spreadsheetml/2006/main" xmlns:r="http://schemas.openxmlformats.org/officeDocument/2006/relationships">
  <sheetPr codeName="Sheet10"/>
  <dimension ref="A1:G8"/>
  <sheetViews>
    <sheetView workbookViewId="0">
      <selection activeCell="F20" sqref="F20"/>
    </sheetView>
  </sheetViews>
  <sheetFormatPr defaultRowHeight="15"/>
  <cols>
    <col min="1" max="1" width="13.85546875" style="112" customWidth="1"/>
    <col min="2" max="2" width="12.42578125" style="112" customWidth="1"/>
    <col min="3" max="3" width="9.7109375" style="112" customWidth="1"/>
    <col min="4" max="4" width="11.5703125" style="112" customWidth="1"/>
    <col min="5" max="5" width="14" style="112" customWidth="1"/>
    <col min="6" max="6" width="19" style="112" customWidth="1"/>
    <col min="7" max="7" width="19.28515625" style="112" customWidth="1"/>
    <col min="8" max="16384" width="9.140625" style="112"/>
  </cols>
  <sheetData>
    <row r="1" spans="1:7">
      <c r="A1" s="109" t="s">
        <v>227</v>
      </c>
      <c r="B1" s="110" t="s">
        <v>228</v>
      </c>
      <c r="C1" s="110" t="s">
        <v>229</v>
      </c>
      <c r="D1" s="110" t="s">
        <v>230</v>
      </c>
      <c r="E1" s="110" t="s">
        <v>231</v>
      </c>
      <c r="F1" s="110" t="s">
        <v>232</v>
      </c>
      <c r="G1" s="111" t="s">
        <v>233</v>
      </c>
    </row>
    <row r="2" spans="1:7">
      <c r="A2" s="113" t="s">
        <v>234</v>
      </c>
      <c r="B2" s="114">
        <v>1100</v>
      </c>
      <c r="C2" s="114">
        <v>67</v>
      </c>
      <c r="D2" s="114">
        <f>B2+C2</f>
        <v>1167</v>
      </c>
      <c r="E2" s="114">
        <f>D2*0.2</f>
        <v>233.4</v>
      </c>
      <c r="F2" s="115">
        <f>D2*2.5%</f>
        <v>29.175000000000001</v>
      </c>
      <c r="G2" s="116">
        <f>D2+E2+F2</f>
        <v>1429.575</v>
      </c>
    </row>
    <row r="3" spans="1:7">
      <c r="A3" s="113" t="s">
        <v>235</v>
      </c>
      <c r="B3" s="114">
        <v>1150</v>
      </c>
      <c r="C3" s="114">
        <v>68</v>
      </c>
      <c r="D3" s="114">
        <f t="shared" ref="D3:D5" si="0">B3+C3</f>
        <v>1218</v>
      </c>
      <c r="E3" s="114">
        <f t="shared" ref="E3:E5" si="1">D3*0.2</f>
        <v>243.60000000000002</v>
      </c>
      <c r="F3" s="115">
        <f t="shared" ref="F3:F5" si="2">D3*2.5%</f>
        <v>30.450000000000003</v>
      </c>
      <c r="G3" s="116">
        <f t="shared" ref="G3:G5" si="3">D3+E3+F3</f>
        <v>1492.05</v>
      </c>
    </row>
    <row r="4" spans="1:7">
      <c r="A4" s="113" t="s">
        <v>236</v>
      </c>
      <c r="B4" s="114">
        <v>1400</v>
      </c>
      <c r="C4" s="114">
        <v>73</v>
      </c>
      <c r="D4" s="114">
        <f t="shared" si="0"/>
        <v>1473</v>
      </c>
      <c r="E4" s="114">
        <f t="shared" si="1"/>
        <v>294.60000000000002</v>
      </c>
      <c r="F4" s="115">
        <f t="shared" si="2"/>
        <v>36.825000000000003</v>
      </c>
      <c r="G4" s="116">
        <f t="shared" si="3"/>
        <v>1804.425</v>
      </c>
    </row>
    <row r="5" spans="1:7">
      <c r="A5" s="113" t="s">
        <v>237</v>
      </c>
      <c r="B5" s="114">
        <v>1500</v>
      </c>
      <c r="C5" s="114">
        <v>75</v>
      </c>
      <c r="D5" s="114">
        <f t="shared" si="0"/>
        <v>1575</v>
      </c>
      <c r="E5" s="114">
        <f t="shared" si="1"/>
        <v>315</v>
      </c>
      <c r="F5" s="115">
        <f t="shared" si="2"/>
        <v>39.375</v>
      </c>
      <c r="G5" s="116">
        <f t="shared" si="3"/>
        <v>1929.375</v>
      </c>
    </row>
    <row r="6" spans="1:7" ht="15.75" thickBot="1">
      <c r="A6" s="150" t="s">
        <v>238</v>
      </c>
      <c r="B6" s="151"/>
      <c r="C6" s="151"/>
      <c r="D6" s="151"/>
      <c r="E6" s="151"/>
      <c r="F6" s="151"/>
      <c r="G6" s="117">
        <f>AVERAGE(G2:G5)</f>
        <v>1663.85625</v>
      </c>
    </row>
    <row r="8" spans="1:7">
      <c r="A8" s="112" t="s">
        <v>239</v>
      </c>
    </row>
  </sheetData>
  <mergeCells count="1">
    <mergeCell ref="A6:F6"/>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3"/>
  <dimension ref="A1:Z31"/>
  <sheetViews>
    <sheetView view="pageBreakPreview" topLeftCell="A10" zoomScaleSheetLayoutView="100" workbookViewId="0">
      <selection activeCell="B30" sqref="B30"/>
    </sheetView>
  </sheetViews>
  <sheetFormatPr defaultRowHeight="15"/>
  <cols>
    <col min="1" max="1" width="42.7109375" style="25" customWidth="1"/>
    <col min="2" max="26" width="10.140625" style="25" bestFit="1" customWidth="1"/>
    <col min="27" max="16384" width="9.140625" style="25"/>
  </cols>
  <sheetData>
    <row r="1" spans="1:26">
      <c r="A1" s="25" t="s">
        <v>153</v>
      </c>
    </row>
    <row r="2" spans="1:26">
      <c r="A2" s="29" t="s">
        <v>53</v>
      </c>
      <c r="B2" s="29">
        <v>1</v>
      </c>
      <c r="C2" s="29">
        <f>B2+1</f>
        <v>2</v>
      </c>
      <c r="D2" s="29">
        <f t="shared" ref="D2:P2" si="0">C2+1</f>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ref="Q2:Z2" si="1">P2+1</f>
        <v>16</v>
      </c>
      <c r="R2" s="29">
        <f t="shared" si="1"/>
        <v>17</v>
      </c>
      <c r="S2" s="29">
        <f t="shared" si="1"/>
        <v>18</v>
      </c>
      <c r="T2" s="29">
        <f t="shared" si="1"/>
        <v>19</v>
      </c>
      <c r="U2" s="29">
        <f t="shared" si="1"/>
        <v>20</v>
      </c>
      <c r="V2" s="29">
        <f t="shared" si="1"/>
        <v>21</v>
      </c>
      <c r="W2" s="29">
        <f t="shared" si="1"/>
        <v>22</v>
      </c>
      <c r="X2" s="29">
        <f t="shared" si="1"/>
        <v>23</v>
      </c>
      <c r="Y2" s="29">
        <f t="shared" si="1"/>
        <v>24</v>
      </c>
      <c r="Z2" s="29">
        <f t="shared" si="1"/>
        <v>25</v>
      </c>
    </row>
    <row r="3" spans="1:26">
      <c r="A3" s="29" t="s">
        <v>162</v>
      </c>
      <c r="B3" s="29">
        <v>365</v>
      </c>
      <c r="C3" s="29">
        <f>C4</f>
        <v>365</v>
      </c>
      <c r="D3" s="29">
        <f t="shared" ref="D3:Z3" si="2">D4</f>
        <v>366</v>
      </c>
      <c r="E3" s="29">
        <f t="shared" si="2"/>
        <v>365</v>
      </c>
      <c r="F3" s="29">
        <f t="shared" si="2"/>
        <v>365</v>
      </c>
      <c r="G3" s="29">
        <f t="shared" si="2"/>
        <v>365</v>
      </c>
      <c r="H3" s="29">
        <f t="shared" si="2"/>
        <v>366</v>
      </c>
      <c r="I3" s="29">
        <f t="shared" si="2"/>
        <v>365</v>
      </c>
      <c r="J3" s="29">
        <f t="shared" si="2"/>
        <v>365</v>
      </c>
      <c r="K3" s="29">
        <f t="shared" si="2"/>
        <v>365</v>
      </c>
      <c r="L3" s="29">
        <f t="shared" si="2"/>
        <v>366</v>
      </c>
      <c r="M3" s="29">
        <f t="shared" si="2"/>
        <v>365</v>
      </c>
      <c r="N3" s="29">
        <f t="shared" si="2"/>
        <v>365</v>
      </c>
      <c r="O3" s="29">
        <f t="shared" si="2"/>
        <v>365</v>
      </c>
      <c r="P3" s="29">
        <f t="shared" si="2"/>
        <v>366</v>
      </c>
      <c r="Q3" s="29">
        <f t="shared" si="2"/>
        <v>365</v>
      </c>
      <c r="R3" s="29">
        <f t="shared" si="2"/>
        <v>365</v>
      </c>
      <c r="S3" s="29">
        <f t="shared" si="2"/>
        <v>365</v>
      </c>
      <c r="T3" s="29">
        <f t="shared" si="2"/>
        <v>366</v>
      </c>
      <c r="U3" s="29">
        <f t="shared" si="2"/>
        <v>365</v>
      </c>
      <c r="V3" s="29">
        <f t="shared" si="2"/>
        <v>365</v>
      </c>
      <c r="W3" s="29">
        <f t="shared" si="2"/>
        <v>365</v>
      </c>
      <c r="X3" s="29">
        <f t="shared" si="2"/>
        <v>366</v>
      </c>
      <c r="Y3" s="29">
        <f t="shared" si="2"/>
        <v>365</v>
      </c>
      <c r="Z3" s="29">
        <f t="shared" si="2"/>
        <v>365</v>
      </c>
    </row>
    <row r="4" spans="1:26">
      <c r="A4" s="29" t="s">
        <v>2</v>
      </c>
      <c r="B4" s="29">
        <f>Assumption!D22</f>
        <v>364</v>
      </c>
      <c r="C4" s="29">
        <f>Assumption!$D$23</f>
        <v>365</v>
      </c>
      <c r="D4" s="29">
        <f>Assumption!$D$23+1</f>
        <v>366</v>
      </c>
      <c r="E4" s="29">
        <f>Assumption!$D$23</f>
        <v>365</v>
      </c>
      <c r="F4" s="29">
        <f>Assumption!$D$23</f>
        <v>365</v>
      </c>
      <c r="G4" s="29">
        <f>Assumption!$D$23</f>
        <v>365</v>
      </c>
      <c r="H4" s="29">
        <f>Assumption!$D$23+1</f>
        <v>366</v>
      </c>
      <c r="I4" s="29">
        <f>Assumption!$D$23</f>
        <v>365</v>
      </c>
      <c r="J4" s="29">
        <f>Assumption!$D$23</f>
        <v>365</v>
      </c>
      <c r="K4" s="29">
        <f>Assumption!$D$23</f>
        <v>365</v>
      </c>
      <c r="L4" s="29">
        <f>Assumption!$D$23+1</f>
        <v>366</v>
      </c>
      <c r="M4" s="29">
        <f>Assumption!$D$23</f>
        <v>365</v>
      </c>
      <c r="N4" s="29">
        <f>Assumption!$D$23</f>
        <v>365</v>
      </c>
      <c r="O4" s="29">
        <f>Assumption!$D$23</f>
        <v>365</v>
      </c>
      <c r="P4" s="29">
        <f>Assumption!$D$23+1</f>
        <v>366</v>
      </c>
      <c r="Q4" s="29">
        <f>Assumption!$D$23</f>
        <v>365</v>
      </c>
      <c r="R4" s="29">
        <f>Assumption!$D$23</f>
        <v>365</v>
      </c>
      <c r="S4" s="29">
        <f>Assumption!$D$23</f>
        <v>365</v>
      </c>
      <c r="T4" s="29">
        <f>Assumption!$D$23+1</f>
        <v>366</v>
      </c>
      <c r="U4" s="29">
        <f>Assumption!$D$23</f>
        <v>365</v>
      </c>
      <c r="V4" s="29">
        <f>Assumption!$D$23</f>
        <v>365</v>
      </c>
      <c r="W4" s="29">
        <f>Assumption!$D$23</f>
        <v>365</v>
      </c>
      <c r="X4" s="29">
        <f>Assumption!$D$23+1</f>
        <v>366</v>
      </c>
      <c r="Y4" s="29">
        <f>Assumption!$D$23</f>
        <v>365</v>
      </c>
      <c r="Z4" s="29">
        <f>Assumption!$D$23</f>
        <v>365</v>
      </c>
    </row>
    <row r="5" spans="1:26">
      <c r="A5" s="29" t="s">
        <v>0</v>
      </c>
      <c r="B5" s="30">
        <f>DATE(2014,3,31)</f>
        <v>41729</v>
      </c>
      <c r="C5" s="30">
        <f>DATE((YEAR(B5)+1),MONTH(B5),DAY(B5))</f>
        <v>42094</v>
      </c>
      <c r="D5" s="30">
        <f>DATE((YEAR(C5)+1),MONTH(C5),DAY(C5))</f>
        <v>42460</v>
      </c>
      <c r="E5" s="30">
        <f t="shared" ref="E5:P5" si="3">DATE((YEAR(D5)+1),MONTH(D5),DAY(D5))</f>
        <v>42825</v>
      </c>
      <c r="F5" s="30">
        <f t="shared" si="3"/>
        <v>43190</v>
      </c>
      <c r="G5" s="30">
        <f t="shared" si="3"/>
        <v>43555</v>
      </c>
      <c r="H5" s="30">
        <f t="shared" si="3"/>
        <v>43921</v>
      </c>
      <c r="I5" s="30">
        <f t="shared" si="3"/>
        <v>44286</v>
      </c>
      <c r="J5" s="30">
        <f t="shared" si="3"/>
        <v>44651</v>
      </c>
      <c r="K5" s="30">
        <f t="shared" si="3"/>
        <v>45016</v>
      </c>
      <c r="L5" s="30">
        <f t="shared" si="3"/>
        <v>45382</v>
      </c>
      <c r="M5" s="30">
        <f t="shared" si="3"/>
        <v>45747</v>
      </c>
      <c r="N5" s="30">
        <f t="shared" si="3"/>
        <v>46112</v>
      </c>
      <c r="O5" s="30">
        <f t="shared" si="3"/>
        <v>46477</v>
      </c>
      <c r="P5" s="30">
        <f t="shared" si="3"/>
        <v>46843</v>
      </c>
      <c r="Q5" s="30">
        <f t="shared" ref="Q5:Z5" si="4">DATE((YEAR(P5)+1),MONTH(P5),DAY(P5))</f>
        <v>47208</v>
      </c>
      <c r="R5" s="30">
        <f t="shared" si="4"/>
        <v>47573</v>
      </c>
      <c r="S5" s="30">
        <f t="shared" si="4"/>
        <v>47938</v>
      </c>
      <c r="T5" s="30">
        <f t="shared" si="4"/>
        <v>48304</v>
      </c>
      <c r="U5" s="30">
        <f t="shared" si="4"/>
        <v>48669</v>
      </c>
      <c r="V5" s="30">
        <f t="shared" si="4"/>
        <v>49034</v>
      </c>
      <c r="W5" s="30">
        <f t="shared" si="4"/>
        <v>49399</v>
      </c>
      <c r="X5" s="30">
        <f t="shared" si="4"/>
        <v>49765</v>
      </c>
      <c r="Y5" s="30">
        <f t="shared" si="4"/>
        <v>50130</v>
      </c>
      <c r="Z5" s="30">
        <f t="shared" si="4"/>
        <v>50495</v>
      </c>
    </row>
    <row r="6" spans="1:26">
      <c r="A6" s="25" t="s">
        <v>1</v>
      </c>
    </row>
    <row r="7" spans="1:26">
      <c r="A7" s="29" t="s">
        <v>257</v>
      </c>
      <c r="B7" s="24">
        <f>B19</f>
        <v>6343.75</v>
      </c>
      <c r="C7" s="24">
        <f t="shared" ref="C7:P7" si="5">C19</f>
        <v>6343.75</v>
      </c>
      <c r="D7" s="24">
        <f t="shared" si="5"/>
        <v>6343.75</v>
      </c>
      <c r="E7" s="24">
        <f t="shared" si="5"/>
        <v>6343.75</v>
      </c>
      <c r="F7" s="24">
        <f t="shared" si="5"/>
        <v>6343.75</v>
      </c>
      <c r="G7" s="24">
        <f t="shared" si="5"/>
        <v>6343.75</v>
      </c>
      <c r="H7" s="24">
        <f t="shared" si="5"/>
        <v>6343.75</v>
      </c>
      <c r="I7" s="24">
        <f t="shared" si="5"/>
        <v>6343.75</v>
      </c>
      <c r="J7" s="24">
        <f t="shared" si="5"/>
        <v>6343.75</v>
      </c>
      <c r="K7" s="24">
        <f t="shared" si="5"/>
        <v>6343.75</v>
      </c>
      <c r="L7" s="24">
        <f t="shared" si="5"/>
        <v>6343.75</v>
      </c>
      <c r="M7" s="24">
        <f t="shared" si="5"/>
        <v>6343.75</v>
      </c>
      <c r="N7" s="24">
        <f t="shared" si="5"/>
        <v>6343.75</v>
      </c>
      <c r="O7" s="24">
        <f t="shared" si="5"/>
        <v>6343.75</v>
      </c>
      <c r="P7" s="24">
        <f t="shared" si="5"/>
        <v>6343.75</v>
      </c>
      <c r="Q7" s="24">
        <f t="shared" ref="Q7:Z7" si="6">Q19</f>
        <v>6343.75</v>
      </c>
      <c r="R7" s="24">
        <f t="shared" si="6"/>
        <v>6343.75</v>
      </c>
      <c r="S7" s="24">
        <f t="shared" si="6"/>
        <v>6343.75</v>
      </c>
      <c r="T7" s="24">
        <f t="shared" si="6"/>
        <v>6343.75</v>
      </c>
      <c r="U7" s="24">
        <f t="shared" si="6"/>
        <v>6343.75</v>
      </c>
      <c r="V7" s="24">
        <f t="shared" si="6"/>
        <v>6343.75</v>
      </c>
      <c r="W7" s="24">
        <f t="shared" si="6"/>
        <v>6343.75</v>
      </c>
      <c r="X7" s="24">
        <f t="shared" si="6"/>
        <v>6343.75</v>
      </c>
      <c r="Y7" s="24">
        <f t="shared" si="6"/>
        <v>6343.75</v>
      </c>
      <c r="Z7" s="24">
        <f t="shared" si="6"/>
        <v>6343.75</v>
      </c>
    </row>
    <row r="8" spans="1:26">
      <c r="A8" s="29" t="s">
        <v>258</v>
      </c>
      <c r="B8" s="24">
        <f>B24</f>
        <v>334.03232876712332</v>
      </c>
      <c r="C8" s="24">
        <f t="shared" ref="C8:P8" si="7">C24</f>
        <v>334.95</v>
      </c>
      <c r="D8" s="24">
        <f t="shared" si="7"/>
        <v>334.95</v>
      </c>
      <c r="E8" s="24">
        <f t="shared" si="7"/>
        <v>334.95</v>
      </c>
      <c r="F8" s="24">
        <f t="shared" si="7"/>
        <v>334.95</v>
      </c>
      <c r="G8" s="24">
        <f t="shared" si="7"/>
        <v>334.95</v>
      </c>
      <c r="H8" s="24">
        <f t="shared" si="7"/>
        <v>334.95</v>
      </c>
      <c r="I8" s="24">
        <f t="shared" si="7"/>
        <v>334.95</v>
      </c>
      <c r="J8" s="24">
        <f t="shared" si="7"/>
        <v>334.95</v>
      </c>
      <c r="K8" s="24">
        <f t="shared" si="7"/>
        <v>334.95</v>
      </c>
      <c r="L8" s="24">
        <f t="shared" si="7"/>
        <v>334.95</v>
      </c>
      <c r="M8" s="24">
        <f t="shared" si="7"/>
        <v>334.95</v>
      </c>
      <c r="N8" s="24">
        <f t="shared" si="7"/>
        <v>130.06866701791367</v>
      </c>
      <c r="O8" s="24">
        <f t="shared" si="7"/>
        <v>130.06866701791367</v>
      </c>
      <c r="P8" s="24">
        <f t="shared" si="7"/>
        <v>130.06866701791367</v>
      </c>
      <c r="Q8" s="24">
        <f t="shared" ref="Q8:Z8" si="8">Q24</f>
        <v>130.06866701791367</v>
      </c>
      <c r="R8" s="24">
        <f t="shared" si="8"/>
        <v>130.06866701791367</v>
      </c>
      <c r="S8" s="24">
        <f t="shared" si="8"/>
        <v>130.06866701791367</v>
      </c>
      <c r="T8" s="24">
        <f t="shared" si="8"/>
        <v>130.06866701791367</v>
      </c>
      <c r="U8" s="24">
        <f t="shared" si="8"/>
        <v>130.06866701791367</v>
      </c>
      <c r="V8" s="24">
        <f t="shared" si="8"/>
        <v>130.06866701791367</v>
      </c>
      <c r="W8" s="24">
        <f t="shared" si="8"/>
        <v>130.06866701791367</v>
      </c>
      <c r="X8" s="24">
        <f t="shared" si="8"/>
        <v>130.06866701791367</v>
      </c>
      <c r="Y8" s="24">
        <f t="shared" si="8"/>
        <v>130.06866701791367</v>
      </c>
      <c r="Z8" s="24">
        <f t="shared" si="8"/>
        <v>130.06866701791367</v>
      </c>
    </row>
    <row r="9" spans="1:26">
      <c r="A9" s="29" t="s">
        <v>259</v>
      </c>
      <c r="B9" s="24">
        <f>B8</f>
        <v>334.03232876712332</v>
      </c>
      <c r="C9" s="24">
        <f t="shared" ref="C9:Q9" si="9">B9+C8</f>
        <v>668.98232876712336</v>
      </c>
      <c r="D9" s="24">
        <f t="shared" si="9"/>
        <v>1003.9323287671234</v>
      </c>
      <c r="E9" s="24">
        <f t="shared" si="9"/>
        <v>1338.8823287671235</v>
      </c>
      <c r="F9" s="24">
        <f t="shared" si="9"/>
        <v>1673.8323287671235</v>
      </c>
      <c r="G9" s="24">
        <f t="shared" si="9"/>
        <v>2008.7823287671235</v>
      </c>
      <c r="H9" s="24">
        <f t="shared" si="9"/>
        <v>2343.7323287671234</v>
      </c>
      <c r="I9" s="24">
        <f t="shared" si="9"/>
        <v>2678.6823287671232</v>
      </c>
      <c r="J9" s="24">
        <f t="shared" si="9"/>
        <v>3013.632328767123</v>
      </c>
      <c r="K9" s="24">
        <f t="shared" si="9"/>
        <v>3348.5823287671228</v>
      </c>
      <c r="L9" s="24">
        <f t="shared" si="9"/>
        <v>3683.5323287671226</v>
      </c>
      <c r="M9" s="24">
        <f t="shared" si="9"/>
        <v>4018.4823287671225</v>
      </c>
      <c r="N9" s="24">
        <f t="shared" si="9"/>
        <v>4148.5509957850363</v>
      </c>
      <c r="O9" s="24">
        <f t="shared" si="9"/>
        <v>4278.6196628029502</v>
      </c>
      <c r="P9" s="24">
        <f t="shared" si="9"/>
        <v>4408.6883298208641</v>
      </c>
      <c r="Q9" s="24">
        <f t="shared" si="9"/>
        <v>4538.7569968387779</v>
      </c>
      <c r="R9" s="24">
        <f t="shared" ref="R9" si="10">Q9+R8</f>
        <v>4668.8256638566918</v>
      </c>
      <c r="S9" s="24">
        <f t="shared" ref="S9" si="11">R9+S8</f>
        <v>4798.8943308746057</v>
      </c>
      <c r="T9" s="24">
        <f t="shared" ref="T9" si="12">S9+T8</f>
        <v>4928.9629978925195</v>
      </c>
      <c r="U9" s="24">
        <f t="shared" ref="U9" si="13">T9+U8</f>
        <v>5059.0316649104334</v>
      </c>
      <c r="V9" s="24">
        <f t="shared" ref="V9" si="14">U9+V8</f>
        <v>5189.1003319283473</v>
      </c>
      <c r="W9" s="24">
        <f t="shared" ref="W9" si="15">V9+W8</f>
        <v>5319.1689989462611</v>
      </c>
      <c r="X9" s="24">
        <f t="shared" ref="X9" si="16">W9+X8</f>
        <v>5449.237665964175</v>
      </c>
      <c r="Y9" s="24">
        <f t="shared" ref="Y9" si="17">X9+Y8</f>
        <v>5579.3063329820889</v>
      </c>
      <c r="Z9" s="24">
        <f t="shared" ref="Z9" si="18">Y9+Z8</f>
        <v>5709.3750000000027</v>
      </c>
    </row>
    <row r="11" spans="1:26">
      <c r="A11" s="25" t="s">
        <v>79</v>
      </c>
    </row>
    <row r="12" spans="1:26">
      <c r="A12" s="29" t="s">
        <v>260</v>
      </c>
      <c r="B12" s="24">
        <f>Assumption!D10</f>
        <v>6343.75</v>
      </c>
      <c r="C12" s="24">
        <f>B14</f>
        <v>5392.1875</v>
      </c>
      <c r="D12" s="24">
        <f t="shared" ref="D12:Z12" si="19">C14</f>
        <v>4583.359375</v>
      </c>
      <c r="E12" s="24">
        <f t="shared" si="19"/>
        <v>3895.85546875</v>
      </c>
      <c r="F12" s="24">
        <f t="shared" si="19"/>
        <v>3311.4771484375001</v>
      </c>
      <c r="G12" s="24">
        <f t="shared" si="19"/>
        <v>2814.755576171875</v>
      </c>
      <c r="H12" s="24">
        <f t="shared" si="19"/>
        <v>2392.5422397460939</v>
      </c>
      <c r="I12" s="24">
        <f t="shared" si="19"/>
        <v>2033.6609037841797</v>
      </c>
      <c r="J12" s="24">
        <f t="shared" si="19"/>
        <v>1728.6117682165527</v>
      </c>
      <c r="K12" s="24">
        <f t="shared" si="19"/>
        <v>1469.3200029840698</v>
      </c>
      <c r="L12" s="24">
        <f t="shared" si="19"/>
        <v>1248.9220025364593</v>
      </c>
      <c r="M12" s="24">
        <f t="shared" si="19"/>
        <v>1061.5837021559905</v>
      </c>
      <c r="N12" s="24">
        <f t="shared" si="19"/>
        <v>902.34614683259201</v>
      </c>
      <c r="O12" s="24">
        <f t="shared" si="19"/>
        <v>766.99422480770318</v>
      </c>
      <c r="P12" s="24">
        <f t="shared" si="19"/>
        <v>651.94509108654768</v>
      </c>
      <c r="Q12" s="24">
        <f t="shared" si="19"/>
        <v>554.15332742356554</v>
      </c>
      <c r="R12" s="24">
        <f t="shared" si="19"/>
        <v>471.03032831003071</v>
      </c>
      <c r="S12" s="24">
        <f t="shared" si="19"/>
        <v>400.37577906352612</v>
      </c>
      <c r="T12" s="24">
        <f t="shared" si="19"/>
        <v>340.31941220399722</v>
      </c>
      <c r="U12" s="24">
        <f t="shared" si="19"/>
        <v>289.27150037339766</v>
      </c>
      <c r="V12" s="24">
        <f t="shared" si="19"/>
        <v>245.88077531738801</v>
      </c>
      <c r="W12" s="24">
        <f t="shared" si="19"/>
        <v>208.99865901977981</v>
      </c>
      <c r="X12" s="24">
        <f t="shared" si="19"/>
        <v>177.64886016681282</v>
      </c>
      <c r="Y12" s="24">
        <f t="shared" si="19"/>
        <v>151.00153114179091</v>
      </c>
      <c r="Z12" s="24">
        <f t="shared" si="19"/>
        <v>128.35130147052226</v>
      </c>
    </row>
    <row r="13" spans="1:26">
      <c r="A13" s="29" t="s">
        <v>261</v>
      </c>
      <c r="B13" s="24">
        <f>(B12*Assumption!$D$32)</f>
        <v>951.5625</v>
      </c>
      <c r="C13" s="24">
        <f>(C12*Assumption!$D$32)</f>
        <v>808.828125</v>
      </c>
      <c r="D13" s="24">
        <f>(D12*Assumption!$D$32)</f>
        <v>687.50390625</v>
      </c>
      <c r="E13" s="24">
        <f>(E12*Assumption!$D$32)</f>
        <v>584.37832031250002</v>
      </c>
      <c r="F13" s="24">
        <f>(F12*Assumption!$D$32)</f>
        <v>496.72157226562501</v>
      </c>
      <c r="G13" s="24">
        <f>(G12*Assumption!$D$32)</f>
        <v>422.21333642578122</v>
      </c>
      <c r="H13" s="24">
        <f>(H12*Assumption!$D$32)</f>
        <v>358.88133596191409</v>
      </c>
      <c r="I13" s="24">
        <f>(I12*Assumption!$D$32)</f>
        <v>305.04913556762693</v>
      </c>
      <c r="J13" s="24">
        <f>(J12*Assumption!$D$32)</f>
        <v>259.29176523248287</v>
      </c>
      <c r="K13" s="24">
        <f>(K12*Assumption!$D$32)</f>
        <v>220.39800044761046</v>
      </c>
      <c r="L13" s="24">
        <f>(L12*Assumption!$D$32)</f>
        <v>187.33830038046889</v>
      </c>
      <c r="M13" s="24">
        <f>(M12*Assumption!$D$32)</f>
        <v>159.23755532339857</v>
      </c>
      <c r="N13" s="24">
        <f>(N12*Assumption!$D$32)</f>
        <v>135.35192202488881</v>
      </c>
      <c r="O13" s="24">
        <f>(O12*Assumption!$D$32)</f>
        <v>115.04913372115547</v>
      </c>
      <c r="P13" s="24">
        <f>(P12*Assumption!$D$32)</f>
        <v>97.791763662982149</v>
      </c>
      <c r="Q13" s="24">
        <f>(Q12*Assumption!$D$32)</f>
        <v>83.122999113534831</v>
      </c>
      <c r="R13" s="24">
        <f>(R12*Assumption!$D$32)</f>
        <v>70.654549246504601</v>
      </c>
      <c r="S13" s="24">
        <f>(S12*Assumption!$D$32)</f>
        <v>60.056366859528914</v>
      </c>
      <c r="T13" s="24">
        <f>(T12*Assumption!$D$32)</f>
        <v>51.047911830599581</v>
      </c>
      <c r="U13" s="24">
        <f>(U12*Assumption!$D$32)</f>
        <v>43.39072505600965</v>
      </c>
      <c r="V13" s="24">
        <f>(V12*Assumption!$D$32)</f>
        <v>36.882116297608199</v>
      </c>
      <c r="W13" s="24">
        <f>(W12*Assumption!$D$32)</f>
        <v>31.34979885296697</v>
      </c>
      <c r="X13" s="24">
        <f>(X12*Assumption!$D$32)</f>
        <v>26.647329025021921</v>
      </c>
      <c r="Y13" s="24">
        <f>(Y12*Assumption!$D$32)</f>
        <v>22.650229671268637</v>
      </c>
      <c r="Z13" s="24">
        <f>(Z12*Assumption!$D$32)</f>
        <v>19.252695220578339</v>
      </c>
    </row>
    <row r="14" spans="1:26">
      <c r="A14" s="29" t="s">
        <v>262</v>
      </c>
      <c r="B14" s="24">
        <f>B12-B13</f>
        <v>5392.1875</v>
      </c>
      <c r="C14" s="24">
        <f t="shared" ref="C14:Z14" si="20">C12-C13</f>
        <v>4583.359375</v>
      </c>
      <c r="D14" s="24">
        <f t="shared" si="20"/>
        <v>3895.85546875</v>
      </c>
      <c r="E14" s="24">
        <f t="shared" si="20"/>
        <v>3311.4771484375001</v>
      </c>
      <c r="F14" s="24">
        <f t="shared" si="20"/>
        <v>2814.755576171875</v>
      </c>
      <c r="G14" s="24">
        <f t="shared" si="20"/>
        <v>2392.5422397460939</v>
      </c>
      <c r="H14" s="24">
        <f t="shared" si="20"/>
        <v>2033.6609037841797</v>
      </c>
      <c r="I14" s="24">
        <f t="shared" si="20"/>
        <v>1728.6117682165527</v>
      </c>
      <c r="J14" s="24">
        <f t="shared" si="20"/>
        <v>1469.3200029840698</v>
      </c>
      <c r="K14" s="24">
        <f t="shared" si="20"/>
        <v>1248.9220025364593</v>
      </c>
      <c r="L14" s="24">
        <f t="shared" si="20"/>
        <v>1061.5837021559905</v>
      </c>
      <c r="M14" s="24">
        <f t="shared" si="20"/>
        <v>902.34614683259201</v>
      </c>
      <c r="N14" s="24">
        <f t="shared" si="20"/>
        <v>766.99422480770318</v>
      </c>
      <c r="O14" s="24">
        <f t="shared" si="20"/>
        <v>651.94509108654768</v>
      </c>
      <c r="P14" s="24">
        <f t="shared" si="20"/>
        <v>554.15332742356554</v>
      </c>
      <c r="Q14" s="24">
        <f t="shared" si="20"/>
        <v>471.03032831003071</v>
      </c>
      <c r="R14" s="24">
        <f t="shared" si="20"/>
        <v>400.37577906352612</v>
      </c>
      <c r="S14" s="24">
        <f t="shared" si="20"/>
        <v>340.31941220399722</v>
      </c>
      <c r="T14" s="24">
        <f t="shared" si="20"/>
        <v>289.27150037339766</v>
      </c>
      <c r="U14" s="24">
        <f t="shared" si="20"/>
        <v>245.88077531738801</v>
      </c>
      <c r="V14" s="24">
        <f t="shared" si="20"/>
        <v>208.99865901977981</v>
      </c>
      <c r="W14" s="24">
        <f t="shared" si="20"/>
        <v>177.64886016681282</v>
      </c>
      <c r="X14" s="24">
        <f t="shared" si="20"/>
        <v>151.00153114179091</v>
      </c>
      <c r="Y14" s="24">
        <f t="shared" si="20"/>
        <v>128.35130147052226</v>
      </c>
      <c r="Z14" s="24">
        <f t="shared" si="20"/>
        <v>109.09860624994391</v>
      </c>
    </row>
    <row r="16" spans="1:26">
      <c r="A16" s="25" t="s">
        <v>42</v>
      </c>
    </row>
    <row r="17" spans="1:26">
      <c r="A17" s="29" t="s">
        <v>54</v>
      </c>
      <c r="B17" s="30">
        <f>B5</f>
        <v>41729</v>
      </c>
      <c r="C17" s="30">
        <f t="shared" ref="C17:Z17" si="21">C5</f>
        <v>42094</v>
      </c>
      <c r="D17" s="30">
        <f t="shared" si="21"/>
        <v>42460</v>
      </c>
      <c r="E17" s="30">
        <f t="shared" si="21"/>
        <v>42825</v>
      </c>
      <c r="F17" s="30">
        <f t="shared" si="21"/>
        <v>43190</v>
      </c>
      <c r="G17" s="30">
        <f t="shared" si="21"/>
        <v>43555</v>
      </c>
      <c r="H17" s="30">
        <f t="shared" si="21"/>
        <v>43921</v>
      </c>
      <c r="I17" s="30">
        <f t="shared" si="21"/>
        <v>44286</v>
      </c>
      <c r="J17" s="30">
        <f t="shared" si="21"/>
        <v>44651</v>
      </c>
      <c r="K17" s="30">
        <f t="shared" si="21"/>
        <v>45016</v>
      </c>
      <c r="L17" s="30">
        <f t="shared" si="21"/>
        <v>45382</v>
      </c>
      <c r="M17" s="30">
        <f t="shared" si="21"/>
        <v>45747</v>
      </c>
      <c r="N17" s="30">
        <f t="shared" si="21"/>
        <v>46112</v>
      </c>
      <c r="O17" s="30">
        <f t="shared" si="21"/>
        <v>46477</v>
      </c>
      <c r="P17" s="30">
        <f t="shared" si="21"/>
        <v>46843</v>
      </c>
      <c r="Q17" s="30">
        <f t="shared" si="21"/>
        <v>47208</v>
      </c>
      <c r="R17" s="30">
        <f t="shared" si="21"/>
        <v>47573</v>
      </c>
      <c r="S17" s="30">
        <f t="shared" si="21"/>
        <v>47938</v>
      </c>
      <c r="T17" s="30">
        <f t="shared" si="21"/>
        <v>48304</v>
      </c>
      <c r="U17" s="30">
        <f t="shared" si="21"/>
        <v>48669</v>
      </c>
      <c r="V17" s="30">
        <f t="shared" si="21"/>
        <v>49034</v>
      </c>
      <c r="W17" s="30">
        <f t="shared" si="21"/>
        <v>49399</v>
      </c>
      <c r="X17" s="30">
        <f t="shared" si="21"/>
        <v>49765</v>
      </c>
      <c r="Y17" s="30">
        <f t="shared" si="21"/>
        <v>50130</v>
      </c>
      <c r="Z17" s="30">
        <f t="shared" si="21"/>
        <v>50495</v>
      </c>
    </row>
    <row r="18" spans="1:26">
      <c r="A18" s="29" t="s">
        <v>263</v>
      </c>
      <c r="B18" s="24">
        <f>Assumption!D10</f>
        <v>6343.75</v>
      </c>
      <c r="C18" s="24">
        <f>B18</f>
        <v>6343.75</v>
      </c>
      <c r="D18" s="24">
        <f>C18</f>
        <v>6343.75</v>
      </c>
      <c r="E18" s="24">
        <f>D18</f>
        <v>6343.75</v>
      </c>
      <c r="F18" s="24">
        <f t="shared" ref="F18:Q18" si="22">E18</f>
        <v>6343.75</v>
      </c>
      <c r="G18" s="24">
        <f t="shared" si="22"/>
        <v>6343.75</v>
      </c>
      <c r="H18" s="24">
        <f t="shared" si="22"/>
        <v>6343.75</v>
      </c>
      <c r="I18" s="24">
        <f t="shared" si="22"/>
        <v>6343.75</v>
      </c>
      <c r="J18" s="24">
        <f t="shared" si="22"/>
        <v>6343.75</v>
      </c>
      <c r="K18" s="24">
        <f t="shared" si="22"/>
        <v>6343.75</v>
      </c>
      <c r="L18" s="24">
        <f t="shared" si="22"/>
        <v>6343.75</v>
      </c>
      <c r="M18" s="24">
        <f t="shared" si="22"/>
        <v>6343.75</v>
      </c>
      <c r="N18" s="24">
        <f t="shared" si="22"/>
        <v>6343.75</v>
      </c>
      <c r="O18" s="24">
        <f t="shared" si="22"/>
        <v>6343.75</v>
      </c>
      <c r="P18" s="24">
        <f t="shared" si="22"/>
        <v>6343.75</v>
      </c>
      <c r="Q18" s="24">
        <f t="shared" si="22"/>
        <v>6343.75</v>
      </c>
      <c r="R18" s="24">
        <f t="shared" ref="R18" si="23">Q18</f>
        <v>6343.75</v>
      </c>
      <c r="S18" s="24">
        <f t="shared" ref="S18" si="24">R18</f>
        <v>6343.75</v>
      </c>
      <c r="T18" s="24">
        <f t="shared" ref="T18" si="25">S18</f>
        <v>6343.75</v>
      </c>
      <c r="U18" s="24">
        <f t="shared" ref="U18" si="26">T18</f>
        <v>6343.75</v>
      </c>
      <c r="V18" s="24">
        <f t="shared" ref="V18" si="27">U18</f>
        <v>6343.75</v>
      </c>
      <c r="W18" s="24">
        <f t="shared" ref="W18" si="28">V18</f>
        <v>6343.75</v>
      </c>
      <c r="X18" s="24">
        <f t="shared" ref="X18" si="29">W18</f>
        <v>6343.75</v>
      </c>
      <c r="Y18" s="24">
        <f t="shared" ref="Y18" si="30">X18</f>
        <v>6343.75</v>
      </c>
      <c r="Z18" s="24">
        <f t="shared" ref="Z18" si="31">Y18</f>
        <v>6343.75</v>
      </c>
    </row>
    <row r="19" spans="1:26">
      <c r="A19" s="29"/>
      <c r="B19" s="24">
        <f t="shared" ref="B19:Z19" si="32">SUM(B18:B18)</f>
        <v>6343.75</v>
      </c>
      <c r="C19" s="24">
        <f t="shared" si="32"/>
        <v>6343.75</v>
      </c>
      <c r="D19" s="24">
        <f t="shared" si="32"/>
        <v>6343.75</v>
      </c>
      <c r="E19" s="24">
        <f t="shared" si="32"/>
        <v>6343.75</v>
      </c>
      <c r="F19" s="24">
        <f t="shared" si="32"/>
        <v>6343.75</v>
      </c>
      <c r="G19" s="24">
        <f t="shared" si="32"/>
        <v>6343.75</v>
      </c>
      <c r="H19" s="24">
        <f t="shared" si="32"/>
        <v>6343.75</v>
      </c>
      <c r="I19" s="24">
        <f t="shared" si="32"/>
        <v>6343.75</v>
      </c>
      <c r="J19" s="24">
        <f t="shared" si="32"/>
        <v>6343.75</v>
      </c>
      <c r="K19" s="24">
        <f t="shared" si="32"/>
        <v>6343.75</v>
      </c>
      <c r="L19" s="24">
        <f t="shared" si="32"/>
        <v>6343.75</v>
      </c>
      <c r="M19" s="24">
        <f t="shared" si="32"/>
        <v>6343.75</v>
      </c>
      <c r="N19" s="24">
        <f t="shared" si="32"/>
        <v>6343.75</v>
      </c>
      <c r="O19" s="24">
        <f t="shared" si="32"/>
        <v>6343.75</v>
      </c>
      <c r="P19" s="24">
        <f t="shared" si="32"/>
        <v>6343.75</v>
      </c>
      <c r="Q19" s="24">
        <f t="shared" si="32"/>
        <v>6343.75</v>
      </c>
      <c r="R19" s="24">
        <f t="shared" si="32"/>
        <v>6343.75</v>
      </c>
      <c r="S19" s="24">
        <f t="shared" si="32"/>
        <v>6343.75</v>
      </c>
      <c r="T19" s="24">
        <f t="shared" si="32"/>
        <v>6343.75</v>
      </c>
      <c r="U19" s="24">
        <f t="shared" si="32"/>
        <v>6343.75</v>
      </c>
      <c r="V19" s="24">
        <f t="shared" si="32"/>
        <v>6343.75</v>
      </c>
      <c r="W19" s="24">
        <f t="shared" si="32"/>
        <v>6343.75</v>
      </c>
      <c r="X19" s="24">
        <f t="shared" si="32"/>
        <v>6343.75</v>
      </c>
      <c r="Y19" s="24">
        <f t="shared" si="32"/>
        <v>6343.75</v>
      </c>
      <c r="Z19" s="24">
        <f t="shared" si="32"/>
        <v>6343.75</v>
      </c>
    </row>
    <row r="20" spans="1:26">
      <c r="B20" s="50"/>
    </row>
    <row r="21" spans="1:26">
      <c r="A21" s="25" t="s">
        <v>50</v>
      </c>
      <c r="B21" s="50"/>
    </row>
    <row r="22" spans="1:26">
      <c r="A22" s="29" t="str">
        <f>A17</f>
        <v>Year ending on</v>
      </c>
      <c r="B22" s="30">
        <f>B17</f>
        <v>41729</v>
      </c>
      <c r="C22" s="30">
        <f t="shared" ref="C22:Z22" si="33">C17</f>
        <v>42094</v>
      </c>
      <c r="D22" s="30">
        <f t="shared" si="33"/>
        <v>42460</v>
      </c>
      <c r="E22" s="30">
        <f t="shared" si="33"/>
        <v>42825</v>
      </c>
      <c r="F22" s="30">
        <f t="shared" si="33"/>
        <v>43190</v>
      </c>
      <c r="G22" s="30">
        <f t="shared" si="33"/>
        <v>43555</v>
      </c>
      <c r="H22" s="30">
        <f t="shared" si="33"/>
        <v>43921</v>
      </c>
      <c r="I22" s="30">
        <f t="shared" si="33"/>
        <v>44286</v>
      </c>
      <c r="J22" s="30">
        <f t="shared" si="33"/>
        <v>44651</v>
      </c>
      <c r="K22" s="30">
        <f t="shared" si="33"/>
        <v>45016</v>
      </c>
      <c r="L22" s="30">
        <f t="shared" si="33"/>
        <v>45382</v>
      </c>
      <c r="M22" s="30">
        <f t="shared" si="33"/>
        <v>45747</v>
      </c>
      <c r="N22" s="30">
        <f t="shared" si="33"/>
        <v>46112</v>
      </c>
      <c r="O22" s="30">
        <f t="shared" si="33"/>
        <v>46477</v>
      </c>
      <c r="P22" s="30">
        <f t="shared" si="33"/>
        <v>46843</v>
      </c>
      <c r="Q22" s="30">
        <f t="shared" si="33"/>
        <v>47208</v>
      </c>
      <c r="R22" s="30">
        <f t="shared" si="33"/>
        <v>47573</v>
      </c>
      <c r="S22" s="30">
        <f t="shared" si="33"/>
        <v>47938</v>
      </c>
      <c r="T22" s="30">
        <f t="shared" si="33"/>
        <v>48304</v>
      </c>
      <c r="U22" s="30">
        <f t="shared" si="33"/>
        <v>48669</v>
      </c>
      <c r="V22" s="30">
        <f t="shared" si="33"/>
        <v>49034</v>
      </c>
      <c r="W22" s="30">
        <f t="shared" si="33"/>
        <v>49399</v>
      </c>
      <c r="X22" s="30">
        <f t="shared" si="33"/>
        <v>49765</v>
      </c>
      <c r="Y22" s="30">
        <f t="shared" si="33"/>
        <v>50130</v>
      </c>
      <c r="Z22" s="30">
        <f t="shared" si="33"/>
        <v>50495</v>
      </c>
    </row>
    <row r="23" spans="1:26" s="78" customFormat="1">
      <c r="A23" s="102" t="s">
        <v>263</v>
      </c>
      <c r="B23" s="77">
        <f>IF(B2&lt;=12,B18*Assumption!$D$27*depre!B4/B3,(Assumption!$D$10-(Assumption!$D$10*Assumption!$D$28)-SUM($B$23:$M$23))/13)</f>
        <v>334.03232876712332</v>
      </c>
      <c r="C23" s="77">
        <f>IF(C2&lt;=12,C18*Assumption!$D$27*depre!C4/C3,(Assumption!$D$10-(Assumption!$D$10*Assumption!$D$28)-SUM($B$23:$M$23))/13)</f>
        <v>334.95</v>
      </c>
      <c r="D23" s="77">
        <f>IF(D2&lt;=12,D18*Assumption!$D$27*depre!D4/D3,(Assumption!$D$10-(Assumption!$D$10*Assumption!$D$28)-SUM($B$23:$M$23))/13)</f>
        <v>334.95</v>
      </c>
      <c r="E23" s="77">
        <f>IF(E2&lt;=12,E18*Assumption!$D$27*depre!E4/E3,(Assumption!$D$10-(Assumption!$D$10*Assumption!$D$28)-SUM($B$23:$M$23))/13)</f>
        <v>334.95</v>
      </c>
      <c r="F23" s="77">
        <f>IF(F2&lt;=12,F18*Assumption!$D$27*depre!F4/F3,(Assumption!$D$10-(Assumption!$D$10*Assumption!$D$28)-SUM($B$23:$M$23))/13)</f>
        <v>334.95</v>
      </c>
      <c r="G23" s="77">
        <f>IF(G2&lt;=12,G18*Assumption!$D$27*depre!G4/G3,(Assumption!$D$10-(Assumption!$D$10*Assumption!$D$28)-SUM($B$23:$M$23))/13)</f>
        <v>334.95</v>
      </c>
      <c r="H23" s="77">
        <f>IF(H2&lt;=12,H18*Assumption!$D$27*depre!H4/H3,(Assumption!$D$10-(Assumption!$D$10*Assumption!$D$28)-SUM($B$23:$M$23))/13)</f>
        <v>334.95</v>
      </c>
      <c r="I23" s="77">
        <f>IF(I2&lt;=12,I18*Assumption!$D$27*depre!I4/I3,(Assumption!$D$10-(Assumption!$D$10*Assumption!$D$28)-SUM($B$23:$M$23))/13)</f>
        <v>334.95</v>
      </c>
      <c r="J23" s="77">
        <f>IF(J2&lt;=12,J18*Assumption!$D$27*depre!J4/J3,(Assumption!$D$10-(Assumption!$D$10*Assumption!$D$28)-SUM($B$23:$M$23))/13)</f>
        <v>334.95</v>
      </c>
      <c r="K23" s="77">
        <f>IF(K2&lt;=12,K18*Assumption!$D$27*depre!K4/K3,(Assumption!$D$10-(Assumption!$D$10*Assumption!$D$28)-SUM($B$23:$M$23))/13)</f>
        <v>334.95</v>
      </c>
      <c r="L23" s="77">
        <f>IF(L2&lt;=12,L18*Assumption!$D$27*depre!L4/L3,(Assumption!$D$10-(Assumption!$D$10*Assumption!$D$28)-SUM($B$23:$M$23))/13)</f>
        <v>334.95</v>
      </c>
      <c r="M23" s="77">
        <f>IF(M2&lt;=12,M18*Assumption!$D$27*depre!M4/M3,(Assumption!$D$10-(Assumption!$D$10*Assumption!$D$28)-SUM($B$23:$M$23))/13)</f>
        <v>334.95</v>
      </c>
      <c r="N23" s="77">
        <f>IF(N2&lt;=12,N18*Assumption!$D$27*depre!N4/N3,(Assumption!$D$10-(Assumption!$D$10*Assumption!$D$28)-SUM($B$23:$M$23))/13)</f>
        <v>130.06866701791367</v>
      </c>
      <c r="O23" s="77">
        <f>IF(O2&lt;=12,O18*Assumption!$D$27*depre!O4/O3,(Assumption!$D$10-(Assumption!$D$10*Assumption!$D$28)-SUM($B$23:$M$23))/13)</f>
        <v>130.06866701791367</v>
      </c>
      <c r="P23" s="77">
        <f>IF(P2&lt;=12,P18*Assumption!$D$27*depre!P4/P3,(Assumption!$D$10-(Assumption!$D$10*Assumption!$D$28)-SUM($B$23:$M$23))/13)</f>
        <v>130.06866701791367</v>
      </c>
      <c r="Q23" s="77">
        <f>IF(Q2&lt;=12,Q18*Assumption!$D$27*depre!Q4/Q3,(Assumption!$D$10-(Assumption!$D$10*Assumption!$D$28)-SUM($B$23:$M$23))/13)</f>
        <v>130.06866701791367</v>
      </c>
      <c r="R23" s="77">
        <f>IF(R2&lt;=12,R18*Assumption!$D$27*depre!R4/R3,(Assumption!$D$10-(Assumption!$D$10*Assumption!$D$28)-SUM($B$23:$M$23))/13)</f>
        <v>130.06866701791367</v>
      </c>
      <c r="S23" s="77">
        <f>IF(S2&lt;=12,S18*Assumption!$D$27*depre!S4/S3,(Assumption!$D$10-(Assumption!$D$10*Assumption!$D$28)-SUM($B$23:$M$23))/13)</f>
        <v>130.06866701791367</v>
      </c>
      <c r="T23" s="77">
        <f>IF(T2&lt;=12,T18*Assumption!$D$27*depre!T4/T3,(Assumption!$D$10-(Assumption!$D$10*Assumption!$D$28)-SUM($B$23:$M$23))/13)</f>
        <v>130.06866701791367</v>
      </c>
      <c r="U23" s="77">
        <f>IF(U2&lt;=12,U18*Assumption!$D$27*depre!U4/U3,(Assumption!$D$10-(Assumption!$D$10*Assumption!$D$28)-SUM($B$23:$M$23))/13)</f>
        <v>130.06866701791367</v>
      </c>
      <c r="V23" s="77">
        <f>IF(V2&lt;=12,V18*Assumption!$D$27*depre!V4/V3,(Assumption!$D$10-(Assumption!$D$10*Assumption!$D$28)-SUM($B$23:$M$23))/13)</f>
        <v>130.06866701791367</v>
      </c>
      <c r="W23" s="77">
        <f>IF(W2&lt;=12,W18*Assumption!$D$27*depre!W4/W3,(Assumption!$D$10-(Assumption!$D$10*Assumption!$D$28)-SUM($B$23:$M$23))/13)</f>
        <v>130.06866701791367</v>
      </c>
      <c r="X23" s="77">
        <f>IF(X2&lt;=12,X18*Assumption!$D$27*depre!X4/X3,(Assumption!$D$10-(Assumption!$D$10*Assumption!$D$28)-SUM($B$23:$M$23))/13)</f>
        <v>130.06866701791367</v>
      </c>
      <c r="Y23" s="77">
        <f>IF(Y2&lt;=12,Y18*Assumption!$D$27*depre!Y4/Y3,(Assumption!$D$10-(Assumption!$D$10*Assumption!$D$28)-SUM($B$23:$M$23))/13)</f>
        <v>130.06866701791367</v>
      </c>
      <c r="Z23" s="77">
        <f>IF(Z2&lt;=12,Z18*Assumption!$D$27*depre!Z4/Z3,(Assumption!$D$10-(Assumption!$D$10*Assumption!$D$28)-SUM($B$23:$M$23))/13)</f>
        <v>130.06866701791367</v>
      </c>
    </row>
    <row r="24" spans="1:26">
      <c r="A24" s="29"/>
      <c r="B24" s="77">
        <f t="shared" ref="B24:Z24" si="34">SUM(B23:B23)</f>
        <v>334.03232876712332</v>
      </c>
      <c r="C24" s="24">
        <f t="shared" si="34"/>
        <v>334.95</v>
      </c>
      <c r="D24" s="24">
        <f t="shared" si="34"/>
        <v>334.95</v>
      </c>
      <c r="E24" s="24">
        <f t="shared" si="34"/>
        <v>334.95</v>
      </c>
      <c r="F24" s="24">
        <f t="shared" si="34"/>
        <v>334.95</v>
      </c>
      <c r="G24" s="24">
        <f t="shared" si="34"/>
        <v>334.95</v>
      </c>
      <c r="H24" s="24">
        <f t="shared" si="34"/>
        <v>334.95</v>
      </c>
      <c r="I24" s="24">
        <f t="shared" si="34"/>
        <v>334.95</v>
      </c>
      <c r="J24" s="24">
        <f t="shared" si="34"/>
        <v>334.95</v>
      </c>
      <c r="K24" s="24">
        <f t="shared" si="34"/>
        <v>334.95</v>
      </c>
      <c r="L24" s="24">
        <f t="shared" si="34"/>
        <v>334.95</v>
      </c>
      <c r="M24" s="24">
        <f t="shared" si="34"/>
        <v>334.95</v>
      </c>
      <c r="N24" s="24">
        <f t="shared" si="34"/>
        <v>130.06866701791367</v>
      </c>
      <c r="O24" s="24">
        <f t="shared" si="34"/>
        <v>130.06866701791367</v>
      </c>
      <c r="P24" s="24">
        <f t="shared" si="34"/>
        <v>130.06866701791367</v>
      </c>
      <c r="Q24" s="24">
        <f t="shared" si="34"/>
        <v>130.06866701791367</v>
      </c>
      <c r="R24" s="24">
        <f t="shared" si="34"/>
        <v>130.06866701791367</v>
      </c>
      <c r="S24" s="24">
        <f t="shared" si="34"/>
        <v>130.06866701791367</v>
      </c>
      <c r="T24" s="24">
        <f t="shared" si="34"/>
        <v>130.06866701791367</v>
      </c>
      <c r="U24" s="24">
        <f t="shared" si="34"/>
        <v>130.06866701791367</v>
      </c>
      <c r="V24" s="24">
        <f t="shared" si="34"/>
        <v>130.06866701791367</v>
      </c>
      <c r="W24" s="24">
        <f t="shared" si="34"/>
        <v>130.06866701791367</v>
      </c>
      <c r="X24" s="24">
        <f t="shared" si="34"/>
        <v>130.06866701791367</v>
      </c>
      <c r="Y24" s="24">
        <f t="shared" si="34"/>
        <v>130.06866701791367</v>
      </c>
      <c r="Z24" s="24">
        <f t="shared" si="34"/>
        <v>130.06866701791367</v>
      </c>
    </row>
    <row r="25" spans="1:26">
      <c r="A25" s="25" t="s">
        <v>130</v>
      </c>
    </row>
    <row r="26" spans="1:26">
      <c r="A26" s="29"/>
      <c r="B26" s="30">
        <f>B22</f>
        <v>41729</v>
      </c>
      <c r="C26" s="30">
        <f t="shared" ref="C26:Z26" si="35">C22</f>
        <v>42094</v>
      </c>
      <c r="D26" s="30">
        <f t="shared" si="35"/>
        <v>42460</v>
      </c>
      <c r="E26" s="30">
        <f t="shared" si="35"/>
        <v>42825</v>
      </c>
      <c r="F26" s="30">
        <f t="shared" si="35"/>
        <v>43190</v>
      </c>
      <c r="G26" s="30">
        <f t="shared" si="35"/>
        <v>43555</v>
      </c>
      <c r="H26" s="30">
        <f t="shared" si="35"/>
        <v>43921</v>
      </c>
      <c r="I26" s="30">
        <f t="shared" si="35"/>
        <v>44286</v>
      </c>
      <c r="J26" s="30">
        <f t="shared" si="35"/>
        <v>44651</v>
      </c>
      <c r="K26" s="30">
        <f t="shared" si="35"/>
        <v>45016</v>
      </c>
      <c r="L26" s="30">
        <f t="shared" si="35"/>
        <v>45382</v>
      </c>
      <c r="M26" s="30">
        <f t="shared" si="35"/>
        <v>45747</v>
      </c>
      <c r="N26" s="30">
        <f t="shared" si="35"/>
        <v>46112</v>
      </c>
      <c r="O26" s="30">
        <f t="shared" si="35"/>
        <v>46477</v>
      </c>
      <c r="P26" s="30">
        <f t="shared" si="35"/>
        <v>46843</v>
      </c>
      <c r="Q26" s="30">
        <f t="shared" si="35"/>
        <v>47208</v>
      </c>
      <c r="R26" s="30">
        <f t="shared" si="35"/>
        <v>47573</v>
      </c>
      <c r="S26" s="30">
        <f t="shared" si="35"/>
        <v>47938</v>
      </c>
      <c r="T26" s="30">
        <f t="shared" si="35"/>
        <v>48304</v>
      </c>
      <c r="U26" s="30">
        <f t="shared" si="35"/>
        <v>48669</v>
      </c>
      <c r="V26" s="30">
        <f t="shared" si="35"/>
        <v>49034</v>
      </c>
      <c r="W26" s="30">
        <f t="shared" si="35"/>
        <v>49399</v>
      </c>
      <c r="X26" s="30">
        <f t="shared" si="35"/>
        <v>49765</v>
      </c>
      <c r="Y26" s="30">
        <f t="shared" si="35"/>
        <v>50130</v>
      </c>
      <c r="Z26" s="30">
        <f t="shared" si="35"/>
        <v>50495</v>
      </c>
    </row>
    <row r="27" spans="1:26" s="78" customFormat="1">
      <c r="A27" s="102" t="s">
        <v>263</v>
      </c>
      <c r="B27" s="77">
        <f>MAX(MIN(B19*Assumption!$D$33*depre!B4/B3,B19-$B$31),0)</f>
        <v>334.03232876712332</v>
      </c>
      <c r="C27" s="77">
        <f>MAX(MIN(C19*Assumption!$D$33*depre!C4/C3,(C19-$B$31-B29)),0)</f>
        <v>334.95</v>
      </c>
      <c r="D27" s="77">
        <f>MAX(MIN(D19*Assumption!$D$33*depre!D4/D3,(D19-$B$31-C29)),0)</f>
        <v>334.95</v>
      </c>
      <c r="E27" s="77">
        <f>MAX(MIN(E19*Assumption!$D$33*depre!E4/E3,(E19-$B$31-D29)),0)</f>
        <v>334.95</v>
      </c>
      <c r="F27" s="77">
        <f>MAX(MIN(F19*Assumption!$D$33*depre!F4/F3,(F19-$B$31-E29)),0)</f>
        <v>334.95</v>
      </c>
      <c r="G27" s="77">
        <f>MAX(MIN(G19*Assumption!$D$33*depre!G4/G3,(G19-$B$31-F29)),0)</f>
        <v>334.95</v>
      </c>
      <c r="H27" s="77">
        <f>MAX(MIN(H19*Assumption!$D$33*depre!H4/H3,(H19-$B$31-G29)),0)</f>
        <v>334.95</v>
      </c>
      <c r="I27" s="77">
        <f>MAX(MIN(I19*Assumption!$D$33*depre!I4/I3,(I19-$B$31-H29)),0)</f>
        <v>334.95</v>
      </c>
      <c r="J27" s="77">
        <f>MAX(MIN(J19*Assumption!$D$33*depre!J4/J3,(J19-$B$31-I29)),0)</f>
        <v>334.95</v>
      </c>
      <c r="K27" s="77">
        <f>MAX(MIN(K19*Assumption!$D$33*depre!K4/K3,(K19-$B$31-J29)),0)</f>
        <v>334.95</v>
      </c>
      <c r="L27" s="77">
        <f>MAX(MIN(L19*Assumption!$D$33*depre!L4/L3,(L19-$B$31-K29)),0)</f>
        <v>334.95</v>
      </c>
      <c r="M27" s="77">
        <f>MAX(MIN(M19*Assumption!$D$33*depre!M4/M3,(M19-$B$31-L29)),0)</f>
        <v>334.95</v>
      </c>
      <c r="N27" s="77">
        <f>MAX(MIN(N19*Assumption!$D$33*depre!N4/N3,(N19-$B$31-M29)),0)</f>
        <v>334.95</v>
      </c>
      <c r="O27" s="77">
        <f>MAX(MIN(O19*Assumption!$D$33*depre!O4/O3,(O19-$B$31-N29)),0)</f>
        <v>334.95</v>
      </c>
      <c r="P27" s="77">
        <f>MAX(MIN(P19*Assumption!$D$33*depre!P4/P3,(P19-$B$31-O29)),0)</f>
        <v>334.95</v>
      </c>
      <c r="Q27" s="77">
        <f>MAX(MIN(Q19*Assumption!$D$33*depre!Q4/Q3,(Q19-$B$31-P29)),0)</f>
        <v>334.95</v>
      </c>
      <c r="R27" s="77">
        <f>MAX(MIN(R19*Assumption!$D$33*depre!R4/R3,(R19-$B$31-Q29)),0)</f>
        <v>334.95</v>
      </c>
      <c r="S27" s="77">
        <f>MAX(MIN(S19*Assumption!$D$33*depre!S4/S3,(S19-$B$31-R29)),0)</f>
        <v>334.95</v>
      </c>
      <c r="T27" s="77">
        <f>MAX(MIN(T19*Assumption!$D$33*depre!T4/365,S30-$B$31),0)</f>
        <v>315.56767123287864</v>
      </c>
      <c r="U27" s="77">
        <f>MAX(MIN(U19*Assumption!$D$33*depre!U4/365,T30-$B$31),0)</f>
        <v>0</v>
      </c>
      <c r="V27" s="77">
        <f>MAX(MIN(V19*Assumption!$D$33*depre!V4/365,U30-$B$31),0)</f>
        <v>0</v>
      </c>
      <c r="W27" s="77">
        <f>MAX(MIN(W19*Assumption!$D$33*depre!W4/365,V30-$B$31),0)</f>
        <v>0</v>
      </c>
      <c r="X27" s="77">
        <f>MAX(MIN(X19*Assumption!$D$33*depre!X4/365,W30-$B$31),0)</f>
        <v>0</v>
      </c>
      <c r="Y27" s="77">
        <f>MAX(MIN(Y19*Assumption!$D$33*depre!Y4/365,X30-$B$31),0)</f>
        <v>0</v>
      </c>
      <c r="Z27" s="77">
        <f>MAX(MIN(Z19*Assumption!$D$33*depre!Z4/365,Y30-$B$31),0)</f>
        <v>0</v>
      </c>
    </row>
    <row r="28" spans="1:26">
      <c r="A28" s="29" t="s">
        <v>258</v>
      </c>
      <c r="B28" s="77">
        <f t="shared" ref="B28:Z28" si="36">SUM(B27:B27)</f>
        <v>334.03232876712332</v>
      </c>
      <c r="C28" s="24">
        <f t="shared" si="36"/>
        <v>334.95</v>
      </c>
      <c r="D28" s="24">
        <f t="shared" si="36"/>
        <v>334.95</v>
      </c>
      <c r="E28" s="24">
        <f t="shared" si="36"/>
        <v>334.95</v>
      </c>
      <c r="F28" s="24">
        <f t="shared" si="36"/>
        <v>334.95</v>
      </c>
      <c r="G28" s="24">
        <f t="shared" si="36"/>
        <v>334.95</v>
      </c>
      <c r="H28" s="24">
        <f t="shared" si="36"/>
        <v>334.95</v>
      </c>
      <c r="I28" s="24">
        <f t="shared" si="36"/>
        <v>334.95</v>
      </c>
      <c r="J28" s="24">
        <f t="shared" si="36"/>
        <v>334.95</v>
      </c>
      <c r="K28" s="24">
        <f t="shared" si="36"/>
        <v>334.95</v>
      </c>
      <c r="L28" s="24">
        <f t="shared" si="36"/>
        <v>334.95</v>
      </c>
      <c r="M28" s="24">
        <f t="shared" si="36"/>
        <v>334.95</v>
      </c>
      <c r="N28" s="24">
        <f t="shared" si="36"/>
        <v>334.95</v>
      </c>
      <c r="O28" s="24">
        <f t="shared" si="36"/>
        <v>334.95</v>
      </c>
      <c r="P28" s="24">
        <f t="shared" si="36"/>
        <v>334.95</v>
      </c>
      <c r="Q28" s="24">
        <f t="shared" si="36"/>
        <v>334.95</v>
      </c>
      <c r="R28" s="24">
        <f t="shared" si="36"/>
        <v>334.95</v>
      </c>
      <c r="S28" s="24">
        <f t="shared" si="36"/>
        <v>334.95</v>
      </c>
      <c r="T28" s="24">
        <f t="shared" si="36"/>
        <v>315.56767123287864</v>
      </c>
      <c r="U28" s="24">
        <f t="shared" si="36"/>
        <v>0</v>
      </c>
      <c r="V28" s="24">
        <f t="shared" si="36"/>
        <v>0</v>
      </c>
      <c r="W28" s="24">
        <f t="shared" si="36"/>
        <v>0</v>
      </c>
      <c r="X28" s="24">
        <f t="shared" si="36"/>
        <v>0</v>
      </c>
      <c r="Y28" s="24">
        <f t="shared" si="36"/>
        <v>0</v>
      </c>
      <c r="Z28" s="24">
        <f t="shared" si="36"/>
        <v>0</v>
      </c>
    </row>
    <row r="29" spans="1:26">
      <c r="A29" s="29" t="s">
        <v>259</v>
      </c>
      <c r="B29" s="24">
        <f>B28</f>
        <v>334.03232876712332</v>
      </c>
      <c r="C29" s="24">
        <f>B29+C28</f>
        <v>668.98232876712336</v>
      </c>
      <c r="D29" s="24">
        <f t="shared" ref="D29:Z29" si="37">C29+D28</f>
        <v>1003.9323287671234</v>
      </c>
      <c r="E29" s="24">
        <f t="shared" si="37"/>
        <v>1338.8823287671235</v>
      </c>
      <c r="F29" s="24">
        <f t="shared" si="37"/>
        <v>1673.8323287671235</v>
      </c>
      <c r="G29" s="24">
        <f t="shared" si="37"/>
        <v>2008.7823287671235</v>
      </c>
      <c r="H29" s="24">
        <f t="shared" si="37"/>
        <v>2343.7323287671234</v>
      </c>
      <c r="I29" s="24">
        <f t="shared" si="37"/>
        <v>2678.6823287671232</v>
      </c>
      <c r="J29" s="24">
        <f t="shared" si="37"/>
        <v>3013.632328767123</v>
      </c>
      <c r="K29" s="24">
        <f t="shared" si="37"/>
        <v>3348.5823287671228</v>
      </c>
      <c r="L29" s="24">
        <f t="shared" si="37"/>
        <v>3683.5323287671226</v>
      </c>
      <c r="M29" s="24">
        <f t="shared" si="37"/>
        <v>4018.4823287671225</v>
      </c>
      <c r="N29" s="24">
        <f t="shared" si="37"/>
        <v>4353.4323287671223</v>
      </c>
      <c r="O29" s="24">
        <f t="shared" si="37"/>
        <v>4688.3823287671221</v>
      </c>
      <c r="P29" s="24">
        <f t="shared" si="37"/>
        <v>5023.3323287671219</v>
      </c>
      <c r="Q29" s="24">
        <f t="shared" si="37"/>
        <v>5358.2823287671217</v>
      </c>
      <c r="R29" s="24">
        <f t="shared" si="37"/>
        <v>5693.2323287671215</v>
      </c>
      <c r="S29" s="24">
        <f t="shared" si="37"/>
        <v>6028.1823287671214</v>
      </c>
      <c r="T29" s="24">
        <f t="shared" si="37"/>
        <v>6343.75</v>
      </c>
      <c r="U29" s="24">
        <f t="shared" si="37"/>
        <v>6343.75</v>
      </c>
      <c r="V29" s="24">
        <f t="shared" si="37"/>
        <v>6343.75</v>
      </c>
      <c r="W29" s="24">
        <f t="shared" si="37"/>
        <v>6343.75</v>
      </c>
      <c r="X29" s="24">
        <f t="shared" si="37"/>
        <v>6343.75</v>
      </c>
      <c r="Y29" s="24">
        <f t="shared" si="37"/>
        <v>6343.75</v>
      </c>
      <c r="Z29" s="24">
        <f t="shared" si="37"/>
        <v>6343.75</v>
      </c>
    </row>
    <row r="30" spans="1:26">
      <c r="A30" s="29" t="s">
        <v>131</v>
      </c>
      <c r="B30" s="24">
        <f>B19-B29</f>
        <v>6009.7176712328765</v>
      </c>
      <c r="C30" s="24">
        <f t="shared" ref="C30:Z30" si="38">C19-C29</f>
        <v>5674.7676712328766</v>
      </c>
      <c r="D30" s="24">
        <f t="shared" si="38"/>
        <v>5339.8176712328768</v>
      </c>
      <c r="E30" s="24">
        <f t="shared" si="38"/>
        <v>5004.8676712328761</v>
      </c>
      <c r="F30" s="24">
        <f t="shared" si="38"/>
        <v>4669.9176712328763</v>
      </c>
      <c r="G30" s="24">
        <f t="shared" si="38"/>
        <v>4334.9676712328765</v>
      </c>
      <c r="H30" s="24">
        <f t="shared" si="38"/>
        <v>4000.0176712328766</v>
      </c>
      <c r="I30" s="24">
        <f t="shared" si="38"/>
        <v>3665.0676712328768</v>
      </c>
      <c r="J30" s="24">
        <f t="shared" si="38"/>
        <v>3330.117671232877</v>
      </c>
      <c r="K30" s="24">
        <f t="shared" si="38"/>
        <v>2995.1676712328772</v>
      </c>
      <c r="L30" s="24">
        <f t="shared" si="38"/>
        <v>2660.2176712328774</v>
      </c>
      <c r="M30" s="24">
        <f t="shared" si="38"/>
        <v>2325.2676712328775</v>
      </c>
      <c r="N30" s="24">
        <f t="shared" si="38"/>
        <v>1990.3176712328777</v>
      </c>
      <c r="O30" s="24">
        <f t="shared" si="38"/>
        <v>1655.3676712328779</v>
      </c>
      <c r="P30" s="24">
        <f t="shared" si="38"/>
        <v>1320.4176712328781</v>
      </c>
      <c r="Q30" s="24">
        <f t="shared" si="38"/>
        <v>985.46767123287827</v>
      </c>
      <c r="R30" s="24">
        <f t="shared" si="38"/>
        <v>650.51767123287846</v>
      </c>
      <c r="S30" s="24">
        <f t="shared" si="38"/>
        <v>315.56767123287864</v>
      </c>
      <c r="T30" s="24">
        <f t="shared" si="38"/>
        <v>0</v>
      </c>
      <c r="U30" s="24">
        <f t="shared" si="38"/>
        <v>0</v>
      </c>
      <c r="V30" s="24">
        <f t="shared" si="38"/>
        <v>0</v>
      </c>
      <c r="W30" s="24">
        <f t="shared" si="38"/>
        <v>0</v>
      </c>
      <c r="X30" s="24">
        <f t="shared" si="38"/>
        <v>0</v>
      </c>
      <c r="Y30" s="24">
        <f t="shared" si="38"/>
        <v>0</v>
      </c>
      <c r="Z30" s="24">
        <f t="shared" si="38"/>
        <v>0</v>
      </c>
    </row>
    <row r="31" spans="1:26">
      <c r="A31" s="79" t="s">
        <v>264</v>
      </c>
      <c r="B31" s="29">
        <f>'term loan '!C25*Assumption!D34</f>
        <v>0</v>
      </c>
      <c r="C31" s="29"/>
      <c r="D31" s="29"/>
      <c r="E31" s="29"/>
      <c r="F31" s="29"/>
      <c r="G31" s="29"/>
      <c r="H31" s="29"/>
      <c r="I31" s="29"/>
      <c r="J31" s="29"/>
      <c r="K31" s="29"/>
      <c r="L31" s="29"/>
      <c r="M31" s="29"/>
      <c r="N31" s="29"/>
      <c r="O31" s="29"/>
      <c r="P31" s="29"/>
      <c r="Q31" s="24"/>
      <c r="R31" s="24"/>
      <c r="S31" s="24"/>
      <c r="T31" s="29"/>
      <c r="U31" s="29"/>
      <c r="V31" s="29"/>
      <c r="W31" s="29"/>
      <c r="X31" s="29"/>
      <c r="Y31" s="29"/>
      <c r="Z31" s="29"/>
    </row>
  </sheetData>
  <customSheetViews>
    <customSheetView guid="{6D27EB6A-3939-4201-8E4B-897AA8118F21}" scale="85" showPageBreaks="1" printArea="1" view="pageBreakPreview">
      <selection activeCell="A20" sqref="A20"/>
      <pageMargins left="0.75" right="0.75" top="1" bottom="0.63" header="0.5" footer="0.5"/>
      <pageSetup scale="70" orientation="landscape" r:id="rId1"/>
      <headerFooter alignWithMargins="0"/>
    </customSheetView>
  </customSheetViews>
  <phoneticPr fontId="4" type="noConversion"/>
  <pageMargins left="0.75" right="0.75" top="1" bottom="0.63" header="0.5" footer="0.5"/>
  <pageSetup scale="70" orientation="landscape" r:id="rId2"/>
  <headerFooter alignWithMargins="0"/>
</worksheet>
</file>

<file path=xl/worksheets/sheet5.xml><?xml version="1.0" encoding="utf-8"?>
<worksheet xmlns="http://schemas.openxmlformats.org/spreadsheetml/2006/main" xmlns:r="http://schemas.openxmlformats.org/officeDocument/2006/relationships">
  <sheetPr codeName="Sheet4">
    <pageSetUpPr fitToPage="1"/>
  </sheetPr>
  <dimension ref="A1:S28"/>
  <sheetViews>
    <sheetView view="pageBreakPreview" topLeftCell="A13" zoomScaleSheetLayoutView="100" workbookViewId="0">
      <selection activeCell="H27" sqref="H27"/>
    </sheetView>
  </sheetViews>
  <sheetFormatPr defaultRowHeight="15"/>
  <cols>
    <col min="1" max="1" width="5.28515625" style="25" bestFit="1" customWidth="1"/>
    <col min="2" max="2" width="12.7109375" style="25" customWidth="1"/>
    <col min="3" max="3" width="11.7109375" style="25" bestFit="1" customWidth="1"/>
    <col min="4" max="4" width="11.140625" style="25" customWidth="1"/>
    <col min="5" max="5" width="33" style="25" customWidth="1"/>
    <col min="6" max="6" width="10.140625" style="25" customWidth="1"/>
    <col min="7" max="7" width="5.28515625" style="25" bestFit="1" customWidth="1"/>
    <col min="8" max="8" width="13.140625" style="25" customWidth="1"/>
    <col min="9" max="9" width="14.5703125" style="25" customWidth="1"/>
    <col min="10" max="11" width="11.7109375" style="25" customWidth="1"/>
    <col min="12" max="12" width="12.28515625" style="25" customWidth="1"/>
    <col min="13" max="13" width="15.42578125" style="25" customWidth="1"/>
    <col min="14" max="14" width="12.7109375" style="25" customWidth="1"/>
    <col min="15" max="15" width="13.28515625" style="25" customWidth="1"/>
    <col min="16" max="16" width="11.7109375" style="25" customWidth="1"/>
    <col min="17" max="17" width="11.42578125" style="25" customWidth="1"/>
    <col min="18" max="18" width="16.85546875" style="25" customWidth="1"/>
    <col min="19" max="19" width="24.7109375" style="25" customWidth="1"/>
    <col min="20" max="20" width="15.5703125" style="25" customWidth="1"/>
    <col min="21" max="21" width="12.28515625" style="25" bestFit="1" customWidth="1"/>
    <col min="22" max="22" width="12.28515625" style="25" customWidth="1"/>
    <col min="23" max="29" width="12.28515625" style="25" bestFit="1" customWidth="1"/>
    <col min="30" max="30" width="11.85546875" style="25" customWidth="1"/>
    <col min="31" max="31" width="11.7109375" style="25" customWidth="1"/>
    <col min="32" max="16384" width="9.140625" style="25"/>
  </cols>
  <sheetData>
    <row r="1" spans="1:19">
      <c r="A1" s="152" t="s">
        <v>3</v>
      </c>
      <c r="B1" s="152"/>
      <c r="C1" s="152"/>
      <c r="D1" s="152"/>
      <c r="E1" s="152"/>
      <c r="F1" s="155" t="s">
        <v>215</v>
      </c>
      <c r="G1" s="152" t="s">
        <v>132</v>
      </c>
      <c r="H1" s="152"/>
      <c r="I1" s="152"/>
      <c r="J1" s="152"/>
      <c r="K1" s="152"/>
      <c r="L1" s="152"/>
      <c r="M1" s="152"/>
      <c r="N1" s="152"/>
      <c r="O1" s="152"/>
      <c r="P1" s="152"/>
      <c r="Q1" s="152"/>
      <c r="R1" s="73"/>
      <c r="S1" s="73"/>
    </row>
    <row r="2" spans="1:19" ht="18.75" customHeight="1">
      <c r="A2" s="152" t="s">
        <v>33</v>
      </c>
      <c r="B2" s="152"/>
      <c r="C2" s="152"/>
      <c r="D2" s="152"/>
      <c r="E2" s="152"/>
      <c r="F2" s="155"/>
      <c r="G2" s="152" t="s">
        <v>33</v>
      </c>
      <c r="H2" s="152"/>
      <c r="I2" s="152"/>
      <c r="J2" s="152"/>
      <c r="K2" s="152"/>
      <c r="L2" s="152"/>
      <c r="M2" s="152"/>
      <c r="N2" s="152"/>
      <c r="O2" s="152"/>
      <c r="P2" s="152"/>
      <c r="Q2" s="152"/>
      <c r="S2" s="74"/>
    </row>
    <row r="3" spans="1:19" ht="60" customHeight="1">
      <c r="A3" s="75" t="s">
        <v>4</v>
      </c>
      <c r="B3" s="75" t="s">
        <v>265</v>
      </c>
      <c r="C3" s="75" t="s">
        <v>266</v>
      </c>
      <c r="D3" s="75" t="s">
        <v>267</v>
      </c>
      <c r="E3" s="104" t="s">
        <v>268</v>
      </c>
      <c r="F3" s="155"/>
      <c r="G3" s="75" t="s">
        <v>4</v>
      </c>
      <c r="H3" s="75" t="s">
        <v>265</v>
      </c>
      <c r="I3" s="75" t="s">
        <v>269</v>
      </c>
      <c r="J3" s="75" t="s">
        <v>270</v>
      </c>
      <c r="K3" s="75" t="s">
        <v>271</v>
      </c>
      <c r="L3" s="75" t="s">
        <v>270</v>
      </c>
      <c r="M3" s="75" t="s">
        <v>272</v>
      </c>
      <c r="N3" s="75" t="s">
        <v>270</v>
      </c>
      <c r="O3" s="75" t="s">
        <v>273</v>
      </c>
      <c r="P3" s="75" t="s">
        <v>270</v>
      </c>
      <c r="Q3" s="101" t="s">
        <v>268</v>
      </c>
      <c r="R3" s="5"/>
      <c r="S3" s="5"/>
    </row>
    <row r="4" spans="1:19">
      <c r="A4" s="29">
        <v>2013</v>
      </c>
      <c r="B4" s="31">
        <f>C26</f>
        <v>4440.625</v>
      </c>
      <c r="C4" s="31">
        <f>depre!B8</f>
        <v>334.03232876712332</v>
      </c>
      <c r="D4" s="31">
        <f>B4-C4</f>
        <v>4106.5926712328765</v>
      </c>
      <c r="E4" s="31">
        <f>((B4+D4)/2)*F4/365*Assumption!$D$13</f>
        <v>511.42803819103017</v>
      </c>
      <c r="F4" s="29">
        <f>depre!B4</f>
        <v>364</v>
      </c>
      <c r="G4" s="29">
        <v>2013</v>
      </c>
      <c r="H4" s="31">
        <f>C26</f>
        <v>4440.625</v>
      </c>
      <c r="I4" s="31">
        <v>0</v>
      </c>
      <c r="J4" s="31">
        <f>H4-I4</f>
        <v>4440.625</v>
      </c>
      <c r="K4" s="31">
        <v>0</v>
      </c>
      <c r="L4" s="31">
        <f>J4-K4</f>
        <v>4440.625</v>
      </c>
      <c r="M4" s="31">
        <v>0</v>
      </c>
      <c r="N4" s="31">
        <f>L4-M4</f>
        <v>4440.625</v>
      </c>
      <c r="O4" s="31">
        <v>0</v>
      </c>
      <c r="P4" s="31">
        <f t="shared" ref="P4:P5" si="0">N4-O4</f>
        <v>4440.625</v>
      </c>
      <c r="Q4" s="31">
        <f>AVERAGE(H4,J4,L4,N4,P4)*F4/365*Assumption!$D$13</f>
        <v>531.41506849315067</v>
      </c>
      <c r="R4" s="5"/>
      <c r="S4" s="5"/>
    </row>
    <row r="5" spans="1:19">
      <c r="A5" s="29">
        <f>A4+1</f>
        <v>2014</v>
      </c>
      <c r="B5" s="31">
        <f t="shared" ref="B5:B21" si="1">D4</f>
        <v>4106.5926712328765</v>
      </c>
      <c r="C5" s="31">
        <f>depre!C8</f>
        <v>334.95</v>
      </c>
      <c r="D5" s="31">
        <f t="shared" ref="D5:D21" si="2">B5-C5</f>
        <v>3771.6426712328766</v>
      </c>
      <c r="E5" s="31">
        <f>((B5+D5)/2)*F5/365*Assumption!$D$13</f>
        <v>472.69412054794515</v>
      </c>
      <c r="F5" s="29">
        <v>365</v>
      </c>
      <c r="G5" s="29">
        <f>G4+1</f>
        <v>2014</v>
      </c>
      <c r="H5" s="31">
        <f>P4</f>
        <v>4440.625</v>
      </c>
      <c r="I5" s="31">
        <f>Assumption!$D$17</f>
        <v>100.92329545454545</v>
      </c>
      <c r="J5" s="31">
        <f>H5-I5</f>
        <v>4339.701704545455</v>
      </c>
      <c r="K5" s="31">
        <f>Assumption!$D$17</f>
        <v>100.92329545454545</v>
      </c>
      <c r="L5" s="31">
        <f t="shared" ref="L5" si="3">J5-K5</f>
        <v>4238.7784090909099</v>
      </c>
      <c r="M5" s="31">
        <f>Assumption!$D$17</f>
        <v>100.92329545454545</v>
      </c>
      <c r="N5" s="31">
        <f t="shared" ref="N5" si="4">L5-M5</f>
        <v>4137.8551136363649</v>
      </c>
      <c r="O5" s="31">
        <f>Assumption!$D$17</f>
        <v>100.92329545454545</v>
      </c>
      <c r="P5" s="31">
        <f t="shared" si="0"/>
        <v>4036.9318181818194</v>
      </c>
      <c r="Q5" s="31">
        <f>AVERAGE(H5,J5,L5,N5,P5)*F5/365*Assumption!$D$13</f>
        <v>508.65340909090918</v>
      </c>
      <c r="R5" s="5"/>
      <c r="S5" s="5"/>
    </row>
    <row r="6" spans="1:19">
      <c r="A6" s="29">
        <f t="shared" ref="A6:A21" si="5">A5+1</f>
        <v>2015</v>
      </c>
      <c r="B6" s="31">
        <f t="shared" si="1"/>
        <v>3771.6426712328766</v>
      </c>
      <c r="C6" s="31">
        <f>C5</f>
        <v>334.95</v>
      </c>
      <c r="D6" s="31">
        <f t="shared" si="2"/>
        <v>3436.6926712328768</v>
      </c>
      <c r="E6" s="31">
        <f>((B6+D6)/2)*F6/365*Assumption!$D$13</f>
        <v>433.68505238506282</v>
      </c>
      <c r="F6" s="29">
        <v>366</v>
      </c>
      <c r="G6" s="29">
        <f t="shared" ref="G6:G21" si="6">G5+1</f>
        <v>2015</v>
      </c>
      <c r="H6" s="31">
        <f t="shared" ref="H6:H15" si="7">P5</f>
        <v>4036.9318181818194</v>
      </c>
      <c r="I6" s="31">
        <f>Assumption!$D$17</f>
        <v>100.92329545454545</v>
      </c>
      <c r="J6" s="31">
        <f t="shared" ref="J6:J15" si="8">H6-I6</f>
        <v>3936.0085227272739</v>
      </c>
      <c r="K6" s="31">
        <f>Assumption!$D$17</f>
        <v>100.92329545454545</v>
      </c>
      <c r="L6" s="31">
        <f t="shared" ref="L6:L15" si="9">J6-K6</f>
        <v>3835.0852272727284</v>
      </c>
      <c r="M6" s="31">
        <f>Assumption!$D$17</f>
        <v>100.92329545454545</v>
      </c>
      <c r="N6" s="31">
        <f t="shared" ref="N6:N15" si="10">L6-M6</f>
        <v>3734.1619318181829</v>
      </c>
      <c r="O6" s="31">
        <f>Assumption!$D$17</f>
        <v>100.92329545454545</v>
      </c>
      <c r="P6" s="31">
        <f t="shared" ref="P6:P15" si="11">N6-O6</f>
        <v>3633.2386363636374</v>
      </c>
      <c r="Q6" s="31">
        <f>AVERAGE(H6,J6,L6,N6,P6)*F6/365*Assumption!$D$13</f>
        <v>461.47107721046081</v>
      </c>
      <c r="R6" s="5"/>
      <c r="S6" s="5"/>
    </row>
    <row r="7" spans="1:19">
      <c r="A7" s="29">
        <f t="shared" si="5"/>
        <v>2016</v>
      </c>
      <c r="B7" s="31">
        <f t="shared" si="1"/>
        <v>3436.6926712328768</v>
      </c>
      <c r="C7" s="31">
        <f>C6</f>
        <v>334.95</v>
      </c>
      <c r="D7" s="31">
        <f t="shared" si="2"/>
        <v>3101.742671232877</v>
      </c>
      <c r="E7" s="31">
        <f>((B7+D7)/2)*F7/365*Assumption!$D$13</f>
        <v>392.30612054794528</v>
      </c>
      <c r="F7" s="29">
        <v>365</v>
      </c>
      <c r="G7" s="29">
        <f t="shared" si="6"/>
        <v>2016</v>
      </c>
      <c r="H7" s="31">
        <f t="shared" si="7"/>
        <v>3633.2386363636374</v>
      </c>
      <c r="I7" s="31">
        <f>Assumption!$D$17</f>
        <v>100.92329545454545</v>
      </c>
      <c r="J7" s="31">
        <f t="shared" si="8"/>
        <v>3532.3153409090919</v>
      </c>
      <c r="K7" s="31">
        <f>Assumption!$D$17</f>
        <v>100.92329545454545</v>
      </c>
      <c r="L7" s="31">
        <f t="shared" si="9"/>
        <v>3431.3920454545464</v>
      </c>
      <c r="M7" s="31">
        <f>Assumption!$D$17</f>
        <v>100.92329545454545</v>
      </c>
      <c r="N7" s="31">
        <f t="shared" si="10"/>
        <v>3330.4687500000009</v>
      </c>
      <c r="O7" s="31">
        <f>Assumption!$D$17</f>
        <v>100.92329545454545</v>
      </c>
      <c r="P7" s="31">
        <f t="shared" si="11"/>
        <v>3229.5454545454554</v>
      </c>
      <c r="Q7" s="31">
        <f>AVERAGE(H7,J7,L7,N7,P7)*F7/365*Assumption!$D$13</f>
        <v>411.76704545454555</v>
      </c>
      <c r="R7" s="5"/>
      <c r="S7" s="5"/>
    </row>
    <row r="8" spans="1:19">
      <c r="A8" s="29">
        <f t="shared" si="5"/>
        <v>2017</v>
      </c>
      <c r="B8" s="31">
        <f t="shared" si="1"/>
        <v>3101.742671232877</v>
      </c>
      <c r="C8" s="31">
        <f t="shared" ref="C8:C15" si="12">C7</f>
        <v>334.95</v>
      </c>
      <c r="D8" s="31">
        <f t="shared" si="2"/>
        <v>2766.7926712328772</v>
      </c>
      <c r="E8" s="31">
        <f>((B8+D8)/2)*F8/365*Assumption!$D$13</f>
        <v>352.11212054794521</v>
      </c>
      <c r="F8" s="29">
        <v>365</v>
      </c>
      <c r="G8" s="29">
        <f t="shared" si="6"/>
        <v>2017</v>
      </c>
      <c r="H8" s="31">
        <f t="shared" si="7"/>
        <v>3229.5454545454554</v>
      </c>
      <c r="I8" s="31">
        <f>Assumption!$D$17</f>
        <v>100.92329545454545</v>
      </c>
      <c r="J8" s="31">
        <f t="shared" si="8"/>
        <v>3128.6221590909099</v>
      </c>
      <c r="K8" s="31">
        <f>Assumption!$D$17</f>
        <v>100.92329545454545</v>
      </c>
      <c r="L8" s="31">
        <f t="shared" si="9"/>
        <v>3027.6988636363644</v>
      </c>
      <c r="M8" s="31">
        <f>Assumption!$D$17</f>
        <v>100.92329545454545</v>
      </c>
      <c r="N8" s="31">
        <f t="shared" si="10"/>
        <v>2926.7755681818189</v>
      </c>
      <c r="O8" s="31">
        <f>Assumption!$D$17</f>
        <v>100.92329545454545</v>
      </c>
      <c r="P8" s="31">
        <f t="shared" si="11"/>
        <v>2825.8522727272734</v>
      </c>
      <c r="Q8" s="31">
        <f>AVERAGE(H8,J8,L8,N8,P8)*F8/365*Assumption!$D$13</f>
        <v>363.32386363636374</v>
      </c>
      <c r="R8" s="5"/>
      <c r="S8" s="5"/>
    </row>
    <row r="9" spans="1:19">
      <c r="A9" s="29">
        <f t="shared" si="5"/>
        <v>2018</v>
      </c>
      <c r="B9" s="31">
        <f t="shared" si="1"/>
        <v>2766.7926712328772</v>
      </c>
      <c r="C9" s="31">
        <f t="shared" si="12"/>
        <v>334.95</v>
      </c>
      <c r="D9" s="31">
        <f t="shared" si="2"/>
        <v>2431.8426712328774</v>
      </c>
      <c r="E9" s="31">
        <f>((B9+D9)/2)*F9/365*Assumption!$D$13</f>
        <v>311.91812054794525</v>
      </c>
      <c r="F9" s="29">
        <v>365</v>
      </c>
      <c r="G9" s="29">
        <f t="shared" si="6"/>
        <v>2018</v>
      </c>
      <c r="H9" s="31">
        <f t="shared" si="7"/>
        <v>2825.8522727272734</v>
      </c>
      <c r="I9" s="31">
        <f>Assumption!$D$17</f>
        <v>100.92329545454545</v>
      </c>
      <c r="J9" s="31">
        <f t="shared" si="8"/>
        <v>2724.9289772727279</v>
      </c>
      <c r="K9" s="31">
        <f>Assumption!$D$17</f>
        <v>100.92329545454545</v>
      </c>
      <c r="L9" s="31">
        <f t="shared" si="9"/>
        <v>2624.0056818181824</v>
      </c>
      <c r="M9" s="31">
        <f>Assumption!$D$17</f>
        <v>100.92329545454545</v>
      </c>
      <c r="N9" s="31">
        <f t="shared" si="10"/>
        <v>2523.0823863636369</v>
      </c>
      <c r="O9" s="31">
        <f>Assumption!$D$17</f>
        <v>100.92329545454545</v>
      </c>
      <c r="P9" s="31">
        <f t="shared" si="11"/>
        <v>2422.1590909090914</v>
      </c>
      <c r="Q9" s="31">
        <f>AVERAGE(H9,J9,L9,N9,P9)*F9/365*Assumption!$D$13</f>
        <v>314.88068181818187</v>
      </c>
      <c r="R9" s="5"/>
      <c r="S9" s="5"/>
    </row>
    <row r="10" spans="1:19">
      <c r="A10" s="29">
        <f t="shared" si="5"/>
        <v>2019</v>
      </c>
      <c r="B10" s="31">
        <f t="shared" si="1"/>
        <v>2431.8426712328774</v>
      </c>
      <c r="C10" s="31">
        <f t="shared" si="12"/>
        <v>334.95</v>
      </c>
      <c r="D10" s="31">
        <f t="shared" si="2"/>
        <v>2096.8926712328775</v>
      </c>
      <c r="E10" s="31">
        <f>((B10+D10)/2)*F10/365*Assumption!$D$13</f>
        <v>272.46857019328218</v>
      </c>
      <c r="F10" s="29">
        <v>366</v>
      </c>
      <c r="G10" s="29">
        <f t="shared" si="6"/>
        <v>2019</v>
      </c>
      <c r="H10" s="31">
        <f t="shared" si="7"/>
        <v>2422.1590909090914</v>
      </c>
      <c r="I10" s="31">
        <f>Assumption!$D$17</f>
        <v>100.92329545454545</v>
      </c>
      <c r="J10" s="31">
        <f t="shared" si="8"/>
        <v>2321.235795454546</v>
      </c>
      <c r="K10" s="31">
        <f>Assumption!$D$17</f>
        <v>100.92329545454545</v>
      </c>
      <c r="L10" s="31">
        <f t="shared" si="9"/>
        <v>2220.3125000000005</v>
      </c>
      <c r="M10" s="31">
        <f>Assumption!$D$17</f>
        <v>100.92329545454545</v>
      </c>
      <c r="N10" s="31">
        <f t="shared" si="10"/>
        <v>2119.389204545455</v>
      </c>
      <c r="O10" s="31">
        <f>Assumption!$D$17</f>
        <v>100.92329545454545</v>
      </c>
      <c r="P10" s="31">
        <f t="shared" si="11"/>
        <v>2018.4659090909095</v>
      </c>
      <c r="Q10" s="31">
        <f>AVERAGE(H10,J10,L10,N10,P10)*F10/365*Assumption!$D$13</f>
        <v>267.16746575342466</v>
      </c>
      <c r="R10" s="5"/>
      <c r="S10" s="5"/>
    </row>
    <row r="11" spans="1:19">
      <c r="A11" s="29">
        <f t="shared" si="5"/>
        <v>2020</v>
      </c>
      <c r="B11" s="31">
        <f t="shared" si="1"/>
        <v>2096.8926712328775</v>
      </c>
      <c r="C11" s="31">
        <f t="shared" si="12"/>
        <v>334.95</v>
      </c>
      <c r="D11" s="31">
        <f t="shared" si="2"/>
        <v>1761.9426712328775</v>
      </c>
      <c r="E11" s="31">
        <f>((B11+D11)/2)*F11/365*Assumption!$D$13</f>
        <v>231.5301205479453</v>
      </c>
      <c r="F11" s="29">
        <v>365</v>
      </c>
      <c r="G11" s="29">
        <f t="shared" si="6"/>
        <v>2020</v>
      </c>
      <c r="H11" s="31">
        <f t="shared" si="7"/>
        <v>2018.4659090909095</v>
      </c>
      <c r="I11" s="31">
        <f>Assumption!$D$17</f>
        <v>100.92329545454545</v>
      </c>
      <c r="J11" s="31">
        <f t="shared" si="8"/>
        <v>1917.542613636364</v>
      </c>
      <c r="K11" s="31">
        <f>Assumption!$D$17</f>
        <v>100.92329545454545</v>
      </c>
      <c r="L11" s="31">
        <f t="shared" si="9"/>
        <v>1816.6193181818185</v>
      </c>
      <c r="M11" s="31">
        <f>Assumption!$D$17</f>
        <v>100.92329545454545</v>
      </c>
      <c r="N11" s="31">
        <f t="shared" si="10"/>
        <v>1715.696022727273</v>
      </c>
      <c r="O11" s="31">
        <f>Assumption!$D$17</f>
        <v>100.92329545454545</v>
      </c>
      <c r="P11" s="31">
        <f t="shared" si="11"/>
        <v>1614.7727272727275</v>
      </c>
      <c r="Q11" s="31">
        <f>AVERAGE(H11,J11,L11,N11,P11)*F11/365*Assumption!$D$13</f>
        <v>217.99431818181822</v>
      </c>
      <c r="R11" s="5"/>
      <c r="S11" s="5"/>
    </row>
    <row r="12" spans="1:19">
      <c r="A12" s="29">
        <f t="shared" si="5"/>
        <v>2021</v>
      </c>
      <c r="B12" s="31">
        <f t="shared" si="1"/>
        <v>1761.9426712328775</v>
      </c>
      <c r="C12" s="31">
        <f t="shared" si="12"/>
        <v>334.95</v>
      </c>
      <c r="D12" s="31">
        <f t="shared" si="2"/>
        <v>1426.9926712328775</v>
      </c>
      <c r="E12" s="31">
        <f>((B12+D12)/2)*F12/365*Assumption!$D$13</f>
        <v>191.33612054794526</v>
      </c>
      <c r="F12" s="29">
        <v>365</v>
      </c>
      <c r="G12" s="29">
        <f t="shared" si="6"/>
        <v>2021</v>
      </c>
      <c r="H12" s="31">
        <f t="shared" si="7"/>
        <v>1614.7727272727275</v>
      </c>
      <c r="I12" s="31">
        <f>Assumption!$D$17</f>
        <v>100.92329545454545</v>
      </c>
      <c r="J12" s="31">
        <f t="shared" si="8"/>
        <v>1513.849431818182</v>
      </c>
      <c r="K12" s="31">
        <f>Assumption!$D$17</f>
        <v>100.92329545454545</v>
      </c>
      <c r="L12" s="31">
        <f t="shared" si="9"/>
        <v>1412.9261363636365</v>
      </c>
      <c r="M12" s="31">
        <f>Assumption!$D$17</f>
        <v>100.92329545454545</v>
      </c>
      <c r="N12" s="31">
        <f t="shared" si="10"/>
        <v>1312.002840909091</v>
      </c>
      <c r="O12" s="31">
        <f>Assumption!$D$17</f>
        <v>100.92329545454545</v>
      </c>
      <c r="P12" s="31">
        <f t="shared" si="11"/>
        <v>1211.0795454545455</v>
      </c>
      <c r="Q12" s="31">
        <f>AVERAGE(H12,J12,L12,N12,P12)*F12/365*Assumption!$D$13</f>
        <v>169.55113636363637</v>
      </c>
      <c r="R12" s="5"/>
      <c r="S12" s="5"/>
    </row>
    <row r="13" spans="1:19">
      <c r="A13" s="29">
        <f t="shared" si="5"/>
        <v>2022</v>
      </c>
      <c r="B13" s="31">
        <f t="shared" si="1"/>
        <v>1426.9926712328775</v>
      </c>
      <c r="C13" s="31">
        <f t="shared" si="12"/>
        <v>334.95</v>
      </c>
      <c r="D13" s="31">
        <f t="shared" si="2"/>
        <v>1092.0426712328774</v>
      </c>
      <c r="E13" s="31">
        <f>((B13+D13)/2)*F13/365*Assumption!$D$13</f>
        <v>151.1421205479453</v>
      </c>
      <c r="F13" s="29">
        <v>365</v>
      </c>
      <c r="G13" s="29">
        <f t="shared" si="6"/>
        <v>2022</v>
      </c>
      <c r="H13" s="31">
        <f t="shared" si="7"/>
        <v>1211.0795454545455</v>
      </c>
      <c r="I13" s="31">
        <f>Assumption!$D$17</f>
        <v>100.92329545454545</v>
      </c>
      <c r="J13" s="31">
        <f t="shared" si="8"/>
        <v>1110.15625</v>
      </c>
      <c r="K13" s="31">
        <f>Assumption!$D$17</f>
        <v>100.92329545454545</v>
      </c>
      <c r="L13" s="31">
        <f t="shared" si="9"/>
        <v>1009.2329545454545</v>
      </c>
      <c r="M13" s="31">
        <f>Assumption!$D$17</f>
        <v>100.92329545454545</v>
      </c>
      <c r="N13" s="31">
        <f t="shared" si="10"/>
        <v>908.30965909090901</v>
      </c>
      <c r="O13" s="31">
        <f>Assumption!$D$17</f>
        <v>100.92329545454545</v>
      </c>
      <c r="P13" s="31">
        <f t="shared" si="11"/>
        <v>807.38636363636351</v>
      </c>
      <c r="Q13" s="31">
        <f>AVERAGE(H13,J13,L13,N13,P13)*F13/365*Assumption!$D$13</f>
        <v>121.1079545454545</v>
      </c>
      <c r="R13" s="5"/>
      <c r="S13" s="5"/>
    </row>
    <row r="14" spans="1:19">
      <c r="A14" s="29">
        <f t="shared" si="5"/>
        <v>2023</v>
      </c>
      <c r="B14" s="31">
        <f t="shared" si="1"/>
        <v>1092.0426712328774</v>
      </c>
      <c r="C14" s="31">
        <f t="shared" si="12"/>
        <v>334.95</v>
      </c>
      <c r="D14" s="31">
        <f t="shared" si="2"/>
        <v>757.09267123287736</v>
      </c>
      <c r="E14" s="31">
        <f>((B14+D14)/2)*F14/365*Assumption!$D$13</f>
        <v>111.25208800150129</v>
      </c>
      <c r="F14" s="29">
        <v>366</v>
      </c>
      <c r="G14" s="29">
        <f t="shared" si="6"/>
        <v>2023</v>
      </c>
      <c r="H14" s="31">
        <f t="shared" si="7"/>
        <v>807.38636363636351</v>
      </c>
      <c r="I14" s="31">
        <f>Assumption!$D$17</f>
        <v>100.92329545454545</v>
      </c>
      <c r="J14" s="31">
        <f t="shared" si="8"/>
        <v>706.46306818181802</v>
      </c>
      <c r="K14" s="31">
        <f>Assumption!$D$17</f>
        <v>100.92329545454545</v>
      </c>
      <c r="L14" s="31">
        <f t="shared" si="9"/>
        <v>605.53977272727252</v>
      </c>
      <c r="M14" s="31">
        <f>Assumption!$D$17</f>
        <v>100.92329545454545</v>
      </c>
      <c r="N14" s="31">
        <f t="shared" si="10"/>
        <v>504.61647727272708</v>
      </c>
      <c r="O14" s="31">
        <f>Assumption!$D$17</f>
        <v>100.92329545454545</v>
      </c>
      <c r="P14" s="31">
        <f t="shared" si="11"/>
        <v>403.69318181818164</v>
      </c>
      <c r="Q14" s="31">
        <f>AVERAGE(H14,J14,L14,N14,P14)*F14/365*Assumption!$D$13</f>
        <v>72.863854296388524</v>
      </c>
      <c r="R14" s="5"/>
      <c r="S14" s="5"/>
    </row>
    <row r="15" spans="1:19">
      <c r="A15" s="29">
        <f t="shared" si="5"/>
        <v>2024</v>
      </c>
      <c r="B15" s="31">
        <f t="shared" si="1"/>
        <v>757.09267123287736</v>
      </c>
      <c r="C15" s="31">
        <f t="shared" si="12"/>
        <v>334.95</v>
      </c>
      <c r="D15" s="31">
        <f t="shared" si="2"/>
        <v>422.14267123287738</v>
      </c>
      <c r="E15" s="31">
        <f>((B15+D15)/2)*F15/365*Assumption!$D$13</f>
        <v>70.754120547945277</v>
      </c>
      <c r="F15" s="29">
        <v>365</v>
      </c>
      <c r="G15" s="29">
        <f t="shared" si="6"/>
        <v>2024</v>
      </c>
      <c r="H15" s="31">
        <f t="shared" si="7"/>
        <v>403.69318181818164</v>
      </c>
      <c r="I15" s="31">
        <f>Assumption!$D$17</f>
        <v>100.92329545454545</v>
      </c>
      <c r="J15" s="31">
        <f t="shared" si="8"/>
        <v>302.7698863636362</v>
      </c>
      <c r="K15" s="31">
        <f>Assumption!$D$17</f>
        <v>100.92329545454545</v>
      </c>
      <c r="L15" s="31">
        <f t="shared" si="9"/>
        <v>201.84659090909076</v>
      </c>
      <c r="M15" s="31">
        <f>Assumption!$D$17</f>
        <v>100.92329545454545</v>
      </c>
      <c r="N15" s="31">
        <f t="shared" si="10"/>
        <v>100.92329545454531</v>
      </c>
      <c r="O15" s="31">
        <f>Assumption!$D$17</f>
        <v>100.92329545454545</v>
      </c>
      <c r="P15" s="31">
        <f t="shared" si="11"/>
        <v>-1.4210854715202004E-13</v>
      </c>
      <c r="Q15" s="31">
        <f>AVERAGE(H15,J15,L15,N15,P15)*F15/365*Assumption!$D$13</f>
        <v>24.221590909090889</v>
      </c>
      <c r="R15" s="5"/>
      <c r="S15" s="5"/>
    </row>
    <row r="16" spans="1:19">
      <c r="A16" s="29">
        <f t="shared" si="5"/>
        <v>2025</v>
      </c>
      <c r="B16" s="31">
        <f t="shared" si="1"/>
        <v>422.14267123287738</v>
      </c>
      <c r="C16" s="31">
        <f>depre!N8</f>
        <v>130.06866701791367</v>
      </c>
      <c r="D16" s="31">
        <f t="shared" si="2"/>
        <v>292.07400421496368</v>
      </c>
      <c r="E16" s="31">
        <f>((B16+D16)/2)*F16/365*Assumption!$D$13</f>
        <v>42.85300052687046</v>
      </c>
      <c r="F16" s="29">
        <v>365</v>
      </c>
      <c r="G16" s="29">
        <f t="shared" si="6"/>
        <v>2025</v>
      </c>
      <c r="H16" s="31">
        <v>0</v>
      </c>
      <c r="I16" s="31"/>
      <c r="J16" s="31"/>
      <c r="K16" s="31"/>
      <c r="L16" s="31"/>
      <c r="M16" s="31"/>
      <c r="N16" s="31"/>
      <c r="O16" s="31"/>
      <c r="P16" s="31"/>
      <c r="Q16" s="31">
        <f>AVERAGE(H16,J16,L16,N16,P16)*F16/365*Assumption!$D$13</f>
        <v>0</v>
      </c>
      <c r="R16" s="5"/>
      <c r="S16" s="5"/>
    </row>
    <row r="17" spans="1:19">
      <c r="A17" s="29">
        <f t="shared" si="5"/>
        <v>2026</v>
      </c>
      <c r="B17" s="31">
        <f t="shared" si="1"/>
        <v>292.07400421496368</v>
      </c>
      <c r="C17" s="31">
        <f>C16</f>
        <v>130.06866701791367</v>
      </c>
      <c r="D17" s="31">
        <f t="shared" si="2"/>
        <v>162.00533719705001</v>
      </c>
      <c r="E17" s="31">
        <f>((B17+D17)/2)*F17/365*Assumption!$D$13</f>
        <v>27.244760484720821</v>
      </c>
      <c r="F17" s="29">
        <v>365</v>
      </c>
      <c r="G17" s="29">
        <f t="shared" si="6"/>
        <v>2026</v>
      </c>
      <c r="H17" s="31">
        <v>0</v>
      </c>
      <c r="I17" s="31"/>
      <c r="J17" s="31"/>
      <c r="K17" s="31"/>
      <c r="L17" s="31"/>
      <c r="M17" s="31"/>
      <c r="N17" s="31"/>
      <c r="O17" s="31"/>
      <c r="P17" s="31"/>
      <c r="Q17" s="31">
        <f>AVERAGE(H17,J17,L17,N17,P17)*F17/365*Assumption!$D$13</f>
        <v>0</v>
      </c>
      <c r="R17" s="5"/>
      <c r="S17" s="5"/>
    </row>
    <row r="18" spans="1:19">
      <c r="A18" s="29">
        <f t="shared" si="5"/>
        <v>2027</v>
      </c>
      <c r="B18" s="31">
        <f t="shared" si="1"/>
        <v>162.00533719705001</v>
      </c>
      <c r="C18" s="31">
        <f t="shared" ref="C18" si="13">C17</f>
        <v>130.06866701791367</v>
      </c>
      <c r="D18" s="31">
        <f t="shared" si="2"/>
        <v>31.936670179136343</v>
      </c>
      <c r="E18" s="31">
        <f>((B18+D18)/2)*F18/365*Assumption!$D$13</f>
        <v>11.668401320496033</v>
      </c>
      <c r="F18" s="29">
        <v>366</v>
      </c>
      <c r="G18" s="29">
        <f t="shared" si="6"/>
        <v>2027</v>
      </c>
      <c r="H18" s="31">
        <v>0</v>
      </c>
      <c r="I18" s="31"/>
      <c r="J18" s="31"/>
      <c r="K18" s="31"/>
      <c r="L18" s="31"/>
      <c r="M18" s="31"/>
      <c r="N18" s="31"/>
      <c r="O18" s="31"/>
      <c r="P18" s="31"/>
      <c r="Q18" s="31">
        <f>AVERAGE(H18,J18,L18,N18,P18)*F18/365*Assumption!$D$13</f>
        <v>0</v>
      </c>
      <c r="R18" s="5"/>
      <c r="S18" s="5"/>
    </row>
    <row r="19" spans="1:19">
      <c r="A19" s="29">
        <f t="shared" si="5"/>
        <v>2028</v>
      </c>
      <c r="B19" s="31">
        <f t="shared" si="1"/>
        <v>31.936670179136343</v>
      </c>
      <c r="C19" s="31">
        <f>B19</f>
        <v>31.936670179136343</v>
      </c>
      <c r="D19" s="31">
        <f t="shared" si="2"/>
        <v>0</v>
      </c>
      <c r="E19" s="31">
        <f>((B19+D19)/2)*F19/365*Assumption!$D$13</f>
        <v>1.9162002107481806</v>
      </c>
      <c r="F19" s="29">
        <v>365</v>
      </c>
      <c r="G19" s="29">
        <f t="shared" si="6"/>
        <v>2028</v>
      </c>
      <c r="H19" s="31">
        <v>0</v>
      </c>
      <c r="I19" s="31"/>
      <c r="J19" s="31"/>
      <c r="K19" s="31"/>
      <c r="L19" s="31"/>
      <c r="M19" s="31"/>
      <c r="N19" s="31"/>
      <c r="O19" s="31"/>
      <c r="P19" s="31"/>
      <c r="Q19" s="31">
        <f>AVERAGE(H19,J19,L19,N19,P19)*F19/365*Assumption!$D$13</f>
        <v>0</v>
      </c>
      <c r="R19" s="5"/>
      <c r="S19" s="5"/>
    </row>
    <row r="20" spans="1:19">
      <c r="A20" s="29">
        <f t="shared" si="5"/>
        <v>2029</v>
      </c>
      <c r="B20" s="31">
        <f t="shared" si="1"/>
        <v>0</v>
      </c>
      <c r="C20" s="31">
        <v>0</v>
      </c>
      <c r="D20" s="31">
        <f t="shared" si="2"/>
        <v>0</v>
      </c>
      <c r="E20" s="31">
        <f>((B20+D20)/2)*F20/365*Assumption!$D$13</f>
        <v>0</v>
      </c>
      <c r="F20" s="29">
        <v>365</v>
      </c>
      <c r="G20" s="29">
        <f t="shared" si="6"/>
        <v>2029</v>
      </c>
      <c r="H20" s="31">
        <v>0</v>
      </c>
      <c r="I20" s="31"/>
      <c r="J20" s="31"/>
      <c r="K20" s="31"/>
      <c r="L20" s="31"/>
      <c r="M20" s="31"/>
      <c r="N20" s="31"/>
      <c r="O20" s="31"/>
      <c r="P20" s="31"/>
      <c r="Q20" s="31">
        <f>AVERAGE(H20,J20,L20,N20,P20)*F20/365*Assumption!$D$13</f>
        <v>0</v>
      </c>
      <c r="R20" s="5"/>
      <c r="S20" s="5"/>
    </row>
    <row r="21" spans="1:19">
      <c r="A21" s="29">
        <f t="shared" si="5"/>
        <v>2030</v>
      </c>
      <c r="B21" s="31">
        <f t="shared" si="1"/>
        <v>0</v>
      </c>
      <c r="C21" s="31">
        <f>B21</f>
        <v>0</v>
      </c>
      <c r="D21" s="31">
        <f t="shared" si="2"/>
        <v>0</v>
      </c>
      <c r="E21" s="31">
        <f>((B21+D21)/2)*F21/365*Assumption!$D$13</f>
        <v>0</v>
      </c>
      <c r="F21" s="29">
        <v>365</v>
      </c>
      <c r="G21" s="29">
        <f t="shared" si="6"/>
        <v>2030</v>
      </c>
      <c r="H21" s="31">
        <v>0</v>
      </c>
      <c r="I21" s="31"/>
      <c r="J21" s="31"/>
      <c r="K21" s="31"/>
      <c r="L21" s="31"/>
      <c r="M21" s="31"/>
      <c r="N21" s="31"/>
      <c r="O21" s="31"/>
      <c r="P21" s="31"/>
      <c r="Q21" s="31">
        <f>AVERAGE(H21,J21,L21,N21,P21)*F21/365*Assumption!$D$13</f>
        <v>0</v>
      </c>
      <c r="R21" s="5"/>
      <c r="S21" s="5"/>
    </row>
    <row r="24" spans="1:19">
      <c r="A24" s="131" t="s">
        <v>1</v>
      </c>
      <c r="B24" s="131"/>
      <c r="C24" s="76" t="s">
        <v>274</v>
      </c>
      <c r="D24" s="76" t="s">
        <v>57</v>
      </c>
      <c r="E24" s="6" t="s">
        <v>163</v>
      </c>
    </row>
    <row r="25" spans="1:19">
      <c r="A25" s="131" t="s">
        <v>41</v>
      </c>
      <c r="B25" s="131"/>
      <c r="C25" s="24">
        <f>Assumption!D10</f>
        <v>6343.75</v>
      </c>
      <c r="D25" s="52">
        <v>1</v>
      </c>
      <c r="E25" s="29"/>
    </row>
    <row r="26" spans="1:19" ht="33.75" customHeight="1">
      <c r="A26" s="131" t="s">
        <v>43</v>
      </c>
      <c r="B26" s="131"/>
      <c r="C26" s="29">
        <f>C25*D26</f>
        <v>4440.625</v>
      </c>
      <c r="D26" s="52">
        <v>0.7</v>
      </c>
      <c r="E26" s="153" t="s">
        <v>199</v>
      </c>
    </row>
    <row r="27" spans="1:19" ht="47.25" customHeight="1">
      <c r="A27" s="131" t="s">
        <v>16</v>
      </c>
      <c r="B27" s="131"/>
      <c r="C27" s="29">
        <f>C25*D27</f>
        <v>1903.125</v>
      </c>
      <c r="D27" s="52">
        <v>0.3</v>
      </c>
      <c r="E27" s="154"/>
    </row>
    <row r="28" spans="1:19">
      <c r="A28" s="37"/>
      <c r="B28" s="37"/>
      <c r="C28" s="37"/>
    </row>
  </sheetData>
  <customSheetViews>
    <customSheetView guid="{6D27EB6A-3939-4201-8E4B-897AA8118F21}" scale="85" showPageBreaks="1" fitToPage="1" printArea="1" view="pageBreakPreview" topLeftCell="A13">
      <selection sqref="A1:E1"/>
      <colBreaks count="1" manualBreakCount="1">
        <brk id="6" max="27" man="1"/>
      </colBreaks>
      <pageMargins left="0.75" right="0.75" top="1" bottom="1" header="0.5" footer="0.5"/>
      <pageSetup scale="80" orientation="portrait" r:id="rId1"/>
      <headerFooter alignWithMargins="0"/>
    </customSheetView>
  </customSheetViews>
  <mergeCells count="10">
    <mergeCell ref="G1:Q1"/>
    <mergeCell ref="G2:Q2"/>
    <mergeCell ref="A25:B25"/>
    <mergeCell ref="A26:B26"/>
    <mergeCell ref="A27:B27"/>
    <mergeCell ref="A2:E2"/>
    <mergeCell ref="A1:E1"/>
    <mergeCell ref="A24:B24"/>
    <mergeCell ref="E26:E27"/>
    <mergeCell ref="F1:F3"/>
  </mergeCells>
  <phoneticPr fontId="4" type="noConversion"/>
  <pageMargins left="0.75" right="0.75" top="1" bottom="1" header="0.5" footer="0.5"/>
  <pageSetup scale="41" orientation="portrait" r:id="rId2"/>
  <headerFooter alignWithMargins="0"/>
  <colBreaks count="1" manualBreakCount="1">
    <brk id="18" max="27" man="1"/>
  </colBreaks>
</worksheet>
</file>

<file path=xl/worksheets/sheet6.xml><?xml version="1.0" encoding="utf-8"?>
<worksheet xmlns="http://schemas.openxmlformats.org/spreadsheetml/2006/main" xmlns:r="http://schemas.openxmlformats.org/officeDocument/2006/relationships">
  <sheetPr codeName="Sheet5"/>
  <dimension ref="A1:AD77"/>
  <sheetViews>
    <sheetView view="pageBreakPreview" topLeftCell="A58" zoomScaleNormal="75" zoomScaleSheetLayoutView="100" workbookViewId="0">
      <selection activeCell="A81" sqref="A81"/>
    </sheetView>
  </sheetViews>
  <sheetFormatPr defaultRowHeight="15"/>
  <cols>
    <col min="1" max="1" width="57.85546875" style="25" customWidth="1"/>
    <col min="2" max="26" width="17.42578125" style="25" bestFit="1" customWidth="1"/>
    <col min="27" max="30" width="18.85546875" style="25" customWidth="1"/>
    <col min="31" max="16384" width="9.140625" style="25"/>
  </cols>
  <sheetData>
    <row r="1" spans="1:30">
      <c r="A1" s="25" t="s">
        <v>6</v>
      </c>
    </row>
    <row r="2" spans="1:30">
      <c r="A2" s="5"/>
    </row>
    <row r="3" spans="1:30">
      <c r="A3" s="10" t="str">
        <f>depre!A2</f>
        <v>No. of Year</v>
      </c>
      <c r="B3" s="29">
        <f>depre!B2</f>
        <v>1</v>
      </c>
      <c r="C3" s="29">
        <f>depre!C2</f>
        <v>2</v>
      </c>
      <c r="D3" s="29">
        <f>depre!D2</f>
        <v>3</v>
      </c>
      <c r="E3" s="29">
        <f>depre!E2</f>
        <v>4</v>
      </c>
      <c r="F3" s="29">
        <f>depre!F2</f>
        <v>5</v>
      </c>
      <c r="G3" s="29">
        <f>depre!G2</f>
        <v>6</v>
      </c>
      <c r="H3" s="29">
        <f>depre!H2</f>
        <v>7</v>
      </c>
      <c r="I3" s="29">
        <f>depre!I2</f>
        <v>8</v>
      </c>
      <c r="J3" s="29">
        <f>depre!J2</f>
        <v>9</v>
      </c>
      <c r="K3" s="29">
        <f>depre!K2</f>
        <v>10</v>
      </c>
      <c r="L3" s="29">
        <f>depre!L2</f>
        <v>11</v>
      </c>
      <c r="M3" s="29">
        <f>depre!M2</f>
        <v>12</v>
      </c>
      <c r="N3" s="29">
        <f>depre!N2</f>
        <v>13</v>
      </c>
      <c r="O3" s="29">
        <f>depre!O2</f>
        <v>14</v>
      </c>
      <c r="P3" s="29">
        <f>depre!P2</f>
        <v>15</v>
      </c>
      <c r="Q3" s="29">
        <f>depre!Q2</f>
        <v>16</v>
      </c>
      <c r="R3" s="29">
        <f>depre!R2</f>
        <v>17</v>
      </c>
      <c r="S3" s="29">
        <f>depre!S2</f>
        <v>18</v>
      </c>
      <c r="T3" s="29">
        <f>depre!T2</f>
        <v>19</v>
      </c>
      <c r="U3" s="29">
        <f>depre!U2</f>
        <v>20</v>
      </c>
      <c r="V3" s="29">
        <f>depre!V2</f>
        <v>21</v>
      </c>
      <c r="W3" s="29">
        <f>depre!W2</f>
        <v>22</v>
      </c>
      <c r="X3" s="29">
        <f>depre!X2</f>
        <v>23</v>
      </c>
      <c r="Y3" s="29">
        <f>depre!Y2</f>
        <v>24</v>
      </c>
      <c r="Z3" s="29">
        <f>depre!Z2</f>
        <v>25</v>
      </c>
    </row>
    <row r="4" spans="1:30">
      <c r="A4" s="10" t="str">
        <f>depre!A4</f>
        <v>Operative Days</v>
      </c>
      <c r="B4" s="29">
        <f>depre!B4</f>
        <v>364</v>
      </c>
      <c r="C4" s="29">
        <f>depre!C4</f>
        <v>365</v>
      </c>
      <c r="D4" s="29">
        <f>depre!D4</f>
        <v>366</v>
      </c>
      <c r="E4" s="29">
        <f>depre!E4</f>
        <v>365</v>
      </c>
      <c r="F4" s="29">
        <f>depre!F4</f>
        <v>365</v>
      </c>
      <c r="G4" s="29">
        <f>depre!G4</f>
        <v>365</v>
      </c>
      <c r="H4" s="29">
        <f>depre!H4</f>
        <v>366</v>
      </c>
      <c r="I4" s="29">
        <f>depre!I4</f>
        <v>365</v>
      </c>
      <c r="J4" s="29">
        <f>depre!J4</f>
        <v>365</v>
      </c>
      <c r="K4" s="29">
        <f>depre!K4</f>
        <v>365</v>
      </c>
      <c r="L4" s="29">
        <f>depre!L4</f>
        <v>366</v>
      </c>
      <c r="M4" s="29">
        <f>depre!M4</f>
        <v>365</v>
      </c>
      <c r="N4" s="29">
        <f>depre!N4</f>
        <v>365</v>
      </c>
      <c r="O4" s="29">
        <f>depre!O4</f>
        <v>365</v>
      </c>
      <c r="P4" s="29">
        <f>depre!P4</f>
        <v>366</v>
      </c>
      <c r="Q4" s="29">
        <f>depre!Q4</f>
        <v>365</v>
      </c>
      <c r="R4" s="29">
        <f>depre!R4</f>
        <v>365</v>
      </c>
      <c r="S4" s="29">
        <f>depre!S4</f>
        <v>365</v>
      </c>
      <c r="T4" s="29">
        <f>depre!T4</f>
        <v>366</v>
      </c>
      <c r="U4" s="29">
        <f>depre!U4</f>
        <v>365</v>
      </c>
      <c r="V4" s="29">
        <f>depre!V4</f>
        <v>365</v>
      </c>
      <c r="W4" s="29">
        <f>depre!W4</f>
        <v>365</v>
      </c>
      <c r="X4" s="29">
        <f>depre!X4</f>
        <v>366</v>
      </c>
      <c r="Y4" s="29">
        <f>depre!Y4</f>
        <v>365</v>
      </c>
      <c r="Z4" s="29">
        <f>depre!Z4</f>
        <v>365</v>
      </c>
    </row>
    <row r="5" spans="1:30">
      <c r="A5" s="10" t="str">
        <f>depre!A5</f>
        <v>Year Ending</v>
      </c>
      <c r="B5" s="30">
        <f>depre!B5</f>
        <v>41729</v>
      </c>
      <c r="C5" s="30">
        <f>depre!C5</f>
        <v>42094</v>
      </c>
      <c r="D5" s="30">
        <f>depre!D5</f>
        <v>42460</v>
      </c>
      <c r="E5" s="30">
        <f>depre!E5</f>
        <v>42825</v>
      </c>
      <c r="F5" s="30">
        <f>depre!F5</f>
        <v>43190</v>
      </c>
      <c r="G5" s="30">
        <f>depre!G5</f>
        <v>43555</v>
      </c>
      <c r="H5" s="30">
        <f>depre!H5</f>
        <v>43921</v>
      </c>
      <c r="I5" s="30">
        <f>depre!I5</f>
        <v>44286</v>
      </c>
      <c r="J5" s="30">
        <f>depre!J5</f>
        <v>44651</v>
      </c>
      <c r="K5" s="30">
        <f>depre!K5</f>
        <v>45016</v>
      </c>
      <c r="L5" s="30">
        <f>depre!L5</f>
        <v>45382</v>
      </c>
      <c r="M5" s="30">
        <f>depre!M5</f>
        <v>45747</v>
      </c>
      <c r="N5" s="30">
        <f>depre!N5</f>
        <v>46112</v>
      </c>
      <c r="O5" s="30">
        <f>depre!O5</f>
        <v>46477</v>
      </c>
      <c r="P5" s="30">
        <f>depre!P5</f>
        <v>46843</v>
      </c>
      <c r="Q5" s="30">
        <f>depre!Q5</f>
        <v>47208</v>
      </c>
      <c r="R5" s="30">
        <f>depre!R5</f>
        <v>47573</v>
      </c>
      <c r="S5" s="30">
        <f>depre!S5</f>
        <v>47938</v>
      </c>
      <c r="T5" s="30">
        <f>depre!T5</f>
        <v>48304</v>
      </c>
      <c r="U5" s="30">
        <f>depre!U5</f>
        <v>48669</v>
      </c>
      <c r="V5" s="30">
        <f>depre!V5</f>
        <v>49034</v>
      </c>
      <c r="W5" s="30">
        <f>depre!W5</f>
        <v>49399</v>
      </c>
      <c r="X5" s="30">
        <f>depre!X5</f>
        <v>49765</v>
      </c>
      <c r="Y5" s="30">
        <f>depre!Y5</f>
        <v>50130</v>
      </c>
      <c r="Z5" s="30">
        <f>depre!Z5</f>
        <v>50495</v>
      </c>
    </row>
    <row r="6" spans="1:30">
      <c r="A6" s="29" t="s">
        <v>275</v>
      </c>
      <c r="B6" s="29">
        <f>Assumption!D58</f>
        <v>2.9980000000000002</v>
      </c>
      <c r="C6" s="24">
        <f>B6*Assumption!$D$59</f>
        <v>3.1694855999999998</v>
      </c>
      <c r="D6" s="24">
        <f>C6*Assumption!$D$59</f>
        <v>3.3507801763199994</v>
      </c>
      <c r="E6" s="24">
        <f>D6*Assumption!$D$59</f>
        <v>3.5424448024055031</v>
      </c>
      <c r="F6" s="24">
        <f>E6*Assumption!$D$59</f>
        <v>3.7450726451030976</v>
      </c>
      <c r="G6" s="24">
        <f>F6*Assumption!$D$59</f>
        <v>3.9592908004029943</v>
      </c>
      <c r="H6" s="24">
        <f>G6*Assumption!$D$59</f>
        <v>4.1857622341860452</v>
      </c>
      <c r="I6" s="24">
        <f>H6*Assumption!$D$59</f>
        <v>4.4251878339814867</v>
      </c>
      <c r="J6" s="24">
        <f>I6*Assumption!$D$59</f>
        <v>4.6783085780852272</v>
      </c>
      <c r="K6" s="24">
        <f>J6*Assumption!$D$59</f>
        <v>4.945907828751702</v>
      </c>
      <c r="L6" s="24">
        <f>K6*Assumption!$D$59</f>
        <v>5.2288137565562991</v>
      </c>
      <c r="M6" s="24">
        <f>L6*Assumption!$D$59</f>
        <v>5.527901903431319</v>
      </c>
      <c r="N6" s="24">
        <f>M6*Assumption!$D$59</f>
        <v>5.8440978923075901</v>
      </c>
      <c r="O6" s="24">
        <f>N6*Assumption!$D$59</f>
        <v>6.1783802917475841</v>
      </c>
      <c r="P6" s="24">
        <f>O6*Assumption!$D$59</f>
        <v>6.5317836444355457</v>
      </c>
      <c r="Q6" s="24">
        <f>P6*Assumption!$D$59</f>
        <v>6.9054016688972588</v>
      </c>
      <c r="R6" s="24">
        <f>Q6*Assumption!$D$59</f>
        <v>7.3003906443581812</v>
      </c>
      <c r="S6" s="24">
        <f>R6*Assumption!$D$59</f>
        <v>7.7179729892154683</v>
      </c>
      <c r="T6" s="24">
        <f>S6*Assumption!$D$59</f>
        <v>8.1594410441985925</v>
      </c>
      <c r="U6" s="24">
        <f>T6*Assumption!$D$59</f>
        <v>8.6261610719267505</v>
      </c>
      <c r="V6" s="24">
        <f>U6*Assumption!$D$59</f>
        <v>9.1195774852409599</v>
      </c>
      <c r="W6" s="24">
        <f>V6*Assumption!$D$59</f>
        <v>9.6412173173967428</v>
      </c>
      <c r="X6" s="24">
        <f>W6*Assumption!$D$59</f>
        <v>10.192694947951836</v>
      </c>
      <c r="Y6" s="24">
        <f>X6*Assumption!$D$59</f>
        <v>10.775717098974679</v>
      </c>
      <c r="Z6" s="24">
        <f>Y6*Assumption!$D$59</f>
        <v>11.39208811703603</v>
      </c>
    </row>
    <row r="8" spans="1:30">
      <c r="A8" s="25" t="s">
        <v>7</v>
      </c>
    </row>
    <row r="10" spans="1:30">
      <c r="A10" s="29" t="s">
        <v>4</v>
      </c>
      <c r="B10" s="29">
        <v>2010</v>
      </c>
      <c r="C10" s="29">
        <f>B10+1</f>
        <v>2011</v>
      </c>
      <c r="D10" s="29">
        <f t="shared" ref="D10:AD10" si="0">C10+1</f>
        <v>2012</v>
      </c>
      <c r="E10" s="29">
        <f t="shared" si="0"/>
        <v>2013</v>
      </c>
      <c r="F10" s="29">
        <f t="shared" si="0"/>
        <v>2014</v>
      </c>
      <c r="G10" s="29">
        <f t="shared" si="0"/>
        <v>2015</v>
      </c>
      <c r="H10" s="29">
        <f t="shared" si="0"/>
        <v>2016</v>
      </c>
      <c r="I10" s="29">
        <f t="shared" si="0"/>
        <v>2017</v>
      </c>
      <c r="J10" s="29">
        <f t="shared" si="0"/>
        <v>2018</v>
      </c>
      <c r="K10" s="29">
        <f t="shared" si="0"/>
        <v>2019</v>
      </c>
      <c r="L10" s="29">
        <f t="shared" si="0"/>
        <v>2020</v>
      </c>
      <c r="M10" s="29">
        <f t="shared" si="0"/>
        <v>2021</v>
      </c>
      <c r="N10" s="29">
        <f t="shared" si="0"/>
        <v>2022</v>
      </c>
      <c r="O10" s="29">
        <f t="shared" si="0"/>
        <v>2023</v>
      </c>
      <c r="P10" s="29">
        <f t="shared" si="0"/>
        <v>2024</v>
      </c>
      <c r="Q10" s="29">
        <f t="shared" si="0"/>
        <v>2025</v>
      </c>
      <c r="R10" s="29">
        <f t="shared" si="0"/>
        <v>2026</v>
      </c>
      <c r="S10" s="29">
        <f t="shared" si="0"/>
        <v>2027</v>
      </c>
      <c r="T10" s="29">
        <f t="shared" si="0"/>
        <v>2028</v>
      </c>
      <c r="U10" s="29">
        <f t="shared" si="0"/>
        <v>2029</v>
      </c>
      <c r="V10" s="29">
        <f t="shared" si="0"/>
        <v>2030</v>
      </c>
      <c r="W10" s="29">
        <f t="shared" si="0"/>
        <v>2031</v>
      </c>
      <c r="X10" s="29">
        <f t="shared" si="0"/>
        <v>2032</v>
      </c>
      <c r="Y10" s="29">
        <f t="shared" si="0"/>
        <v>2033</v>
      </c>
      <c r="Z10" s="29">
        <f t="shared" si="0"/>
        <v>2034</v>
      </c>
      <c r="AA10" s="29">
        <f t="shared" si="0"/>
        <v>2035</v>
      </c>
      <c r="AB10" s="29">
        <f t="shared" si="0"/>
        <v>2036</v>
      </c>
      <c r="AC10" s="29">
        <f t="shared" si="0"/>
        <v>2037</v>
      </c>
      <c r="AD10" s="29">
        <f t="shared" si="0"/>
        <v>2038</v>
      </c>
    </row>
    <row r="11" spans="1:30">
      <c r="A11" s="29" t="s">
        <v>295</v>
      </c>
      <c r="B11" s="29">
        <f>Assumption!D38</f>
        <v>46.68</v>
      </c>
      <c r="C11" s="24">
        <f>B11*Assumption!$D$41</f>
        <v>47.006759999999993</v>
      </c>
      <c r="D11" s="24">
        <f>C11*Assumption!$D$41</f>
        <v>47.335807319999986</v>
      </c>
      <c r="E11" s="24">
        <f>D11*Assumption!$D$41</f>
        <v>47.66715797123998</v>
      </c>
      <c r="F11" s="24">
        <f>E11*Assumption!$D$41</f>
        <v>48.000828077038655</v>
      </c>
      <c r="G11" s="24">
        <f>F11*Assumption!$D$41</f>
        <v>48.336833873577923</v>
      </c>
      <c r="H11" s="24">
        <f>G11*Assumption!$D$41</f>
        <v>48.675191710692964</v>
      </c>
      <c r="I11" s="24">
        <f>H11*Assumption!$D$41</f>
        <v>49.015918052667807</v>
      </c>
      <c r="J11" s="24">
        <f>I11*Assumption!$D$41</f>
        <v>49.359029479036479</v>
      </c>
      <c r="K11" s="24">
        <f>J11*Assumption!$D$41</f>
        <v>49.704542685389733</v>
      </c>
      <c r="L11" s="24">
        <f>K11*Assumption!$D$41</f>
        <v>50.052474484187456</v>
      </c>
      <c r="M11" s="24">
        <f>L11*Assumption!$D$41</f>
        <v>50.402841805576763</v>
      </c>
      <c r="N11" s="24">
        <f>M11*Assumption!$D$41</f>
        <v>50.755661698215796</v>
      </c>
      <c r="O11" s="24">
        <f>N11*Assumption!$D$41</f>
        <v>51.110951330103305</v>
      </c>
      <c r="P11" s="24">
        <f>O11*Assumption!$D$41</f>
        <v>51.46872798941402</v>
      </c>
      <c r="Q11" s="24">
        <f>P11*Assumption!$D$41</f>
        <v>51.829009085339912</v>
      </c>
      <c r="R11" s="24">
        <f>Q11*Assumption!$D$41</f>
        <v>52.191812148937288</v>
      </c>
      <c r="S11" s="24">
        <f>R11*Assumption!$D$41</f>
        <v>52.557154833979844</v>
      </c>
      <c r="T11" s="24">
        <f>S11*Assumption!$D$41</f>
        <v>52.925054917817697</v>
      </c>
      <c r="U11" s="24">
        <f>T11*Assumption!$D$41</f>
        <v>53.295530302242412</v>
      </c>
      <c r="V11" s="24">
        <f>U11*Assumption!$D$41</f>
        <v>53.668599014358101</v>
      </c>
      <c r="W11" s="24">
        <f>V11*Assumption!$D$41</f>
        <v>54.044279207458601</v>
      </c>
      <c r="X11" s="24">
        <f>W11*Assumption!$D$41</f>
        <v>54.422589161910807</v>
      </c>
      <c r="Y11" s="24">
        <f>X11*Assumption!$D$41</f>
        <v>54.803547286044179</v>
      </c>
      <c r="Z11" s="24">
        <f>Y11*Assumption!$D$41</f>
        <v>55.18717211704648</v>
      </c>
      <c r="AA11" s="24">
        <f>Z11*Assumption!$D$41</f>
        <v>55.573482321865797</v>
      </c>
      <c r="AB11" s="24">
        <f>AA11*Assumption!$D$41</f>
        <v>55.962496698118848</v>
      </c>
      <c r="AC11" s="24">
        <f>AB11*Assumption!$D$41</f>
        <v>56.354234175005672</v>
      </c>
      <c r="AD11" s="24">
        <f>AC11*Assumption!$D$41</f>
        <v>56.748713814230705</v>
      </c>
    </row>
    <row r="12" spans="1:30">
      <c r="A12" s="29" t="s">
        <v>296</v>
      </c>
      <c r="B12" s="29"/>
      <c r="C12" s="24">
        <f>B11</f>
        <v>46.68</v>
      </c>
      <c r="D12" s="24">
        <f>C11</f>
        <v>47.006759999999993</v>
      </c>
      <c r="E12" s="24">
        <f t="shared" ref="E12:S12" si="1">D11</f>
        <v>47.335807319999986</v>
      </c>
      <c r="F12" s="24">
        <f t="shared" si="1"/>
        <v>47.66715797123998</v>
      </c>
      <c r="G12" s="24">
        <f t="shared" si="1"/>
        <v>48.000828077038655</v>
      </c>
      <c r="H12" s="24">
        <f t="shared" si="1"/>
        <v>48.336833873577923</v>
      </c>
      <c r="I12" s="24">
        <f t="shared" si="1"/>
        <v>48.675191710692964</v>
      </c>
      <c r="J12" s="24">
        <f t="shared" si="1"/>
        <v>49.015918052667807</v>
      </c>
      <c r="K12" s="24">
        <f t="shared" si="1"/>
        <v>49.359029479036479</v>
      </c>
      <c r="L12" s="24">
        <f t="shared" si="1"/>
        <v>49.704542685389733</v>
      </c>
      <c r="M12" s="24">
        <f t="shared" si="1"/>
        <v>50.052474484187456</v>
      </c>
      <c r="N12" s="24">
        <f t="shared" si="1"/>
        <v>50.402841805576763</v>
      </c>
      <c r="O12" s="24">
        <f t="shared" si="1"/>
        <v>50.755661698215796</v>
      </c>
      <c r="P12" s="24">
        <f t="shared" si="1"/>
        <v>51.110951330103305</v>
      </c>
      <c r="Q12" s="24">
        <f t="shared" si="1"/>
        <v>51.46872798941402</v>
      </c>
      <c r="R12" s="24">
        <f t="shared" si="1"/>
        <v>51.829009085339912</v>
      </c>
      <c r="S12" s="24">
        <f t="shared" si="1"/>
        <v>52.191812148937288</v>
      </c>
      <c r="T12" s="24">
        <f t="shared" ref="T12" si="2">S11</f>
        <v>52.557154833979844</v>
      </c>
      <c r="U12" s="24">
        <f t="shared" ref="U12" si="3">T11</f>
        <v>52.925054917817697</v>
      </c>
      <c r="V12" s="24">
        <f t="shared" ref="V12" si="4">U11</f>
        <v>53.295530302242412</v>
      </c>
      <c r="W12" s="24">
        <f t="shared" ref="W12" si="5">V11</f>
        <v>53.668599014358101</v>
      </c>
      <c r="X12" s="24">
        <f t="shared" ref="X12" si="6">W11</f>
        <v>54.044279207458601</v>
      </c>
      <c r="Y12" s="24">
        <f t="shared" ref="Y12" si="7">X11</f>
        <v>54.422589161910807</v>
      </c>
      <c r="Z12" s="24">
        <f t="shared" ref="Z12" si="8">Y11</f>
        <v>54.803547286044179</v>
      </c>
      <c r="AA12" s="24">
        <f t="shared" ref="AA12" si="9">Z11</f>
        <v>55.18717211704648</v>
      </c>
      <c r="AB12" s="24">
        <f t="shared" ref="AB12" si="10">AA11</f>
        <v>55.573482321865797</v>
      </c>
      <c r="AC12" s="24">
        <f t="shared" ref="AC12" si="11">AB11</f>
        <v>55.962496698118848</v>
      </c>
      <c r="AD12" s="24">
        <f t="shared" ref="AD12" si="12">AC11</f>
        <v>56.354234175005672</v>
      </c>
    </row>
    <row r="13" spans="1:30">
      <c r="A13" s="29" t="s">
        <v>297</v>
      </c>
      <c r="B13" s="29"/>
      <c r="C13" s="24">
        <f>(C11+C12)/2</f>
        <v>46.843379999999996</v>
      </c>
      <c r="D13" s="24">
        <f t="shared" ref="D13:AD13" si="13">(D11+D12)/2</f>
        <v>47.171283659999986</v>
      </c>
      <c r="E13" s="24">
        <f t="shared" si="13"/>
        <v>47.501482645619987</v>
      </c>
      <c r="F13" s="24">
        <f t="shared" si="13"/>
        <v>47.833993024139318</v>
      </c>
      <c r="G13" s="24">
        <f t="shared" si="13"/>
        <v>48.168830975308289</v>
      </c>
      <c r="H13" s="24">
        <f t="shared" si="13"/>
        <v>48.506012792135444</v>
      </c>
      <c r="I13" s="24">
        <f t="shared" si="13"/>
        <v>48.845554881680386</v>
      </c>
      <c r="J13" s="24">
        <f t="shared" si="13"/>
        <v>49.187473765852147</v>
      </c>
      <c r="K13" s="24">
        <f t="shared" si="13"/>
        <v>49.531786082213102</v>
      </c>
      <c r="L13" s="24">
        <f t="shared" si="13"/>
        <v>49.878508584788591</v>
      </c>
      <c r="M13" s="24">
        <f t="shared" si="13"/>
        <v>50.227658144882113</v>
      </c>
      <c r="N13" s="24">
        <f t="shared" si="13"/>
        <v>50.57925175189628</v>
      </c>
      <c r="O13" s="24">
        <f t="shared" si="13"/>
        <v>50.933306514159554</v>
      </c>
      <c r="P13" s="24">
        <f t="shared" si="13"/>
        <v>51.289839659758663</v>
      </c>
      <c r="Q13" s="24">
        <f t="shared" si="13"/>
        <v>51.64886853737697</v>
      </c>
      <c r="R13" s="24">
        <f t="shared" si="13"/>
        <v>52.010410617138604</v>
      </c>
      <c r="S13" s="24">
        <f t="shared" si="13"/>
        <v>52.374483491458562</v>
      </c>
      <c r="T13" s="24">
        <f t="shared" si="13"/>
        <v>52.74110487589877</v>
      </c>
      <c r="U13" s="24">
        <f t="shared" si="13"/>
        <v>53.110292610030058</v>
      </c>
      <c r="V13" s="24">
        <f t="shared" si="13"/>
        <v>53.48206465830026</v>
      </c>
      <c r="W13" s="24">
        <f t="shared" si="13"/>
        <v>53.856439110908354</v>
      </c>
      <c r="X13" s="24">
        <f t="shared" si="13"/>
        <v>54.233434184684704</v>
      </c>
      <c r="Y13" s="24">
        <f t="shared" si="13"/>
        <v>54.613068223977493</v>
      </c>
      <c r="Z13" s="24">
        <f t="shared" si="13"/>
        <v>54.995359701545325</v>
      </c>
      <c r="AA13" s="24">
        <f t="shared" si="13"/>
        <v>55.380327219456134</v>
      </c>
      <c r="AB13" s="24">
        <f t="shared" si="13"/>
        <v>55.767989509992319</v>
      </c>
      <c r="AC13" s="24">
        <f t="shared" si="13"/>
        <v>56.158365436562264</v>
      </c>
      <c r="AD13" s="24">
        <f t="shared" si="13"/>
        <v>56.551473994618192</v>
      </c>
    </row>
    <row r="15" spans="1:30">
      <c r="A15" s="25" t="s">
        <v>8</v>
      </c>
    </row>
    <row r="16" spans="1:30">
      <c r="A16" s="29" t="s">
        <v>4</v>
      </c>
      <c r="B16" s="30">
        <f>B5</f>
        <v>41729</v>
      </c>
      <c r="C16" s="30">
        <f t="shared" ref="C16:Z16" si="14">C5</f>
        <v>42094</v>
      </c>
      <c r="D16" s="30">
        <f t="shared" si="14"/>
        <v>42460</v>
      </c>
      <c r="E16" s="30">
        <f t="shared" si="14"/>
        <v>42825</v>
      </c>
      <c r="F16" s="30">
        <f t="shared" si="14"/>
        <v>43190</v>
      </c>
      <c r="G16" s="30">
        <f t="shared" si="14"/>
        <v>43555</v>
      </c>
      <c r="H16" s="30">
        <f t="shared" si="14"/>
        <v>43921</v>
      </c>
      <c r="I16" s="30">
        <f t="shared" si="14"/>
        <v>44286</v>
      </c>
      <c r="J16" s="30">
        <f t="shared" si="14"/>
        <v>44651</v>
      </c>
      <c r="K16" s="30">
        <f t="shared" si="14"/>
        <v>45016</v>
      </c>
      <c r="L16" s="30">
        <f t="shared" si="14"/>
        <v>45382</v>
      </c>
      <c r="M16" s="30">
        <f t="shared" si="14"/>
        <v>45747</v>
      </c>
      <c r="N16" s="30">
        <f t="shared" si="14"/>
        <v>46112</v>
      </c>
      <c r="O16" s="30">
        <f t="shared" si="14"/>
        <v>46477</v>
      </c>
      <c r="P16" s="30">
        <f t="shared" si="14"/>
        <v>46843</v>
      </c>
      <c r="Q16" s="30">
        <f t="shared" si="14"/>
        <v>47208</v>
      </c>
      <c r="R16" s="30">
        <f t="shared" si="14"/>
        <v>47573</v>
      </c>
      <c r="S16" s="30">
        <f t="shared" si="14"/>
        <v>47938</v>
      </c>
      <c r="T16" s="30">
        <f t="shared" si="14"/>
        <v>48304</v>
      </c>
      <c r="U16" s="30">
        <f t="shared" si="14"/>
        <v>48669</v>
      </c>
      <c r="V16" s="30">
        <f t="shared" si="14"/>
        <v>49034</v>
      </c>
      <c r="W16" s="30">
        <f t="shared" si="14"/>
        <v>49399</v>
      </c>
      <c r="X16" s="30">
        <f t="shared" si="14"/>
        <v>49765</v>
      </c>
      <c r="Y16" s="30">
        <f t="shared" si="14"/>
        <v>50130</v>
      </c>
      <c r="Z16" s="30">
        <f t="shared" si="14"/>
        <v>50495</v>
      </c>
      <c r="AA16" s="58"/>
      <c r="AB16" s="58"/>
      <c r="AC16" s="58"/>
      <c r="AD16" s="58"/>
    </row>
    <row r="17" spans="1:30">
      <c r="A17" s="29" t="s">
        <v>298</v>
      </c>
      <c r="B17" s="24">
        <f>E13</f>
        <v>47.501482645619987</v>
      </c>
      <c r="C17" s="24">
        <f t="shared" ref="C17:P17" si="15">F13</f>
        <v>47.833993024139318</v>
      </c>
      <c r="D17" s="24">
        <f t="shared" si="15"/>
        <v>48.168830975308289</v>
      </c>
      <c r="E17" s="24">
        <f t="shared" si="15"/>
        <v>48.506012792135444</v>
      </c>
      <c r="F17" s="24">
        <f t="shared" si="15"/>
        <v>48.845554881680386</v>
      </c>
      <c r="G17" s="24">
        <f t="shared" si="15"/>
        <v>49.187473765852147</v>
      </c>
      <c r="H17" s="24">
        <f t="shared" si="15"/>
        <v>49.531786082213102</v>
      </c>
      <c r="I17" s="24">
        <f t="shared" si="15"/>
        <v>49.878508584788591</v>
      </c>
      <c r="J17" s="24">
        <f t="shared" si="15"/>
        <v>50.227658144882113</v>
      </c>
      <c r="K17" s="24">
        <f t="shared" si="15"/>
        <v>50.57925175189628</v>
      </c>
      <c r="L17" s="24">
        <f t="shared" si="15"/>
        <v>50.933306514159554</v>
      </c>
      <c r="M17" s="24">
        <f t="shared" si="15"/>
        <v>51.289839659758663</v>
      </c>
      <c r="N17" s="24">
        <f t="shared" si="15"/>
        <v>51.64886853737697</v>
      </c>
      <c r="O17" s="24">
        <f t="shared" si="15"/>
        <v>52.010410617138604</v>
      </c>
      <c r="P17" s="24">
        <f t="shared" si="15"/>
        <v>52.374483491458562</v>
      </c>
      <c r="Q17" s="24">
        <f t="shared" ref="Q17" si="16">T13</f>
        <v>52.74110487589877</v>
      </c>
      <c r="R17" s="24">
        <f t="shared" ref="R17" si="17">U13</f>
        <v>53.110292610030058</v>
      </c>
      <c r="S17" s="24">
        <f t="shared" ref="S17" si="18">V13</f>
        <v>53.48206465830026</v>
      </c>
      <c r="T17" s="24">
        <f t="shared" ref="T17" si="19">W13</f>
        <v>53.856439110908354</v>
      </c>
      <c r="U17" s="24">
        <f t="shared" ref="U17" si="20">X13</f>
        <v>54.233434184684704</v>
      </c>
      <c r="V17" s="24">
        <f t="shared" ref="V17" si="21">Y13</f>
        <v>54.613068223977493</v>
      </c>
      <c r="W17" s="24">
        <f t="shared" ref="W17" si="22">Z13</f>
        <v>54.995359701545325</v>
      </c>
      <c r="X17" s="24">
        <f t="shared" ref="X17" si="23">AA13</f>
        <v>55.380327219456134</v>
      </c>
      <c r="Y17" s="24">
        <f t="shared" ref="Y17" si="24">AB13</f>
        <v>55.767989509992319</v>
      </c>
      <c r="Z17" s="24">
        <f t="shared" ref="Z17" si="25">AC13</f>
        <v>56.158365436562264</v>
      </c>
      <c r="AA17" s="50"/>
      <c r="AB17" s="50"/>
      <c r="AC17" s="50"/>
      <c r="AD17" s="50"/>
    </row>
    <row r="18" spans="1:30">
      <c r="A18" s="29" t="s">
        <v>276</v>
      </c>
      <c r="B18" s="29">
        <f>Assumption!$D$42</f>
        <v>1663.85625</v>
      </c>
      <c r="C18" s="29">
        <f>Assumption!$D$42</f>
        <v>1663.85625</v>
      </c>
      <c r="D18" s="29">
        <f>Assumption!$D$42</f>
        <v>1663.85625</v>
      </c>
      <c r="E18" s="29">
        <f>Assumption!$D$42</f>
        <v>1663.85625</v>
      </c>
      <c r="F18" s="29">
        <f>Assumption!$D$42</f>
        <v>1663.85625</v>
      </c>
      <c r="G18" s="29">
        <f>Assumption!$D$42</f>
        <v>1663.85625</v>
      </c>
      <c r="H18" s="29">
        <f>Assumption!$D$42</f>
        <v>1663.85625</v>
      </c>
      <c r="I18" s="29">
        <f>Assumption!$D$42</f>
        <v>1663.85625</v>
      </c>
      <c r="J18" s="29">
        <f>Assumption!$D$42</f>
        <v>1663.85625</v>
      </c>
      <c r="K18" s="29">
        <f>Assumption!$D$42</f>
        <v>1663.85625</v>
      </c>
      <c r="L18" s="29">
        <f>Assumption!$D$42</f>
        <v>1663.85625</v>
      </c>
      <c r="M18" s="29">
        <f>Assumption!$D$42</f>
        <v>1663.85625</v>
      </c>
      <c r="N18" s="29">
        <f>Assumption!$D$42</f>
        <v>1663.85625</v>
      </c>
      <c r="O18" s="29">
        <f>Assumption!$D$42</f>
        <v>1663.85625</v>
      </c>
      <c r="P18" s="29">
        <f>Assumption!$D$42</f>
        <v>1663.85625</v>
      </c>
      <c r="Q18" s="29">
        <f>Assumption!$D$42</f>
        <v>1663.85625</v>
      </c>
      <c r="R18" s="29">
        <f>Assumption!$D$42</f>
        <v>1663.85625</v>
      </c>
      <c r="S18" s="29">
        <f>Assumption!$D$42</f>
        <v>1663.85625</v>
      </c>
      <c r="T18" s="29">
        <f>Assumption!$D$42</f>
        <v>1663.85625</v>
      </c>
      <c r="U18" s="29">
        <f>Assumption!$D$42</f>
        <v>1663.85625</v>
      </c>
      <c r="V18" s="29">
        <f>Assumption!$D$42</f>
        <v>1663.85625</v>
      </c>
      <c r="W18" s="29">
        <f>Assumption!$D$42</f>
        <v>1663.85625</v>
      </c>
      <c r="X18" s="29">
        <f>Assumption!$D$42</f>
        <v>1663.85625</v>
      </c>
      <c r="Y18" s="29">
        <f>Assumption!$D$42</f>
        <v>1663.85625</v>
      </c>
      <c r="Z18" s="29">
        <f>Assumption!$D$42</f>
        <v>1663.85625</v>
      </c>
    </row>
    <row r="19" spans="1:30">
      <c r="A19" s="29" t="s">
        <v>288</v>
      </c>
      <c r="B19" s="33">
        <f>B18</f>
        <v>1663.85625</v>
      </c>
      <c r="C19" s="33">
        <f t="shared" ref="C19:Z19" si="26">C18</f>
        <v>1663.85625</v>
      </c>
      <c r="D19" s="33">
        <f t="shared" si="26"/>
        <v>1663.85625</v>
      </c>
      <c r="E19" s="33">
        <f t="shared" si="26"/>
        <v>1663.85625</v>
      </c>
      <c r="F19" s="33">
        <f t="shared" si="26"/>
        <v>1663.85625</v>
      </c>
      <c r="G19" s="33">
        <f t="shared" si="26"/>
        <v>1663.85625</v>
      </c>
      <c r="H19" s="33">
        <f t="shared" si="26"/>
        <v>1663.85625</v>
      </c>
      <c r="I19" s="33">
        <f t="shared" si="26"/>
        <v>1663.85625</v>
      </c>
      <c r="J19" s="33">
        <f t="shared" si="26"/>
        <v>1663.85625</v>
      </c>
      <c r="K19" s="33">
        <f t="shared" si="26"/>
        <v>1663.85625</v>
      </c>
      <c r="L19" s="33">
        <f t="shared" si="26"/>
        <v>1663.85625</v>
      </c>
      <c r="M19" s="33">
        <f t="shared" si="26"/>
        <v>1663.85625</v>
      </c>
      <c r="N19" s="33">
        <f t="shared" si="26"/>
        <v>1663.85625</v>
      </c>
      <c r="O19" s="33">
        <f t="shared" si="26"/>
        <v>1663.85625</v>
      </c>
      <c r="P19" s="33">
        <f t="shared" si="26"/>
        <v>1663.85625</v>
      </c>
      <c r="Q19" s="33">
        <f t="shared" si="26"/>
        <v>1663.85625</v>
      </c>
      <c r="R19" s="33">
        <f t="shared" si="26"/>
        <v>1663.85625</v>
      </c>
      <c r="S19" s="33">
        <f t="shared" si="26"/>
        <v>1663.85625</v>
      </c>
      <c r="T19" s="33">
        <f t="shared" si="26"/>
        <v>1663.85625</v>
      </c>
      <c r="U19" s="33">
        <f t="shared" si="26"/>
        <v>1663.85625</v>
      </c>
      <c r="V19" s="33">
        <f t="shared" si="26"/>
        <v>1663.85625</v>
      </c>
      <c r="W19" s="33">
        <f t="shared" si="26"/>
        <v>1663.85625</v>
      </c>
      <c r="X19" s="33">
        <f t="shared" si="26"/>
        <v>1663.85625</v>
      </c>
      <c r="Y19" s="33">
        <f t="shared" si="26"/>
        <v>1663.85625</v>
      </c>
      <c r="Z19" s="33">
        <f t="shared" si="26"/>
        <v>1663.85625</v>
      </c>
    </row>
    <row r="20" spans="1:30">
      <c r="A20" s="29" t="s">
        <v>277</v>
      </c>
      <c r="B20" s="33">
        <f>B19*Assumption!$D$62</f>
        <v>3.3277125000000001</v>
      </c>
      <c r="C20" s="33">
        <f>C19*Assumption!$D$62</f>
        <v>3.3277125000000001</v>
      </c>
      <c r="D20" s="33">
        <f>D19*Assumption!$D$62</f>
        <v>3.3277125000000001</v>
      </c>
      <c r="E20" s="33">
        <f>E19*Assumption!$D$62</f>
        <v>3.3277125000000001</v>
      </c>
      <c r="F20" s="33">
        <f>F19*Assumption!$D$62</f>
        <v>3.3277125000000001</v>
      </c>
      <c r="G20" s="33">
        <f>G19*Assumption!$D$62</f>
        <v>3.3277125000000001</v>
      </c>
      <c r="H20" s="33">
        <f>H19*Assumption!$D$62</f>
        <v>3.3277125000000001</v>
      </c>
      <c r="I20" s="33">
        <f>I19*Assumption!$D$62</f>
        <v>3.3277125000000001</v>
      </c>
      <c r="J20" s="33">
        <f>J19*Assumption!$D$62</f>
        <v>3.3277125000000001</v>
      </c>
      <c r="K20" s="33">
        <f>K19*Assumption!$D$62</f>
        <v>3.3277125000000001</v>
      </c>
      <c r="L20" s="33">
        <f>L19*Assumption!$D$62</f>
        <v>3.3277125000000001</v>
      </c>
      <c r="M20" s="33">
        <f>M19*Assumption!$D$62</f>
        <v>3.3277125000000001</v>
      </c>
      <c r="N20" s="33">
        <f>N19*Assumption!$D$62</f>
        <v>3.3277125000000001</v>
      </c>
      <c r="O20" s="33">
        <f>O19*Assumption!$D$62</f>
        <v>3.3277125000000001</v>
      </c>
      <c r="P20" s="33">
        <f>P19*Assumption!$D$62</f>
        <v>3.3277125000000001</v>
      </c>
      <c r="Q20" s="33">
        <f>Q19*Assumption!$D$62</f>
        <v>3.3277125000000001</v>
      </c>
      <c r="R20" s="33">
        <f>R19*Assumption!$D$62</f>
        <v>3.3277125000000001</v>
      </c>
      <c r="S20" s="33">
        <f>S19*Assumption!$D$62</f>
        <v>3.3277125000000001</v>
      </c>
      <c r="T20" s="33">
        <f>T19*Assumption!$D$62</f>
        <v>3.3277125000000001</v>
      </c>
      <c r="U20" s="33">
        <f>U19*Assumption!$D$62</f>
        <v>3.3277125000000001</v>
      </c>
      <c r="V20" s="33">
        <f>V19*Assumption!$D$62</f>
        <v>3.3277125000000001</v>
      </c>
      <c r="W20" s="33">
        <f>W19*Assumption!$D$62</f>
        <v>3.3277125000000001</v>
      </c>
      <c r="X20" s="33">
        <f>X19*Assumption!$D$62</f>
        <v>3.3277125000000001</v>
      </c>
      <c r="Y20" s="33">
        <f>Y19*Assumption!$D$62</f>
        <v>3.3277125000000001</v>
      </c>
      <c r="Z20" s="33">
        <f>Z19*Assumption!$D$62</f>
        <v>3.3277125000000001</v>
      </c>
    </row>
    <row r="21" spans="1:30">
      <c r="A21" s="29" t="s">
        <v>289</v>
      </c>
      <c r="B21" s="33">
        <f>B19+B20</f>
        <v>1667.1839625</v>
      </c>
      <c r="C21" s="33">
        <f t="shared" ref="C21:Z21" si="27">C19+C20</f>
        <v>1667.1839625</v>
      </c>
      <c r="D21" s="33">
        <f t="shared" si="27"/>
        <v>1667.1839625</v>
      </c>
      <c r="E21" s="33">
        <f t="shared" si="27"/>
        <v>1667.1839625</v>
      </c>
      <c r="F21" s="33">
        <f t="shared" si="27"/>
        <v>1667.1839625</v>
      </c>
      <c r="G21" s="33">
        <f t="shared" si="27"/>
        <v>1667.1839625</v>
      </c>
      <c r="H21" s="33">
        <f t="shared" si="27"/>
        <v>1667.1839625</v>
      </c>
      <c r="I21" s="33">
        <f t="shared" si="27"/>
        <v>1667.1839625</v>
      </c>
      <c r="J21" s="33">
        <f t="shared" si="27"/>
        <v>1667.1839625</v>
      </c>
      <c r="K21" s="33">
        <f t="shared" si="27"/>
        <v>1667.1839625</v>
      </c>
      <c r="L21" s="33">
        <f t="shared" si="27"/>
        <v>1667.1839625</v>
      </c>
      <c r="M21" s="33">
        <f t="shared" si="27"/>
        <v>1667.1839625</v>
      </c>
      <c r="N21" s="33">
        <f t="shared" si="27"/>
        <v>1667.1839625</v>
      </c>
      <c r="O21" s="33">
        <f t="shared" si="27"/>
        <v>1667.1839625</v>
      </c>
      <c r="P21" s="33">
        <f t="shared" si="27"/>
        <v>1667.1839625</v>
      </c>
      <c r="Q21" s="33">
        <f t="shared" si="27"/>
        <v>1667.1839625</v>
      </c>
      <c r="R21" s="33">
        <f t="shared" si="27"/>
        <v>1667.1839625</v>
      </c>
      <c r="S21" s="33">
        <f t="shared" si="27"/>
        <v>1667.1839625</v>
      </c>
      <c r="T21" s="33">
        <f t="shared" si="27"/>
        <v>1667.1839625</v>
      </c>
      <c r="U21" s="33">
        <f t="shared" si="27"/>
        <v>1667.1839625</v>
      </c>
      <c r="V21" s="33">
        <f t="shared" si="27"/>
        <v>1667.1839625</v>
      </c>
      <c r="W21" s="33">
        <f t="shared" si="27"/>
        <v>1667.1839625</v>
      </c>
      <c r="X21" s="33">
        <f t="shared" si="27"/>
        <v>1667.1839625</v>
      </c>
      <c r="Y21" s="33">
        <f t="shared" si="27"/>
        <v>1667.1839625</v>
      </c>
      <c r="Z21" s="33">
        <f t="shared" si="27"/>
        <v>1667.1839625</v>
      </c>
    </row>
    <row r="22" spans="1:30" s="59" customFormat="1">
      <c r="A22" s="29" t="s">
        <v>113</v>
      </c>
      <c r="B22" s="57">
        <f t="shared" ref="B22:Z22" si="28">$B$76</f>
        <v>3500000</v>
      </c>
      <c r="C22" s="57">
        <f t="shared" si="28"/>
        <v>3500000</v>
      </c>
      <c r="D22" s="57">
        <f t="shared" si="28"/>
        <v>3500000</v>
      </c>
      <c r="E22" s="57">
        <f t="shared" si="28"/>
        <v>3500000</v>
      </c>
      <c r="F22" s="57">
        <f t="shared" si="28"/>
        <v>3500000</v>
      </c>
      <c r="G22" s="57">
        <f t="shared" si="28"/>
        <v>3500000</v>
      </c>
      <c r="H22" s="57">
        <f t="shared" si="28"/>
        <v>3500000</v>
      </c>
      <c r="I22" s="57">
        <f t="shared" si="28"/>
        <v>3500000</v>
      </c>
      <c r="J22" s="57">
        <f t="shared" si="28"/>
        <v>3500000</v>
      </c>
      <c r="K22" s="57">
        <f t="shared" si="28"/>
        <v>3500000</v>
      </c>
      <c r="L22" s="57">
        <f t="shared" si="28"/>
        <v>3500000</v>
      </c>
      <c r="M22" s="57">
        <f t="shared" si="28"/>
        <v>3500000</v>
      </c>
      <c r="N22" s="57">
        <f t="shared" si="28"/>
        <v>3500000</v>
      </c>
      <c r="O22" s="57">
        <f t="shared" si="28"/>
        <v>3500000</v>
      </c>
      <c r="P22" s="57">
        <f t="shared" si="28"/>
        <v>3500000</v>
      </c>
      <c r="Q22" s="57">
        <f t="shared" si="28"/>
        <v>3500000</v>
      </c>
      <c r="R22" s="57">
        <f t="shared" si="28"/>
        <v>3500000</v>
      </c>
      <c r="S22" s="57">
        <f t="shared" si="28"/>
        <v>3500000</v>
      </c>
      <c r="T22" s="57">
        <f t="shared" si="28"/>
        <v>3500000</v>
      </c>
      <c r="U22" s="57">
        <f t="shared" si="28"/>
        <v>3500000</v>
      </c>
      <c r="V22" s="57">
        <f t="shared" si="28"/>
        <v>3500000</v>
      </c>
      <c r="W22" s="57">
        <f t="shared" si="28"/>
        <v>3500000</v>
      </c>
      <c r="X22" s="57">
        <f t="shared" si="28"/>
        <v>3500000</v>
      </c>
      <c r="Y22" s="57">
        <f t="shared" si="28"/>
        <v>3500000</v>
      </c>
      <c r="Z22" s="57">
        <f t="shared" si="28"/>
        <v>3500000</v>
      </c>
    </row>
    <row r="23" spans="1:30" s="59" customFormat="1">
      <c r="A23" s="29" t="s">
        <v>114</v>
      </c>
      <c r="B23" s="57">
        <f>B34</f>
        <v>2516168419455.6001</v>
      </c>
      <c r="C23" s="57">
        <f t="shared" ref="C23:Z23" si="29">C34</f>
        <v>2523080970058.5005</v>
      </c>
      <c r="D23" s="57">
        <f t="shared" si="29"/>
        <v>2529993520661.4004</v>
      </c>
      <c r="E23" s="57">
        <f t="shared" si="29"/>
        <v>2374664442408.0005</v>
      </c>
      <c r="F23" s="57">
        <f t="shared" si="29"/>
        <v>2374664442408.0005</v>
      </c>
      <c r="G23" s="57">
        <f t="shared" si="29"/>
        <v>2374664442408.0005</v>
      </c>
      <c r="H23" s="57">
        <f t="shared" si="29"/>
        <v>2381170372387.2002</v>
      </c>
      <c r="I23" s="57">
        <f t="shared" si="29"/>
        <v>2374664442408.0005</v>
      </c>
      <c r="J23" s="57">
        <f t="shared" si="29"/>
        <v>2374664442408.0005</v>
      </c>
      <c r="K23" s="57">
        <f t="shared" si="29"/>
        <v>2374664442408.0005</v>
      </c>
      <c r="L23" s="57">
        <f t="shared" si="29"/>
        <v>2381170372387.2002</v>
      </c>
      <c r="M23" s="57">
        <f t="shared" si="29"/>
        <v>2374664442408.0005</v>
      </c>
      <c r="N23" s="57">
        <f t="shared" si="29"/>
        <v>2374664442408.0005</v>
      </c>
      <c r="O23" s="57">
        <f t="shared" si="29"/>
        <v>2374664442408.0005</v>
      </c>
      <c r="P23" s="57">
        <f t="shared" si="29"/>
        <v>2381170372387.2002</v>
      </c>
      <c r="Q23" s="57">
        <f t="shared" si="29"/>
        <v>2374664442408.0005</v>
      </c>
      <c r="R23" s="57">
        <f t="shared" si="29"/>
        <v>2374664442408.0005</v>
      </c>
      <c r="S23" s="57">
        <f t="shared" si="29"/>
        <v>2374664442408.0005</v>
      </c>
      <c r="T23" s="57">
        <f t="shared" si="29"/>
        <v>2381170372387.2002</v>
      </c>
      <c r="U23" s="57">
        <f t="shared" si="29"/>
        <v>2374664442408.0005</v>
      </c>
      <c r="V23" s="57">
        <f t="shared" si="29"/>
        <v>2374664442408.0005</v>
      </c>
      <c r="W23" s="57">
        <f t="shared" si="29"/>
        <v>2374664442408.0005</v>
      </c>
      <c r="X23" s="57">
        <f t="shared" si="29"/>
        <v>2381170372387.2002</v>
      </c>
      <c r="Y23" s="57">
        <f t="shared" si="29"/>
        <v>2374664442408.0005</v>
      </c>
      <c r="Z23" s="57">
        <f t="shared" si="29"/>
        <v>2374664442408.0005</v>
      </c>
    </row>
    <row r="24" spans="1:30">
      <c r="A24" s="29" t="s">
        <v>115</v>
      </c>
      <c r="B24" s="33">
        <f>B23/B22</f>
        <v>718905.26270159998</v>
      </c>
      <c r="C24" s="33">
        <f t="shared" ref="C24:Z24" si="30">C23/C22</f>
        <v>720880.27715957153</v>
      </c>
      <c r="D24" s="33">
        <f t="shared" si="30"/>
        <v>722855.29161754297</v>
      </c>
      <c r="E24" s="33">
        <f t="shared" si="30"/>
        <v>678475.5549737144</v>
      </c>
      <c r="F24" s="33">
        <f t="shared" si="30"/>
        <v>678475.5549737144</v>
      </c>
      <c r="G24" s="33">
        <f t="shared" si="30"/>
        <v>678475.5549737144</v>
      </c>
      <c r="H24" s="33">
        <f t="shared" si="30"/>
        <v>680334.39211062866</v>
      </c>
      <c r="I24" s="33">
        <f t="shared" si="30"/>
        <v>678475.5549737144</v>
      </c>
      <c r="J24" s="33">
        <f t="shared" si="30"/>
        <v>678475.5549737144</v>
      </c>
      <c r="K24" s="33">
        <f t="shared" si="30"/>
        <v>678475.5549737144</v>
      </c>
      <c r="L24" s="33">
        <f t="shared" si="30"/>
        <v>680334.39211062866</v>
      </c>
      <c r="M24" s="33">
        <f t="shared" si="30"/>
        <v>678475.5549737144</v>
      </c>
      <c r="N24" s="33">
        <f t="shared" si="30"/>
        <v>678475.5549737144</v>
      </c>
      <c r="O24" s="33">
        <f t="shared" si="30"/>
        <v>678475.5549737144</v>
      </c>
      <c r="P24" s="33">
        <f t="shared" si="30"/>
        <v>680334.39211062866</v>
      </c>
      <c r="Q24" s="33">
        <f t="shared" si="30"/>
        <v>678475.5549737144</v>
      </c>
      <c r="R24" s="33">
        <f t="shared" si="30"/>
        <v>678475.5549737144</v>
      </c>
      <c r="S24" s="33">
        <f t="shared" si="30"/>
        <v>678475.5549737144</v>
      </c>
      <c r="T24" s="33">
        <f t="shared" si="30"/>
        <v>680334.39211062866</v>
      </c>
      <c r="U24" s="33">
        <f t="shared" si="30"/>
        <v>678475.5549737144</v>
      </c>
      <c r="V24" s="33">
        <f t="shared" si="30"/>
        <v>678475.5549737144</v>
      </c>
      <c r="W24" s="33">
        <f t="shared" si="30"/>
        <v>678475.5549737144</v>
      </c>
      <c r="X24" s="33">
        <f t="shared" si="30"/>
        <v>680334.39211062866</v>
      </c>
      <c r="Y24" s="33">
        <f t="shared" si="30"/>
        <v>678475.5549737144</v>
      </c>
      <c r="Z24" s="33">
        <f t="shared" si="30"/>
        <v>678475.5549737144</v>
      </c>
    </row>
    <row r="25" spans="1:30">
      <c r="A25" s="29" t="s">
        <v>278</v>
      </c>
      <c r="B25" s="33">
        <f>(B24*B21)/1000000</f>
        <v>1198.5473245329567</v>
      </c>
      <c r="C25" s="33">
        <f>(C24*C21)/1000000</f>
        <v>1201.8400369629926</v>
      </c>
      <c r="D25" s="33">
        <f t="shared" ref="D25:Z25" si="31">(D24*D21)/1000000</f>
        <v>1205.1327493930282</v>
      </c>
      <c r="E25" s="33">
        <f t="shared" si="31"/>
        <v>1131.1435642004637</v>
      </c>
      <c r="F25" s="33">
        <f t="shared" si="31"/>
        <v>1131.1435642004637</v>
      </c>
      <c r="G25" s="33">
        <f t="shared" si="31"/>
        <v>1131.1435642004637</v>
      </c>
      <c r="H25" s="33">
        <f t="shared" si="31"/>
        <v>1134.2425876640268</v>
      </c>
      <c r="I25" s="33">
        <f t="shared" si="31"/>
        <v>1131.1435642004637</v>
      </c>
      <c r="J25" s="33">
        <f t="shared" si="31"/>
        <v>1131.1435642004637</v>
      </c>
      <c r="K25" s="33">
        <f t="shared" si="31"/>
        <v>1131.1435642004637</v>
      </c>
      <c r="L25" s="33">
        <f t="shared" si="31"/>
        <v>1134.2425876640268</v>
      </c>
      <c r="M25" s="33">
        <f t="shared" si="31"/>
        <v>1131.1435642004637</v>
      </c>
      <c r="N25" s="33">
        <f t="shared" si="31"/>
        <v>1131.1435642004637</v>
      </c>
      <c r="O25" s="33">
        <f t="shared" si="31"/>
        <v>1131.1435642004637</v>
      </c>
      <c r="P25" s="33">
        <f t="shared" si="31"/>
        <v>1134.2425876640268</v>
      </c>
      <c r="Q25" s="33">
        <f t="shared" si="31"/>
        <v>1131.1435642004637</v>
      </c>
      <c r="R25" s="33">
        <f t="shared" si="31"/>
        <v>1131.1435642004637</v>
      </c>
      <c r="S25" s="33">
        <f t="shared" si="31"/>
        <v>1131.1435642004637</v>
      </c>
      <c r="T25" s="33">
        <f t="shared" si="31"/>
        <v>1134.2425876640268</v>
      </c>
      <c r="U25" s="33">
        <f t="shared" si="31"/>
        <v>1131.1435642004637</v>
      </c>
      <c r="V25" s="33">
        <f t="shared" si="31"/>
        <v>1131.1435642004637</v>
      </c>
      <c r="W25" s="33">
        <f t="shared" si="31"/>
        <v>1131.1435642004637</v>
      </c>
      <c r="X25" s="33">
        <f t="shared" si="31"/>
        <v>1134.2425876640268</v>
      </c>
      <c r="Y25" s="33">
        <f t="shared" si="31"/>
        <v>1131.1435642004637</v>
      </c>
      <c r="Z25" s="33">
        <f t="shared" si="31"/>
        <v>1131.1435642004637</v>
      </c>
    </row>
    <row r="26" spans="1:30" s="61" customFormat="1">
      <c r="A26" s="39" t="s">
        <v>290</v>
      </c>
      <c r="B26" s="60">
        <f>B48</f>
        <v>38.345195070000003</v>
      </c>
      <c r="C26" s="60">
        <f t="shared" ref="C26:Z26" si="32">C48</f>
        <v>38.450539012500002</v>
      </c>
      <c r="D26" s="60">
        <f t="shared" si="32"/>
        <v>38.555882955000001</v>
      </c>
      <c r="E26" s="60">
        <f t="shared" si="32"/>
        <v>36.188742600000005</v>
      </c>
      <c r="F26" s="60">
        <f t="shared" si="32"/>
        <v>36.188742600000005</v>
      </c>
      <c r="G26" s="60">
        <f t="shared" si="32"/>
        <v>36.188742600000005</v>
      </c>
      <c r="H26" s="60">
        <f t="shared" si="32"/>
        <v>36.287889839999998</v>
      </c>
      <c r="I26" s="60">
        <f t="shared" si="32"/>
        <v>36.188742600000005</v>
      </c>
      <c r="J26" s="60">
        <f t="shared" si="32"/>
        <v>36.188742600000005</v>
      </c>
      <c r="K26" s="60">
        <f t="shared" si="32"/>
        <v>36.188742600000005</v>
      </c>
      <c r="L26" s="60">
        <f t="shared" si="32"/>
        <v>36.287889839999998</v>
      </c>
      <c r="M26" s="60">
        <f t="shared" si="32"/>
        <v>36.188742600000005</v>
      </c>
      <c r="N26" s="60">
        <f t="shared" si="32"/>
        <v>36.188742600000005</v>
      </c>
      <c r="O26" s="60">
        <f t="shared" si="32"/>
        <v>36.188742600000005</v>
      </c>
      <c r="P26" s="60">
        <f t="shared" si="32"/>
        <v>36.287889839999998</v>
      </c>
      <c r="Q26" s="60">
        <f t="shared" si="32"/>
        <v>36.188742600000005</v>
      </c>
      <c r="R26" s="60">
        <f t="shared" si="32"/>
        <v>36.188742600000005</v>
      </c>
      <c r="S26" s="60">
        <f t="shared" si="32"/>
        <v>36.188742600000005</v>
      </c>
      <c r="T26" s="60">
        <f t="shared" si="32"/>
        <v>36.287889839999998</v>
      </c>
      <c r="U26" s="60">
        <f t="shared" si="32"/>
        <v>36.188742600000005</v>
      </c>
      <c r="V26" s="60">
        <f t="shared" si="32"/>
        <v>36.188742600000005</v>
      </c>
      <c r="W26" s="60">
        <f t="shared" si="32"/>
        <v>36.188742600000005</v>
      </c>
      <c r="X26" s="60">
        <f t="shared" si="32"/>
        <v>36.287889839999998</v>
      </c>
      <c r="Y26" s="60">
        <f t="shared" si="32"/>
        <v>36.188742600000005</v>
      </c>
      <c r="Z26" s="60">
        <f t="shared" si="32"/>
        <v>36.188742600000005</v>
      </c>
    </row>
    <row r="27" spans="1:30">
      <c r="A27" s="29" t="s">
        <v>279</v>
      </c>
      <c r="B27" s="62">
        <f>B26+B25</f>
        <v>1236.8925196029568</v>
      </c>
      <c r="C27" s="62">
        <f t="shared" ref="C27:Z27" si="33">C26+C25</f>
        <v>1240.2905759754926</v>
      </c>
      <c r="D27" s="62">
        <f t="shared" si="33"/>
        <v>1243.6886323480282</v>
      </c>
      <c r="E27" s="62">
        <f t="shared" si="33"/>
        <v>1167.3323068004638</v>
      </c>
      <c r="F27" s="62">
        <f t="shared" si="33"/>
        <v>1167.3323068004638</v>
      </c>
      <c r="G27" s="62">
        <f t="shared" si="33"/>
        <v>1167.3323068004638</v>
      </c>
      <c r="H27" s="62">
        <f t="shared" si="33"/>
        <v>1170.5304775040267</v>
      </c>
      <c r="I27" s="62">
        <f t="shared" si="33"/>
        <v>1167.3323068004638</v>
      </c>
      <c r="J27" s="62">
        <f t="shared" si="33"/>
        <v>1167.3323068004638</v>
      </c>
      <c r="K27" s="62">
        <f t="shared" si="33"/>
        <v>1167.3323068004638</v>
      </c>
      <c r="L27" s="62">
        <f t="shared" si="33"/>
        <v>1170.5304775040267</v>
      </c>
      <c r="M27" s="62">
        <f t="shared" si="33"/>
        <v>1167.3323068004638</v>
      </c>
      <c r="N27" s="62">
        <f t="shared" si="33"/>
        <v>1167.3323068004638</v>
      </c>
      <c r="O27" s="62">
        <f t="shared" si="33"/>
        <v>1167.3323068004638</v>
      </c>
      <c r="P27" s="62">
        <f t="shared" si="33"/>
        <v>1170.5304775040267</v>
      </c>
      <c r="Q27" s="62">
        <f t="shared" si="33"/>
        <v>1167.3323068004638</v>
      </c>
      <c r="R27" s="62">
        <f t="shared" si="33"/>
        <v>1167.3323068004638</v>
      </c>
      <c r="S27" s="62">
        <f t="shared" si="33"/>
        <v>1167.3323068004638</v>
      </c>
      <c r="T27" s="62">
        <f t="shared" si="33"/>
        <v>1170.5304775040267</v>
      </c>
      <c r="U27" s="62">
        <f t="shared" si="33"/>
        <v>1167.3323068004638</v>
      </c>
      <c r="V27" s="62">
        <f t="shared" si="33"/>
        <v>1167.3323068004638</v>
      </c>
      <c r="W27" s="62">
        <f t="shared" si="33"/>
        <v>1167.3323068004638</v>
      </c>
      <c r="X27" s="62">
        <f t="shared" si="33"/>
        <v>1170.5304775040267</v>
      </c>
      <c r="Y27" s="62">
        <f t="shared" si="33"/>
        <v>1167.3323068004638</v>
      </c>
      <c r="Z27" s="62">
        <f t="shared" si="33"/>
        <v>1167.3323068004638</v>
      </c>
    </row>
    <row r="28" spans="1:30">
      <c r="A28" s="29" t="s">
        <v>102</v>
      </c>
      <c r="B28" s="62">
        <f>B71</f>
        <v>902.21040000000005</v>
      </c>
      <c r="C28" s="62">
        <f t="shared" ref="C28:Z28" si="34">C71</f>
        <v>904.68900000000008</v>
      </c>
      <c r="D28" s="62">
        <f t="shared" si="34"/>
        <v>907.16759999999999</v>
      </c>
      <c r="E28" s="62">
        <f t="shared" si="34"/>
        <v>851.47199999999998</v>
      </c>
      <c r="F28" s="62">
        <f t="shared" si="34"/>
        <v>851.47199999999998</v>
      </c>
      <c r="G28" s="62">
        <f t="shared" si="34"/>
        <v>851.47199999999998</v>
      </c>
      <c r="H28" s="62">
        <f t="shared" si="34"/>
        <v>853.8048</v>
      </c>
      <c r="I28" s="62">
        <f t="shared" si="34"/>
        <v>851.47199999999998</v>
      </c>
      <c r="J28" s="62">
        <f t="shared" si="34"/>
        <v>851.47199999999998</v>
      </c>
      <c r="K28" s="62">
        <f t="shared" si="34"/>
        <v>851.47199999999998</v>
      </c>
      <c r="L28" s="62">
        <f t="shared" si="34"/>
        <v>853.8048</v>
      </c>
      <c r="M28" s="62">
        <f t="shared" si="34"/>
        <v>851.47199999999998</v>
      </c>
      <c r="N28" s="62">
        <f t="shared" si="34"/>
        <v>851.47199999999998</v>
      </c>
      <c r="O28" s="62">
        <f t="shared" si="34"/>
        <v>851.47199999999998</v>
      </c>
      <c r="P28" s="62">
        <f t="shared" si="34"/>
        <v>853.8048</v>
      </c>
      <c r="Q28" s="62">
        <f t="shared" si="34"/>
        <v>851.47199999999998</v>
      </c>
      <c r="R28" s="62">
        <f t="shared" si="34"/>
        <v>851.47199999999998</v>
      </c>
      <c r="S28" s="62">
        <f t="shared" si="34"/>
        <v>851.47199999999998</v>
      </c>
      <c r="T28" s="62">
        <f t="shared" si="34"/>
        <v>853.8048</v>
      </c>
      <c r="U28" s="62">
        <f t="shared" si="34"/>
        <v>851.47199999999998</v>
      </c>
      <c r="V28" s="62">
        <f t="shared" si="34"/>
        <v>851.47199999999998</v>
      </c>
      <c r="W28" s="62">
        <f t="shared" si="34"/>
        <v>851.47199999999998</v>
      </c>
      <c r="X28" s="62">
        <f t="shared" si="34"/>
        <v>853.8048</v>
      </c>
      <c r="Y28" s="62">
        <f t="shared" si="34"/>
        <v>851.47199999999998</v>
      </c>
      <c r="Z28" s="62">
        <f t="shared" si="34"/>
        <v>851.47199999999998</v>
      </c>
    </row>
    <row r="29" spans="1:30">
      <c r="A29" s="29" t="s">
        <v>291</v>
      </c>
      <c r="B29" s="62">
        <f>(B27/B28)</f>
        <v>1.370957949058176</v>
      </c>
      <c r="C29" s="62">
        <f t="shared" ref="C29:Z29" si="35">(C27/C28)</f>
        <v>1.3709579490581765</v>
      </c>
      <c r="D29" s="62">
        <f t="shared" si="35"/>
        <v>1.3709579490581765</v>
      </c>
      <c r="E29" s="62">
        <f t="shared" si="35"/>
        <v>1.3709579490581767</v>
      </c>
      <c r="F29" s="62">
        <f t="shared" si="35"/>
        <v>1.3709579490581767</v>
      </c>
      <c r="G29" s="62">
        <f t="shared" si="35"/>
        <v>1.3709579490581767</v>
      </c>
      <c r="H29" s="62">
        <f t="shared" si="35"/>
        <v>1.3709579490581767</v>
      </c>
      <c r="I29" s="62">
        <f t="shared" si="35"/>
        <v>1.3709579490581767</v>
      </c>
      <c r="J29" s="62">
        <f t="shared" si="35"/>
        <v>1.3709579490581767</v>
      </c>
      <c r="K29" s="62">
        <f t="shared" si="35"/>
        <v>1.3709579490581767</v>
      </c>
      <c r="L29" s="62">
        <f t="shared" si="35"/>
        <v>1.3709579490581767</v>
      </c>
      <c r="M29" s="62">
        <f t="shared" si="35"/>
        <v>1.3709579490581767</v>
      </c>
      <c r="N29" s="62">
        <f t="shared" si="35"/>
        <v>1.3709579490581767</v>
      </c>
      <c r="O29" s="62">
        <f t="shared" si="35"/>
        <v>1.3709579490581767</v>
      </c>
      <c r="P29" s="62">
        <f t="shared" si="35"/>
        <v>1.3709579490581767</v>
      </c>
      <c r="Q29" s="62">
        <f t="shared" si="35"/>
        <v>1.3709579490581767</v>
      </c>
      <c r="R29" s="62">
        <f t="shared" si="35"/>
        <v>1.3709579490581767</v>
      </c>
      <c r="S29" s="62">
        <f t="shared" si="35"/>
        <v>1.3709579490581767</v>
      </c>
      <c r="T29" s="62">
        <f t="shared" si="35"/>
        <v>1.3709579490581767</v>
      </c>
      <c r="U29" s="62">
        <f t="shared" si="35"/>
        <v>1.3709579490581767</v>
      </c>
      <c r="V29" s="62">
        <f t="shared" si="35"/>
        <v>1.3709579490581767</v>
      </c>
      <c r="W29" s="62">
        <f t="shared" si="35"/>
        <v>1.3709579490581767</v>
      </c>
      <c r="X29" s="62">
        <f t="shared" si="35"/>
        <v>1.3709579490581767</v>
      </c>
      <c r="Y29" s="62">
        <f t="shared" si="35"/>
        <v>1.3709579490581767</v>
      </c>
      <c r="Z29" s="62">
        <f t="shared" si="35"/>
        <v>1.3709579490581767</v>
      </c>
    </row>
    <row r="30" spans="1:30">
      <c r="A30" s="37"/>
      <c r="B30" s="63"/>
      <c r="C30" s="63"/>
      <c r="D30" s="63"/>
      <c r="E30" s="63"/>
      <c r="F30" s="63"/>
      <c r="G30" s="63"/>
      <c r="H30" s="63"/>
      <c r="I30" s="63"/>
      <c r="J30" s="63"/>
      <c r="K30" s="63"/>
      <c r="L30" s="63"/>
      <c r="M30" s="63"/>
      <c r="N30" s="63"/>
      <c r="O30" s="63"/>
      <c r="P30" s="63"/>
      <c r="Q30" s="63"/>
      <c r="R30" s="63"/>
      <c r="S30" s="63"/>
      <c r="T30" s="63"/>
      <c r="U30" s="63"/>
      <c r="V30" s="63"/>
      <c r="W30" s="63"/>
      <c r="X30" s="63"/>
      <c r="Y30" s="63"/>
      <c r="Z30" s="63"/>
    </row>
    <row r="31" spans="1:30">
      <c r="A31" s="29" t="s">
        <v>119</v>
      </c>
      <c r="B31" s="64">
        <f>B63</f>
        <v>1002.456</v>
      </c>
      <c r="C31" s="64">
        <f t="shared" ref="C31:Z31" si="36">C63</f>
        <v>1005.21</v>
      </c>
      <c r="D31" s="64">
        <f t="shared" si="36"/>
        <v>1007.9640000000001</v>
      </c>
      <c r="E31" s="64">
        <f t="shared" si="36"/>
        <v>946.08</v>
      </c>
      <c r="F31" s="64">
        <f t="shared" si="36"/>
        <v>946.08</v>
      </c>
      <c r="G31" s="64">
        <f t="shared" si="36"/>
        <v>946.08</v>
      </c>
      <c r="H31" s="64">
        <f t="shared" si="36"/>
        <v>948.67200000000003</v>
      </c>
      <c r="I31" s="64">
        <f t="shared" si="36"/>
        <v>946.08</v>
      </c>
      <c r="J31" s="64">
        <f t="shared" si="36"/>
        <v>946.08</v>
      </c>
      <c r="K31" s="64">
        <f t="shared" si="36"/>
        <v>946.08</v>
      </c>
      <c r="L31" s="64">
        <f t="shared" si="36"/>
        <v>948.67200000000003</v>
      </c>
      <c r="M31" s="64">
        <f t="shared" si="36"/>
        <v>946.08</v>
      </c>
      <c r="N31" s="64">
        <f t="shared" si="36"/>
        <v>946.08</v>
      </c>
      <c r="O31" s="64">
        <f t="shared" si="36"/>
        <v>946.08</v>
      </c>
      <c r="P31" s="64">
        <f t="shared" si="36"/>
        <v>948.67200000000003</v>
      </c>
      <c r="Q31" s="64">
        <f t="shared" si="36"/>
        <v>946.08</v>
      </c>
      <c r="R31" s="64">
        <f t="shared" si="36"/>
        <v>946.08</v>
      </c>
      <c r="S31" s="64">
        <f t="shared" si="36"/>
        <v>946.08</v>
      </c>
      <c r="T31" s="64">
        <f t="shared" si="36"/>
        <v>948.67200000000003</v>
      </c>
      <c r="U31" s="64">
        <f t="shared" si="36"/>
        <v>946.08</v>
      </c>
      <c r="V31" s="64">
        <f t="shared" si="36"/>
        <v>946.08</v>
      </c>
      <c r="W31" s="64">
        <f t="shared" si="36"/>
        <v>946.08</v>
      </c>
      <c r="X31" s="64">
        <f t="shared" si="36"/>
        <v>948.67200000000003</v>
      </c>
      <c r="Y31" s="64">
        <f t="shared" si="36"/>
        <v>946.08</v>
      </c>
      <c r="Z31" s="64">
        <f t="shared" si="36"/>
        <v>946.08</v>
      </c>
    </row>
    <row r="32" spans="1:30" s="59" customFormat="1">
      <c r="A32" s="57" t="s">
        <v>116</v>
      </c>
      <c r="B32" s="57">
        <f t="shared" ref="B32:Z32" si="37">B31*B59*1000000</f>
        <v>2527088924505.6001</v>
      </c>
      <c r="C32" s="57">
        <f t="shared" si="37"/>
        <v>2534031476496.0005</v>
      </c>
      <c r="D32" s="57">
        <f t="shared" si="37"/>
        <v>2540974028486.4004</v>
      </c>
      <c r="E32" s="57">
        <f t="shared" si="37"/>
        <v>2384970801408.0005</v>
      </c>
      <c r="F32" s="57">
        <f t="shared" si="37"/>
        <v>2384970801408.0005</v>
      </c>
      <c r="G32" s="57">
        <f t="shared" si="37"/>
        <v>2384970801408.0005</v>
      </c>
      <c r="H32" s="57">
        <f t="shared" si="37"/>
        <v>2391504967987.2002</v>
      </c>
      <c r="I32" s="57">
        <f t="shared" si="37"/>
        <v>2384970801408.0005</v>
      </c>
      <c r="J32" s="57">
        <f t="shared" si="37"/>
        <v>2384970801408.0005</v>
      </c>
      <c r="K32" s="57">
        <f t="shared" si="37"/>
        <v>2384970801408.0005</v>
      </c>
      <c r="L32" s="57">
        <f t="shared" si="37"/>
        <v>2391504967987.2002</v>
      </c>
      <c r="M32" s="57">
        <f t="shared" si="37"/>
        <v>2384970801408.0005</v>
      </c>
      <c r="N32" s="57">
        <f t="shared" si="37"/>
        <v>2384970801408.0005</v>
      </c>
      <c r="O32" s="57">
        <f t="shared" si="37"/>
        <v>2384970801408.0005</v>
      </c>
      <c r="P32" s="57">
        <f t="shared" si="37"/>
        <v>2391504967987.2002</v>
      </c>
      <c r="Q32" s="57">
        <f t="shared" si="37"/>
        <v>2384970801408.0005</v>
      </c>
      <c r="R32" s="57">
        <f t="shared" si="37"/>
        <v>2384970801408.0005</v>
      </c>
      <c r="S32" s="57">
        <f t="shared" si="37"/>
        <v>2384970801408.0005</v>
      </c>
      <c r="T32" s="57">
        <f t="shared" si="37"/>
        <v>2391504967987.2002</v>
      </c>
      <c r="U32" s="57">
        <f t="shared" si="37"/>
        <v>2384970801408.0005</v>
      </c>
      <c r="V32" s="57">
        <f t="shared" si="37"/>
        <v>2384970801408.0005</v>
      </c>
      <c r="W32" s="57">
        <f t="shared" si="37"/>
        <v>2384970801408.0005</v>
      </c>
      <c r="X32" s="57">
        <f t="shared" si="37"/>
        <v>2391504967987.2002</v>
      </c>
      <c r="Y32" s="57">
        <f t="shared" si="37"/>
        <v>2384970801408.0005</v>
      </c>
      <c r="Z32" s="57">
        <f t="shared" si="37"/>
        <v>2384970801408.0005</v>
      </c>
    </row>
    <row r="33" spans="1:26" s="59" customFormat="1">
      <c r="A33" s="57" t="s">
        <v>117</v>
      </c>
      <c r="B33" s="57">
        <f>B41</f>
        <v>10920505050</v>
      </c>
      <c r="C33" s="57">
        <f t="shared" ref="C33:Z33" si="38">C41</f>
        <v>10950506437.5</v>
      </c>
      <c r="D33" s="57">
        <f t="shared" si="38"/>
        <v>10980507825</v>
      </c>
      <c r="E33" s="57">
        <f t="shared" si="38"/>
        <v>10306359000</v>
      </c>
      <c r="F33" s="57">
        <f t="shared" si="38"/>
        <v>10306359000</v>
      </c>
      <c r="G33" s="57">
        <f t="shared" si="38"/>
        <v>10306359000</v>
      </c>
      <c r="H33" s="57">
        <f t="shared" si="38"/>
        <v>10334595600</v>
      </c>
      <c r="I33" s="57">
        <f t="shared" si="38"/>
        <v>10306359000</v>
      </c>
      <c r="J33" s="57">
        <f t="shared" si="38"/>
        <v>10306359000</v>
      </c>
      <c r="K33" s="57">
        <f t="shared" si="38"/>
        <v>10306359000</v>
      </c>
      <c r="L33" s="57">
        <f t="shared" si="38"/>
        <v>10334595600</v>
      </c>
      <c r="M33" s="57">
        <f t="shared" si="38"/>
        <v>10306359000</v>
      </c>
      <c r="N33" s="57">
        <f t="shared" si="38"/>
        <v>10306359000</v>
      </c>
      <c r="O33" s="57">
        <f t="shared" si="38"/>
        <v>10306359000</v>
      </c>
      <c r="P33" s="57">
        <f t="shared" si="38"/>
        <v>10334595600</v>
      </c>
      <c r="Q33" s="57">
        <f t="shared" si="38"/>
        <v>10306359000</v>
      </c>
      <c r="R33" s="57">
        <f t="shared" si="38"/>
        <v>10306359000</v>
      </c>
      <c r="S33" s="57">
        <f t="shared" si="38"/>
        <v>10306359000</v>
      </c>
      <c r="T33" s="57">
        <f t="shared" si="38"/>
        <v>10334595600</v>
      </c>
      <c r="U33" s="57">
        <f t="shared" si="38"/>
        <v>10306359000</v>
      </c>
      <c r="V33" s="57">
        <f t="shared" si="38"/>
        <v>10306359000</v>
      </c>
      <c r="W33" s="57">
        <f t="shared" si="38"/>
        <v>10306359000</v>
      </c>
      <c r="X33" s="57">
        <f t="shared" si="38"/>
        <v>10334595600</v>
      </c>
      <c r="Y33" s="57">
        <f t="shared" si="38"/>
        <v>10306359000</v>
      </c>
      <c r="Z33" s="57">
        <f t="shared" si="38"/>
        <v>10306359000</v>
      </c>
    </row>
    <row r="34" spans="1:26" s="59" customFormat="1">
      <c r="A34" s="29" t="s">
        <v>118</v>
      </c>
      <c r="B34" s="57">
        <f>B32-B33</f>
        <v>2516168419455.6001</v>
      </c>
      <c r="C34" s="57">
        <f t="shared" ref="C34:Z34" si="39">C32-C33</f>
        <v>2523080970058.5005</v>
      </c>
      <c r="D34" s="57">
        <f t="shared" si="39"/>
        <v>2529993520661.4004</v>
      </c>
      <c r="E34" s="57">
        <f t="shared" si="39"/>
        <v>2374664442408.0005</v>
      </c>
      <c r="F34" s="57">
        <f t="shared" si="39"/>
        <v>2374664442408.0005</v>
      </c>
      <c r="G34" s="57">
        <f t="shared" si="39"/>
        <v>2374664442408.0005</v>
      </c>
      <c r="H34" s="57">
        <f t="shared" si="39"/>
        <v>2381170372387.2002</v>
      </c>
      <c r="I34" s="57">
        <f t="shared" si="39"/>
        <v>2374664442408.0005</v>
      </c>
      <c r="J34" s="57">
        <f t="shared" si="39"/>
        <v>2374664442408.0005</v>
      </c>
      <c r="K34" s="57">
        <f t="shared" si="39"/>
        <v>2374664442408.0005</v>
      </c>
      <c r="L34" s="57">
        <f t="shared" si="39"/>
        <v>2381170372387.2002</v>
      </c>
      <c r="M34" s="57">
        <f t="shared" si="39"/>
        <v>2374664442408.0005</v>
      </c>
      <c r="N34" s="57">
        <f t="shared" si="39"/>
        <v>2374664442408.0005</v>
      </c>
      <c r="O34" s="57">
        <f t="shared" si="39"/>
        <v>2374664442408.0005</v>
      </c>
      <c r="P34" s="57">
        <f t="shared" si="39"/>
        <v>2381170372387.2002</v>
      </c>
      <c r="Q34" s="57">
        <f t="shared" si="39"/>
        <v>2374664442408.0005</v>
      </c>
      <c r="R34" s="57">
        <f t="shared" si="39"/>
        <v>2374664442408.0005</v>
      </c>
      <c r="S34" s="57">
        <f t="shared" si="39"/>
        <v>2374664442408.0005</v>
      </c>
      <c r="T34" s="57">
        <f t="shared" si="39"/>
        <v>2381170372387.2002</v>
      </c>
      <c r="U34" s="57">
        <f t="shared" si="39"/>
        <v>2374664442408.0005</v>
      </c>
      <c r="V34" s="57">
        <f t="shared" si="39"/>
        <v>2374664442408.0005</v>
      </c>
      <c r="W34" s="57">
        <f t="shared" si="39"/>
        <v>2374664442408.0005</v>
      </c>
      <c r="X34" s="57">
        <f t="shared" si="39"/>
        <v>2381170372387.2002</v>
      </c>
      <c r="Y34" s="57">
        <f t="shared" si="39"/>
        <v>2374664442408.0005</v>
      </c>
      <c r="Z34" s="57">
        <f t="shared" si="39"/>
        <v>2374664442408.0005</v>
      </c>
    </row>
    <row r="35" spans="1:26">
      <c r="A35" s="37"/>
      <c r="B35" s="63"/>
      <c r="C35" s="63"/>
      <c r="D35" s="63"/>
      <c r="E35" s="63"/>
      <c r="F35" s="63"/>
      <c r="G35" s="63"/>
      <c r="H35" s="63"/>
      <c r="I35" s="63"/>
      <c r="J35" s="63"/>
      <c r="K35" s="63"/>
      <c r="L35" s="63"/>
      <c r="M35" s="63"/>
      <c r="N35" s="63"/>
      <c r="O35" s="63"/>
      <c r="P35" s="63"/>
      <c r="Q35" s="63"/>
      <c r="R35" s="63"/>
      <c r="S35" s="63"/>
      <c r="T35" s="63"/>
      <c r="U35" s="63"/>
      <c r="V35" s="63"/>
      <c r="W35" s="63"/>
      <c r="X35" s="63"/>
      <c r="Y35" s="63"/>
      <c r="Z35" s="63"/>
    </row>
    <row r="36" spans="1:26">
      <c r="A36" s="25" t="s">
        <v>120</v>
      </c>
      <c r="B36" s="63"/>
      <c r="C36" s="63"/>
      <c r="D36" s="63"/>
      <c r="E36" s="63"/>
      <c r="F36" s="63"/>
      <c r="G36" s="63"/>
      <c r="H36" s="63"/>
      <c r="I36" s="63"/>
      <c r="J36" s="63"/>
      <c r="K36" s="63"/>
      <c r="L36" s="63"/>
      <c r="M36" s="63"/>
      <c r="N36" s="63"/>
      <c r="O36" s="63"/>
      <c r="P36" s="63"/>
      <c r="Q36" s="63"/>
      <c r="R36" s="63"/>
      <c r="S36" s="63"/>
      <c r="T36" s="63"/>
      <c r="U36" s="63"/>
      <c r="V36" s="63"/>
      <c r="W36" s="63"/>
      <c r="X36" s="63"/>
      <c r="Y36" s="63"/>
      <c r="Z36" s="63"/>
    </row>
    <row r="37" spans="1:26">
      <c r="A37" s="29" t="s">
        <v>121</v>
      </c>
      <c r="B37" s="31">
        <f>Assumption!$D$45</f>
        <v>10500</v>
      </c>
      <c r="C37" s="31">
        <f>Assumption!$D$45</f>
        <v>10500</v>
      </c>
      <c r="D37" s="31">
        <f>Assumption!$D$45</f>
        <v>10500</v>
      </c>
      <c r="E37" s="31">
        <f>Assumption!$D$45</f>
        <v>10500</v>
      </c>
      <c r="F37" s="31">
        <f>Assumption!$D$45</f>
        <v>10500</v>
      </c>
      <c r="G37" s="31">
        <f>Assumption!$D$45</f>
        <v>10500</v>
      </c>
      <c r="H37" s="31">
        <f>Assumption!$D$45</f>
        <v>10500</v>
      </c>
      <c r="I37" s="31">
        <f>Assumption!$D$45</f>
        <v>10500</v>
      </c>
      <c r="J37" s="31">
        <f>Assumption!$D$45</f>
        <v>10500</v>
      </c>
      <c r="K37" s="31">
        <f>Assumption!$D$45</f>
        <v>10500</v>
      </c>
      <c r="L37" s="31">
        <f>Assumption!$D$45</f>
        <v>10500</v>
      </c>
      <c r="M37" s="31">
        <f>Assumption!$D$45</f>
        <v>10500</v>
      </c>
      <c r="N37" s="31">
        <f>Assumption!$D$45</f>
        <v>10500</v>
      </c>
      <c r="O37" s="31">
        <f>Assumption!$D$45</f>
        <v>10500</v>
      </c>
      <c r="P37" s="31">
        <f>Assumption!$D$45</f>
        <v>10500</v>
      </c>
      <c r="Q37" s="31">
        <f>Assumption!$D$45</f>
        <v>10500</v>
      </c>
      <c r="R37" s="31">
        <f>Assumption!$D$45</f>
        <v>10500</v>
      </c>
      <c r="S37" s="31">
        <f>Assumption!$D$45</f>
        <v>10500</v>
      </c>
      <c r="T37" s="31">
        <f>Assumption!$D$45</f>
        <v>10500</v>
      </c>
      <c r="U37" s="31">
        <f>Assumption!$D$45</f>
        <v>10500</v>
      </c>
      <c r="V37" s="31">
        <f>Assumption!$D$45</f>
        <v>10500</v>
      </c>
      <c r="W37" s="31">
        <f>Assumption!$D$45</f>
        <v>10500</v>
      </c>
      <c r="X37" s="31">
        <f>Assumption!$D$45</f>
        <v>10500</v>
      </c>
      <c r="Y37" s="31">
        <f>Assumption!$D$45</f>
        <v>10500</v>
      </c>
      <c r="Z37" s="31">
        <f>Assumption!$D$45</f>
        <v>10500</v>
      </c>
    </row>
    <row r="38" spans="1:26">
      <c r="A38" s="29" t="s">
        <v>122</v>
      </c>
      <c r="B38" s="65">
        <f>(Assumption!$D$46/1000)*$B$77</f>
        <v>1.0375E-3</v>
      </c>
      <c r="C38" s="64">
        <f>(Assumption!$D$46/1000)*$B$77</f>
        <v>1.0375E-3</v>
      </c>
      <c r="D38" s="64">
        <f>(Assumption!$D$46/1000)*$B$77</f>
        <v>1.0375E-3</v>
      </c>
      <c r="E38" s="64">
        <f>(Assumption!$D$46/1000)*$B$77</f>
        <v>1.0375E-3</v>
      </c>
      <c r="F38" s="64">
        <f>(Assumption!$D$46/1000)*$B$77</f>
        <v>1.0375E-3</v>
      </c>
      <c r="G38" s="64">
        <f>(Assumption!$D$46/1000)*$B$77</f>
        <v>1.0375E-3</v>
      </c>
      <c r="H38" s="64">
        <f>(Assumption!$D$46/1000)*$B$77</f>
        <v>1.0375E-3</v>
      </c>
      <c r="I38" s="64">
        <f>(Assumption!$D$46/1000)*$B$77</f>
        <v>1.0375E-3</v>
      </c>
      <c r="J38" s="64">
        <f>(Assumption!$D$46/1000)*$B$77</f>
        <v>1.0375E-3</v>
      </c>
      <c r="K38" s="64">
        <f>(Assumption!$D$46/1000)*$B$77</f>
        <v>1.0375E-3</v>
      </c>
      <c r="L38" s="64">
        <f>(Assumption!$D$46/1000)*$B$77</f>
        <v>1.0375E-3</v>
      </c>
      <c r="M38" s="64">
        <f>(Assumption!$D$46/1000)*$B$77</f>
        <v>1.0375E-3</v>
      </c>
      <c r="N38" s="64">
        <f>(Assumption!$D$46/1000)*$B$77</f>
        <v>1.0375E-3</v>
      </c>
      <c r="O38" s="64">
        <f>(Assumption!$D$46/1000)*$B$77</f>
        <v>1.0375E-3</v>
      </c>
      <c r="P38" s="64">
        <f>(Assumption!$D$46/1000)*$B$77</f>
        <v>1.0375E-3</v>
      </c>
      <c r="Q38" s="64">
        <f>(Assumption!$D$46/1000)*$B$77</f>
        <v>1.0375E-3</v>
      </c>
      <c r="R38" s="64">
        <f>(Assumption!$D$46/1000)*$B$77</f>
        <v>1.0375E-3</v>
      </c>
      <c r="S38" s="64">
        <f>(Assumption!$D$46/1000)*$B$77</f>
        <v>1.0375E-3</v>
      </c>
      <c r="T38" s="64">
        <f>(Assumption!$D$46/1000)*$B$77</f>
        <v>1.0375E-3</v>
      </c>
      <c r="U38" s="64">
        <f>(Assumption!$D$46/1000)*$B$77</f>
        <v>1.0375E-3</v>
      </c>
      <c r="V38" s="64">
        <f>(Assumption!$D$46/1000)*$B$77</f>
        <v>1.0375E-3</v>
      </c>
      <c r="W38" s="64">
        <f>(Assumption!$D$46/1000)*$B$77</f>
        <v>1.0375E-3</v>
      </c>
      <c r="X38" s="64">
        <f>(Assumption!$D$46/1000)*$B$77</f>
        <v>1.0375E-3</v>
      </c>
      <c r="Y38" s="64">
        <f>(Assumption!$D$46/1000)*$B$77</f>
        <v>1.0375E-3</v>
      </c>
      <c r="Z38" s="64">
        <f>(Assumption!$D$46/1000)*$B$77</f>
        <v>1.0375E-3</v>
      </c>
    </row>
    <row r="39" spans="1:26">
      <c r="A39" s="29" t="s">
        <v>123</v>
      </c>
      <c r="B39" s="64">
        <f>B38*B37</f>
        <v>10.893750000000001</v>
      </c>
      <c r="C39" s="64">
        <f t="shared" ref="C39:Z39" si="40">C38*C37</f>
        <v>10.893750000000001</v>
      </c>
      <c r="D39" s="64">
        <f t="shared" si="40"/>
        <v>10.893750000000001</v>
      </c>
      <c r="E39" s="64">
        <f t="shared" si="40"/>
        <v>10.893750000000001</v>
      </c>
      <c r="F39" s="64">
        <f t="shared" si="40"/>
        <v>10.893750000000001</v>
      </c>
      <c r="G39" s="64">
        <f t="shared" si="40"/>
        <v>10.893750000000001</v>
      </c>
      <c r="H39" s="64">
        <f t="shared" si="40"/>
        <v>10.893750000000001</v>
      </c>
      <c r="I39" s="64">
        <f t="shared" si="40"/>
        <v>10.893750000000001</v>
      </c>
      <c r="J39" s="64">
        <f t="shared" si="40"/>
        <v>10.893750000000001</v>
      </c>
      <c r="K39" s="64">
        <f t="shared" si="40"/>
        <v>10.893750000000001</v>
      </c>
      <c r="L39" s="64">
        <f t="shared" si="40"/>
        <v>10.893750000000001</v>
      </c>
      <c r="M39" s="64">
        <f t="shared" si="40"/>
        <v>10.893750000000001</v>
      </c>
      <c r="N39" s="64">
        <f t="shared" si="40"/>
        <v>10.893750000000001</v>
      </c>
      <c r="O39" s="64">
        <f t="shared" si="40"/>
        <v>10.893750000000001</v>
      </c>
      <c r="P39" s="64">
        <f t="shared" si="40"/>
        <v>10.893750000000001</v>
      </c>
      <c r="Q39" s="64">
        <f t="shared" si="40"/>
        <v>10.893750000000001</v>
      </c>
      <c r="R39" s="64">
        <f t="shared" si="40"/>
        <v>10.893750000000001</v>
      </c>
      <c r="S39" s="64">
        <f t="shared" si="40"/>
        <v>10.893750000000001</v>
      </c>
      <c r="T39" s="64">
        <f t="shared" si="40"/>
        <v>10.893750000000001</v>
      </c>
      <c r="U39" s="64">
        <f t="shared" si="40"/>
        <v>10.893750000000001</v>
      </c>
      <c r="V39" s="64">
        <f t="shared" si="40"/>
        <v>10.893750000000001</v>
      </c>
      <c r="W39" s="64">
        <f t="shared" si="40"/>
        <v>10.893750000000001</v>
      </c>
      <c r="X39" s="64">
        <f t="shared" si="40"/>
        <v>10.893750000000001</v>
      </c>
      <c r="Y39" s="64">
        <f t="shared" si="40"/>
        <v>10.893750000000001</v>
      </c>
      <c r="Z39" s="64">
        <f t="shared" si="40"/>
        <v>10.893750000000001</v>
      </c>
    </row>
    <row r="40" spans="1:26" s="59" customFormat="1">
      <c r="A40" s="29" t="s">
        <v>124</v>
      </c>
      <c r="B40" s="57">
        <f>B31*1000000</f>
        <v>1002456000</v>
      </c>
      <c r="C40" s="57">
        <f t="shared" ref="C40:Z40" si="41">C31*1000000</f>
        <v>1005210000</v>
      </c>
      <c r="D40" s="57">
        <f t="shared" si="41"/>
        <v>1007964000</v>
      </c>
      <c r="E40" s="57">
        <f t="shared" si="41"/>
        <v>946080000</v>
      </c>
      <c r="F40" s="57">
        <f t="shared" si="41"/>
        <v>946080000</v>
      </c>
      <c r="G40" s="57">
        <f t="shared" si="41"/>
        <v>946080000</v>
      </c>
      <c r="H40" s="57">
        <f t="shared" si="41"/>
        <v>948672000</v>
      </c>
      <c r="I40" s="57">
        <f t="shared" si="41"/>
        <v>946080000</v>
      </c>
      <c r="J40" s="57">
        <f t="shared" si="41"/>
        <v>946080000</v>
      </c>
      <c r="K40" s="57">
        <f t="shared" si="41"/>
        <v>946080000</v>
      </c>
      <c r="L40" s="57">
        <f t="shared" si="41"/>
        <v>948672000</v>
      </c>
      <c r="M40" s="57">
        <f t="shared" si="41"/>
        <v>946080000</v>
      </c>
      <c r="N40" s="57">
        <f t="shared" si="41"/>
        <v>946080000</v>
      </c>
      <c r="O40" s="57">
        <f t="shared" si="41"/>
        <v>946080000</v>
      </c>
      <c r="P40" s="57">
        <f t="shared" si="41"/>
        <v>948672000</v>
      </c>
      <c r="Q40" s="57">
        <f t="shared" si="41"/>
        <v>946080000</v>
      </c>
      <c r="R40" s="57">
        <f t="shared" si="41"/>
        <v>946080000</v>
      </c>
      <c r="S40" s="57">
        <f t="shared" si="41"/>
        <v>946080000</v>
      </c>
      <c r="T40" s="57">
        <f t="shared" si="41"/>
        <v>948672000</v>
      </c>
      <c r="U40" s="57">
        <f t="shared" si="41"/>
        <v>946080000</v>
      </c>
      <c r="V40" s="57">
        <f t="shared" si="41"/>
        <v>946080000</v>
      </c>
      <c r="W40" s="57">
        <f t="shared" si="41"/>
        <v>946080000</v>
      </c>
      <c r="X40" s="57">
        <f t="shared" si="41"/>
        <v>948672000</v>
      </c>
      <c r="Y40" s="57">
        <f t="shared" si="41"/>
        <v>946080000</v>
      </c>
      <c r="Z40" s="57">
        <f t="shared" si="41"/>
        <v>946080000</v>
      </c>
    </row>
    <row r="41" spans="1:26" s="66" customFormat="1">
      <c r="A41" s="31" t="s">
        <v>117</v>
      </c>
      <c r="B41" s="31">
        <f>B40*B39</f>
        <v>10920505050</v>
      </c>
      <c r="C41" s="31">
        <f t="shared" ref="C41:Z41" si="42">C40*C39</f>
        <v>10950506437.5</v>
      </c>
      <c r="D41" s="31">
        <f t="shared" si="42"/>
        <v>10980507825</v>
      </c>
      <c r="E41" s="31">
        <f t="shared" si="42"/>
        <v>10306359000</v>
      </c>
      <c r="F41" s="31">
        <f t="shared" si="42"/>
        <v>10306359000</v>
      </c>
      <c r="G41" s="31">
        <f t="shared" si="42"/>
        <v>10306359000</v>
      </c>
      <c r="H41" s="31">
        <f t="shared" si="42"/>
        <v>10334595600</v>
      </c>
      <c r="I41" s="31">
        <f t="shared" si="42"/>
        <v>10306359000</v>
      </c>
      <c r="J41" s="31">
        <f t="shared" si="42"/>
        <v>10306359000</v>
      </c>
      <c r="K41" s="31">
        <f t="shared" si="42"/>
        <v>10306359000</v>
      </c>
      <c r="L41" s="31">
        <f t="shared" si="42"/>
        <v>10334595600</v>
      </c>
      <c r="M41" s="31">
        <f t="shared" si="42"/>
        <v>10306359000</v>
      </c>
      <c r="N41" s="31">
        <f t="shared" si="42"/>
        <v>10306359000</v>
      </c>
      <c r="O41" s="31">
        <f t="shared" si="42"/>
        <v>10306359000</v>
      </c>
      <c r="P41" s="31">
        <f t="shared" si="42"/>
        <v>10334595600</v>
      </c>
      <c r="Q41" s="31">
        <f t="shared" si="42"/>
        <v>10306359000</v>
      </c>
      <c r="R41" s="31">
        <f t="shared" si="42"/>
        <v>10306359000</v>
      </c>
      <c r="S41" s="31">
        <f t="shared" si="42"/>
        <v>10306359000</v>
      </c>
      <c r="T41" s="31">
        <f t="shared" si="42"/>
        <v>10334595600</v>
      </c>
      <c r="U41" s="31">
        <f t="shared" si="42"/>
        <v>10306359000</v>
      </c>
      <c r="V41" s="31">
        <f t="shared" si="42"/>
        <v>10306359000</v>
      </c>
      <c r="W41" s="31">
        <f t="shared" si="42"/>
        <v>10306359000</v>
      </c>
      <c r="X41" s="31">
        <f t="shared" si="42"/>
        <v>10334595600</v>
      </c>
      <c r="Y41" s="31">
        <f t="shared" si="42"/>
        <v>10306359000</v>
      </c>
      <c r="Z41" s="31">
        <f t="shared" si="42"/>
        <v>10306359000</v>
      </c>
    </row>
    <row r="42" spans="1:26">
      <c r="B42" s="63"/>
      <c r="C42" s="63"/>
      <c r="D42" s="63"/>
      <c r="E42" s="63"/>
      <c r="F42" s="63"/>
      <c r="G42" s="63"/>
      <c r="H42" s="63"/>
      <c r="I42" s="63"/>
      <c r="J42" s="63"/>
      <c r="K42" s="63"/>
      <c r="L42" s="63"/>
      <c r="M42" s="63"/>
      <c r="N42" s="63"/>
      <c r="O42" s="63"/>
      <c r="P42" s="63"/>
      <c r="Q42" s="63"/>
      <c r="R42" s="63"/>
      <c r="S42" s="63"/>
      <c r="T42" s="63"/>
      <c r="U42" s="63"/>
      <c r="V42" s="63"/>
      <c r="W42" s="63"/>
      <c r="X42" s="63"/>
      <c r="Y42" s="63"/>
      <c r="Z42" s="63"/>
    </row>
    <row r="43" spans="1:26">
      <c r="A43" s="25" t="s">
        <v>292</v>
      </c>
      <c r="B43" s="63"/>
      <c r="C43" s="63"/>
      <c r="D43" s="63"/>
      <c r="E43" s="63"/>
      <c r="F43" s="63"/>
      <c r="G43" s="63"/>
      <c r="H43" s="63"/>
      <c r="I43" s="63"/>
      <c r="J43" s="63"/>
      <c r="K43" s="63"/>
      <c r="L43" s="63"/>
      <c r="M43" s="63"/>
      <c r="N43" s="63"/>
      <c r="O43" s="63"/>
      <c r="P43" s="63"/>
      <c r="Q43" s="63"/>
      <c r="R43" s="63"/>
      <c r="S43" s="63"/>
      <c r="T43" s="63"/>
      <c r="U43" s="63"/>
      <c r="V43" s="63"/>
      <c r="W43" s="63"/>
      <c r="X43" s="63"/>
      <c r="Y43" s="63"/>
      <c r="Z43" s="63"/>
    </row>
    <row r="44" spans="1:26" s="47" customFormat="1">
      <c r="A44" s="31" t="s">
        <v>293</v>
      </c>
      <c r="B44" s="44">
        <f>Assumption!$D$44</f>
        <v>30.600999999999999</v>
      </c>
      <c r="C44" s="44">
        <f>Assumption!$D$44</f>
        <v>30.600999999999999</v>
      </c>
      <c r="D44" s="44">
        <f>Assumption!$D$44</f>
        <v>30.600999999999999</v>
      </c>
      <c r="E44" s="44">
        <f>Assumption!$D$44</f>
        <v>30.600999999999999</v>
      </c>
      <c r="F44" s="44">
        <f>Assumption!$D$44</f>
        <v>30.600999999999999</v>
      </c>
      <c r="G44" s="44">
        <f>Assumption!$D$44</f>
        <v>30.600999999999999</v>
      </c>
      <c r="H44" s="44">
        <f>Assumption!$D$44</f>
        <v>30.600999999999999</v>
      </c>
      <c r="I44" s="44">
        <f>Assumption!$D$44</f>
        <v>30.600999999999999</v>
      </c>
      <c r="J44" s="44">
        <f>Assumption!$D$44</f>
        <v>30.600999999999999</v>
      </c>
      <c r="K44" s="44">
        <f>Assumption!$D$44</f>
        <v>30.600999999999999</v>
      </c>
      <c r="L44" s="44">
        <f>Assumption!$D$44</f>
        <v>30.600999999999999</v>
      </c>
      <c r="M44" s="44">
        <f>Assumption!$D$44</f>
        <v>30.600999999999999</v>
      </c>
      <c r="N44" s="44">
        <f>Assumption!$D$44</f>
        <v>30.600999999999999</v>
      </c>
      <c r="O44" s="44">
        <f>Assumption!$D$44</f>
        <v>30.600999999999999</v>
      </c>
      <c r="P44" s="44">
        <f>Assumption!$D$44</f>
        <v>30.600999999999999</v>
      </c>
      <c r="Q44" s="44">
        <f>Assumption!$D$44</f>
        <v>30.600999999999999</v>
      </c>
      <c r="R44" s="44">
        <f>Assumption!$D$44</f>
        <v>30.600999999999999</v>
      </c>
      <c r="S44" s="44">
        <f>Assumption!$D$44</f>
        <v>30.600999999999999</v>
      </c>
      <c r="T44" s="44">
        <f>Assumption!$D$44</f>
        <v>30.600999999999999</v>
      </c>
      <c r="U44" s="44">
        <f>Assumption!$D$44</f>
        <v>30.600999999999999</v>
      </c>
      <c r="V44" s="44">
        <f>Assumption!$D$44</f>
        <v>30.600999999999999</v>
      </c>
      <c r="W44" s="44">
        <f>Assumption!$D$44</f>
        <v>30.600999999999999</v>
      </c>
      <c r="X44" s="44">
        <f>Assumption!$D$44</f>
        <v>30.600999999999999</v>
      </c>
      <c r="Y44" s="44">
        <f>Assumption!$D$44</f>
        <v>30.600999999999999</v>
      </c>
      <c r="Z44" s="44">
        <f>Assumption!$D$44</f>
        <v>30.600999999999999</v>
      </c>
    </row>
    <row r="45" spans="1:26" s="68" customFormat="1">
      <c r="A45" s="31" t="s">
        <v>294</v>
      </c>
      <c r="B45" s="67">
        <f>B44/1000</f>
        <v>3.0601E-2</v>
      </c>
      <c r="C45" s="67">
        <f t="shared" ref="C45:Z45" si="43">C44/1000</f>
        <v>3.0601E-2</v>
      </c>
      <c r="D45" s="67">
        <f t="shared" si="43"/>
        <v>3.0601E-2</v>
      </c>
      <c r="E45" s="67">
        <f t="shared" si="43"/>
        <v>3.0601E-2</v>
      </c>
      <c r="F45" s="67">
        <f t="shared" si="43"/>
        <v>3.0601E-2</v>
      </c>
      <c r="G45" s="67">
        <f t="shared" si="43"/>
        <v>3.0601E-2</v>
      </c>
      <c r="H45" s="67">
        <f t="shared" si="43"/>
        <v>3.0601E-2</v>
      </c>
      <c r="I45" s="67">
        <f t="shared" si="43"/>
        <v>3.0601E-2</v>
      </c>
      <c r="J45" s="67">
        <f t="shared" si="43"/>
        <v>3.0601E-2</v>
      </c>
      <c r="K45" s="67">
        <f t="shared" si="43"/>
        <v>3.0601E-2</v>
      </c>
      <c r="L45" s="67">
        <f t="shared" si="43"/>
        <v>3.0601E-2</v>
      </c>
      <c r="M45" s="67">
        <f t="shared" si="43"/>
        <v>3.0601E-2</v>
      </c>
      <c r="N45" s="67">
        <f t="shared" si="43"/>
        <v>3.0601E-2</v>
      </c>
      <c r="O45" s="67">
        <f t="shared" si="43"/>
        <v>3.0601E-2</v>
      </c>
      <c r="P45" s="67">
        <f t="shared" si="43"/>
        <v>3.0601E-2</v>
      </c>
      <c r="Q45" s="67">
        <f t="shared" si="43"/>
        <v>3.0601E-2</v>
      </c>
      <c r="R45" s="67">
        <f t="shared" si="43"/>
        <v>3.0601E-2</v>
      </c>
      <c r="S45" s="67">
        <f t="shared" si="43"/>
        <v>3.0601E-2</v>
      </c>
      <c r="T45" s="67">
        <f t="shared" si="43"/>
        <v>3.0601E-2</v>
      </c>
      <c r="U45" s="67">
        <f t="shared" si="43"/>
        <v>3.0601E-2</v>
      </c>
      <c r="V45" s="67">
        <f t="shared" si="43"/>
        <v>3.0601E-2</v>
      </c>
      <c r="W45" s="67">
        <f t="shared" si="43"/>
        <v>3.0601E-2</v>
      </c>
      <c r="X45" s="67">
        <f t="shared" si="43"/>
        <v>3.0601E-2</v>
      </c>
      <c r="Y45" s="67">
        <f t="shared" si="43"/>
        <v>3.0601E-2</v>
      </c>
      <c r="Z45" s="67">
        <f t="shared" si="43"/>
        <v>3.0601E-2</v>
      </c>
    </row>
    <row r="46" spans="1:26" s="66" customFormat="1">
      <c r="A46" s="31" t="s">
        <v>125</v>
      </c>
      <c r="B46" s="31">
        <f>B40</f>
        <v>1002456000</v>
      </c>
      <c r="C46" s="31">
        <f t="shared" ref="C46:Z46" si="44">C40</f>
        <v>1005210000</v>
      </c>
      <c r="D46" s="31">
        <f t="shared" si="44"/>
        <v>1007964000</v>
      </c>
      <c r="E46" s="31">
        <f t="shared" si="44"/>
        <v>946080000</v>
      </c>
      <c r="F46" s="31">
        <f t="shared" si="44"/>
        <v>946080000</v>
      </c>
      <c r="G46" s="31">
        <f t="shared" si="44"/>
        <v>946080000</v>
      </c>
      <c r="H46" s="31">
        <f t="shared" si="44"/>
        <v>948672000</v>
      </c>
      <c r="I46" s="31">
        <f t="shared" si="44"/>
        <v>946080000</v>
      </c>
      <c r="J46" s="31">
        <f t="shared" si="44"/>
        <v>946080000</v>
      </c>
      <c r="K46" s="31">
        <f t="shared" si="44"/>
        <v>946080000</v>
      </c>
      <c r="L46" s="31">
        <f t="shared" si="44"/>
        <v>948672000</v>
      </c>
      <c r="M46" s="31">
        <f t="shared" si="44"/>
        <v>946080000</v>
      </c>
      <c r="N46" s="31">
        <f t="shared" si="44"/>
        <v>946080000</v>
      </c>
      <c r="O46" s="31">
        <f t="shared" si="44"/>
        <v>946080000</v>
      </c>
      <c r="P46" s="31">
        <f t="shared" si="44"/>
        <v>948672000</v>
      </c>
      <c r="Q46" s="31">
        <f t="shared" si="44"/>
        <v>946080000</v>
      </c>
      <c r="R46" s="31">
        <f t="shared" si="44"/>
        <v>946080000</v>
      </c>
      <c r="S46" s="31">
        <f t="shared" si="44"/>
        <v>946080000</v>
      </c>
      <c r="T46" s="31">
        <f t="shared" si="44"/>
        <v>948672000</v>
      </c>
      <c r="U46" s="31">
        <f t="shared" si="44"/>
        <v>946080000</v>
      </c>
      <c r="V46" s="31">
        <f t="shared" si="44"/>
        <v>946080000</v>
      </c>
      <c r="W46" s="31">
        <f t="shared" si="44"/>
        <v>946080000</v>
      </c>
      <c r="X46" s="31">
        <f t="shared" si="44"/>
        <v>948672000</v>
      </c>
      <c r="Y46" s="31">
        <f t="shared" si="44"/>
        <v>946080000</v>
      </c>
      <c r="Z46" s="31">
        <f t="shared" si="44"/>
        <v>946080000</v>
      </c>
    </row>
    <row r="47" spans="1:26" s="66" customFormat="1">
      <c r="A47" s="31" t="s">
        <v>126</v>
      </c>
      <c r="B47" s="31">
        <f>B46*Assumption!$D$46</f>
        <v>1253070000</v>
      </c>
      <c r="C47" s="31">
        <f>C46*Assumption!$D$46</f>
        <v>1256512500</v>
      </c>
      <c r="D47" s="31">
        <f>D46*Assumption!$D$46</f>
        <v>1259955000</v>
      </c>
      <c r="E47" s="31">
        <f>E46*Assumption!$D$46</f>
        <v>1182600000</v>
      </c>
      <c r="F47" s="31">
        <f>F46*Assumption!$D$46</f>
        <v>1182600000</v>
      </c>
      <c r="G47" s="31">
        <f>G46*Assumption!$D$46</f>
        <v>1182600000</v>
      </c>
      <c r="H47" s="31">
        <f>H46*Assumption!$D$46</f>
        <v>1185840000</v>
      </c>
      <c r="I47" s="31">
        <f>I46*Assumption!$D$46</f>
        <v>1182600000</v>
      </c>
      <c r="J47" s="31">
        <f>J46*Assumption!$D$46</f>
        <v>1182600000</v>
      </c>
      <c r="K47" s="31">
        <f>K46*Assumption!$D$46</f>
        <v>1182600000</v>
      </c>
      <c r="L47" s="31">
        <f>L46*Assumption!$D$46</f>
        <v>1185840000</v>
      </c>
      <c r="M47" s="31">
        <f>M46*Assumption!$D$46</f>
        <v>1182600000</v>
      </c>
      <c r="N47" s="31">
        <f>N46*Assumption!$D$46</f>
        <v>1182600000</v>
      </c>
      <c r="O47" s="31">
        <f>O46*Assumption!$D$46</f>
        <v>1182600000</v>
      </c>
      <c r="P47" s="31">
        <f>P46*Assumption!$D$46</f>
        <v>1185840000</v>
      </c>
      <c r="Q47" s="31">
        <f>Q46*Assumption!$D$46</f>
        <v>1182600000</v>
      </c>
      <c r="R47" s="31">
        <f>R46*Assumption!$D$46</f>
        <v>1182600000</v>
      </c>
      <c r="S47" s="31">
        <f>S46*Assumption!$D$46</f>
        <v>1182600000</v>
      </c>
      <c r="T47" s="31">
        <f>T46*Assumption!$D$46</f>
        <v>1185840000</v>
      </c>
      <c r="U47" s="31">
        <f>U46*Assumption!$D$46</f>
        <v>1182600000</v>
      </c>
      <c r="V47" s="31">
        <f>V46*Assumption!$D$46</f>
        <v>1182600000</v>
      </c>
      <c r="W47" s="31">
        <f>W46*Assumption!$D$46</f>
        <v>1182600000</v>
      </c>
      <c r="X47" s="31">
        <f>X46*Assumption!$D$46</f>
        <v>1185840000</v>
      </c>
      <c r="Y47" s="31">
        <f>Y46*Assumption!$D$46</f>
        <v>1182600000</v>
      </c>
      <c r="Z47" s="31">
        <f>Z46*Assumption!$D$46</f>
        <v>1182600000</v>
      </c>
    </row>
    <row r="48" spans="1:26" s="50" customFormat="1">
      <c r="A48" s="24" t="s">
        <v>290</v>
      </c>
      <c r="B48" s="24">
        <f>(B45*B47)/1000000</f>
        <v>38.345195070000003</v>
      </c>
      <c r="C48" s="24">
        <f t="shared" ref="C48:Z48" si="45">(C45*C47)/1000000</f>
        <v>38.450539012500002</v>
      </c>
      <c r="D48" s="24">
        <f t="shared" si="45"/>
        <v>38.555882955000001</v>
      </c>
      <c r="E48" s="24">
        <f t="shared" si="45"/>
        <v>36.188742600000005</v>
      </c>
      <c r="F48" s="24">
        <f t="shared" si="45"/>
        <v>36.188742600000005</v>
      </c>
      <c r="G48" s="24">
        <f t="shared" si="45"/>
        <v>36.188742600000005</v>
      </c>
      <c r="H48" s="24">
        <f t="shared" si="45"/>
        <v>36.287889839999998</v>
      </c>
      <c r="I48" s="24">
        <f t="shared" si="45"/>
        <v>36.188742600000005</v>
      </c>
      <c r="J48" s="24">
        <f t="shared" si="45"/>
        <v>36.188742600000005</v>
      </c>
      <c r="K48" s="24">
        <f t="shared" si="45"/>
        <v>36.188742600000005</v>
      </c>
      <c r="L48" s="24">
        <f t="shared" si="45"/>
        <v>36.287889839999998</v>
      </c>
      <c r="M48" s="24">
        <f t="shared" si="45"/>
        <v>36.188742600000005</v>
      </c>
      <c r="N48" s="24">
        <f t="shared" si="45"/>
        <v>36.188742600000005</v>
      </c>
      <c r="O48" s="24">
        <f t="shared" si="45"/>
        <v>36.188742600000005</v>
      </c>
      <c r="P48" s="24">
        <f t="shared" si="45"/>
        <v>36.287889839999998</v>
      </c>
      <c r="Q48" s="24">
        <f t="shared" si="45"/>
        <v>36.188742600000005</v>
      </c>
      <c r="R48" s="24">
        <f t="shared" si="45"/>
        <v>36.188742600000005</v>
      </c>
      <c r="S48" s="24">
        <f t="shared" si="45"/>
        <v>36.188742600000005</v>
      </c>
      <c r="T48" s="24">
        <f t="shared" si="45"/>
        <v>36.287889839999998</v>
      </c>
      <c r="U48" s="24">
        <f t="shared" si="45"/>
        <v>36.188742600000005</v>
      </c>
      <c r="V48" s="24">
        <f t="shared" si="45"/>
        <v>36.188742600000005</v>
      </c>
      <c r="W48" s="24">
        <f t="shared" si="45"/>
        <v>36.188742600000005</v>
      </c>
      <c r="X48" s="24">
        <f t="shared" si="45"/>
        <v>36.287889839999998</v>
      </c>
      <c r="Y48" s="24">
        <f t="shared" si="45"/>
        <v>36.188742600000005</v>
      </c>
      <c r="Z48" s="24">
        <f t="shared" si="45"/>
        <v>36.188742600000005</v>
      </c>
    </row>
    <row r="49" spans="1:26">
      <c r="A49" s="37"/>
      <c r="B49" s="63"/>
      <c r="C49" s="63"/>
      <c r="D49" s="63"/>
      <c r="E49" s="63"/>
      <c r="F49" s="63"/>
      <c r="G49" s="63"/>
      <c r="H49" s="63"/>
      <c r="I49" s="63"/>
      <c r="J49" s="63"/>
      <c r="K49" s="63"/>
      <c r="L49" s="63"/>
      <c r="M49" s="63"/>
      <c r="N49" s="63"/>
      <c r="O49" s="63"/>
      <c r="P49" s="63"/>
      <c r="Q49" s="63"/>
      <c r="R49" s="63"/>
      <c r="S49" s="63"/>
      <c r="T49" s="63"/>
      <c r="U49" s="63"/>
      <c r="V49" s="63"/>
      <c r="W49" s="63"/>
      <c r="X49" s="63"/>
      <c r="Y49" s="63"/>
      <c r="Z49" s="63"/>
    </row>
    <row r="51" spans="1:26">
      <c r="A51" s="25" t="s">
        <v>10</v>
      </c>
    </row>
    <row r="53" spans="1:26">
      <c r="A53" s="25" t="s">
        <v>22</v>
      </c>
    </row>
    <row r="54" spans="1:26">
      <c r="A54" s="29" t="s">
        <v>177</v>
      </c>
      <c r="B54" s="29">
        <f>Assumption!D4</f>
        <v>135</v>
      </c>
      <c r="C54" s="24">
        <f>B54</f>
        <v>135</v>
      </c>
      <c r="D54" s="24">
        <f>C54</f>
        <v>135</v>
      </c>
      <c r="E54" s="24">
        <f t="shared" ref="E54:P54" si="46">D54</f>
        <v>135</v>
      </c>
      <c r="F54" s="24">
        <f t="shared" si="46"/>
        <v>135</v>
      </c>
      <c r="G54" s="24">
        <f t="shared" si="46"/>
        <v>135</v>
      </c>
      <c r="H54" s="24">
        <f t="shared" si="46"/>
        <v>135</v>
      </c>
      <c r="I54" s="24">
        <f t="shared" si="46"/>
        <v>135</v>
      </c>
      <c r="J54" s="24">
        <f t="shared" si="46"/>
        <v>135</v>
      </c>
      <c r="K54" s="24">
        <f t="shared" si="46"/>
        <v>135</v>
      </c>
      <c r="L54" s="24">
        <f t="shared" si="46"/>
        <v>135</v>
      </c>
      <c r="M54" s="24">
        <f t="shared" si="46"/>
        <v>135</v>
      </c>
      <c r="N54" s="24">
        <f t="shared" si="46"/>
        <v>135</v>
      </c>
      <c r="O54" s="24">
        <f t="shared" si="46"/>
        <v>135</v>
      </c>
      <c r="P54" s="24">
        <f t="shared" si="46"/>
        <v>135</v>
      </c>
      <c r="Q54" s="24">
        <f t="shared" ref="Q54" si="47">P54</f>
        <v>135</v>
      </c>
      <c r="R54" s="24">
        <f t="shared" ref="R54" si="48">Q54</f>
        <v>135</v>
      </c>
      <c r="S54" s="24">
        <f t="shared" ref="S54" si="49">R54</f>
        <v>135</v>
      </c>
      <c r="T54" s="24">
        <f t="shared" ref="T54" si="50">S54</f>
        <v>135</v>
      </c>
      <c r="U54" s="24">
        <f t="shared" ref="U54" si="51">T54</f>
        <v>135</v>
      </c>
      <c r="V54" s="24">
        <f t="shared" ref="V54" si="52">U54</f>
        <v>135</v>
      </c>
      <c r="W54" s="24">
        <f t="shared" ref="W54" si="53">V54</f>
        <v>135</v>
      </c>
      <c r="X54" s="24">
        <f t="shared" ref="X54" si="54">W54</f>
        <v>135</v>
      </c>
      <c r="Y54" s="24">
        <f t="shared" ref="Y54" si="55">X54</f>
        <v>135</v>
      </c>
      <c r="Z54" s="24">
        <f t="shared" ref="Z54" si="56">Y54</f>
        <v>135</v>
      </c>
    </row>
    <row r="55" spans="1:26">
      <c r="A55" s="29" t="s">
        <v>58</v>
      </c>
      <c r="B55" s="29">
        <f t="shared" ref="B55:P55" si="57">SUM(B54:B54)</f>
        <v>135</v>
      </c>
      <c r="C55" s="33">
        <f t="shared" si="57"/>
        <v>135</v>
      </c>
      <c r="D55" s="33">
        <f t="shared" si="57"/>
        <v>135</v>
      </c>
      <c r="E55" s="33">
        <f t="shared" si="57"/>
        <v>135</v>
      </c>
      <c r="F55" s="33">
        <f t="shared" si="57"/>
        <v>135</v>
      </c>
      <c r="G55" s="33">
        <f t="shared" si="57"/>
        <v>135</v>
      </c>
      <c r="H55" s="33">
        <f t="shared" si="57"/>
        <v>135</v>
      </c>
      <c r="I55" s="33">
        <f t="shared" si="57"/>
        <v>135</v>
      </c>
      <c r="J55" s="33">
        <f t="shared" si="57"/>
        <v>135</v>
      </c>
      <c r="K55" s="33">
        <f t="shared" si="57"/>
        <v>135</v>
      </c>
      <c r="L55" s="33">
        <f t="shared" si="57"/>
        <v>135</v>
      </c>
      <c r="M55" s="33">
        <f t="shared" si="57"/>
        <v>135</v>
      </c>
      <c r="N55" s="33">
        <f t="shared" si="57"/>
        <v>135</v>
      </c>
      <c r="O55" s="33">
        <f t="shared" si="57"/>
        <v>135</v>
      </c>
      <c r="P55" s="33">
        <f t="shared" si="57"/>
        <v>135</v>
      </c>
      <c r="Q55" s="33">
        <f t="shared" ref="Q55:Z55" si="58">SUM(Q54:Q54)</f>
        <v>135</v>
      </c>
      <c r="R55" s="33">
        <f t="shared" si="58"/>
        <v>135</v>
      </c>
      <c r="S55" s="33">
        <f t="shared" si="58"/>
        <v>135</v>
      </c>
      <c r="T55" s="33">
        <f t="shared" si="58"/>
        <v>135</v>
      </c>
      <c r="U55" s="33">
        <f t="shared" si="58"/>
        <v>135</v>
      </c>
      <c r="V55" s="33">
        <f t="shared" si="58"/>
        <v>135</v>
      </c>
      <c r="W55" s="33">
        <f t="shared" si="58"/>
        <v>135</v>
      </c>
      <c r="X55" s="33">
        <f t="shared" si="58"/>
        <v>135</v>
      </c>
      <c r="Y55" s="33">
        <f t="shared" si="58"/>
        <v>135</v>
      </c>
      <c r="Z55" s="33">
        <f t="shared" si="58"/>
        <v>135</v>
      </c>
    </row>
    <row r="57" spans="1:26">
      <c r="A57" s="25" t="s">
        <v>93</v>
      </c>
    </row>
    <row r="58" spans="1:26">
      <c r="A58" s="29" t="s">
        <v>94</v>
      </c>
      <c r="B58" s="52">
        <f>Assumption!D49</f>
        <v>0.85</v>
      </c>
      <c r="C58" s="52">
        <f>B58</f>
        <v>0.85</v>
      </c>
      <c r="D58" s="52">
        <f t="shared" ref="D58:P58" si="59">C58</f>
        <v>0.85</v>
      </c>
      <c r="E58" s="52">
        <f>Assumption!D49-5%</f>
        <v>0.79999999999999993</v>
      </c>
      <c r="F58" s="52">
        <f t="shared" si="59"/>
        <v>0.79999999999999993</v>
      </c>
      <c r="G58" s="52">
        <f t="shared" si="59"/>
        <v>0.79999999999999993</v>
      </c>
      <c r="H58" s="52">
        <f t="shared" si="59"/>
        <v>0.79999999999999993</v>
      </c>
      <c r="I58" s="52">
        <f t="shared" si="59"/>
        <v>0.79999999999999993</v>
      </c>
      <c r="J58" s="52">
        <f t="shared" si="59"/>
        <v>0.79999999999999993</v>
      </c>
      <c r="K58" s="52">
        <f t="shared" si="59"/>
        <v>0.79999999999999993</v>
      </c>
      <c r="L58" s="52">
        <f t="shared" si="59"/>
        <v>0.79999999999999993</v>
      </c>
      <c r="M58" s="52">
        <f t="shared" si="59"/>
        <v>0.79999999999999993</v>
      </c>
      <c r="N58" s="52">
        <f t="shared" si="59"/>
        <v>0.79999999999999993</v>
      </c>
      <c r="O58" s="52">
        <f t="shared" si="59"/>
        <v>0.79999999999999993</v>
      </c>
      <c r="P58" s="52">
        <f t="shared" si="59"/>
        <v>0.79999999999999993</v>
      </c>
      <c r="Q58" s="52">
        <f t="shared" ref="Q58:Q59" si="60">P58</f>
        <v>0.79999999999999993</v>
      </c>
      <c r="R58" s="52">
        <f t="shared" ref="R58:R59" si="61">Q58</f>
        <v>0.79999999999999993</v>
      </c>
      <c r="S58" s="52">
        <f t="shared" ref="S58:S59" si="62">R58</f>
        <v>0.79999999999999993</v>
      </c>
      <c r="T58" s="52">
        <f t="shared" ref="T58:T59" si="63">S58</f>
        <v>0.79999999999999993</v>
      </c>
      <c r="U58" s="52">
        <f t="shared" ref="U58:U59" si="64">T58</f>
        <v>0.79999999999999993</v>
      </c>
      <c r="V58" s="52">
        <f t="shared" ref="V58:V59" si="65">U58</f>
        <v>0.79999999999999993</v>
      </c>
      <c r="W58" s="52">
        <f t="shared" ref="W58:W59" si="66">V58</f>
        <v>0.79999999999999993</v>
      </c>
      <c r="X58" s="52">
        <f t="shared" ref="X58:X59" si="67">W58</f>
        <v>0.79999999999999993</v>
      </c>
      <c r="Y58" s="52">
        <f t="shared" ref="Y58:Y59" si="68">X58</f>
        <v>0.79999999999999993</v>
      </c>
      <c r="Z58" s="52">
        <f t="shared" ref="Z58:Z59" si="69">Y58</f>
        <v>0.79999999999999993</v>
      </c>
    </row>
    <row r="59" spans="1:26">
      <c r="A59" s="29" t="s">
        <v>95</v>
      </c>
      <c r="B59" s="39">
        <f>Assumption!D55</f>
        <v>2520.8976000000002</v>
      </c>
      <c r="C59" s="29">
        <f>B59</f>
        <v>2520.8976000000002</v>
      </c>
      <c r="D59" s="29">
        <f t="shared" ref="D59:P59" si="70">C59</f>
        <v>2520.8976000000002</v>
      </c>
      <c r="E59" s="29">
        <f t="shared" si="70"/>
        <v>2520.8976000000002</v>
      </c>
      <c r="F59" s="29">
        <f t="shared" si="70"/>
        <v>2520.8976000000002</v>
      </c>
      <c r="G59" s="29">
        <f t="shared" si="70"/>
        <v>2520.8976000000002</v>
      </c>
      <c r="H59" s="29">
        <f t="shared" si="70"/>
        <v>2520.8976000000002</v>
      </c>
      <c r="I59" s="29">
        <f t="shared" si="70"/>
        <v>2520.8976000000002</v>
      </c>
      <c r="J59" s="29">
        <f t="shared" si="70"/>
        <v>2520.8976000000002</v>
      </c>
      <c r="K59" s="29">
        <f t="shared" si="70"/>
        <v>2520.8976000000002</v>
      </c>
      <c r="L59" s="29">
        <f t="shared" si="70"/>
        <v>2520.8976000000002</v>
      </c>
      <c r="M59" s="29">
        <f t="shared" si="70"/>
        <v>2520.8976000000002</v>
      </c>
      <c r="N59" s="29">
        <f t="shared" si="70"/>
        <v>2520.8976000000002</v>
      </c>
      <c r="O59" s="29">
        <f t="shared" si="70"/>
        <v>2520.8976000000002</v>
      </c>
      <c r="P59" s="29">
        <f t="shared" si="70"/>
        <v>2520.8976000000002</v>
      </c>
      <c r="Q59" s="29">
        <f t="shared" si="60"/>
        <v>2520.8976000000002</v>
      </c>
      <c r="R59" s="29">
        <f t="shared" si="61"/>
        <v>2520.8976000000002</v>
      </c>
      <c r="S59" s="29">
        <f t="shared" si="62"/>
        <v>2520.8976000000002</v>
      </c>
      <c r="T59" s="29">
        <f t="shared" si="63"/>
        <v>2520.8976000000002</v>
      </c>
      <c r="U59" s="29">
        <f t="shared" si="64"/>
        <v>2520.8976000000002</v>
      </c>
      <c r="V59" s="29">
        <f t="shared" si="65"/>
        <v>2520.8976000000002</v>
      </c>
      <c r="W59" s="29">
        <f t="shared" si="66"/>
        <v>2520.8976000000002</v>
      </c>
      <c r="X59" s="29">
        <f t="shared" si="67"/>
        <v>2520.8976000000002</v>
      </c>
      <c r="Y59" s="29">
        <f t="shared" si="68"/>
        <v>2520.8976000000002</v>
      </c>
      <c r="Z59" s="29">
        <f t="shared" si="69"/>
        <v>2520.8976000000002</v>
      </c>
    </row>
    <row r="61" spans="1:26">
      <c r="A61" s="25" t="s">
        <v>96</v>
      </c>
    </row>
    <row r="62" spans="1:26">
      <c r="A62" s="29" t="s">
        <v>178</v>
      </c>
      <c r="B62" s="69">
        <f t="shared" ref="B62:Z62" si="71">B54*24*B58*B4/1000</f>
        <v>1002.456</v>
      </c>
      <c r="C62" s="69">
        <f t="shared" si="71"/>
        <v>1005.21</v>
      </c>
      <c r="D62" s="69">
        <f t="shared" si="71"/>
        <v>1007.9640000000001</v>
      </c>
      <c r="E62" s="69">
        <f t="shared" si="71"/>
        <v>946.08</v>
      </c>
      <c r="F62" s="69">
        <f t="shared" si="71"/>
        <v>946.08</v>
      </c>
      <c r="G62" s="69">
        <f t="shared" si="71"/>
        <v>946.08</v>
      </c>
      <c r="H62" s="69">
        <f t="shared" si="71"/>
        <v>948.67200000000003</v>
      </c>
      <c r="I62" s="69">
        <f t="shared" si="71"/>
        <v>946.08</v>
      </c>
      <c r="J62" s="69">
        <f t="shared" si="71"/>
        <v>946.08</v>
      </c>
      <c r="K62" s="69">
        <f t="shared" si="71"/>
        <v>946.08</v>
      </c>
      <c r="L62" s="69">
        <f t="shared" si="71"/>
        <v>948.67200000000003</v>
      </c>
      <c r="M62" s="69">
        <f t="shared" si="71"/>
        <v>946.08</v>
      </c>
      <c r="N62" s="69">
        <f t="shared" si="71"/>
        <v>946.08</v>
      </c>
      <c r="O62" s="69">
        <f t="shared" si="71"/>
        <v>946.08</v>
      </c>
      <c r="P62" s="69">
        <f t="shared" si="71"/>
        <v>948.67200000000003</v>
      </c>
      <c r="Q62" s="69">
        <f t="shared" si="71"/>
        <v>946.08</v>
      </c>
      <c r="R62" s="69">
        <f t="shared" si="71"/>
        <v>946.08</v>
      </c>
      <c r="S62" s="69">
        <f t="shared" si="71"/>
        <v>946.08</v>
      </c>
      <c r="T62" s="69">
        <f t="shared" si="71"/>
        <v>948.67200000000003</v>
      </c>
      <c r="U62" s="69">
        <f t="shared" si="71"/>
        <v>946.08</v>
      </c>
      <c r="V62" s="69">
        <f t="shared" si="71"/>
        <v>946.08</v>
      </c>
      <c r="W62" s="69">
        <f t="shared" si="71"/>
        <v>946.08</v>
      </c>
      <c r="X62" s="69">
        <f t="shared" si="71"/>
        <v>948.67200000000003</v>
      </c>
      <c r="Y62" s="69">
        <f t="shared" si="71"/>
        <v>946.08</v>
      </c>
      <c r="Z62" s="69">
        <f t="shared" si="71"/>
        <v>946.08</v>
      </c>
    </row>
    <row r="63" spans="1:26">
      <c r="A63" s="29" t="s">
        <v>60</v>
      </c>
      <c r="B63" s="69">
        <f t="shared" ref="B63:P63" si="72">SUM(B62:B62)</f>
        <v>1002.456</v>
      </c>
      <c r="C63" s="69">
        <f t="shared" si="72"/>
        <v>1005.21</v>
      </c>
      <c r="D63" s="69">
        <f t="shared" si="72"/>
        <v>1007.9640000000001</v>
      </c>
      <c r="E63" s="69">
        <f t="shared" si="72"/>
        <v>946.08</v>
      </c>
      <c r="F63" s="69">
        <f t="shared" si="72"/>
        <v>946.08</v>
      </c>
      <c r="G63" s="69">
        <f t="shared" si="72"/>
        <v>946.08</v>
      </c>
      <c r="H63" s="69">
        <f t="shared" si="72"/>
        <v>948.67200000000003</v>
      </c>
      <c r="I63" s="69">
        <f t="shared" si="72"/>
        <v>946.08</v>
      </c>
      <c r="J63" s="69">
        <f t="shared" si="72"/>
        <v>946.08</v>
      </c>
      <c r="K63" s="69">
        <f t="shared" si="72"/>
        <v>946.08</v>
      </c>
      <c r="L63" s="69">
        <f t="shared" si="72"/>
        <v>948.67200000000003</v>
      </c>
      <c r="M63" s="69">
        <f t="shared" si="72"/>
        <v>946.08</v>
      </c>
      <c r="N63" s="69">
        <f t="shared" si="72"/>
        <v>946.08</v>
      </c>
      <c r="O63" s="69">
        <f t="shared" si="72"/>
        <v>946.08</v>
      </c>
      <c r="P63" s="69">
        <f t="shared" si="72"/>
        <v>948.67200000000003</v>
      </c>
      <c r="Q63" s="69">
        <f t="shared" ref="Q63:Z63" si="73">SUM(Q62:Q62)</f>
        <v>946.08</v>
      </c>
      <c r="R63" s="69">
        <f t="shared" si="73"/>
        <v>946.08</v>
      </c>
      <c r="S63" s="69">
        <f t="shared" si="73"/>
        <v>946.08</v>
      </c>
      <c r="T63" s="69">
        <f t="shared" si="73"/>
        <v>948.67200000000003</v>
      </c>
      <c r="U63" s="69">
        <f t="shared" si="73"/>
        <v>946.08</v>
      </c>
      <c r="V63" s="69">
        <f t="shared" si="73"/>
        <v>946.08</v>
      </c>
      <c r="W63" s="69">
        <f t="shared" si="73"/>
        <v>946.08</v>
      </c>
      <c r="X63" s="69">
        <f t="shared" si="73"/>
        <v>948.67200000000003</v>
      </c>
      <c r="Y63" s="69">
        <f t="shared" si="73"/>
        <v>946.08</v>
      </c>
      <c r="Z63" s="69">
        <f t="shared" si="73"/>
        <v>946.08</v>
      </c>
    </row>
    <row r="64" spans="1:26">
      <c r="A64" s="37"/>
      <c r="B64" s="70"/>
      <c r="C64" s="70"/>
      <c r="D64" s="70"/>
      <c r="E64" s="70"/>
      <c r="F64" s="70"/>
      <c r="G64" s="70"/>
      <c r="H64" s="70"/>
      <c r="I64" s="70"/>
      <c r="J64" s="70"/>
      <c r="K64" s="70"/>
      <c r="L64" s="70"/>
      <c r="M64" s="70"/>
      <c r="N64" s="70"/>
      <c r="O64" s="70"/>
      <c r="P64" s="70"/>
      <c r="Q64" s="70"/>
      <c r="R64" s="70"/>
      <c r="S64" s="70"/>
      <c r="T64" s="70"/>
      <c r="U64" s="70"/>
      <c r="V64" s="70"/>
      <c r="W64" s="70"/>
      <c r="X64" s="70"/>
      <c r="Y64" s="70"/>
      <c r="Z64" s="70"/>
    </row>
    <row r="65" spans="1:26">
      <c r="A65" s="25" t="s">
        <v>59</v>
      </c>
    </row>
    <row r="66" spans="1:26">
      <c r="A66" s="29" t="s">
        <v>178</v>
      </c>
      <c r="B66" s="33">
        <f>B62*Assumption!D51</f>
        <v>100.24560000000001</v>
      </c>
      <c r="C66" s="33">
        <f>C62*Assumption!$D$51</f>
        <v>100.52100000000002</v>
      </c>
      <c r="D66" s="33">
        <f>D62*Assumption!$D$51</f>
        <v>100.79640000000001</v>
      </c>
      <c r="E66" s="33">
        <f>E62*Assumption!$D$51</f>
        <v>94.608000000000004</v>
      </c>
      <c r="F66" s="33">
        <f>F62*Assumption!$D$51</f>
        <v>94.608000000000004</v>
      </c>
      <c r="G66" s="33">
        <f>G62*Assumption!$D$51</f>
        <v>94.608000000000004</v>
      </c>
      <c r="H66" s="33">
        <f>H62*Assumption!$D$51</f>
        <v>94.867200000000011</v>
      </c>
      <c r="I66" s="33">
        <f>I62*Assumption!$D$51</f>
        <v>94.608000000000004</v>
      </c>
      <c r="J66" s="33">
        <f>J62*Assumption!$D$51</f>
        <v>94.608000000000004</v>
      </c>
      <c r="K66" s="33">
        <f>K62*Assumption!$D$51</f>
        <v>94.608000000000004</v>
      </c>
      <c r="L66" s="33">
        <f>L62*Assumption!$D$51</f>
        <v>94.867200000000011</v>
      </c>
      <c r="M66" s="33">
        <f>M62*Assumption!$D$51</f>
        <v>94.608000000000004</v>
      </c>
      <c r="N66" s="33">
        <f>N62*Assumption!$D$51</f>
        <v>94.608000000000004</v>
      </c>
      <c r="O66" s="33">
        <f>O62*Assumption!$D$51</f>
        <v>94.608000000000004</v>
      </c>
      <c r="P66" s="33">
        <f>P62*Assumption!$D$51</f>
        <v>94.867200000000011</v>
      </c>
      <c r="Q66" s="33">
        <f>Q62*Assumption!$D$51</f>
        <v>94.608000000000004</v>
      </c>
      <c r="R66" s="33">
        <f>R62*Assumption!$D$51</f>
        <v>94.608000000000004</v>
      </c>
      <c r="S66" s="33">
        <f>S62*Assumption!$D$51</f>
        <v>94.608000000000004</v>
      </c>
      <c r="T66" s="33">
        <f>T62*Assumption!$D$51</f>
        <v>94.867200000000011</v>
      </c>
      <c r="U66" s="33">
        <f>U62*Assumption!$D$51</f>
        <v>94.608000000000004</v>
      </c>
      <c r="V66" s="33">
        <f>V62*Assumption!$D$51</f>
        <v>94.608000000000004</v>
      </c>
      <c r="W66" s="33">
        <f>W62*Assumption!$D$51</f>
        <v>94.608000000000004</v>
      </c>
      <c r="X66" s="33">
        <f>X62*Assumption!$D$51</f>
        <v>94.867200000000011</v>
      </c>
      <c r="Y66" s="33">
        <f>Y62*Assumption!$D$51</f>
        <v>94.608000000000004</v>
      </c>
      <c r="Z66" s="33">
        <f>Z62*Assumption!$D$51</f>
        <v>94.608000000000004</v>
      </c>
    </row>
    <row r="67" spans="1:26">
      <c r="A67" s="29" t="s">
        <v>60</v>
      </c>
      <c r="B67" s="33">
        <f t="shared" ref="B67:P67" si="74">SUM(B66:B66)</f>
        <v>100.24560000000001</v>
      </c>
      <c r="C67" s="33">
        <f t="shared" si="74"/>
        <v>100.52100000000002</v>
      </c>
      <c r="D67" s="33">
        <f t="shared" si="74"/>
        <v>100.79640000000001</v>
      </c>
      <c r="E67" s="33">
        <f t="shared" si="74"/>
        <v>94.608000000000004</v>
      </c>
      <c r="F67" s="33">
        <f t="shared" si="74"/>
        <v>94.608000000000004</v>
      </c>
      <c r="G67" s="33">
        <f t="shared" si="74"/>
        <v>94.608000000000004</v>
      </c>
      <c r="H67" s="33">
        <f t="shared" si="74"/>
        <v>94.867200000000011</v>
      </c>
      <c r="I67" s="33">
        <f t="shared" si="74"/>
        <v>94.608000000000004</v>
      </c>
      <c r="J67" s="33">
        <f t="shared" si="74"/>
        <v>94.608000000000004</v>
      </c>
      <c r="K67" s="33">
        <f t="shared" si="74"/>
        <v>94.608000000000004</v>
      </c>
      <c r="L67" s="33">
        <f t="shared" si="74"/>
        <v>94.867200000000011</v>
      </c>
      <c r="M67" s="33">
        <f t="shared" si="74"/>
        <v>94.608000000000004</v>
      </c>
      <c r="N67" s="33">
        <f t="shared" si="74"/>
        <v>94.608000000000004</v>
      </c>
      <c r="O67" s="33">
        <f t="shared" si="74"/>
        <v>94.608000000000004</v>
      </c>
      <c r="P67" s="33">
        <f t="shared" si="74"/>
        <v>94.867200000000011</v>
      </c>
      <c r="Q67" s="33">
        <f t="shared" ref="Q67:Z67" si="75">SUM(Q66:Q66)</f>
        <v>94.608000000000004</v>
      </c>
      <c r="R67" s="33">
        <f t="shared" si="75"/>
        <v>94.608000000000004</v>
      </c>
      <c r="S67" s="33">
        <f t="shared" si="75"/>
        <v>94.608000000000004</v>
      </c>
      <c r="T67" s="33">
        <f t="shared" si="75"/>
        <v>94.867200000000011</v>
      </c>
      <c r="U67" s="33">
        <f t="shared" si="75"/>
        <v>94.608000000000004</v>
      </c>
      <c r="V67" s="33">
        <f t="shared" si="75"/>
        <v>94.608000000000004</v>
      </c>
      <c r="W67" s="33">
        <f t="shared" si="75"/>
        <v>94.608000000000004</v>
      </c>
      <c r="X67" s="33">
        <f t="shared" si="75"/>
        <v>94.867200000000011</v>
      </c>
      <c r="Y67" s="33">
        <f t="shared" si="75"/>
        <v>94.608000000000004</v>
      </c>
      <c r="Z67" s="33">
        <f t="shared" si="75"/>
        <v>94.608000000000004</v>
      </c>
    </row>
    <row r="68" spans="1:26">
      <c r="A68" s="37"/>
      <c r="B68" s="71"/>
      <c r="C68" s="71"/>
      <c r="D68" s="71"/>
      <c r="E68" s="71"/>
      <c r="F68" s="71"/>
      <c r="G68" s="71"/>
      <c r="H68" s="71"/>
      <c r="I68" s="71"/>
      <c r="J68" s="71"/>
      <c r="K68" s="71"/>
      <c r="L68" s="71"/>
      <c r="M68" s="71"/>
      <c r="N68" s="71"/>
      <c r="O68" s="71"/>
      <c r="P68" s="71"/>
      <c r="Q68" s="71"/>
      <c r="R68" s="71"/>
      <c r="S68" s="71"/>
      <c r="T68" s="71"/>
      <c r="U68" s="71"/>
      <c r="V68" s="71"/>
      <c r="W68" s="71"/>
      <c r="X68" s="71"/>
      <c r="Y68" s="71"/>
      <c r="Z68" s="71"/>
    </row>
    <row r="69" spans="1:26">
      <c r="A69" s="25" t="s">
        <v>11</v>
      </c>
    </row>
    <row r="70" spans="1:26">
      <c r="A70" s="29" t="s">
        <v>178</v>
      </c>
      <c r="B70" s="31">
        <f t="shared" ref="B70:P70" si="76">B62-B66</f>
        <v>902.21040000000005</v>
      </c>
      <c r="C70" s="31">
        <f t="shared" si="76"/>
        <v>904.68900000000008</v>
      </c>
      <c r="D70" s="31">
        <f t="shared" si="76"/>
        <v>907.16759999999999</v>
      </c>
      <c r="E70" s="31">
        <f t="shared" si="76"/>
        <v>851.47199999999998</v>
      </c>
      <c r="F70" s="31">
        <f t="shared" si="76"/>
        <v>851.47199999999998</v>
      </c>
      <c r="G70" s="31">
        <f t="shared" si="76"/>
        <v>851.47199999999998</v>
      </c>
      <c r="H70" s="31">
        <f t="shared" si="76"/>
        <v>853.8048</v>
      </c>
      <c r="I70" s="31">
        <f t="shared" si="76"/>
        <v>851.47199999999998</v>
      </c>
      <c r="J70" s="31">
        <f t="shared" si="76"/>
        <v>851.47199999999998</v>
      </c>
      <c r="K70" s="31">
        <f t="shared" si="76"/>
        <v>851.47199999999998</v>
      </c>
      <c r="L70" s="31">
        <f t="shared" si="76"/>
        <v>853.8048</v>
      </c>
      <c r="M70" s="31">
        <f t="shared" si="76"/>
        <v>851.47199999999998</v>
      </c>
      <c r="N70" s="31">
        <f t="shared" si="76"/>
        <v>851.47199999999998</v>
      </c>
      <c r="O70" s="31">
        <f t="shared" si="76"/>
        <v>851.47199999999998</v>
      </c>
      <c r="P70" s="31">
        <f t="shared" si="76"/>
        <v>853.8048</v>
      </c>
      <c r="Q70" s="31">
        <f t="shared" ref="Q70:Z70" si="77">Q62-Q66</f>
        <v>851.47199999999998</v>
      </c>
      <c r="R70" s="31">
        <f t="shared" si="77"/>
        <v>851.47199999999998</v>
      </c>
      <c r="S70" s="31">
        <f t="shared" si="77"/>
        <v>851.47199999999998</v>
      </c>
      <c r="T70" s="31">
        <f t="shared" si="77"/>
        <v>853.8048</v>
      </c>
      <c r="U70" s="31">
        <f t="shared" si="77"/>
        <v>851.47199999999998</v>
      </c>
      <c r="V70" s="31">
        <f t="shared" si="77"/>
        <v>851.47199999999998</v>
      </c>
      <c r="W70" s="31">
        <f t="shared" si="77"/>
        <v>851.47199999999998</v>
      </c>
      <c r="X70" s="31">
        <f t="shared" si="77"/>
        <v>853.8048</v>
      </c>
      <c r="Y70" s="31">
        <f t="shared" si="77"/>
        <v>851.47199999999998</v>
      </c>
      <c r="Z70" s="31">
        <f t="shared" si="77"/>
        <v>851.47199999999998</v>
      </c>
    </row>
    <row r="71" spans="1:26">
      <c r="A71" s="29" t="s">
        <v>60</v>
      </c>
      <c r="B71" s="31">
        <f t="shared" ref="B71:P71" si="78">SUM(B70:B70)</f>
        <v>902.21040000000005</v>
      </c>
      <c r="C71" s="31">
        <f t="shared" si="78"/>
        <v>904.68900000000008</v>
      </c>
      <c r="D71" s="31">
        <f t="shared" si="78"/>
        <v>907.16759999999999</v>
      </c>
      <c r="E71" s="31">
        <f t="shared" si="78"/>
        <v>851.47199999999998</v>
      </c>
      <c r="F71" s="31">
        <f t="shared" si="78"/>
        <v>851.47199999999998</v>
      </c>
      <c r="G71" s="31">
        <f t="shared" si="78"/>
        <v>851.47199999999998</v>
      </c>
      <c r="H71" s="31">
        <f t="shared" si="78"/>
        <v>853.8048</v>
      </c>
      <c r="I71" s="31">
        <f t="shared" si="78"/>
        <v>851.47199999999998</v>
      </c>
      <c r="J71" s="31">
        <f t="shared" si="78"/>
        <v>851.47199999999998</v>
      </c>
      <c r="K71" s="31">
        <f t="shared" si="78"/>
        <v>851.47199999999998</v>
      </c>
      <c r="L71" s="31">
        <f t="shared" si="78"/>
        <v>853.8048</v>
      </c>
      <c r="M71" s="31">
        <f t="shared" si="78"/>
        <v>851.47199999999998</v>
      </c>
      <c r="N71" s="31">
        <f t="shared" si="78"/>
        <v>851.47199999999998</v>
      </c>
      <c r="O71" s="31">
        <f t="shared" si="78"/>
        <v>851.47199999999998</v>
      </c>
      <c r="P71" s="31">
        <f t="shared" si="78"/>
        <v>853.8048</v>
      </c>
      <c r="Q71" s="31">
        <f t="shared" ref="Q71:Z71" si="79">SUM(Q70:Q70)</f>
        <v>851.47199999999998</v>
      </c>
      <c r="R71" s="31">
        <f t="shared" si="79"/>
        <v>851.47199999999998</v>
      </c>
      <c r="S71" s="31">
        <f t="shared" si="79"/>
        <v>851.47199999999998</v>
      </c>
      <c r="T71" s="31">
        <f t="shared" si="79"/>
        <v>853.8048</v>
      </c>
      <c r="U71" s="31">
        <f t="shared" si="79"/>
        <v>851.47199999999998</v>
      </c>
      <c r="V71" s="31">
        <f t="shared" si="79"/>
        <v>851.47199999999998</v>
      </c>
      <c r="W71" s="31">
        <f t="shared" si="79"/>
        <v>851.47199999999998</v>
      </c>
      <c r="X71" s="31">
        <f t="shared" si="79"/>
        <v>853.8048</v>
      </c>
      <c r="Y71" s="31">
        <f t="shared" si="79"/>
        <v>851.47199999999998</v>
      </c>
      <c r="Z71" s="31">
        <f t="shared" si="79"/>
        <v>851.47199999999998</v>
      </c>
    </row>
    <row r="72" spans="1:26">
      <c r="A72" s="37"/>
      <c r="B72" s="72"/>
      <c r="C72" s="72"/>
      <c r="D72" s="72"/>
      <c r="E72" s="72"/>
      <c r="F72" s="72"/>
      <c r="G72" s="72"/>
      <c r="H72" s="72"/>
      <c r="I72" s="72"/>
      <c r="J72" s="72"/>
      <c r="K72" s="72"/>
      <c r="L72" s="72"/>
      <c r="M72" s="72"/>
      <c r="N72" s="72"/>
      <c r="O72" s="72"/>
      <c r="P72" s="72"/>
      <c r="Q72" s="72"/>
      <c r="R72" s="72"/>
      <c r="S72" s="72"/>
      <c r="T72" s="72"/>
      <c r="U72" s="72"/>
      <c r="V72" s="72"/>
      <c r="W72" s="72"/>
      <c r="X72" s="72"/>
      <c r="Y72" s="72"/>
      <c r="Z72" s="72"/>
    </row>
    <row r="73" spans="1:26">
      <c r="A73" s="37" t="s">
        <v>101</v>
      </c>
      <c r="B73" s="72"/>
      <c r="C73" s="72"/>
      <c r="D73" s="72"/>
      <c r="E73" s="72"/>
      <c r="F73" s="72"/>
      <c r="G73" s="72"/>
      <c r="H73" s="72"/>
      <c r="I73" s="72"/>
      <c r="J73" s="72"/>
      <c r="K73" s="72"/>
      <c r="L73" s="72"/>
      <c r="M73" s="72"/>
      <c r="N73" s="72"/>
      <c r="O73" s="72"/>
      <c r="P73" s="72"/>
      <c r="Q73" s="72"/>
      <c r="R73" s="72"/>
      <c r="S73" s="72"/>
      <c r="T73" s="72"/>
      <c r="U73" s="72"/>
      <c r="V73" s="72"/>
      <c r="W73" s="72"/>
      <c r="X73" s="72"/>
      <c r="Y73" s="72"/>
      <c r="Z73" s="72"/>
    </row>
    <row r="74" spans="1:26">
      <c r="A74" s="29" t="s">
        <v>97</v>
      </c>
      <c r="B74" s="31">
        <f>Assumption!D43</f>
        <v>3500</v>
      </c>
      <c r="C74" s="29" t="s">
        <v>9</v>
      </c>
    </row>
    <row r="75" spans="1:26">
      <c r="A75" s="29" t="s">
        <v>98</v>
      </c>
      <c r="B75" s="29">
        <v>1000</v>
      </c>
      <c r="C75" s="29" t="s">
        <v>99</v>
      </c>
    </row>
    <row r="76" spans="1:26">
      <c r="A76" s="29" t="s">
        <v>98</v>
      </c>
      <c r="B76" s="29">
        <f>B74*B75</f>
        <v>3500000</v>
      </c>
      <c r="C76" s="29" t="s">
        <v>9</v>
      </c>
    </row>
    <row r="77" spans="1:26">
      <c r="A77" s="29" t="s">
        <v>100</v>
      </c>
      <c r="B77" s="29">
        <v>0.83</v>
      </c>
      <c r="C77" s="29" t="s">
        <v>99</v>
      </c>
    </row>
  </sheetData>
  <customSheetViews>
    <customSheetView guid="{6D27EB6A-3939-4201-8E4B-897AA8118F21}" scale="80" showPageBreaks="1" printArea="1" view="pageBreakPreview" topLeftCell="A64">
      <selection activeCell="B50" sqref="B50 B54"/>
      <rowBreaks count="1" manualBreakCount="1">
        <brk id="41" max="29" man="1"/>
      </rowBreaks>
      <colBreaks count="2" manualBreakCount="2">
        <brk id="9" max="78" man="1"/>
        <brk id="20" max="78" man="1"/>
      </colBreaks>
      <pageMargins left="0.75" right="0.75" top="1" bottom="1" header="0.5" footer="0.5"/>
      <pageSetup paperSize="9" scale="54" orientation="landscape" r:id="rId1"/>
      <headerFooter alignWithMargins="0"/>
    </customSheetView>
  </customSheetViews>
  <phoneticPr fontId="4" type="noConversion"/>
  <pageMargins left="0.75" right="0.75" top="1" bottom="1" header="0.5" footer="0.5"/>
  <pageSetup paperSize="9" scale="54" orientation="landscape" r:id="rId2"/>
  <headerFooter alignWithMargins="0"/>
  <rowBreaks count="1" manualBreakCount="1">
    <brk id="50" max="29" man="1"/>
  </rowBreaks>
  <colBreaks count="2" manualBreakCount="2">
    <brk id="9" max="62" man="1"/>
    <brk id="20" max="62" man="1"/>
  </colBreaks>
</worksheet>
</file>

<file path=xl/worksheets/sheet7.xml><?xml version="1.0" encoding="utf-8"?>
<worksheet xmlns="http://schemas.openxmlformats.org/spreadsheetml/2006/main" xmlns:r="http://schemas.openxmlformats.org/officeDocument/2006/relationships">
  <sheetPr codeName="Sheet6"/>
  <dimension ref="A1:IP45"/>
  <sheetViews>
    <sheetView view="pageBreakPreview" zoomScaleSheetLayoutView="100" workbookViewId="0">
      <selection activeCell="A50" sqref="A50"/>
    </sheetView>
  </sheetViews>
  <sheetFormatPr defaultColWidth="11" defaultRowHeight="15"/>
  <cols>
    <col min="1" max="1" width="48" style="25" bestFit="1" customWidth="1"/>
    <col min="2" max="2" width="10.140625" style="25" bestFit="1" customWidth="1"/>
    <col min="3" max="3" width="19.28515625" style="25" bestFit="1" customWidth="1"/>
    <col min="4" max="26" width="10.140625" style="25" bestFit="1" customWidth="1"/>
    <col min="27" max="16384" width="11" style="25"/>
  </cols>
  <sheetData>
    <row r="1" spans="1:250">
      <c r="A1" s="25" t="s">
        <v>46</v>
      </c>
    </row>
    <row r="2" spans="1:250">
      <c r="B2" s="25">
        <v>1</v>
      </c>
      <c r="C2" s="25">
        <f>B2+1</f>
        <v>2</v>
      </c>
      <c r="D2" s="25">
        <f t="shared" ref="D2:Z2" si="0">C2+1</f>
        <v>3</v>
      </c>
      <c r="E2" s="25">
        <f t="shared" si="0"/>
        <v>4</v>
      </c>
      <c r="F2" s="25">
        <f t="shared" si="0"/>
        <v>5</v>
      </c>
      <c r="G2" s="25">
        <f t="shared" si="0"/>
        <v>6</v>
      </c>
      <c r="H2" s="25">
        <f t="shared" si="0"/>
        <v>7</v>
      </c>
      <c r="I2" s="25">
        <f t="shared" si="0"/>
        <v>8</v>
      </c>
      <c r="J2" s="25">
        <f t="shared" si="0"/>
        <v>9</v>
      </c>
      <c r="K2" s="25">
        <f t="shared" si="0"/>
        <v>10</v>
      </c>
      <c r="L2" s="25">
        <f t="shared" si="0"/>
        <v>11</v>
      </c>
      <c r="M2" s="25">
        <f t="shared" si="0"/>
        <v>12</v>
      </c>
      <c r="N2" s="25">
        <f t="shared" si="0"/>
        <v>13</v>
      </c>
      <c r="O2" s="25">
        <f t="shared" si="0"/>
        <v>14</v>
      </c>
      <c r="P2" s="25">
        <f t="shared" si="0"/>
        <v>15</v>
      </c>
      <c r="Q2" s="25">
        <f t="shared" si="0"/>
        <v>16</v>
      </c>
      <c r="R2" s="25">
        <f t="shared" si="0"/>
        <v>17</v>
      </c>
      <c r="S2" s="25">
        <f t="shared" si="0"/>
        <v>18</v>
      </c>
      <c r="T2" s="25">
        <f t="shared" si="0"/>
        <v>19</v>
      </c>
      <c r="U2" s="25">
        <f t="shared" si="0"/>
        <v>20</v>
      </c>
      <c r="V2" s="25">
        <f t="shared" si="0"/>
        <v>21</v>
      </c>
      <c r="W2" s="25">
        <f t="shared" si="0"/>
        <v>22</v>
      </c>
      <c r="X2" s="25">
        <f t="shared" si="0"/>
        <v>23</v>
      </c>
      <c r="Y2" s="25">
        <f t="shared" si="0"/>
        <v>24</v>
      </c>
      <c r="Z2" s="25">
        <f t="shared" si="0"/>
        <v>25</v>
      </c>
    </row>
    <row r="3" spans="1:250">
      <c r="A3" s="29" t="s">
        <v>4</v>
      </c>
      <c r="B3" s="30">
        <f>fuel!B16</f>
        <v>41729</v>
      </c>
      <c r="C3" s="30">
        <f>fuel!C16</f>
        <v>42094</v>
      </c>
      <c r="D3" s="30">
        <f>fuel!D16</f>
        <v>42460</v>
      </c>
      <c r="E3" s="30">
        <f>fuel!E16</f>
        <v>42825</v>
      </c>
      <c r="F3" s="30">
        <f>fuel!F16</f>
        <v>43190</v>
      </c>
      <c r="G3" s="30">
        <f>fuel!G16</f>
        <v>43555</v>
      </c>
      <c r="H3" s="30">
        <f>fuel!H16</f>
        <v>43921</v>
      </c>
      <c r="I3" s="30">
        <f>fuel!I16</f>
        <v>44286</v>
      </c>
      <c r="J3" s="30">
        <f>fuel!J16</f>
        <v>44651</v>
      </c>
      <c r="K3" s="30">
        <f>fuel!K16</f>
        <v>45016</v>
      </c>
      <c r="L3" s="30">
        <f>fuel!L16</f>
        <v>45382</v>
      </c>
      <c r="M3" s="30">
        <f>fuel!M16</f>
        <v>45747</v>
      </c>
      <c r="N3" s="30">
        <f>fuel!N16</f>
        <v>46112</v>
      </c>
      <c r="O3" s="30">
        <f>fuel!O16</f>
        <v>46477</v>
      </c>
      <c r="P3" s="30">
        <f>fuel!P16</f>
        <v>46843</v>
      </c>
      <c r="Q3" s="30">
        <f>fuel!Q16</f>
        <v>47208</v>
      </c>
      <c r="R3" s="30">
        <f>fuel!R16</f>
        <v>47573</v>
      </c>
      <c r="S3" s="30">
        <f>fuel!S16</f>
        <v>47938</v>
      </c>
      <c r="T3" s="30">
        <f>fuel!T16</f>
        <v>48304</v>
      </c>
      <c r="U3" s="30">
        <f>fuel!U16</f>
        <v>48669</v>
      </c>
      <c r="V3" s="30">
        <f>fuel!V16</f>
        <v>49034</v>
      </c>
      <c r="W3" s="30">
        <f>fuel!W16</f>
        <v>49399</v>
      </c>
      <c r="X3" s="30">
        <f>fuel!X16</f>
        <v>49765</v>
      </c>
      <c r="Y3" s="30">
        <f>fuel!Y16</f>
        <v>50130</v>
      </c>
      <c r="Z3" s="30">
        <f>fuel!Z16</f>
        <v>50495</v>
      </c>
    </row>
    <row r="4" spans="1:250">
      <c r="A4" s="29" t="s">
        <v>12</v>
      </c>
      <c r="B4" s="29"/>
      <c r="C4" s="29"/>
      <c r="D4" s="29"/>
      <c r="E4" s="29"/>
      <c r="F4" s="29"/>
      <c r="G4" s="29"/>
      <c r="H4" s="29"/>
      <c r="I4" s="29"/>
      <c r="J4" s="29"/>
      <c r="K4" s="29"/>
      <c r="L4" s="29"/>
      <c r="M4" s="29"/>
      <c r="N4" s="29"/>
      <c r="O4" s="29"/>
      <c r="P4" s="29"/>
      <c r="Q4" s="29"/>
      <c r="R4" s="29"/>
      <c r="S4" s="29"/>
      <c r="T4" s="29"/>
      <c r="U4" s="29"/>
      <c r="V4" s="29"/>
      <c r="W4" s="29"/>
      <c r="X4" s="29"/>
      <c r="Y4" s="29"/>
      <c r="Z4" s="29"/>
    </row>
    <row r="5" spans="1:250">
      <c r="A5" s="29" t="s">
        <v>280</v>
      </c>
      <c r="B5" s="24">
        <f>fuel!B27</f>
        <v>1236.8925196029568</v>
      </c>
      <c r="C5" s="24">
        <f>fuel!C27</f>
        <v>1240.2905759754926</v>
      </c>
      <c r="D5" s="24">
        <f>fuel!D27</f>
        <v>1243.6886323480282</v>
      </c>
      <c r="E5" s="24">
        <f>fuel!E27</f>
        <v>1167.3323068004638</v>
      </c>
      <c r="F5" s="24">
        <f>fuel!F27</f>
        <v>1167.3323068004638</v>
      </c>
      <c r="G5" s="24">
        <f>fuel!G27</f>
        <v>1167.3323068004638</v>
      </c>
      <c r="H5" s="24">
        <f>fuel!H27</f>
        <v>1170.5304775040267</v>
      </c>
      <c r="I5" s="24">
        <f>fuel!I27</f>
        <v>1167.3323068004638</v>
      </c>
      <c r="J5" s="24">
        <f>fuel!J27</f>
        <v>1167.3323068004638</v>
      </c>
      <c r="K5" s="24">
        <f>fuel!K27</f>
        <v>1167.3323068004638</v>
      </c>
      <c r="L5" s="24">
        <f>fuel!L27</f>
        <v>1170.5304775040267</v>
      </c>
      <c r="M5" s="24">
        <f>fuel!M27</f>
        <v>1167.3323068004638</v>
      </c>
      <c r="N5" s="24">
        <f>fuel!N27</f>
        <v>1167.3323068004638</v>
      </c>
      <c r="O5" s="24">
        <f>fuel!O27</f>
        <v>1167.3323068004638</v>
      </c>
      <c r="P5" s="24">
        <f>fuel!P27</f>
        <v>1170.5304775040267</v>
      </c>
      <c r="Q5" s="24">
        <f>fuel!Q27</f>
        <v>1167.3323068004638</v>
      </c>
      <c r="R5" s="24">
        <f>fuel!R27</f>
        <v>1167.3323068004638</v>
      </c>
      <c r="S5" s="24">
        <f>fuel!S27</f>
        <v>1167.3323068004638</v>
      </c>
      <c r="T5" s="24">
        <f>fuel!T27</f>
        <v>1170.5304775040267</v>
      </c>
      <c r="U5" s="24">
        <f>fuel!U27</f>
        <v>1167.3323068004638</v>
      </c>
      <c r="V5" s="24">
        <f>fuel!V27</f>
        <v>1167.3323068004638</v>
      </c>
      <c r="W5" s="24">
        <f>fuel!W27</f>
        <v>1167.3323068004638</v>
      </c>
      <c r="X5" s="24">
        <f>fuel!X27</f>
        <v>1170.5304775040267</v>
      </c>
      <c r="Y5" s="24">
        <f>fuel!Y27</f>
        <v>1167.3323068004638</v>
      </c>
      <c r="Z5" s="24">
        <f>fuel!Z27</f>
        <v>1167.3323068004638</v>
      </c>
    </row>
    <row r="6" spans="1:250">
      <c r="A6" s="29" t="s">
        <v>61</v>
      </c>
      <c r="B6" s="24">
        <f>B5/fuel!B70</f>
        <v>1.370957949058176</v>
      </c>
      <c r="C6" s="24">
        <f>C5/fuel!C70</f>
        <v>1.3709579490581765</v>
      </c>
      <c r="D6" s="24">
        <f>D5/fuel!D70</f>
        <v>1.3709579490581765</v>
      </c>
      <c r="E6" s="24">
        <f>E5/fuel!E70</f>
        <v>1.3709579490581767</v>
      </c>
      <c r="F6" s="24">
        <f>F5/fuel!F70</f>
        <v>1.3709579490581767</v>
      </c>
      <c r="G6" s="24">
        <f>G5/fuel!G70</f>
        <v>1.3709579490581767</v>
      </c>
      <c r="H6" s="24">
        <f>H5/fuel!H70</f>
        <v>1.3709579490581767</v>
      </c>
      <c r="I6" s="24">
        <f>I5/fuel!I70</f>
        <v>1.3709579490581767</v>
      </c>
      <c r="J6" s="24">
        <f>J5/fuel!J70</f>
        <v>1.3709579490581767</v>
      </c>
      <c r="K6" s="24">
        <f>K5/fuel!K70</f>
        <v>1.3709579490581767</v>
      </c>
      <c r="L6" s="24">
        <f>L5/fuel!L70</f>
        <v>1.3709579490581767</v>
      </c>
      <c r="M6" s="24">
        <f>M5/fuel!M70</f>
        <v>1.3709579490581767</v>
      </c>
      <c r="N6" s="24">
        <f>N5/fuel!N70</f>
        <v>1.3709579490581767</v>
      </c>
      <c r="O6" s="24">
        <f>O5/fuel!O70</f>
        <v>1.3709579490581767</v>
      </c>
      <c r="P6" s="24">
        <f>P5/fuel!P70</f>
        <v>1.3709579490581767</v>
      </c>
      <c r="Q6" s="24">
        <f>Q5/fuel!Q70</f>
        <v>1.3709579490581767</v>
      </c>
      <c r="R6" s="24">
        <f>R5/fuel!R70</f>
        <v>1.3709579490581767</v>
      </c>
      <c r="S6" s="24">
        <f>S5/fuel!S70</f>
        <v>1.3709579490581767</v>
      </c>
      <c r="T6" s="24">
        <f>T5/fuel!T70</f>
        <v>1.3709579490581767</v>
      </c>
      <c r="U6" s="24">
        <f>U5/fuel!U70</f>
        <v>1.3709579490581767</v>
      </c>
      <c r="V6" s="24">
        <f>V5/fuel!V70</f>
        <v>1.3709579490581767</v>
      </c>
      <c r="W6" s="24">
        <f>W5/fuel!W70</f>
        <v>1.3709579490581767</v>
      </c>
      <c r="X6" s="24">
        <f>X5/fuel!X70</f>
        <v>1.3709579490581767</v>
      </c>
      <c r="Y6" s="24">
        <f>Y5/fuel!Y70</f>
        <v>1.3709579490581767</v>
      </c>
      <c r="Z6" s="24">
        <f>Z5/fuel!Z70</f>
        <v>1.3709579490581767</v>
      </c>
      <c r="IP6" s="50"/>
    </row>
    <row r="8" spans="1:250">
      <c r="A8" s="25" t="s">
        <v>281</v>
      </c>
    </row>
    <row r="9" spans="1:250">
      <c r="A9" s="29" t="s">
        <v>14</v>
      </c>
      <c r="B9" s="24">
        <f>'term loan '!E4</f>
        <v>511.42803819103017</v>
      </c>
      <c r="C9" s="24">
        <f>'term loan '!E5</f>
        <v>472.69412054794515</v>
      </c>
      <c r="D9" s="24">
        <f>'term loan '!E6</f>
        <v>433.68505238506282</v>
      </c>
      <c r="E9" s="31">
        <f>'term loan '!E7</f>
        <v>392.30612054794528</v>
      </c>
      <c r="F9" s="31">
        <f>'term loan '!E8</f>
        <v>352.11212054794521</v>
      </c>
      <c r="G9" s="31">
        <f>'term loan '!E9</f>
        <v>311.91812054794525</v>
      </c>
      <c r="H9" s="31">
        <f>'term loan '!E10</f>
        <v>272.46857019328218</v>
      </c>
      <c r="I9" s="31">
        <f>'term loan '!E11</f>
        <v>231.5301205479453</v>
      </c>
      <c r="J9" s="31">
        <f>'term loan '!E12</f>
        <v>191.33612054794526</v>
      </c>
      <c r="K9" s="31">
        <f>'term loan '!E13</f>
        <v>151.1421205479453</v>
      </c>
      <c r="L9" s="31">
        <f>'term loan '!E14</f>
        <v>111.25208800150129</v>
      </c>
      <c r="M9" s="31">
        <f>'term loan '!E15</f>
        <v>70.754120547945277</v>
      </c>
      <c r="N9" s="31">
        <f>'term loan '!E16</f>
        <v>42.85300052687046</v>
      </c>
      <c r="O9" s="31">
        <f>'term loan '!E17</f>
        <v>27.244760484720821</v>
      </c>
      <c r="P9" s="31">
        <f>'term loan '!E18</f>
        <v>11.668401320496033</v>
      </c>
      <c r="Q9" s="31">
        <f>'term loan '!E19</f>
        <v>1.9162002107481806</v>
      </c>
      <c r="R9" s="31">
        <f>'term loan '!E20</f>
        <v>0</v>
      </c>
      <c r="S9" s="31">
        <f>'term loan '!E21</f>
        <v>0</v>
      </c>
      <c r="T9" s="44">
        <v>0</v>
      </c>
      <c r="U9" s="44">
        <v>0</v>
      </c>
      <c r="V9" s="44">
        <v>0</v>
      </c>
      <c r="W9" s="44">
        <v>0</v>
      </c>
      <c r="X9" s="44">
        <v>0</v>
      </c>
      <c r="Y9" s="44">
        <v>0</v>
      </c>
      <c r="Z9" s="44">
        <v>0</v>
      </c>
    </row>
    <row r="10" spans="1:250">
      <c r="A10" s="29" t="s">
        <v>5</v>
      </c>
      <c r="B10" s="24">
        <f>depre!B8</f>
        <v>334.03232876712332</v>
      </c>
      <c r="C10" s="24">
        <f>depre!C8</f>
        <v>334.95</v>
      </c>
      <c r="D10" s="24">
        <f>depre!D8</f>
        <v>334.95</v>
      </c>
      <c r="E10" s="24">
        <f>depre!E8</f>
        <v>334.95</v>
      </c>
      <c r="F10" s="24">
        <f>depre!F8</f>
        <v>334.95</v>
      </c>
      <c r="G10" s="24">
        <f>depre!G8</f>
        <v>334.95</v>
      </c>
      <c r="H10" s="24">
        <f>depre!H8</f>
        <v>334.95</v>
      </c>
      <c r="I10" s="24">
        <f>depre!I8</f>
        <v>334.95</v>
      </c>
      <c r="J10" s="24">
        <f>depre!J8</f>
        <v>334.95</v>
      </c>
      <c r="K10" s="24">
        <f>depre!K8</f>
        <v>334.95</v>
      </c>
      <c r="L10" s="24">
        <f>depre!L8</f>
        <v>334.95</v>
      </c>
      <c r="M10" s="24">
        <f>depre!M8</f>
        <v>334.95</v>
      </c>
      <c r="N10" s="24">
        <f>depre!N8</f>
        <v>130.06866701791367</v>
      </c>
      <c r="O10" s="24">
        <f>depre!O8</f>
        <v>130.06866701791367</v>
      </c>
      <c r="P10" s="24">
        <f>depre!P8</f>
        <v>130.06866701791367</v>
      </c>
      <c r="Q10" s="24">
        <f>depre!Q8</f>
        <v>130.06866701791367</v>
      </c>
      <c r="R10" s="24">
        <f>depre!R8</f>
        <v>130.06866701791367</v>
      </c>
      <c r="S10" s="24">
        <f>depre!S8</f>
        <v>130.06866701791367</v>
      </c>
      <c r="T10" s="24">
        <f>depre!T8</f>
        <v>130.06866701791367</v>
      </c>
      <c r="U10" s="24">
        <f>depre!U8</f>
        <v>130.06866701791367</v>
      </c>
      <c r="V10" s="24">
        <f>depre!V8</f>
        <v>130.06866701791367</v>
      </c>
      <c r="W10" s="24">
        <f>depre!W8</f>
        <v>130.06866701791367</v>
      </c>
      <c r="X10" s="24">
        <f>depre!X8</f>
        <v>130.06866701791367</v>
      </c>
      <c r="Y10" s="24">
        <f>depre!Y8</f>
        <v>130.06866701791367</v>
      </c>
      <c r="Z10" s="24">
        <f>depre!Z8</f>
        <v>130.06866701791367</v>
      </c>
    </row>
    <row r="11" spans="1:250">
      <c r="A11" s="29" t="s">
        <v>15</v>
      </c>
      <c r="B11" s="24">
        <f>fuel!B6*Assumption!$D$6*depre!B4/depre!B3</f>
        <v>403.62115068493154</v>
      </c>
      <c r="C11" s="24">
        <f>fuel!C6*Assumption!$D$6*depre!C4/depre!C3</f>
        <v>427.8805559999999</v>
      </c>
      <c r="D11" s="24">
        <f>fuel!D6*Assumption!$D$6*depre!D4/depre!D3</f>
        <v>452.35532380319989</v>
      </c>
      <c r="E11" s="24">
        <f>fuel!E6*Assumption!$D$6*depre!E4/depre!E3</f>
        <v>478.23004832474294</v>
      </c>
      <c r="F11" s="24">
        <f>fuel!F6*Assumption!$D$6*depre!F4/depre!F3</f>
        <v>505.58480708891818</v>
      </c>
      <c r="G11" s="24">
        <f>fuel!G6*Assumption!$D$6*depre!G4/depre!G3</f>
        <v>534.5042580544042</v>
      </c>
      <c r="H11" s="24">
        <f>fuel!H6*Assumption!$D$6*depre!H4/depre!H3</f>
        <v>565.07790161511605</v>
      </c>
      <c r="I11" s="24">
        <f>fuel!I6*Assumption!$D$6*depre!I4/depre!I3</f>
        <v>597.40035758750071</v>
      </c>
      <c r="J11" s="24">
        <f>fuel!J6*Assumption!$D$6*depre!J4/depre!J3</f>
        <v>631.57165804150566</v>
      </c>
      <c r="K11" s="24">
        <f>fuel!K6*Assumption!$D$6*depre!K4/depre!K3</f>
        <v>667.69755688147973</v>
      </c>
      <c r="L11" s="24">
        <f>fuel!L6*Assumption!$D$6*depre!L4/depre!L3</f>
        <v>705.88985713510033</v>
      </c>
      <c r="M11" s="24">
        <f>fuel!M6*Assumption!$D$6*depre!M4/depre!M3</f>
        <v>746.2667569632282</v>
      </c>
      <c r="N11" s="24">
        <f>fuel!N6*Assumption!$D$6*depre!N4/depre!N3</f>
        <v>788.95321546152456</v>
      </c>
      <c r="O11" s="24">
        <f>fuel!O6*Assumption!$D$6*depre!O4/depre!O3</f>
        <v>834.08133938592368</v>
      </c>
      <c r="P11" s="24">
        <f>fuel!P6*Assumption!$D$6*depre!P4/depre!P3</f>
        <v>881.79079199879868</v>
      </c>
      <c r="Q11" s="24">
        <f>fuel!Q6*Assumption!$D$6*depre!Q4/depre!Q3</f>
        <v>932.22922530112999</v>
      </c>
      <c r="R11" s="24">
        <f>fuel!R6*Assumption!$D$6*depre!R4/depre!R3</f>
        <v>985.55273698835447</v>
      </c>
      <c r="S11" s="24">
        <f>fuel!S6*Assumption!$D$6*depre!S4/depre!S3</f>
        <v>1041.9263535440882</v>
      </c>
      <c r="T11" s="24">
        <f>fuel!T6*Assumption!$D$6*depre!T4/depre!T3</f>
        <v>1101.52454096681</v>
      </c>
      <c r="U11" s="24">
        <f>fuel!U6*Assumption!$D$6*depre!U4/depre!U3</f>
        <v>1164.5317447101113</v>
      </c>
      <c r="V11" s="24">
        <f>fuel!V6*Assumption!$D$6*depre!V4/depre!V3</f>
        <v>1231.1429605075296</v>
      </c>
      <c r="W11" s="24">
        <f>fuel!W6*Assumption!$D$6*depre!W4/depre!W3</f>
        <v>1301.5643378485602</v>
      </c>
      <c r="X11" s="24">
        <f>fuel!X6*Assumption!$D$6*depre!X4/depre!X3</f>
        <v>1376.0138179734979</v>
      </c>
      <c r="Y11" s="24">
        <f>fuel!Y6*Assumption!$D$6*depre!Y4/depre!Y3</f>
        <v>1454.7218083615817</v>
      </c>
      <c r="Z11" s="24">
        <f>fuel!Z6*Assumption!$D$6*depre!Z4/depre!Z3</f>
        <v>1537.9318957998642</v>
      </c>
    </row>
    <row r="12" spans="1:250">
      <c r="A12" s="29" t="s">
        <v>109</v>
      </c>
      <c r="B12" s="24">
        <f>Assumption!$D$79*Assumption!$D$6/100</f>
        <v>0</v>
      </c>
      <c r="C12" s="24">
        <f>Assumption!$D$79*Assumption!$D$6/100</f>
        <v>0</v>
      </c>
      <c r="D12" s="24">
        <f>Assumption!$D$79*Assumption!$D$6/100</f>
        <v>0</v>
      </c>
      <c r="E12" s="24">
        <f>Assumption!$D$79*Assumption!$D$6/100</f>
        <v>0</v>
      </c>
      <c r="F12" s="24">
        <f>Assumption!$D$79*Assumption!$D$6/100</f>
        <v>0</v>
      </c>
      <c r="G12" s="24">
        <f>Assumption!$D$79*Assumption!$D$6/100</f>
        <v>0</v>
      </c>
      <c r="H12" s="24">
        <f>Assumption!$D$79*Assumption!$D$6/100</f>
        <v>0</v>
      </c>
      <c r="I12" s="24">
        <f>Assumption!$D$79*Assumption!$D$6/100</f>
        <v>0</v>
      </c>
      <c r="J12" s="24">
        <f>Assumption!$D$79*Assumption!$D$6/100</f>
        <v>0</v>
      </c>
      <c r="K12" s="24">
        <f>Assumption!$D$79*Assumption!$D$6/100</f>
        <v>0</v>
      </c>
      <c r="L12" s="24">
        <f>Assumption!$D$80*Assumption!$D$6/100</f>
        <v>2.0250000000000001E-2</v>
      </c>
      <c r="M12" s="24">
        <f>Assumption!$D$80*Assumption!$D$6/100</f>
        <v>2.0250000000000001E-2</v>
      </c>
      <c r="N12" s="24">
        <f>Assumption!$D$80*Assumption!$D$6/100</f>
        <v>2.0250000000000001E-2</v>
      </c>
      <c r="O12" s="24">
        <f>Assumption!$D$80*Assumption!$D$6/100</f>
        <v>2.0250000000000001E-2</v>
      </c>
      <c r="P12" s="24">
        <f>Assumption!$D$80*Assumption!$D$6/100</f>
        <v>2.0250000000000001E-2</v>
      </c>
      <c r="Q12" s="24">
        <f>Assumption!$D$81*Assumption!$D$6/100</f>
        <v>4.7250000000000007E-2</v>
      </c>
      <c r="R12" s="24">
        <f>Assumption!$D$81*Assumption!$D$6/100</f>
        <v>4.7250000000000007E-2</v>
      </c>
      <c r="S12" s="24">
        <f>Assumption!$D$81*Assumption!$D$6/100</f>
        <v>4.7250000000000007E-2</v>
      </c>
      <c r="T12" s="24">
        <f>Assumption!$D$81*Assumption!$D$6/100</f>
        <v>4.7250000000000007E-2</v>
      </c>
      <c r="U12" s="24">
        <f>Assumption!$D$81*Assumption!$D$6/100</f>
        <v>4.7250000000000007E-2</v>
      </c>
      <c r="V12" s="24">
        <f>Assumption!$D$82*Assumption!$D$6/100</f>
        <v>8.7750000000000009E-2</v>
      </c>
      <c r="W12" s="24">
        <f>Assumption!$D$82*Assumption!$D$6/100</f>
        <v>8.7750000000000009E-2</v>
      </c>
      <c r="X12" s="24">
        <f>Assumption!$D$82*Assumption!$D$6/100</f>
        <v>8.7750000000000009E-2</v>
      </c>
      <c r="Y12" s="24">
        <f>Assumption!$D$82*Assumption!$D$6/100</f>
        <v>8.7750000000000009E-2</v>
      </c>
      <c r="Z12" s="24">
        <f>Assumption!$D$82*Assumption!$D$6/100</f>
        <v>8.7750000000000009E-2</v>
      </c>
    </row>
    <row r="13" spans="1:250">
      <c r="A13" s="29" t="s">
        <v>17</v>
      </c>
      <c r="B13" s="24">
        <f ca="1">'term loan '!$C$27*Tax!B45*depre!B4/depre!B3</f>
        <v>354.40780510829109</v>
      </c>
      <c r="C13" s="24">
        <f ca="1">'term loan '!$C$27*Tax!C45*depre!C4/depre!C3</f>
        <v>355.38145292452265</v>
      </c>
      <c r="D13" s="24">
        <f ca="1">'term loan '!$C$27*Tax!D45*depre!D4/depre!D3</f>
        <v>355.38145292452265</v>
      </c>
      <c r="E13" s="24">
        <f ca="1">'term loan '!$C$27*Tax!E45*depre!E4/depre!E3</f>
        <v>355.38145292452265</v>
      </c>
      <c r="F13" s="24">
        <f ca="1">'term loan '!$C$27*Tax!F45*depre!F4/depre!F3</f>
        <v>355.38145292452265</v>
      </c>
      <c r="G13" s="24">
        <f ca="1">'term loan '!$C$27*Tax!G45*depre!G4/depre!G3</f>
        <v>355.38145292452265</v>
      </c>
      <c r="H13" s="24">
        <f ca="1">'term loan '!$C$27*Tax!H45*depre!H4/depre!H3</f>
        <v>355.38145292452265</v>
      </c>
      <c r="I13" s="24">
        <f ca="1">'term loan '!$C$27*Tax!I45*depre!I4/depre!I3</f>
        <v>355.38145292452265</v>
      </c>
      <c r="J13" s="24">
        <f ca="1">'term loan '!$C$27*Tax!J45*depre!J4/depre!J3</f>
        <v>355.38145292452265</v>
      </c>
      <c r="K13" s="24">
        <f ca="1">'term loan '!$C$27*Tax!K45*depre!K4/depre!K3</f>
        <v>355.38145292452265</v>
      </c>
      <c r="L13" s="24">
        <f ca="1">'term loan '!$C$27*Tax!L45*depre!L4/depre!L3</f>
        <v>355.38145292452265</v>
      </c>
      <c r="M13" s="24">
        <f ca="1">'term loan '!$C$27*Tax!M45*depre!M4/depre!M3</f>
        <v>355.38145292452265</v>
      </c>
      <c r="N13" s="24">
        <f ca="1">'term loan '!$C$27*Tax!N45*depre!N4/depre!N3</f>
        <v>355.38145292452265</v>
      </c>
      <c r="O13" s="24">
        <f ca="1">'term loan '!$C$27*Tax!O45*depre!O4/depre!O3</f>
        <v>355.38145292452265</v>
      </c>
      <c r="P13" s="24">
        <f ca="1">'term loan '!$C$27*Tax!P45*depre!P4/depre!P3</f>
        <v>355.38145292452265</v>
      </c>
      <c r="Q13" s="24">
        <f ca="1">'term loan '!$C$27*Tax!Q45*depre!Q4/depre!Q3</f>
        <v>355.38145292452265</v>
      </c>
      <c r="R13" s="24">
        <f ca="1">'term loan '!$C$27*Tax!R45*depre!R4/depre!R3</f>
        <v>355.38145292452265</v>
      </c>
      <c r="S13" s="24">
        <f ca="1">'term loan '!$C$27*Tax!S45*depre!S4/depre!S3</f>
        <v>446.87831389183458</v>
      </c>
      <c r="T13" s="24">
        <f ca="1">'term loan '!$C$27*Tax!T45*depre!T4/depre!T3</f>
        <v>446.87831389183458</v>
      </c>
      <c r="U13" s="24">
        <f ca="1">'term loan '!$C$27*Tax!U45*depre!U4/depre!U3</f>
        <v>446.87831389183458</v>
      </c>
      <c r="V13" s="24">
        <f ca="1">'term loan '!$C$27*Tax!V45*depre!V4/depre!V3</f>
        <v>446.87831389183458</v>
      </c>
      <c r="W13" s="24">
        <f ca="1">'term loan '!$C$27*Tax!W45*depre!W4/depre!W3</f>
        <v>446.87831389183458</v>
      </c>
      <c r="X13" s="24">
        <f ca="1">'term loan '!$C$27*Tax!X45*depre!X4/depre!X3</f>
        <v>446.87831389183458</v>
      </c>
      <c r="Y13" s="24">
        <f ca="1">'term loan '!$C$27*Tax!Y45*depre!Y4/depre!Y3</f>
        <v>446.87831389183458</v>
      </c>
      <c r="Z13" s="24">
        <f ca="1">'term loan '!$C$27*Tax!Z45*depre!Z4/depre!Z3</f>
        <v>446.87831389183458</v>
      </c>
    </row>
    <row r="14" spans="1:250">
      <c r="A14" s="29" t="s">
        <v>209</v>
      </c>
      <c r="B14" s="44">
        <v>0</v>
      </c>
      <c r="C14" s="44">
        <v>0</v>
      </c>
      <c r="D14" s="44">
        <v>0</v>
      </c>
      <c r="E14" s="44">
        <v>0</v>
      </c>
      <c r="F14" s="44">
        <v>0</v>
      </c>
      <c r="G14" s="44">
        <v>0</v>
      </c>
      <c r="H14" s="44">
        <v>0</v>
      </c>
      <c r="I14" s="44">
        <v>0</v>
      </c>
      <c r="J14" s="44">
        <v>0</v>
      </c>
      <c r="K14" s="44">
        <v>0</v>
      </c>
      <c r="L14" s="44">
        <v>0</v>
      </c>
      <c r="M14" s="44">
        <v>0</v>
      </c>
      <c r="N14" s="44">
        <v>0</v>
      </c>
      <c r="O14" s="44">
        <v>0</v>
      </c>
      <c r="P14" s="44">
        <v>0</v>
      </c>
      <c r="Q14" s="44">
        <v>0</v>
      </c>
      <c r="R14" s="44">
        <v>0</v>
      </c>
      <c r="S14" s="44">
        <v>0</v>
      </c>
      <c r="T14" s="44">
        <v>0</v>
      </c>
      <c r="U14" s="44">
        <v>0</v>
      </c>
      <c r="V14" s="44">
        <v>0</v>
      </c>
      <c r="W14" s="44">
        <v>0</v>
      </c>
      <c r="X14" s="44">
        <v>0</v>
      </c>
      <c r="Y14" s="44">
        <v>0</v>
      </c>
      <c r="Z14" s="24">
        <f>-Assumption!$D$10*Assumption!$D$36</f>
        <v>-634.375</v>
      </c>
    </row>
    <row r="15" spans="1:250">
      <c r="A15" s="29" t="s">
        <v>62</v>
      </c>
      <c r="B15" s="24">
        <f ca="1">B45</f>
        <v>88.912900545584463</v>
      </c>
      <c r="C15" s="24">
        <f t="shared" ref="C15:Z15" ca="1" si="1">C45</f>
        <v>89.853777397784597</v>
      </c>
      <c r="D15" s="24">
        <f t="shared" ca="1" si="1"/>
        <v>90.766799874989772</v>
      </c>
      <c r="E15" s="24">
        <f t="shared" ca="1" si="1"/>
        <v>88.401895046963034</v>
      </c>
      <c r="F15" s="24">
        <f t="shared" ca="1" si="1"/>
        <v>89.074313613547744</v>
      </c>
      <c r="G15" s="24">
        <f t="shared" ca="1" si="1"/>
        <v>89.831117832638355</v>
      </c>
      <c r="H15" s="24">
        <f t="shared" ca="1" si="1"/>
        <v>91.058054943242269</v>
      </c>
      <c r="I15" s="24">
        <f t="shared" ca="1" si="1"/>
        <v>91.617466761983849</v>
      </c>
      <c r="J15" s="24">
        <f t="shared" ca="1" si="1"/>
        <v>92.657509272656682</v>
      </c>
      <c r="K15" s="24">
        <f t="shared" ca="1" si="1"/>
        <v>93.802965525437259</v>
      </c>
      <c r="L15" s="24">
        <f t="shared" ca="1" si="1"/>
        <v>95.444616175039329</v>
      </c>
      <c r="M15" s="24">
        <f t="shared" ca="1" si="1"/>
        <v>96.434987302051766</v>
      </c>
      <c r="N15" s="24">
        <f t="shared" ca="1" si="1"/>
        <v>94.087403915857635</v>
      </c>
      <c r="O15" s="24">
        <f t="shared" ca="1" si="1"/>
        <v>96.209448813445917</v>
      </c>
      <c r="P15" s="24">
        <f t="shared" ca="1" si="1"/>
        <v>98.859135086208127</v>
      </c>
      <c r="Q15" s="24">
        <f t="shared" ca="1" si="1"/>
        <v>100.9972913080328</v>
      </c>
      <c r="R15" s="24">
        <f t="shared" ca="1" si="1"/>
        <v>103.83481456481292</v>
      </c>
      <c r="S15" s="24">
        <f t="shared" ca="1" si="1"/>
        <v>108.70271274007271</v>
      </c>
      <c r="T15" s="24">
        <f t="shared" ca="1" si="1"/>
        <v>112.3422772001434</v>
      </c>
      <c r="U15" s="24">
        <f t="shared" ca="1" si="1"/>
        <v>115.31496269288543</v>
      </c>
      <c r="V15" s="24">
        <f t="shared" ca="1" si="1"/>
        <v>118.90819124566586</v>
      </c>
      <c r="W15" s="24">
        <f t="shared" ca="1" si="1"/>
        <v>122.70609723146136</v>
      </c>
      <c r="X15" s="24">
        <f t="shared" ca="1" si="1"/>
        <v>127.18798125078908</v>
      </c>
      <c r="Y15" s="24">
        <f t="shared" ca="1" si="1"/>
        <v>130.9660560109354</v>
      </c>
      <c r="Z15" s="24">
        <f t="shared" ca="1" si="1"/>
        <v>122.78234801940036</v>
      </c>
    </row>
    <row r="16" spans="1:250">
      <c r="A16" s="29" t="s">
        <v>20</v>
      </c>
      <c r="B16" s="24">
        <f ca="1">SUM(B9:B15)</f>
        <v>1692.4022232969608</v>
      </c>
      <c r="C16" s="24">
        <f t="shared" ref="C16:P16" ca="1" si="2">SUM(C9:C15)</f>
        <v>1680.7599068702523</v>
      </c>
      <c r="D16" s="33">
        <f t="shared" ca="1" si="2"/>
        <v>1667.1386289877753</v>
      </c>
      <c r="E16" s="33">
        <f t="shared" ca="1" si="2"/>
        <v>1649.2695168441739</v>
      </c>
      <c r="F16" s="33">
        <f t="shared" ca="1" si="2"/>
        <v>1637.1026941749337</v>
      </c>
      <c r="G16" s="33">
        <f t="shared" ca="1" si="2"/>
        <v>1626.5849493595101</v>
      </c>
      <c r="H16" s="33">
        <f t="shared" ca="1" si="2"/>
        <v>1618.9359796761632</v>
      </c>
      <c r="I16" s="33">
        <f t="shared" ca="1" si="2"/>
        <v>1610.8793978219526</v>
      </c>
      <c r="J16" s="33">
        <f t="shared" ca="1" si="2"/>
        <v>1605.8967407866301</v>
      </c>
      <c r="K16" s="33">
        <f t="shared" ca="1" si="2"/>
        <v>1602.9740958793848</v>
      </c>
      <c r="L16" s="33">
        <f t="shared" ca="1" si="2"/>
        <v>1602.9382642361636</v>
      </c>
      <c r="M16" s="33">
        <f t="shared" ca="1" si="2"/>
        <v>1603.8075677377478</v>
      </c>
      <c r="N16" s="33">
        <f t="shared" ca="1" si="2"/>
        <v>1411.363989846689</v>
      </c>
      <c r="O16" s="33">
        <f t="shared" ca="1" si="2"/>
        <v>1443.0059186265269</v>
      </c>
      <c r="P16" s="24">
        <f t="shared" ca="1" si="2"/>
        <v>1477.7886983479393</v>
      </c>
      <c r="Q16" s="24">
        <f t="shared" ref="Q16:Z16" ca="1" si="3">SUM(Q9:Q15)</f>
        <v>1520.6400867623472</v>
      </c>
      <c r="R16" s="24">
        <f t="shared" ca="1" si="3"/>
        <v>1574.8849214956037</v>
      </c>
      <c r="S16" s="24">
        <f t="shared" ca="1" si="3"/>
        <v>1727.6232971939091</v>
      </c>
      <c r="T16" s="24">
        <f t="shared" ca="1" si="3"/>
        <v>1790.8610490767016</v>
      </c>
      <c r="U16" s="24">
        <f t="shared" ca="1" si="3"/>
        <v>1856.840938312745</v>
      </c>
      <c r="V16" s="24">
        <f t="shared" ca="1" si="3"/>
        <v>1927.0858826629435</v>
      </c>
      <c r="W16" s="24">
        <f t="shared" ca="1" si="3"/>
        <v>2001.3051659897696</v>
      </c>
      <c r="X16" s="24">
        <f t="shared" ca="1" si="3"/>
        <v>2080.2365301340351</v>
      </c>
      <c r="Y16" s="24">
        <f t="shared" ca="1" si="3"/>
        <v>2162.722595282265</v>
      </c>
      <c r="Z16" s="24">
        <f t="shared" ca="1" si="3"/>
        <v>1603.3739747290126</v>
      </c>
    </row>
    <row r="17" spans="1:26">
      <c r="B17" s="50"/>
      <c r="C17" s="50"/>
      <c r="D17" s="51"/>
      <c r="E17" s="51"/>
      <c r="F17" s="51"/>
      <c r="G17" s="51"/>
      <c r="H17" s="51"/>
      <c r="I17" s="51"/>
      <c r="J17" s="51"/>
      <c r="K17" s="51"/>
      <c r="L17" s="51"/>
      <c r="M17" s="51"/>
      <c r="N17" s="51"/>
      <c r="O17" s="51"/>
    </row>
    <row r="18" spans="1:26">
      <c r="A18" s="29" t="s">
        <v>92</v>
      </c>
      <c r="B18" s="52">
        <f>Assumption!$D$49</f>
        <v>0.85</v>
      </c>
      <c r="C18" s="52">
        <f>Assumption!$D$49</f>
        <v>0.85</v>
      </c>
      <c r="D18" s="52">
        <f>Assumption!$D$49</f>
        <v>0.85</v>
      </c>
      <c r="E18" s="52">
        <f>Assumption!$D$49</f>
        <v>0.85</v>
      </c>
      <c r="F18" s="52">
        <f>Assumption!$D$49</f>
        <v>0.85</v>
      </c>
      <c r="G18" s="52">
        <f>Assumption!$D$49</f>
        <v>0.85</v>
      </c>
      <c r="H18" s="52">
        <f>Assumption!$D$49</f>
        <v>0.85</v>
      </c>
      <c r="I18" s="52">
        <f>Assumption!$D$49</f>
        <v>0.85</v>
      </c>
      <c r="J18" s="52">
        <f>Assumption!$D$49</f>
        <v>0.85</v>
      </c>
      <c r="K18" s="52">
        <f>Assumption!$D$49</f>
        <v>0.85</v>
      </c>
      <c r="L18" s="52">
        <f>Assumption!$D$49</f>
        <v>0.85</v>
      </c>
      <c r="M18" s="52">
        <f>Assumption!$D$49</f>
        <v>0.85</v>
      </c>
      <c r="N18" s="52">
        <f>Assumption!$D$49</f>
        <v>0.85</v>
      </c>
      <c r="O18" s="52">
        <f>Assumption!$D$49</f>
        <v>0.85</v>
      </c>
      <c r="P18" s="52">
        <f>Assumption!$D$49</f>
        <v>0.85</v>
      </c>
      <c r="Q18" s="52">
        <f>Assumption!$D$49</f>
        <v>0.85</v>
      </c>
      <c r="R18" s="52">
        <f>Assumption!$D$49</f>
        <v>0.85</v>
      </c>
      <c r="S18" s="52">
        <f>Assumption!$D$49</f>
        <v>0.85</v>
      </c>
      <c r="T18" s="52">
        <f>Assumption!$D$49</f>
        <v>0.85</v>
      </c>
      <c r="U18" s="52">
        <f>Assumption!$D$49</f>
        <v>0.85</v>
      </c>
      <c r="V18" s="52">
        <f>Assumption!$D$49</f>
        <v>0.85</v>
      </c>
      <c r="W18" s="52">
        <f>Assumption!$D$49</f>
        <v>0.85</v>
      </c>
      <c r="X18" s="52">
        <f>Assumption!$D$49</f>
        <v>0.85</v>
      </c>
      <c r="Y18" s="52">
        <f>Assumption!$D$49</f>
        <v>0.85</v>
      </c>
      <c r="Z18" s="52">
        <f>Assumption!$D$49</f>
        <v>0.85</v>
      </c>
    </row>
    <row r="20" spans="1:26">
      <c r="A20" s="29" t="s">
        <v>47</v>
      </c>
      <c r="B20" s="24">
        <f ca="1">B16</f>
        <v>1692.4022232969608</v>
      </c>
      <c r="C20" s="24">
        <f t="shared" ref="C20:P20" ca="1" si="4">C16</f>
        <v>1680.7599068702523</v>
      </c>
      <c r="D20" s="24">
        <f t="shared" ca="1" si="4"/>
        <v>1667.1386289877753</v>
      </c>
      <c r="E20" s="24">
        <f t="shared" ca="1" si="4"/>
        <v>1649.2695168441739</v>
      </c>
      <c r="F20" s="24">
        <f t="shared" ca="1" si="4"/>
        <v>1637.1026941749337</v>
      </c>
      <c r="G20" s="24">
        <f t="shared" ca="1" si="4"/>
        <v>1626.5849493595101</v>
      </c>
      <c r="H20" s="24">
        <f t="shared" ca="1" si="4"/>
        <v>1618.9359796761632</v>
      </c>
      <c r="I20" s="24">
        <f t="shared" ca="1" si="4"/>
        <v>1610.8793978219526</v>
      </c>
      <c r="J20" s="24">
        <f t="shared" ca="1" si="4"/>
        <v>1605.8967407866301</v>
      </c>
      <c r="K20" s="24">
        <f t="shared" ca="1" si="4"/>
        <v>1602.9740958793848</v>
      </c>
      <c r="L20" s="24">
        <f t="shared" ca="1" si="4"/>
        <v>1602.9382642361636</v>
      </c>
      <c r="M20" s="24">
        <f t="shared" ca="1" si="4"/>
        <v>1603.8075677377478</v>
      </c>
      <c r="N20" s="24">
        <f t="shared" ca="1" si="4"/>
        <v>1411.363989846689</v>
      </c>
      <c r="O20" s="24">
        <f t="shared" ca="1" si="4"/>
        <v>1443.0059186265269</v>
      </c>
      <c r="P20" s="24">
        <f t="shared" ca="1" si="4"/>
        <v>1477.7886983479393</v>
      </c>
      <c r="Q20" s="24">
        <f t="shared" ref="Q20:Z20" ca="1" si="5">Q16</f>
        <v>1520.6400867623472</v>
      </c>
      <c r="R20" s="24">
        <f t="shared" ca="1" si="5"/>
        <v>1574.8849214956037</v>
      </c>
      <c r="S20" s="24">
        <f t="shared" ca="1" si="5"/>
        <v>1727.6232971939091</v>
      </c>
      <c r="T20" s="24">
        <f t="shared" ca="1" si="5"/>
        <v>1790.8610490767016</v>
      </c>
      <c r="U20" s="24">
        <f t="shared" ca="1" si="5"/>
        <v>1856.840938312745</v>
      </c>
      <c r="V20" s="24">
        <f t="shared" ca="1" si="5"/>
        <v>1927.0858826629435</v>
      </c>
      <c r="W20" s="24">
        <f t="shared" ca="1" si="5"/>
        <v>2001.3051659897696</v>
      </c>
      <c r="X20" s="24">
        <f t="shared" ca="1" si="5"/>
        <v>2080.2365301340351</v>
      </c>
      <c r="Y20" s="24">
        <f t="shared" ca="1" si="5"/>
        <v>2162.722595282265</v>
      </c>
      <c r="Z20" s="24">
        <f t="shared" ca="1" si="5"/>
        <v>1603.3739747290126</v>
      </c>
    </row>
    <row r="21" spans="1:26" s="47" customFormat="1">
      <c r="A21" s="44" t="s">
        <v>65</v>
      </c>
      <c r="B21" s="44">
        <f ca="1">B20/fuel!B71</f>
        <v>1.8758398520976489</v>
      </c>
      <c r="C21" s="44">
        <f ca="1">C20/fuel!C71</f>
        <v>1.8578317044534112</v>
      </c>
      <c r="D21" s="44">
        <f ca="1">D20/fuel!D71</f>
        <v>1.8377404891750713</v>
      </c>
      <c r="E21" s="44">
        <f ca="1">E20/fuel!E71</f>
        <v>1.9369627149738029</v>
      </c>
      <c r="F21" s="44">
        <f ca="1">F20/fuel!F71</f>
        <v>1.922673551420286</v>
      </c>
      <c r="G21" s="44">
        <f ca="1">G20/fuel!G71</f>
        <v>1.9103211254856416</v>
      </c>
      <c r="H21" s="44">
        <f ca="1">H20/fuel!H71</f>
        <v>1.8961429821853464</v>
      </c>
      <c r="I21" s="44">
        <f ca="1">I20/fuel!I71</f>
        <v>1.8918759487357806</v>
      </c>
      <c r="J21" s="44">
        <f ca="1">J20/fuel!J71</f>
        <v>1.8860241332499836</v>
      </c>
      <c r="K21" s="44">
        <f ca="1">K20/fuel!K71</f>
        <v>1.8825916716925335</v>
      </c>
      <c r="L21" s="44">
        <f ca="1">L20/fuel!L71</f>
        <v>1.8774060115803561</v>
      </c>
      <c r="M21" s="44">
        <f ca="1">M20/fuel!M71</f>
        <v>1.8835705316648672</v>
      </c>
      <c r="N21" s="44">
        <f ca="1">N20/fuel!N71</f>
        <v>1.6575577233857239</v>
      </c>
      <c r="O21" s="44">
        <f ca="1">O20/fuel!O71</f>
        <v>1.6947191670736406</v>
      </c>
      <c r="P21" s="44">
        <f ca="1">P20/fuel!P71</f>
        <v>1.730827348766298</v>
      </c>
      <c r="Q21" s="44">
        <f ca="1">Q20/fuel!Q71</f>
        <v>1.7858955864225097</v>
      </c>
      <c r="R21" s="44">
        <f ca="1">R20/fuel!R71</f>
        <v>1.8496027132960378</v>
      </c>
      <c r="S21" s="44">
        <f ca="1">S20/fuel!S71</f>
        <v>2.0289842733453467</v>
      </c>
      <c r="T21" s="44">
        <f ca="1">T20/fuel!T71</f>
        <v>2.0975064195899362</v>
      </c>
      <c r="U21" s="44">
        <f ca="1">U20/fuel!U71</f>
        <v>2.1807422185494589</v>
      </c>
      <c r="V21" s="44">
        <f ca="1">V20/fuel!V71</f>
        <v>2.2632404620033819</v>
      </c>
      <c r="W21" s="44">
        <f ca="1">W20/fuel!W71</f>
        <v>2.350406315169224</v>
      </c>
      <c r="X21" s="44">
        <f ca="1">X20/fuel!X71</f>
        <v>2.4364310555926076</v>
      </c>
      <c r="Y21" s="44">
        <f ca="1">Y20/fuel!Y71</f>
        <v>2.5399808746291894</v>
      </c>
      <c r="Z21" s="44">
        <f ca="1">Z20/fuel!Z71</f>
        <v>1.8830613041051409</v>
      </c>
    </row>
    <row r="22" spans="1:26">
      <c r="B22" s="53"/>
      <c r="C22" s="53"/>
      <c r="D22" s="53"/>
      <c r="E22" s="53"/>
      <c r="F22" s="53"/>
      <c r="G22" s="53"/>
      <c r="H22" s="53"/>
      <c r="I22" s="53"/>
      <c r="J22" s="53"/>
      <c r="K22" s="53"/>
      <c r="L22" s="53"/>
      <c r="M22" s="53"/>
      <c r="N22" s="53"/>
      <c r="O22" s="53"/>
      <c r="P22" s="53"/>
    </row>
    <row r="23" spans="1:26">
      <c r="B23" s="53"/>
      <c r="C23" s="53"/>
      <c r="D23" s="53"/>
      <c r="E23" s="53"/>
      <c r="F23" s="53"/>
      <c r="G23" s="53"/>
      <c r="H23" s="53"/>
      <c r="I23" s="53"/>
      <c r="J23" s="53"/>
      <c r="K23" s="53"/>
      <c r="L23" s="53"/>
      <c r="M23" s="53"/>
      <c r="N23" s="53"/>
      <c r="O23" s="53"/>
      <c r="P23" s="53"/>
    </row>
    <row r="24" spans="1:26">
      <c r="A24" s="29" t="s">
        <v>282</v>
      </c>
      <c r="B24" s="24">
        <f t="shared" ref="B24:Z24" ca="1" si="6">B21+B6</f>
        <v>3.2467978011558252</v>
      </c>
      <c r="C24" s="24">
        <f t="shared" ca="1" si="6"/>
        <v>3.2287896535115879</v>
      </c>
      <c r="D24" s="24">
        <f t="shared" ca="1" si="6"/>
        <v>3.208698438233248</v>
      </c>
      <c r="E24" s="24">
        <f t="shared" ca="1" si="6"/>
        <v>3.3079206640319798</v>
      </c>
      <c r="F24" s="24">
        <f t="shared" ca="1" si="6"/>
        <v>3.2936315004784626</v>
      </c>
      <c r="G24" s="24">
        <f t="shared" ca="1" si="6"/>
        <v>3.2812790745438183</v>
      </c>
      <c r="H24" s="24">
        <f t="shared" ca="1" si="6"/>
        <v>3.2671009312435233</v>
      </c>
      <c r="I24" s="24">
        <f t="shared" ca="1" si="6"/>
        <v>3.262833897793957</v>
      </c>
      <c r="J24" s="24">
        <f t="shared" ca="1" si="6"/>
        <v>3.2569820823081601</v>
      </c>
      <c r="K24" s="24">
        <f t="shared" ca="1" si="6"/>
        <v>3.25354962075071</v>
      </c>
      <c r="L24" s="24">
        <f t="shared" ca="1" si="6"/>
        <v>3.2483639606385326</v>
      </c>
      <c r="M24" s="24">
        <f t="shared" ca="1" si="6"/>
        <v>3.2545284807230441</v>
      </c>
      <c r="N24" s="24">
        <f t="shared" ca="1" si="6"/>
        <v>3.0285156724439006</v>
      </c>
      <c r="O24" s="24">
        <f t="shared" ca="1" si="6"/>
        <v>3.065677116131817</v>
      </c>
      <c r="P24" s="24">
        <f t="shared" ca="1" si="6"/>
        <v>3.1017852978244749</v>
      </c>
      <c r="Q24" s="24">
        <f t="shared" ca="1" si="6"/>
        <v>3.1568535354806864</v>
      </c>
      <c r="R24" s="24">
        <f t="shared" ca="1" si="6"/>
        <v>3.2205606623542145</v>
      </c>
      <c r="S24" s="24">
        <f t="shared" ca="1" si="6"/>
        <v>3.3999422224035234</v>
      </c>
      <c r="T24" s="24">
        <f t="shared" ca="1" si="6"/>
        <v>3.4684643686481129</v>
      </c>
      <c r="U24" s="24">
        <f t="shared" ca="1" si="6"/>
        <v>3.5517001676076356</v>
      </c>
      <c r="V24" s="24">
        <f t="shared" ca="1" si="6"/>
        <v>3.6341984110615586</v>
      </c>
      <c r="W24" s="24">
        <f t="shared" ca="1" si="6"/>
        <v>3.7213642642274007</v>
      </c>
      <c r="X24" s="24">
        <f t="shared" ca="1" si="6"/>
        <v>3.8073890046507843</v>
      </c>
      <c r="Y24" s="24">
        <f t="shared" ca="1" si="6"/>
        <v>3.9109388236873661</v>
      </c>
      <c r="Z24" s="24">
        <f t="shared" ca="1" si="6"/>
        <v>3.2540192531633174</v>
      </c>
    </row>
    <row r="25" spans="1:26">
      <c r="B25" s="53"/>
      <c r="C25" s="53"/>
      <c r="D25" s="53"/>
      <c r="E25" s="53"/>
      <c r="F25" s="53"/>
      <c r="G25" s="53"/>
      <c r="H25" s="53"/>
      <c r="I25" s="53"/>
      <c r="J25" s="53"/>
      <c r="K25" s="53"/>
      <c r="L25" s="53"/>
      <c r="M25" s="53"/>
      <c r="N25" s="53"/>
      <c r="O25" s="53"/>
      <c r="P25" s="53"/>
    </row>
    <row r="26" spans="1:26">
      <c r="A26" s="25" t="s">
        <v>48</v>
      </c>
      <c r="B26" s="53"/>
      <c r="C26" s="53"/>
      <c r="D26" s="53"/>
      <c r="E26" s="53"/>
      <c r="F26" s="53"/>
      <c r="G26" s="53"/>
      <c r="H26" s="53"/>
      <c r="I26" s="53"/>
      <c r="J26" s="53"/>
      <c r="K26" s="53"/>
      <c r="L26" s="53"/>
      <c r="M26" s="53"/>
      <c r="N26" s="53"/>
      <c r="O26" s="53"/>
      <c r="P26" s="53"/>
    </row>
    <row r="27" spans="1:26">
      <c r="A27" s="25" t="s">
        <v>13</v>
      </c>
      <c r="B27" s="53"/>
      <c r="C27" s="53"/>
      <c r="D27" s="53"/>
      <c r="E27" s="53"/>
      <c r="F27" s="53"/>
      <c r="G27" s="53"/>
      <c r="H27" s="53"/>
      <c r="I27" s="53"/>
      <c r="J27" s="53"/>
      <c r="K27" s="53"/>
      <c r="L27" s="53"/>
      <c r="M27" s="53"/>
      <c r="N27" s="53"/>
      <c r="O27" s="53"/>
      <c r="P27" s="53"/>
    </row>
    <row r="28" spans="1:26" s="47" customFormat="1">
      <c r="A28" s="44" t="s">
        <v>44</v>
      </c>
      <c r="B28" s="44">
        <v>1</v>
      </c>
      <c r="C28" s="44">
        <f>B28/Assumption!$D$61</f>
        <v>0.90752336872674466</v>
      </c>
      <c r="D28" s="44">
        <f>C28/Assumption!$D$61</f>
        <v>0.82359866478513888</v>
      </c>
      <c r="E28" s="44">
        <f>D28/Assumption!$D$61</f>
        <v>0.74743503474465811</v>
      </c>
      <c r="F28" s="44">
        <f>E28/Assumption!$D$61</f>
        <v>0.6783147606358636</v>
      </c>
      <c r="G28" s="44">
        <f>F28/Assumption!$D$61</f>
        <v>0.6155864966293344</v>
      </c>
      <c r="H28" s="44">
        <f>G28/Assumption!$D$61</f>
        <v>0.55865913116374843</v>
      </c>
      <c r="I28" s="44">
        <f>H28/Assumption!$D$61</f>
        <v>0.50699621668368122</v>
      </c>
      <c r="J28" s="44">
        <f>I28/Assumption!$D$61</f>
        <v>0.46011091449648894</v>
      </c>
      <c r="K28" s="44">
        <f>J28/Assumption!$D$61</f>
        <v>0.41756140711179679</v>
      </c>
      <c r="L28" s="44">
        <f>K28/Assumption!$D$61</f>
        <v>0.37894673483237751</v>
      </c>
      <c r="M28" s="44">
        <f>L28/Assumption!$D$61</f>
        <v>0.34390301736307965</v>
      </c>
      <c r="N28" s="44">
        <f>M28/Assumption!$D$61</f>
        <v>0.31210002483263422</v>
      </c>
      <c r="O28" s="44">
        <f>N28/Assumption!$D$61</f>
        <v>0.28323806591581285</v>
      </c>
      <c r="P28" s="44">
        <f>O28/Assumption!$D$61</f>
        <v>0.25704516373156622</v>
      </c>
      <c r="Q28" s="44">
        <f>P28/Assumption!$D$61</f>
        <v>0.23327449290458863</v>
      </c>
      <c r="R28" s="44">
        <f>Q28/Assumption!$D$61</f>
        <v>0.21170205363879535</v>
      </c>
      <c r="S28" s="44">
        <f>R28/Assumption!$D$61</f>
        <v>0.19212456088464955</v>
      </c>
      <c r="T28" s="44">
        <f>S28/Assumption!$D$61</f>
        <v>0.17435752870918372</v>
      </c>
      <c r="U28" s="44">
        <f>T28/Assumption!$D$61</f>
        <v>0.15823353181702851</v>
      </c>
      <c r="V28" s="44">
        <f>U28/Assumption!$D$61</f>
        <v>0.14360062784012023</v>
      </c>
      <c r="W28" s="44">
        <f>V28/Assumption!$D$61</f>
        <v>0.13032092552874147</v>
      </c>
      <c r="X28" s="44">
        <f>W28/Assumption!$D$61</f>
        <v>0.11826928535143068</v>
      </c>
      <c r="Y28" s="44">
        <f>X28/Assumption!$D$61</f>
        <v>0.10733214025903499</v>
      </c>
      <c r="Z28" s="44">
        <f>Y28/Assumption!$D$61</f>
        <v>9.7406425500530885E-2</v>
      </c>
    </row>
    <row r="29" spans="1:26" s="47" customFormat="1">
      <c r="A29" s="44" t="s">
        <v>35</v>
      </c>
      <c r="B29" s="44">
        <f t="shared" ref="B29:P29" ca="1" si="7">B21*B28</f>
        <v>1.8758398520976489</v>
      </c>
      <c r="C29" s="44">
        <f t="shared" ca="1" si="7"/>
        <v>1.6860256869529096</v>
      </c>
      <c r="D29" s="44">
        <f t="shared" ca="1" si="7"/>
        <v>1.5135606131061767</v>
      </c>
      <c r="E29" s="44">
        <f t="shared" ca="1" si="7"/>
        <v>1.4477537941655516</v>
      </c>
      <c r="F29" s="44">
        <f t="shared" ca="1" si="7"/>
        <v>1.3041778498125571</v>
      </c>
      <c r="G29" s="44">
        <f t="shared" ca="1" si="7"/>
        <v>1.1759678890747132</v>
      </c>
      <c r="H29" s="44">
        <f t="shared" ca="1" si="7"/>
        <v>1.0592975909899045</v>
      </c>
      <c r="I29" s="44">
        <f t="shared" ca="1" si="7"/>
        <v>0.95917394844389081</v>
      </c>
      <c r="J29" s="44">
        <f t="shared" ca="1" si="7"/>
        <v>0.86778028871209789</v>
      </c>
      <c r="K29" s="44">
        <f t="shared" ca="1" si="7"/>
        <v>0.78609762744888412</v>
      </c>
      <c r="L29" s="44">
        <f t="shared" ca="1" si="7"/>
        <v>0.71143687804305267</v>
      </c>
      <c r="M29" s="44">
        <f t="shared" ca="1" si="7"/>
        <v>0.64776558925572802</v>
      </c>
      <c r="N29" s="44">
        <f t="shared" ca="1" si="7"/>
        <v>0.51732380663020905</v>
      </c>
      <c r="O29" s="44">
        <f t="shared" ca="1" si="7"/>
        <v>0.48000897915239527</v>
      </c>
      <c r="P29" s="44">
        <f t="shared" ca="1" si="7"/>
        <v>0.44490079925470571</v>
      </c>
      <c r="Q29" s="44">
        <f t="shared" ref="Q29:Z29" ca="1" si="8">Q21*Q28</f>
        <v>0.41660388730325387</v>
      </c>
      <c r="R29" s="44">
        <f t="shared" ca="1" si="8"/>
        <v>0.3915646928206592</v>
      </c>
      <c r="S29" s="44">
        <f t="shared" ca="1" si="8"/>
        <v>0.38981771255833447</v>
      </c>
      <c r="T29" s="44">
        <f t="shared" ca="1" si="8"/>
        <v>0.36571603577134948</v>
      </c>
      <c r="U29" s="44">
        <f t="shared" ca="1" si="8"/>
        <v>0.34506654322358316</v>
      </c>
      <c r="V29" s="44">
        <f t="shared" ca="1" si="8"/>
        <v>0.32500275129684941</v>
      </c>
      <c r="W29" s="44">
        <f t="shared" ca="1" si="8"/>
        <v>0.30630712636145208</v>
      </c>
      <c r="X29" s="44">
        <f t="shared" ca="1" si="8"/>
        <v>0.28815495975296956</v>
      </c>
      <c r="Y29" s="44">
        <f t="shared" ca="1" si="8"/>
        <v>0.27262158349096655</v>
      </c>
      <c r="Z29" s="44">
        <f t="shared" ca="1" si="8"/>
        <v>0.18342227063124994</v>
      </c>
    </row>
    <row r="30" spans="1:26">
      <c r="A30" s="29" t="s">
        <v>67</v>
      </c>
      <c r="B30" s="24">
        <f ca="1">SUM(B29:Z29)/SUM(B28:Z28)</f>
        <v>1.9032331941245173</v>
      </c>
      <c r="C30" s="156" t="s">
        <v>66</v>
      </c>
      <c r="D30" s="156"/>
      <c r="E30" s="53"/>
      <c r="F30" s="53"/>
      <c r="G30" s="53"/>
      <c r="H30" s="53"/>
      <c r="I30" s="53"/>
      <c r="J30" s="53"/>
      <c r="K30" s="53"/>
      <c r="L30" s="53"/>
      <c r="M30" s="53"/>
      <c r="N30" s="53"/>
      <c r="O30" s="53"/>
      <c r="P30" s="53"/>
    </row>
    <row r="31" spans="1:26">
      <c r="C31" s="53"/>
      <c r="D31" s="53"/>
      <c r="E31" s="53"/>
      <c r="F31" s="53"/>
      <c r="G31" s="53"/>
      <c r="H31" s="53"/>
      <c r="I31" s="53"/>
      <c r="J31" s="53"/>
      <c r="K31" s="53"/>
      <c r="L31" s="53"/>
      <c r="M31" s="53"/>
      <c r="N31" s="53"/>
      <c r="O31" s="53"/>
      <c r="P31" s="53"/>
    </row>
    <row r="32" spans="1:26">
      <c r="A32" s="25" t="s">
        <v>38</v>
      </c>
      <c r="C32" s="53"/>
      <c r="D32" s="53"/>
      <c r="E32" s="53"/>
      <c r="F32" s="53"/>
      <c r="G32" s="53"/>
      <c r="H32" s="53"/>
      <c r="I32" s="53"/>
      <c r="J32" s="53"/>
      <c r="K32" s="53"/>
      <c r="L32" s="53"/>
      <c r="M32" s="53"/>
      <c r="N32" s="53"/>
      <c r="O32" s="53"/>
      <c r="P32" s="53"/>
    </row>
    <row r="33" spans="1:26" s="47" customFormat="1">
      <c r="A33" s="44" t="s">
        <v>44</v>
      </c>
      <c r="B33" s="44">
        <v>1</v>
      </c>
      <c r="C33" s="44">
        <f>B33/Assumption!$D$61</f>
        <v>0.90752336872674466</v>
      </c>
      <c r="D33" s="44">
        <f>C33/Assumption!$D$61</f>
        <v>0.82359866478513888</v>
      </c>
      <c r="E33" s="44">
        <f>D33/Assumption!$D$61</f>
        <v>0.74743503474465811</v>
      </c>
      <c r="F33" s="44">
        <f>E33/Assumption!$D$61</f>
        <v>0.6783147606358636</v>
      </c>
      <c r="G33" s="44">
        <f>F33/Assumption!$D$61</f>
        <v>0.6155864966293344</v>
      </c>
      <c r="H33" s="44">
        <f>G33/Assumption!$D$61</f>
        <v>0.55865913116374843</v>
      </c>
      <c r="I33" s="44">
        <f>H33/Assumption!$D$61</f>
        <v>0.50699621668368122</v>
      </c>
      <c r="J33" s="44">
        <f>I33/Assumption!$D$61</f>
        <v>0.46011091449648894</v>
      </c>
      <c r="K33" s="44">
        <f>J33/Assumption!$D$61</f>
        <v>0.41756140711179679</v>
      </c>
      <c r="L33" s="44">
        <f>K33/Assumption!$D$61</f>
        <v>0.37894673483237751</v>
      </c>
      <c r="M33" s="44">
        <f>L33/Assumption!$D$61</f>
        <v>0.34390301736307965</v>
      </c>
      <c r="N33" s="44">
        <f>M33/Assumption!$D$61</f>
        <v>0.31210002483263422</v>
      </c>
      <c r="O33" s="44">
        <f>N33/Assumption!$D$61</f>
        <v>0.28323806591581285</v>
      </c>
      <c r="P33" s="44">
        <f>O33/Assumption!$D$61</f>
        <v>0.25704516373156622</v>
      </c>
      <c r="Q33" s="44">
        <f>P33/Assumption!$D$61</f>
        <v>0.23327449290458863</v>
      </c>
      <c r="R33" s="44">
        <f>Q33/Assumption!$D$61</f>
        <v>0.21170205363879535</v>
      </c>
      <c r="S33" s="44">
        <f>R33/Assumption!$D$61</f>
        <v>0.19212456088464955</v>
      </c>
      <c r="T33" s="44">
        <f>S33/Assumption!$D$61</f>
        <v>0.17435752870918372</v>
      </c>
      <c r="U33" s="44">
        <f>T33/Assumption!$D$61</f>
        <v>0.15823353181702851</v>
      </c>
      <c r="V33" s="44">
        <f>U33/Assumption!$D$61</f>
        <v>0.14360062784012023</v>
      </c>
      <c r="W33" s="44">
        <f>V33/Assumption!$D$61</f>
        <v>0.13032092552874147</v>
      </c>
      <c r="X33" s="44">
        <f>W33/Assumption!$D$61</f>
        <v>0.11826928535143068</v>
      </c>
      <c r="Y33" s="44">
        <f>X33/Assumption!$D$61</f>
        <v>0.10733214025903499</v>
      </c>
      <c r="Z33" s="44">
        <f>Y33/Assumption!$D$61</f>
        <v>9.7406425500530885E-2</v>
      </c>
    </row>
    <row r="34" spans="1:26" s="47" customFormat="1">
      <c r="A34" s="44" t="s">
        <v>35</v>
      </c>
      <c r="B34" s="44">
        <f t="shared" ref="B34:Z34" si="9">B33*B6</f>
        <v>1.370957949058176</v>
      </c>
      <c r="C34" s="44">
        <f t="shared" si="9"/>
        <v>1.2441763763119851</v>
      </c>
      <c r="D34" s="44">
        <f t="shared" si="9"/>
        <v>1.1291191363208866</v>
      </c>
      <c r="E34" s="44">
        <f t="shared" si="9"/>
        <v>1.0247020022877635</v>
      </c>
      <c r="F34" s="44">
        <f t="shared" si="9"/>
        <v>0.92994101305723165</v>
      </c>
      <c r="G34" s="44">
        <f t="shared" si="9"/>
        <v>0.84394320088686048</v>
      </c>
      <c r="H34" s="44">
        <f t="shared" si="9"/>
        <v>0.76589817668287552</v>
      </c>
      <c r="I34" s="44">
        <f t="shared" si="9"/>
        <v>0.69507049340491456</v>
      </c>
      <c r="J34" s="44">
        <f t="shared" si="9"/>
        <v>0.63079271567738859</v>
      </c>
      <c r="K34" s="44">
        <f t="shared" si="9"/>
        <v>0.57245913029983531</v>
      </c>
      <c r="L34" s="44">
        <f t="shared" si="9"/>
        <v>0.51952003838808902</v>
      </c>
      <c r="M34" s="44">
        <f t="shared" si="9"/>
        <v>0.47147657535900622</v>
      </c>
      <c r="N34" s="44">
        <f t="shared" si="9"/>
        <v>0.42787600994555425</v>
      </c>
      <c r="O34" s="44">
        <f t="shared" si="9"/>
        <v>0.38830747794314746</v>
      </c>
      <c r="P34" s="44">
        <f t="shared" si="9"/>
        <v>0.35239811048475123</v>
      </c>
      <c r="Q34" s="44">
        <f t="shared" si="9"/>
        <v>0.31980952036006099</v>
      </c>
      <c r="R34" s="44">
        <f t="shared" si="9"/>
        <v>0.290234613268047</v>
      </c>
      <c r="S34" s="44">
        <f t="shared" si="9"/>
        <v>0.26339469395412196</v>
      </c>
      <c r="T34" s="44">
        <f t="shared" si="9"/>
        <v>0.23903683996199468</v>
      </c>
      <c r="U34" s="44">
        <f t="shared" si="9"/>
        <v>0.21693151825210516</v>
      </c>
      <c r="V34" s="44">
        <f t="shared" si="9"/>
        <v>0.19687042222715775</v>
      </c>
      <c r="W34" s="44">
        <f t="shared" si="9"/>
        <v>0.17866450878224679</v>
      </c>
      <c r="X34" s="44">
        <f t="shared" si="9"/>
        <v>0.16214221688197367</v>
      </c>
      <c r="Y34" s="44">
        <f t="shared" si="9"/>
        <v>0.14714785087755117</v>
      </c>
      <c r="Z34" s="44">
        <f t="shared" si="9"/>
        <v>0.13354011332929591</v>
      </c>
    </row>
    <row r="35" spans="1:26">
      <c r="A35" s="44" t="s">
        <v>68</v>
      </c>
      <c r="B35" s="54">
        <f>SUM(B34:Z34)/SUM(B33:Z33)</f>
        <v>1.3709579490581771</v>
      </c>
      <c r="C35" s="55" t="s">
        <v>66</v>
      </c>
      <c r="D35" s="56"/>
    </row>
    <row r="36" spans="1:26">
      <c r="C36" s="53"/>
      <c r="D36" s="53"/>
      <c r="E36" s="53"/>
      <c r="F36" s="53"/>
      <c r="G36" s="53"/>
      <c r="H36" s="53"/>
      <c r="I36" s="53"/>
      <c r="J36" s="53"/>
      <c r="K36" s="53"/>
      <c r="L36" s="53"/>
      <c r="M36" s="53"/>
      <c r="N36" s="53"/>
      <c r="O36" s="53"/>
      <c r="P36" s="53"/>
    </row>
    <row r="38" spans="1:26">
      <c r="A38" s="25" t="s">
        <v>283</v>
      </c>
    </row>
    <row r="39" spans="1:26">
      <c r="A39" s="29" t="s">
        <v>171</v>
      </c>
      <c r="B39" s="24">
        <f>B11/12*Assumption!$D$72</f>
        <v>33.635095890410959</v>
      </c>
      <c r="C39" s="24">
        <f>C11/12*Assumption!$D$72</f>
        <v>35.656712999999989</v>
      </c>
      <c r="D39" s="24">
        <f>D11/12*Assumption!$D$72</f>
        <v>37.696276983599994</v>
      </c>
      <c r="E39" s="24">
        <f>E11/12*Assumption!$D$72</f>
        <v>39.852504027061912</v>
      </c>
      <c r="F39" s="24">
        <f>F11/12*Assumption!$D$72</f>
        <v>42.132067257409851</v>
      </c>
      <c r="G39" s="24">
        <f>G11/12*Assumption!$D$72</f>
        <v>44.542021504533686</v>
      </c>
      <c r="H39" s="24">
        <f>H11/12*Assumption!$D$72</f>
        <v>47.089825134593006</v>
      </c>
      <c r="I39" s="24">
        <f>I11/12*Assumption!$D$72</f>
        <v>49.783363132291726</v>
      </c>
      <c r="J39" s="24">
        <f>J11/12*Assumption!$D$72</f>
        <v>52.630971503458802</v>
      </c>
      <c r="K39" s="24">
        <f>K11/12*Assumption!$D$72</f>
        <v>55.641463073456642</v>
      </c>
      <c r="L39" s="24">
        <f>L11/12*Assumption!$D$72</f>
        <v>58.824154761258363</v>
      </c>
      <c r="M39" s="24">
        <f>M11/12*Assumption!$D$72</f>
        <v>62.18889641360235</v>
      </c>
      <c r="N39" s="24">
        <f>N11/12*Assumption!$D$72</f>
        <v>65.74610128846038</v>
      </c>
      <c r="O39" s="24">
        <f>O11/12*Assumption!$D$72</f>
        <v>69.506778282160312</v>
      </c>
      <c r="P39" s="24">
        <f>P11/12*Assumption!$D$72</f>
        <v>73.48256599989989</v>
      </c>
      <c r="Q39" s="24">
        <f>Q11/12*Assumption!$D$72</f>
        <v>77.685768775094161</v>
      </c>
      <c r="R39" s="24">
        <f>R11/12*Assumption!$D$72</f>
        <v>82.129394749029544</v>
      </c>
      <c r="S39" s="24">
        <f>S11/12*Assumption!$D$72</f>
        <v>86.827196128674018</v>
      </c>
      <c r="T39" s="24">
        <f>T11/12*Assumption!$D$72</f>
        <v>91.79371174723417</v>
      </c>
      <c r="U39" s="24">
        <f>U11/12*Assumption!$D$72</f>
        <v>97.044312059175937</v>
      </c>
      <c r="V39" s="24">
        <f>V11/12*Assumption!$D$72</f>
        <v>102.5952467089608</v>
      </c>
      <c r="W39" s="24">
        <f>W11/12*Assumption!$D$72</f>
        <v>108.46369482071334</v>
      </c>
      <c r="X39" s="24">
        <f>X11/12*Assumption!$D$72</f>
        <v>114.66781816445815</v>
      </c>
      <c r="Y39" s="24">
        <f>Y11/12*Assumption!$D$72</f>
        <v>121.22681736346514</v>
      </c>
      <c r="Z39" s="24">
        <f>Z11/12*Assumption!$D$72</f>
        <v>128.16099131665536</v>
      </c>
    </row>
    <row r="40" spans="1:26">
      <c r="A40" s="29" t="s">
        <v>18</v>
      </c>
      <c r="B40" s="24">
        <f>fuel!B25*Assumption!$D$71/12</f>
        <v>149.81841556661959</v>
      </c>
      <c r="C40" s="24">
        <f>fuel!C25*Assumption!$D$71/12</f>
        <v>150.23000462037407</v>
      </c>
      <c r="D40" s="24">
        <f>fuel!D25*Assumption!$D$71/12</f>
        <v>150.64159367412853</v>
      </c>
      <c r="E40" s="24">
        <f>fuel!E25*Assumption!$D$71/12</f>
        <v>141.39294552505797</v>
      </c>
      <c r="F40" s="24">
        <f>fuel!F25*Assumption!$D$71/12</f>
        <v>141.39294552505797</v>
      </c>
      <c r="G40" s="24">
        <f>fuel!G25*Assumption!$D$71/12</f>
        <v>141.39294552505797</v>
      </c>
      <c r="H40" s="24">
        <f>fuel!H25*Assumption!$D$71/12</f>
        <v>141.78032345800335</v>
      </c>
      <c r="I40" s="24">
        <f>fuel!I25*Assumption!$D$71/12</f>
        <v>141.39294552505797</v>
      </c>
      <c r="J40" s="24">
        <f>fuel!J25*Assumption!$D$71/12</f>
        <v>141.39294552505797</v>
      </c>
      <c r="K40" s="24">
        <f>fuel!K25*Assumption!$D$71/12</f>
        <v>141.39294552505797</v>
      </c>
      <c r="L40" s="24">
        <f>fuel!L25*Assumption!$D$71/12</f>
        <v>141.78032345800335</v>
      </c>
      <c r="M40" s="24">
        <f>fuel!M25*Assumption!$D$71/12</f>
        <v>141.39294552505797</v>
      </c>
      <c r="N40" s="24">
        <f>fuel!N25*Assumption!$D$71/12</f>
        <v>141.39294552505797</v>
      </c>
      <c r="O40" s="24">
        <f>fuel!O25*Assumption!$D$71/12</f>
        <v>141.39294552505797</v>
      </c>
      <c r="P40" s="24">
        <f>fuel!P25*Assumption!$D$71/12</f>
        <v>141.78032345800335</v>
      </c>
      <c r="Q40" s="24">
        <f>fuel!Q25*Assumption!$D$71/12</f>
        <v>141.39294552505797</v>
      </c>
      <c r="R40" s="24">
        <f>fuel!R25*Assumption!$D$71/12</f>
        <v>141.39294552505797</v>
      </c>
      <c r="S40" s="24">
        <f>fuel!S25*Assumption!$D$71/12</f>
        <v>141.39294552505797</v>
      </c>
      <c r="T40" s="24">
        <f>fuel!T25*Assumption!$D$71/12</f>
        <v>141.78032345800335</v>
      </c>
      <c r="U40" s="24">
        <f>fuel!U25*Assumption!$D$71/12</f>
        <v>141.39294552505797</v>
      </c>
      <c r="V40" s="24">
        <f>fuel!V25*Assumption!$D$71/12</f>
        <v>141.39294552505797</v>
      </c>
      <c r="W40" s="24">
        <f>fuel!W25*Assumption!$D$71/12</f>
        <v>141.39294552505797</v>
      </c>
      <c r="X40" s="24">
        <f>fuel!X25*Assumption!$D$71/12</f>
        <v>141.78032345800335</v>
      </c>
      <c r="Y40" s="24">
        <f>fuel!Y25*Assumption!$D$71/12</f>
        <v>141.39294552505797</v>
      </c>
      <c r="Z40" s="24">
        <f>fuel!Z25*Assumption!$D$71/12</f>
        <v>141.39294552505797</v>
      </c>
    </row>
    <row r="41" spans="1:26">
      <c r="A41" s="25" t="s">
        <v>127</v>
      </c>
      <c r="B41" s="24">
        <f>fuel!B26*Assumption!$D$74/12</f>
        <v>6.3908658450000004</v>
      </c>
      <c r="C41" s="24">
        <f>fuel!C26*Assumption!$D$74/12</f>
        <v>6.4084231687500006</v>
      </c>
      <c r="D41" s="24">
        <f>fuel!D26*Assumption!$D$74/12</f>
        <v>6.4259804924999999</v>
      </c>
      <c r="E41" s="24">
        <f>fuel!E26*Assumption!$D$74/12</f>
        <v>6.0314571000000008</v>
      </c>
      <c r="F41" s="24">
        <f>fuel!F26*Assumption!$D$74/12</f>
        <v>6.0314571000000008</v>
      </c>
      <c r="G41" s="24">
        <f>fuel!G26*Assumption!$D$74/12</f>
        <v>6.0314571000000008</v>
      </c>
      <c r="H41" s="24">
        <f>fuel!H26*Assumption!$D$74/12</f>
        <v>6.0479816399999997</v>
      </c>
      <c r="I41" s="24">
        <f>fuel!I26*Assumption!$D$74/12</f>
        <v>6.0314571000000008</v>
      </c>
      <c r="J41" s="24">
        <f>fuel!J26*Assumption!$D$74/12</f>
        <v>6.0314571000000008</v>
      </c>
      <c r="K41" s="24">
        <f>fuel!K26*Assumption!$D$74/12</f>
        <v>6.0314571000000008</v>
      </c>
      <c r="L41" s="24">
        <f>fuel!L26*Assumption!$D$74/12</f>
        <v>6.0479816399999997</v>
      </c>
      <c r="M41" s="24">
        <f>fuel!M26*Assumption!$D$74/12</f>
        <v>6.0314571000000008</v>
      </c>
      <c r="N41" s="24">
        <f>fuel!N26*Assumption!$D$74/12</f>
        <v>6.0314571000000008</v>
      </c>
      <c r="O41" s="24">
        <f>fuel!O26*Assumption!$D$74/12</f>
        <v>6.0314571000000008</v>
      </c>
      <c r="P41" s="24">
        <f>fuel!P26*Assumption!$D$74/12</f>
        <v>6.0479816399999997</v>
      </c>
      <c r="Q41" s="24">
        <f>fuel!Q26*Assumption!$D$74/12</f>
        <v>6.0314571000000008</v>
      </c>
      <c r="R41" s="24">
        <f>fuel!R26*Assumption!$D$74/12</f>
        <v>6.0314571000000008</v>
      </c>
      <c r="S41" s="24">
        <f>fuel!S26*Assumption!$D$74/12</f>
        <v>6.0314571000000008</v>
      </c>
      <c r="T41" s="24">
        <f>fuel!T26*Assumption!$D$74/12</f>
        <v>6.0479816399999997</v>
      </c>
      <c r="U41" s="24">
        <f>fuel!U26*Assumption!$D$74/12</f>
        <v>6.0314571000000008</v>
      </c>
      <c r="V41" s="24">
        <f>fuel!V26*Assumption!$D$74/12</f>
        <v>6.0314571000000008</v>
      </c>
      <c r="W41" s="24">
        <f>fuel!W26*Assumption!$D$74/12</f>
        <v>6.0314571000000008</v>
      </c>
      <c r="X41" s="24">
        <f>fuel!X26*Assumption!$D$74/12</f>
        <v>6.0479816399999997</v>
      </c>
      <c r="Y41" s="24">
        <f>fuel!Y26*Assumption!$D$74/12</f>
        <v>6.0314571000000008</v>
      </c>
      <c r="Z41" s="24">
        <f>fuel!Z26*Assumption!$D$74/12</f>
        <v>6.0314571000000008</v>
      </c>
    </row>
    <row r="42" spans="1:26">
      <c r="A42" s="29" t="s">
        <v>19</v>
      </c>
      <c r="B42" s="24">
        <f>B11*Assumption!$D$73</f>
        <v>80.724230136986307</v>
      </c>
      <c r="C42" s="24">
        <f>C11*Assumption!$D$73</f>
        <v>85.576111199999986</v>
      </c>
      <c r="D42" s="24">
        <f>D11*Assumption!$D$73</f>
        <v>90.47106476063999</v>
      </c>
      <c r="E42" s="24">
        <f>E11*Assumption!$D$73</f>
        <v>95.646009664948593</v>
      </c>
      <c r="F42" s="24">
        <f>F11*Assumption!$D$73</f>
        <v>101.11696141778364</v>
      </c>
      <c r="G42" s="24">
        <f>G11*Assumption!$D$73</f>
        <v>106.90085161088085</v>
      </c>
      <c r="H42" s="24">
        <f>H11*Assumption!$D$73</f>
        <v>113.01558032302322</v>
      </c>
      <c r="I42" s="24">
        <f>I11*Assumption!$D$73</f>
        <v>119.48007151750015</v>
      </c>
      <c r="J42" s="24">
        <f>J11*Assumption!$D$73</f>
        <v>126.31433160830113</v>
      </c>
      <c r="K42" s="24">
        <f>K11*Assumption!$D$73</f>
        <v>133.53951137629596</v>
      </c>
      <c r="L42" s="24">
        <f>L11*Assumption!$D$73</f>
        <v>141.17797142702008</v>
      </c>
      <c r="M42" s="24">
        <f>M11*Assumption!$D$73</f>
        <v>149.25335139264564</v>
      </c>
      <c r="N42" s="24">
        <f>N11*Assumption!$D$73</f>
        <v>157.79064309230492</v>
      </c>
      <c r="O42" s="24">
        <f>O11*Assumption!$D$73</f>
        <v>166.81626787718474</v>
      </c>
      <c r="P42" s="24">
        <f>P11*Assumption!$D$73</f>
        <v>176.35815839975976</v>
      </c>
      <c r="Q42" s="24">
        <f>Q11*Assumption!$D$73</f>
        <v>186.44584506022602</v>
      </c>
      <c r="R42" s="24">
        <f>R11*Assumption!$D$73</f>
        <v>197.1105473976709</v>
      </c>
      <c r="S42" s="24">
        <f>S11*Assumption!$D$73</f>
        <v>208.38527070881764</v>
      </c>
      <c r="T42" s="24">
        <f>T11*Assumption!$D$73</f>
        <v>220.30490819336202</v>
      </c>
      <c r="U42" s="24">
        <f>U11*Assumption!$D$73</f>
        <v>232.90634894202228</v>
      </c>
      <c r="V42" s="24">
        <f>V11*Assumption!$D$73</f>
        <v>246.22859210150591</v>
      </c>
      <c r="W42" s="24">
        <f>W11*Assumption!$D$73</f>
        <v>260.31286756971207</v>
      </c>
      <c r="X42" s="24">
        <f>X11*Assumption!$D$73</f>
        <v>275.2027635946996</v>
      </c>
      <c r="Y42" s="24">
        <f>Y11*Assumption!$D$73</f>
        <v>290.94436167231635</v>
      </c>
      <c r="Z42" s="24">
        <f>Z11*Assumption!$D$73</f>
        <v>307.58637915997286</v>
      </c>
    </row>
    <row r="43" spans="1:26">
      <c r="A43" s="29" t="s">
        <v>64</v>
      </c>
      <c r="B43" s="24">
        <f ca="1">(B5+B16)*Assumption!$D$70/12</f>
        <v>488.21579048331961</v>
      </c>
      <c r="C43" s="24">
        <f ca="1">(C5+C16)*Assumption!$D$70/12</f>
        <v>486.84174714095752</v>
      </c>
      <c r="D43" s="24">
        <f ca="1">(D5+D16)*Assumption!$D$70/12</f>
        <v>485.13787688930057</v>
      </c>
      <c r="E43" s="24">
        <f ca="1">(E5+E16)*Assumption!$D$70/12</f>
        <v>469.43363727410633</v>
      </c>
      <c r="F43" s="24">
        <f ca="1">(F5+F16)*Assumption!$D$70/12</f>
        <v>467.40583349589957</v>
      </c>
      <c r="G43" s="24">
        <f ca="1">(G5+G16)*Assumption!$D$70/12</f>
        <v>465.65287602666234</v>
      </c>
      <c r="H43" s="24">
        <f ca="1">(H5+H16)*Assumption!$D$70/12</f>
        <v>464.91107619669833</v>
      </c>
      <c r="I43" s="24">
        <f ca="1">(I5+I16)*Assumption!$D$70/12</f>
        <v>463.0352841037361</v>
      </c>
      <c r="J43" s="24">
        <f ca="1">(J5+J16)*Assumption!$D$70/12</f>
        <v>462.20484126451566</v>
      </c>
      <c r="K43" s="24">
        <f ca="1">(K5+K16)*Assumption!$D$70/12</f>
        <v>461.71773377997471</v>
      </c>
      <c r="L43" s="24">
        <f ca="1">(L5+L16)*Assumption!$D$70/12</f>
        <v>462.24479029003169</v>
      </c>
      <c r="M43" s="24">
        <f ca="1">(M5+M16)*Assumption!$D$70/12</f>
        <v>461.85664575636861</v>
      </c>
      <c r="N43" s="24">
        <f ca="1">(N5+N16)*Assumption!$D$70/12</f>
        <v>429.78271610785879</v>
      </c>
      <c r="O43" s="24">
        <f ca="1">(O5+O16)*Assumption!$D$70/12</f>
        <v>435.05637090449846</v>
      </c>
      <c r="P43" s="24">
        <f ca="1">(P5+P16)*Assumption!$D$70/12</f>
        <v>441.38652930866101</v>
      </c>
      <c r="Q43" s="24">
        <f ca="1">(Q5+Q16)*Assumption!$D$70/12</f>
        <v>447.99539892713511</v>
      </c>
      <c r="R43" s="24">
        <f ca="1">(R5+R16)*Assumption!$D$70/12</f>
        <v>457.03620471601124</v>
      </c>
      <c r="S43" s="24">
        <f ca="1">(S5+S16)*Assumption!$D$70/12</f>
        <v>482.49260066572879</v>
      </c>
      <c r="T43" s="24">
        <f ca="1">(T5+T16)*Assumption!$D$70/12</f>
        <v>493.56525443012134</v>
      </c>
      <c r="U43" s="24">
        <f ca="1">(U5+U16)*Assumption!$D$70/12</f>
        <v>504.02887418553479</v>
      </c>
      <c r="V43" s="24">
        <f ca="1">(V5+V16)*Assumption!$D$70/12</f>
        <v>515.73636491056789</v>
      </c>
      <c r="W43" s="24">
        <f ca="1">(W5+W16)*Assumption!$D$70/12</f>
        <v>528.10624546503891</v>
      </c>
      <c r="X43" s="24">
        <f ca="1">(X5+X16)*Assumption!$D$70/12</f>
        <v>541.79450127301027</v>
      </c>
      <c r="Y43" s="24">
        <f ca="1">(Y5+Y16)*Assumption!$D$70/12</f>
        <v>555.00915034712148</v>
      </c>
      <c r="Z43" s="24">
        <f ca="1">(Z5+Z16)*Assumption!$D$70/12</f>
        <v>461.78438025491278</v>
      </c>
    </row>
    <row r="44" spans="1:26">
      <c r="A44" s="29" t="s">
        <v>20</v>
      </c>
      <c r="B44" s="24">
        <f t="shared" ref="B44:Z44" ca="1" si="10">SUM(B39:B43)</f>
        <v>758.78439792233644</v>
      </c>
      <c r="C44" s="24">
        <f t="shared" ca="1" si="10"/>
        <v>764.71299913008158</v>
      </c>
      <c r="D44" s="24">
        <f t="shared" ca="1" si="10"/>
        <v>770.37279280016901</v>
      </c>
      <c r="E44" s="24">
        <f t="shared" ca="1" si="10"/>
        <v>752.35655359117482</v>
      </c>
      <c r="F44" s="24">
        <f t="shared" ca="1" si="10"/>
        <v>758.07926479615105</v>
      </c>
      <c r="G44" s="24">
        <f t="shared" ca="1" si="10"/>
        <v>764.52015176713485</v>
      </c>
      <c r="H44" s="24">
        <f t="shared" ca="1" si="10"/>
        <v>772.84478675231787</v>
      </c>
      <c r="I44" s="24">
        <f t="shared" ca="1" si="10"/>
        <v>779.72312137858603</v>
      </c>
      <c r="J44" s="24">
        <f t="shared" ca="1" si="10"/>
        <v>788.57454700133349</v>
      </c>
      <c r="K44" s="24">
        <f t="shared" ca="1" si="10"/>
        <v>798.32311085478523</v>
      </c>
      <c r="L44" s="24">
        <f t="shared" ca="1" si="10"/>
        <v>810.07522157631342</v>
      </c>
      <c r="M44" s="24">
        <f t="shared" ca="1" si="10"/>
        <v>820.72329618767458</v>
      </c>
      <c r="N44" s="24">
        <f t="shared" ca="1" si="10"/>
        <v>800.74386311368198</v>
      </c>
      <c r="O44" s="24">
        <f t="shared" ca="1" si="10"/>
        <v>818.80381968890151</v>
      </c>
      <c r="P44" s="24">
        <f t="shared" ca="1" si="10"/>
        <v>839.05555880632403</v>
      </c>
      <c r="Q44" s="24">
        <f t="shared" ca="1" si="10"/>
        <v>859.55141538751332</v>
      </c>
      <c r="R44" s="24">
        <f t="shared" ca="1" si="10"/>
        <v>883.70054948776965</v>
      </c>
      <c r="S44" s="24">
        <f t="shared" ca="1" si="10"/>
        <v>925.1294701282784</v>
      </c>
      <c r="T44" s="24">
        <f t="shared" ca="1" si="10"/>
        <v>953.49217946872091</v>
      </c>
      <c r="U44" s="24">
        <f t="shared" ca="1" si="10"/>
        <v>981.40393781179091</v>
      </c>
      <c r="V44" s="24">
        <f t="shared" ca="1" si="10"/>
        <v>1011.9846063460925</v>
      </c>
      <c r="W44" s="24">
        <f t="shared" ca="1" si="10"/>
        <v>1044.3072104805224</v>
      </c>
      <c r="X44" s="24">
        <f t="shared" ca="1" si="10"/>
        <v>1079.4933881301713</v>
      </c>
      <c r="Y44" s="24">
        <f t="shared" ca="1" si="10"/>
        <v>1114.604732007961</v>
      </c>
      <c r="Z44" s="24">
        <f t="shared" ca="1" si="10"/>
        <v>1044.9561533565989</v>
      </c>
    </row>
    <row r="45" spans="1:26">
      <c r="A45" s="29" t="s">
        <v>21</v>
      </c>
      <c r="B45" s="57">
        <f ca="1">B44*Assumption!$D$75*depre!B4/365</f>
        <v>88.912900545584463</v>
      </c>
      <c r="C45" s="57">
        <f ca="1">C44*Assumption!$D$75*depre!C4/365</f>
        <v>89.853777397784597</v>
      </c>
      <c r="D45" s="57">
        <f ca="1">D44*Assumption!$D$75*depre!D4/365</f>
        <v>90.766799874989772</v>
      </c>
      <c r="E45" s="57">
        <f ca="1">E44*Assumption!$D$75*depre!E4/365</f>
        <v>88.401895046963034</v>
      </c>
      <c r="F45" s="57">
        <f ca="1">F44*Assumption!$D$75*depre!F4/365</f>
        <v>89.074313613547744</v>
      </c>
      <c r="G45" s="57">
        <f ca="1">G44*Assumption!$D$75*depre!G4/365</f>
        <v>89.831117832638355</v>
      </c>
      <c r="H45" s="57">
        <f ca="1">H44*Assumption!$D$75*depre!H4/365</f>
        <v>91.058054943242269</v>
      </c>
      <c r="I45" s="57">
        <f ca="1">I44*Assumption!$D$75*depre!I4/365</f>
        <v>91.617466761983849</v>
      </c>
      <c r="J45" s="57">
        <f ca="1">J44*Assumption!$D$75*depre!J4/365</f>
        <v>92.657509272656682</v>
      </c>
      <c r="K45" s="57">
        <f ca="1">K44*Assumption!$D$75*depre!K4/365</f>
        <v>93.802965525437259</v>
      </c>
      <c r="L45" s="57">
        <f ca="1">L44*Assumption!$D$75*depre!L4/365</f>
        <v>95.444616175039329</v>
      </c>
      <c r="M45" s="57">
        <f ca="1">M44*Assumption!$D$75*depre!M4/365</f>
        <v>96.434987302051766</v>
      </c>
      <c r="N45" s="57">
        <f ca="1">N44*Assumption!$D$75*depre!N4/365</f>
        <v>94.087403915857635</v>
      </c>
      <c r="O45" s="57">
        <f ca="1">O44*Assumption!$D$75*depre!O4/365</f>
        <v>96.209448813445917</v>
      </c>
      <c r="P45" s="57">
        <f ca="1">P44*Assumption!$D$75*depre!P4/365</f>
        <v>98.859135086208127</v>
      </c>
      <c r="Q45" s="57">
        <f ca="1">Q44*Assumption!$D$75*depre!Q4/365</f>
        <v>100.9972913080328</v>
      </c>
      <c r="R45" s="57">
        <f ca="1">R44*Assumption!$D$75*depre!R4/365</f>
        <v>103.83481456481292</v>
      </c>
      <c r="S45" s="57">
        <f ca="1">S44*Assumption!$D$75*depre!S4/365</f>
        <v>108.70271274007271</v>
      </c>
      <c r="T45" s="57">
        <f ca="1">T44*Assumption!$D$75*depre!T4/365</f>
        <v>112.3422772001434</v>
      </c>
      <c r="U45" s="57">
        <f ca="1">U44*Assumption!$D$75*depre!U4/365</f>
        <v>115.31496269288543</v>
      </c>
      <c r="V45" s="57">
        <f ca="1">V44*Assumption!$D$75*depre!V4/365</f>
        <v>118.90819124566586</v>
      </c>
      <c r="W45" s="57">
        <f ca="1">W44*Assumption!$D$75*depre!W4/365</f>
        <v>122.70609723146136</v>
      </c>
      <c r="X45" s="57">
        <f ca="1">X44*Assumption!$D$75*depre!X4/365</f>
        <v>127.18798125078908</v>
      </c>
      <c r="Y45" s="57">
        <f ca="1">Y44*Assumption!$D$75*depre!Y4/365</f>
        <v>130.9660560109354</v>
      </c>
      <c r="Z45" s="57">
        <f ca="1">Z44*Assumption!$D$75*depre!Z4/365</f>
        <v>122.78234801940036</v>
      </c>
    </row>
  </sheetData>
  <customSheetViews>
    <customSheetView guid="{6D27EB6A-3939-4201-8E4B-897AA8118F21}" scale="85" showPageBreaks="1" printArea="1" view="pageBreakPreview">
      <selection activeCell="A9" sqref="A9"/>
      <rowBreaks count="1" manualBreakCount="1">
        <brk id="25" max="25" man="1"/>
      </rowBreaks>
      <pageMargins left="0.75" right="0.75" top="1" bottom="1" header="0.5" footer="0.5"/>
      <pageSetup scale="58" orientation="landscape" r:id="rId1"/>
      <headerFooter alignWithMargins="0"/>
    </customSheetView>
  </customSheetViews>
  <mergeCells count="1">
    <mergeCell ref="C30:D30"/>
  </mergeCells>
  <phoneticPr fontId="4" type="noConversion"/>
  <pageMargins left="0.75" right="0.75" top="1" bottom="1" header="0.5" footer="0.5"/>
  <pageSetup scale="58" orientation="landscape" r:id="rId2"/>
  <headerFooter alignWithMargins="0"/>
  <rowBreaks count="1" manualBreakCount="1">
    <brk id="25" max="25" man="1"/>
  </rowBreaks>
</worksheet>
</file>

<file path=xl/worksheets/sheet8.xml><?xml version="1.0" encoding="utf-8"?>
<worksheet xmlns="http://schemas.openxmlformats.org/spreadsheetml/2006/main" xmlns:r="http://schemas.openxmlformats.org/officeDocument/2006/relationships">
  <sheetPr codeName="Sheet7"/>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69</v>
      </c>
    </row>
    <row r="2" spans="1:5">
      <c r="A2" s="1" t="s">
        <v>70</v>
      </c>
      <c r="B2" s="2" t="s">
        <v>71</v>
      </c>
      <c r="C2" s="1" t="s">
        <v>72</v>
      </c>
      <c r="D2" s="2" t="s">
        <v>73</v>
      </c>
      <c r="E2" s="1" t="s">
        <v>74</v>
      </c>
    </row>
    <row r="3" spans="1:5">
      <c r="B3" s="3" t="s">
        <v>71</v>
      </c>
      <c r="C3" s="1">
        <f>('fixed cost'!B5)*Assumption!$D$75*depre!B4/depre!$C$4</f>
        <v>144.93669332443415</v>
      </c>
      <c r="D3" s="2" t="s">
        <v>73</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8"/>
  <dimension ref="A1:Z55"/>
  <sheetViews>
    <sheetView workbookViewId="0">
      <selection activeCell="G16" sqref="G16"/>
    </sheetView>
  </sheetViews>
  <sheetFormatPr defaultRowHeight="15"/>
  <cols>
    <col min="1" max="1" width="31.85546875" style="25" bestFit="1" customWidth="1"/>
    <col min="2" max="26" width="12.5703125" style="25" customWidth="1"/>
    <col min="27" max="16384" width="9.140625" style="25"/>
  </cols>
  <sheetData>
    <row r="1" spans="1:26">
      <c r="A1" s="40" t="str">
        <f>'fixed cost'!A3</f>
        <v>Year</v>
      </c>
      <c r="B1" s="30">
        <f>'fixed cost'!B3</f>
        <v>41729</v>
      </c>
      <c r="C1" s="30">
        <f>'fixed cost'!C3</f>
        <v>42094</v>
      </c>
      <c r="D1" s="30">
        <f>'fixed cost'!D3</f>
        <v>42460</v>
      </c>
      <c r="E1" s="30">
        <f>'fixed cost'!E3</f>
        <v>42825</v>
      </c>
      <c r="F1" s="30">
        <f>'fixed cost'!F3</f>
        <v>43190</v>
      </c>
      <c r="G1" s="30">
        <f>'fixed cost'!G3</f>
        <v>43555</v>
      </c>
      <c r="H1" s="30">
        <f>'fixed cost'!H3</f>
        <v>43921</v>
      </c>
      <c r="I1" s="30">
        <f>'fixed cost'!I3</f>
        <v>44286</v>
      </c>
      <c r="J1" s="30">
        <f>'fixed cost'!J3</f>
        <v>44651</v>
      </c>
      <c r="K1" s="30">
        <f>'fixed cost'!K3</f>
        <v>45016</v>
      </c>
      <c r="L1" s="30">
        <f>'fixed cost'!L3</f>
        <v>45382</v>
      </c>
      <c r="M1" s="30">
        <f>'fixed cost'!M3</f>
        <v>45747</v>
      </c>
      <c r="N1" s="30">
        <f>'fixed cost'!N3</f>
        <v>46112</v>
      </c>
      <c r="O1" s="30">
        <f>'fixed cost'!O3</f>
        <v>46477</v>
      </c>
      <c r="P1" s="30">
        <f>'fixed cost'!P3</f>
        <v>46843</v>
      </c>
      <c r="Q1" s="30">
        <f>'fixed cost'!Q3</f>
        <v>47208</v>
      </c>
      <c r="R1" s="30">
        <f>'fixed cost'!R3</f>
        <v>47573</v>
      </c>
      <c r="S1" s="30">
        <f>'fixed cost'!S3</f>
        <v>47938</v>
      </c>
      <c r="T1" s="30">
        <f>'fixed cost'!T3</f>
        <v>48304</v>
      </c>
      <c r="U1" s="30">
        <f>'fixed cost'!U3</f>
        <v>48669</v>
      </c>
      <c r="V1" s="30">
        <f>'fixed cost'!V3</f>
        <v>49034</v>
      </c>
      <c r="W1" s="30">
        <f>'fixed cost'!W3</f>
        <v>49399</v>
      </c>
      <c r="X1" s="30">
        <f>'fixed cost'!X3</f>
        <v>49765</v>
      </c>
      <c r="Y1" s="30">
        <f>'fixed cost'!Y3</f>
        <v>50130</v>
      </c>
      <c r="Z1" s="30">
        <f>'fixed cost'!Z3</f>
        <v>50495</v>
      </c>
    </row>
    <row r="2" spans="1:26">
      <c r="A2" s="39" t="s">
        <v>144</v>
      </c>
      <c r="B2" s="39">
        <f ca="1">PL!C29</f>
        <v>334.42077480617104</v>
      </c>
      <c r="C2" s="39">
        <f ca="1">PL!D29</f>
        <v>319.42216438155884</v>
      </c>
      <c r="D2" s="39">
        <f ca="1">PL!E29</f>
        <v>327.59542809912529</v>
      </c>
      <c r="E2" s="39">
        <f ca="1">PL!F29</f>
        <v>335.92052801792266</v>
      </c>
      <c r="F2" s="39">
        <f ca="1">PL!G29</f>
        <v>344.169709836104</v>
      </c>
      <c r="G2" s="39">
        <f ca="1">PL!H29</f>
        <v>352.4188916542858</v>
      </c>
      <c r="H2" s="39">
        <f ca="1">PL!I29</f>
        <v>360.68255736438033</v>
      </c>
      <c r="I2" s="39">
        <f ca="1">PL!J29</f>
        <v>368.91725529064951</v>
      </c>
      <c r="J2" s="39">
        <f ca="1">PL!K29</f>
        <v>377.16643710883119</v>
      </c>
      <c r="K2" s="39">
        <f ca="1">PL!L29</f>
        <v>385.41561892701321</v>
      </c>
      <c r="L2" s="39">
        <f ca="1">PL!M29</f>
        <v>393.76968662963515</v>
      </c>
      <c r="M2" s="39">
        <f ca="1">PL!N29</f>
        <v>401.91398256337703</v>
      </c>
      <c r="N2" s="39">
        <f ca="1">PL!O29</f>
        <v>193.35312046930693</v>
      </c>
      <c r="O2" s="39">
        <f ca="1">PL!P29</f>
        <v>177.74488042715706</v>
      </c>
      <c r="P2" s="39">
        <f ca="1">PL!Q29</f>
        <v>162.16852126293236</v>
      </c>
      <c r="Q2" s="39">
        <f ca="1">PL!R29</f>
        <v>152.41632015318402</v>
      </c>
      <c r="R2" s="39">
        <f ca="1">PL!S29</f>
        <v>150.50011994243658</v>
      </c>
      <c r="S2" s="39">
        <f ca="1">PL!T29</f>
        <v>241.99698090974795</v>
      </c>
      <c r="T2" s="39">
        <f ca="1">PL!U29</f>
        <v>261.3793096768693</v>
      </c>
      <c r="U2" s="39">
        <f ca="1">PL!V29</f>
        <v>576.94698090974805</v>
      </c>
      <c r="V2" s="39">
        <f ca="1">PL!W29</f>
        <v>576.94698090974816</v>
      </c>
      <c r="W2" s="39">
        <f ca="1">PL!X29</f>
        <v>576.94698090974794</v>
      </c>
      <c r="X2" s="39">
        <f ca="1">PL!Y29</f>
        <v>576.94698090974816</v>
      </c>
      <c r="Y2" s="39">
        <f ca="1">PL!Z29</f>
        <v>576.94698090974782</v>
      </c>
      <c r="Z2" s="39">
        <f ca="1">PL!AA29</f>
        <v>576.94698090974794</v>
      </c>
    </row>
    <row r="3" spans="1:26">
      <c r="A3" s="39" t="s">
        <v>143</v>
      </c>
      <c r="B3" s="39">
        <f>PL!C27</f>
        <v>334.03232876712332</v>
      </c>
      <c r="C3" s="39">
        <f>PL!D27</f>
        <v>334.95</v>
      </c>
      <c r="D3" s="39">
        <f>PL!E27</f>
        <v>334.95</v>
      </c>
      <c r="E3" s="39">
        <f>PL!F27</f>
        <v>334.95</v>
      </c>
      <c r="F3" s="39">
        <f>PL!G27</f>
        <v>334.95</v>
      </c>
      <c r="G3" s="39">
        <f>PL!H27</f>
        <v>334.95</v>
      </c>
      <c r="H3" s="39">
        <f>PL!I27</f>
        <v>334.95</v>
      </c>
      <c r="I3" s="39">
        <f>PL!J27</f>
        <v>334.95</v>
      </c>
      <c r="J3" s="39">
        <f>PL!K27</f>
        <v>334.95</v>
      </c>
      <c r="K3" s="39">
        <f>PL!L27</f>
        <v>334.95</v>
      </c>
      <c r="L3" s="39">
        <f>PL!M27</f>
        <v>334.95</v>
      </c>
      <c r="M3" s="39">
        <f>PL!N27</f>
        <v>334.95</v>
      </c>
      <c r="N3" s="39">
        <f>PL!O27</f>
        <v>334.95</v>
      </c>
      <c r="O3" s="39">
        <f>PL!P27</f>
        <v>334.95</v>
      </c>
      <c r="P3" s="39">
        <f>PL!Q27</f>
        <v>334.95</v>
      </c>
      <c r="Q3" s="39">
        <f>PL!R27</f>
        <v>334.95</v>
      </c>
      <c r="R3" s="39">
        <f>PL!S27</f>
        <v>334.95</v>
      </c>
      <c r="S3" s="39">
        <f>PL!T27</f>
        <v>334.95</v>
      </c>
      <c r="T3" s="39">
        <f>PL!U27</f>
        <v>315.56767123287864</v>
      </c>
      <c r="U3" s="39">
        <f>PL!V27</f>
        <v>0</v>
      </c>
      <c r="V3" s="39">
        <f>PL!W27</f>
        <v>0</v>
      </c>
      <c r="W3" s="39">
        <f>PL!X27</f>
        <v>0</v>
      </c>
      <c r="X3" s="39">
        <f>PL!Y27</f>
        <v>0</v>
      </c>
      <c r="Y3" s="39">
        <f>PL!Z27</f>
        <v>0</v>
      </c>
      <c r="Z3" s="39">
        <f>PL!AA27</f>
        <v>0</v>
      </c>
    </row>
    <row r="4" spans="1:26">
      <c r="A4" s="39" t="s">
        <v>79</v>
      </c>
      <c r="B4" s="39">
        <f>depre!B13</f>
        <v>951.5625</v>
      </c>
      <c r="C4" s="39">
        <f>depre!C13</f>
        <v>808.828125</v>
      </c>
      <c r="D4" s="39">
        <f>depre!D13</f>
        <v>687.50390625</v>
      </c>
      <c r="E4" s="39">
        <f>depre!E13</f>
        <v>584.37832031250002</v>
      </c>
      <c r="F4" s="39">
        <f>depre!F13</f>
        <v>496.72157226562501</v>
      </c>
      <c r="G4" s="39">
        <f>depre!G13</f>
        <v>422.21333642578122</v>
      </c>
      <c r="H4" s="39">
        <f>depre!H13</f>
        <v>358.88133596191409</v>
      </c>
      <c r="I4" s="39">
        <f>depre!I13</f>
        <v>305.04913556762693</v>
      </c>
      <c r="J4" s="39">
        <f>depre!J13</f>
        <v>259.29176523248287</v>
      </c>
      <c r="K4" s="39">
        <f>depre!K13</f>
        <v>220.39800044761046</v>
      </c>
      <c r="L4" s="39">
        <f>depre!L13</f>
        <v>187.33830038046889</v>
      </c>
      <c r="M4" s="39">
        <f>depre!M13</f>
        <v>159.23755532339857</v>
      </c>
      <c r="N4" s="39">
        <f>depre!N13</f>
        <v>135.35192202488881</v>
      </c>
      <c r="O4" s="39">
        <f>depre!O13</f>
        <v>115.04913372115547</v>
      </c>
      <c r="P4" s="39">
        <f>depre!P13</f>
        <v>97.791763662982149</v>
      </c>
      <c r="Q4" s="39">
        <f>depre!Q13</f>
        <v>83.122999113534831</v>
      </c>
      <c r="R4" s="39">
        <f>depre!R13</f>
        <v>70.654549246504601</v>
      </c>
      <c r="S4" s="39">
        <f>depre!S13</f>
        <v>60.056366859528914</v>
      </c>
      <c r="T4" s="39">
        <f>depre!T13</f>
        <v>51.047911830599581</v>
      </c>
      <c r="U4" s="39">
        <f>depre!U13</f>
        <v>43.39072505600965</v>
      </c>
      <c r="V4" s="39">
        <f>depre!V13</f>
        <v>36.882116297608199</v>
      </c>
      <c r="W4" s="39">
        <f>depre!W13</f>
        <v>31.34979885296697</v>
      </c>
      <c r="X4" s="39">
        <f>depre!X13</f>
        <v>26.647329025021921</v>
      </c>
      <c r="Y4" s="39">
        <f>depre!Y13</f>
        <v>22.650229671268637</v>
      </c>
      <c r="Z4" s="39">
        <f>depre!Z13</f>
        <v>19.252695220578339</v>
      </c>
    </row>
    <row r="5" spans="1:26">
      <c r="A5" s="39" t="s">
        <v>86</v>
      </c>
      <c r="B5" s="39"/>
      <c r="C5" s="39"/>
      <c r="D5" s="39"/>
      <c r="E5" s="39"/>
      <c r="F5" s="39"/>
      <c r="G5" s="39"/>
      <c r="H5" s="39"/>
      <c r="I5" s="39"/>
      <c r="J5" s="39"/>
      <c r="K5" s="39"/>
      <c r="L5" s="39"/>
      <c r="M5" s="39"/>
      <c r="N5" s="39"/>
      <c r="O5" s="39"/>
      <c r="P5" s="39"/>
      <c r="Q5" s="39"/>
      <c r="R5" s="39"/>
      <c r="S5" s="39"/>
      <c r="T5" s="39"/>
      <c r="U5" s="39"/>
      <c r="V5" s="39"/>
      <c r="W5" s="39"/>
      <c r="X5" s="39"/>
      <c r="Y5" s="39"/>
      <c r="Z5" s="39"/>
    </row>
    <row r="6" spans="1:26">
      <c r="A6" s="39" t="s">
        <v>87</v>
      </c>
      <c r="B6" s="39">
        <f ca="1">B2+B3-B4</f>
        <v>-283.10939642670564</v>
      </c>
      <c r="C6" s="39">
        <f ca="1">C2+C3-C4</f>
        <v>-154.45596061844117</v>
      </c>
      <c r="D6" s="39">
        <f ca="1">D2+D3-D4</f>
        <v>-24.958478150874726</v>
      </c>
      <c r="E6" s="39">
        <f ca="1">E2+E3-E4</f>
        <v>86.492207705422629</v>
      </c>
      <c r="F6" s="39">
        <f ca="1">F2+F3-F4</f>
        <v>182.39813757047898</v>
      </c>
      <c r="G6" s="39">
        <f t="shared" ref="G6:Z6" ca="1" si="0">G2+G3-G4</f>
        <v>265.15555522850457</v>
      </c>
      <c r="H6" s="39">
        <f t="shared" ca="1" si="0"/>
        <v>336.75122140246623</v>
      </c>
      <c r="I6" s="39">
        <f t="shared" ca="1" si="0"/>
        <v>398.81811972302256</v>
      </c>
      <c r="J6" s="39">
        <f t="shared" ca="1" si="0"/>
        <v>452.8246718763483</v>
      </c>
      <c r="K6" s="39">
        <f t="shared" ca="1" si="0"/>
        <v>499.96761847940274</v>
      </c>
      <c r="L6" s="39">
        <f t="shared" ca="1" si="0"/>
        <v>541.38138624916621</v>
      </c>
      <c r="M6" s="39">
        <f t="shared" ca="1" si="0"/>
        <v>577.62642723997851</v>
      </c>
      <c r="N6" s="39">
        <f t="shared" ca="1" si="0"/>
        <v>392.95119844441808</v>
      </c>
      <c r="O6" s="39">
        <f t="shared" ca="1" si="0"/>
        <v>397.64574670600155</v>
      </c>
      <c r="P6" s="39">
        <f t="shared" ca="1" si="0"/>
        <v>399.32675759995021</v>
      </c>
      <c r="Q6" s="39">
        <f t="shared" ca="1" si="0"/>
        <v>404.24332103964917</v>
      </c>
      <c r="R6" s="39">
        <f t="shared" ca="1" si="0"/>
        <v>414.79557069593199</v>
      </c>
      <c r="S6" s="39">
        <f t="shared" ca="1" si="0"/>
        <v>516.89061405021903</v>
      </c>
      <c r="T6" s="39">
        <f t="shared" ca="1" si="0"/>
        <v>525.89906907914838</v>
      </c>
      <c r="U6" s="39">
        <f t="shared" ca="1" si="0"/>
        <v>533.55625585373843</v>
      </c>
      <c r="V6" s="39">
        <f t="shared" ca="1" si="0"/>
        <v>540.06486461214001</v>
      </c>
      <c r="W6" s="39">
        <f t="shared" ca="1" si="0"/>
        <v>545.59718205678098</v>
      </c>
      <c r="X6" s="39">
        <f t="shared" ca="1" si="0"/>
        <v>550.29965188472625</v>
      </c>
      <c r="Y6" s="39">
        <f t="shared" ca="1" si="0"/>
        <v>554.29675123847915</v>
      </c>
      <c r="Z6" s="39">
        <f t="shared" ca="1" si="0"/>
        <v>557.69428568916965</v>
      </c>
    </row>
    <row r="7" spans="1:26">
      <c r="A7" s="39" t="s">
        <v>81</v>
      </c>
      <c r="B7" s="39">
        <f>B37</f>
        <v>0</v>
      </c>
      <c r="C7" s="39">
        <f t="shared" ref="C7:Z7" ca="1" si="1">C37</f>
        <v>-283.10939642670564</v>
      </c>
      <c r="D7" s="39">
        <f t="shared" ca="1" si="1"/>
        <v>-437.56535704514681</v>
      </c>
      <c r="E7" s="39">
        <f t="shared" ca="1" si="1"/>
        <v>-462.52383519602154</v>
      </c>
      <c r="F7" s="39">
        <f t="shared" ca="1" si="1"/>
        <v>-376.03162749059891</v>
      </c>
      <c r="G7" s="39">
        <f t="shared" ca="1" si="1"/>
        <v>-193.63348992011993</v>
      </c>
      <c r="H7" s="39">
        <f t="shared" ca="1" si="1"/>
        <v>0</v>
      </c>
      <c r="I7" s="39">
        <f t="shared" ca="1" si="1"/>
        <v>0</v>
      </c>
      <c r="J7" s="39">
        <f t="shared" ca="1" si="1"/>
        <v>0</v>
      </c>
      <c r="K7" s="39">
        <f t="shared" ca="1" si="1"/>
        <v>0</v>
      </c>
      <c r="L7" s="39">
        <f t="shared" ca="1" si="1"/>
        <v>0</v>
      </c>
      <c r="M7" s="39">
        <f t="shared" ca="1" si="1"/>
        <v>0</v>
      </c>
      <c r="N7" s="39">
        <f t="shared" ca="1" si="1"/>
        <v>0</v>
      </c>
      <c r="O7" s="39">
        <f t="shared" ca="1" si="1"/>
        <v>0</v>
      </c>
      <c r="P7" s="39">
        <f t="shared" ca="1" si="1"/>
        <v>0</v>
      </c>
      <c r="Q7" s="39">
        <f t="shared" ca="1" si="1"/>
        <v>0</v>
      </c>
      <c r="R7" s="39">
        <f t="shared" ca="1" si="1"/>
        <v>0</v>
      </c>
      <c r="S7" s="39">
        <f t="shared" ca="1" si="1"/>
        <v>0</v>
      </c>
      <c r="T7" s="39">
        <f t="shared" ca="1" si="1"/>
        <v>0</v>
      </c>
      <c r="U7" s="39">
        <f t="shared" ca="1" si="1"/>
        <v>0</v>
      </c>
      <c r="V7" s="39">
        <f t="shared" ca="1" si="1"/>
        <v>0</v>
      </c>
      <c r="W7" s="39">
        <f t="shared" ca="1" si="1"/>
        <v>0</v>
      </c>
      <c r="X7" s="39">
        <f t="shared" ca="1" si="1"/>
        <v>0</v>
      </c>
      <c r="Y7" s="39">
        <f t="shared" ca="1" si="1"/>
        <v>0</v>
      </c>
      <c r="Z7" s="39">
        <f t="shared" ca="1" si="1"/>
        <v>0</v>
      </c>
    </row>
    <row r="8" spans="1:26">
      <c r="A8" s="39" t="s">
        <v>80</v>
      </c>
      <c r="B8" s="39">
        <f t="shared" ref="B8:Z8" ca="1" si="2">IF(B6&lt;0,B6,0)</f>
        <v>-283.10939642670564</v>
      </c>
      <c r="C8" s="39">
        <f t="shared" ca="1" si="2"/>
        <v>-154.45596061844117</v>
      </c>
      <c r="D8" s="39">
        <f t="shared" ca="1" si="2"/>
        <v>-24.958478150874726</v>
      </c>
      <c r="E8" s="39">
        <f t="shared" ca="1" si="2"/>
        <v>0</v>
      </c>
      <c r="F8" s="39">
        <f t="shared" ca="1" si="2"/>
        <v>0</v>
      </c>
      <c r="G8" s="39">
        <f t="shared" ca="1" si="2"/>
        <v>0</v>
      </c>
      <c r="H8" s="39">
        <f t="shared" ca="1" si="2"/>
        <v>0</v>
      </c>
      <c r="I8" s="39">
        <f t="shared" ca="1" si="2"/>
        <v>0</v>
      </c>
      <c r="J8" s="39">
        <f t="shared" ca="1" si="2"/>
        <v>0</v>
      </c>
      <c r="K8" s="39">
        <f t="shared" ca="1" si="2"/>
        <v>0</v>
      </c>
      <c r="L8" s="39">
        <f t="shared" ca="1" si="2"/>
        <v>0</v>
      </c>
      <c r="M8" s="39">
        <f t="shared" ca="1" si="2"/>
        <v>0</v>
      </c>
      <c r="N8" s="39">
        <f t="shared" ca="1" si="2"/>
        <v>0</v>
      </c>
      <c r="O8" s="39">
        <f t="shared" ca="1" si="2"/>
        <v>0</v>
      </c>
      <c r="P8" s="39">
        <f t="shared" ca="1" si="2"/>
        <v>0</v>
      </c>
      <c r="Q8" s="39">
        <f t="shared" ca="1" si="2"/>
        <v>0</v>
      </c>
      <c r="R8" s="39">
        <f t="shared" ca="1" si="2"/>
        <v>0</v>
      </c>
      <c r="S8" s="39">
        <f t="shared" ca="1" si="2"/>
        <v>0</v>
      </c>
      <c r="T8" s="39">
        <f t="shared" ca="1" si="2"/>
        <v>0</v>
      </c>
      <c r="U8" s="39">
        <f t="shared" ca="1" si="2"/>
        <v>0</v>
      </c>
      <c r="V8" s="39">
        <f t="shared" ca="1" si="2"/>
        <v>0</v>
      </c>
      <c r="W8" s="39">
        <f t="shared" ca="1" si="2"/>
        <v>0</v>
      </c>
      <c r="X8" s="39">
        <f t="shared" ca="1" si="2"/>
        <v>0</v>
      </c>
      <c r="Y8" s="39">
        <f t="shared" ca="1" si="2"/>
        <v>0</v>
      </c>
      <c r="Z8" s="39">
        <f t="shared" ca="1" si="2"/>
        <v>0</v>
      </c>
    </row>
    <row r="9" spans="1:26">
      <c r="A9" s="39" t="s">
        <v>88</v>
      </c>
      <c r="B9" s="39">
        <f t="shared" ref="B9:Z9" ca="1" si="3">IF(B6&gt;0, MIN(B6,ABS(B7)),0)</f>
        <v>0</v>
      </c>
      <c r="C9" s="39">
        <f t="shared" ca="1" si="3"/>
        <v>0</v>
      </c>
      <c r="D9" s="39">
        <f t="shared" ca="1" si="3"/>
        <v>0</v>
      </c>
      <c r="E9" s="39">
        <f t="shared" ca="1" si="3"/>
        <v>86.492207705422629</v>
      </c>
      <c r="F9" s="39">
        <f t="shared" ca="1" si="3"/>
        <v>182.39813757047898</v>
      </c>
      <c r="G9" s="39">
        <f t="shared" ca="1" si="3"/>
        <v>193.63348992011993</v>
      </c>
      <c r="H9" s="39">
        <f t="shared" ca="1" si="3"/>
        <v>0</v>
      </c>
      <c r="I9" s="39">
        <f t="shared" ca="1" si="3"/>
        <v>0</v>
      </c>
      <c r="J9" s="39">
        <f t="shared" ca="1" si="3"/>
        <v>0</v>
      </c>
      <c r="K9" s="39">
        <f t="shared" ca="1" si="3"/>
        <v>0</v>
      </c>
      <c r="L9" s="39">
        <f t="shared" ca="1" si="3"/>
        <v>0</v>
      </c>
      <c r="M9" s="39">
        <f t="shared" ca="1" si="3"/>
        <v>0</v>
      </c>
      <c r="N9" s="39">
        <f t="shared" ca="1" si="3"/>
        <v>0</v>
      </c>
      <c r="O9" s="39">
        <f t="shared" ca="1" si="3"/>
        <v>0</v>
      </c>
      <c r="P9" s="39">
        <f t="shared" ca="1" si="3"/>
        <v>0</v>
      </c>
      <c r="Q9" s="39">
        <f t="shared" ca="1" si="3"/>
        <v>0</v>
      </c>
      <c r="R9" s="39">
        <f t="shared" ca="1" si="3"/>
        <v>0</v>
      </c>
      <c r="S9" s="39">
        <f t="shared" ca="1" si="3"/>
        <v>0</v>
      </c>
      <c r="T9" s="39">
        <f t="shared" ca="1" si="3"/>
        <v>0</v>
      </c>
      <c r="U9" s="39">
        <f t="shared" ca="1" si="3"/>
        <v>0</v>
      </c>
      <c r="V9" s="39">
        <f t="shared" ca="1" si="3"/>
        <v>0</v>
      </c>
      <c r="W9" s="39">
        <f t="shared" ca="1" si="3"/>
        <v>0</v>
      </c>
      <c r="X9" s="39">
        <f t="shared" ca="1" si="3"/>
        <v>0</v>
      </c>
      <c r="Y9" s="39">
        <f t="shared" ca="1" si="3"/>
        <v>0</v>
      </c>
      <c r="Z9" s="39">
        <f t="shared" ca="1" si="3"/>
        <v>0</v>
      </c>
    </row>
    <row r="10" spans="1:26">
      <c r="A10" s="39" t="s">
        <v>82</v>
      </c>
      <c r="B10" s="39">
        <f ca="1">B7+B8+B9</f>
        <v>-283.10939642670564</v>
      </c>
      <c r="C10" s="39">
        <f ca="1">C7+C8+C9</f>
        <v>-437.56535704514681</v>
      </c>
      <c r="D10" s="39">
        <f t="shared" ref="D10:Z10" ca="1" si="4">D7+D8+D9</f>
        <v>-462.52383519602154</v>
      </c>
      <c r="E10" s="39">
        <f t="shared" ca="1" si="4"/>
        <v>-376.03162749059891</v>
      </c>
      <c r="F10" s="39">
        <f t="shared" ca="1" si="4"/>
        <v>-193.63348992011993</v>
      </c>
      <c r="G10" s="39">
        <f t="shared" ca="1" si="4"/>
        <v>0</v>
      </c>
      <c r="H10" s="39">
        <f t="shared" ca="1" si="4"/>
        <v>0</v>
      </c>
      <c r="I10" s="39">
        <f t="shared" ca="1" si="4"/>
        <v>0</v>
      </c>
      <c r="J10" s="39">
        <f t="shared" ca="1" si="4"/>
        <v>0</v>
      </c>
      <c r="K10" s="39">
        <f t="shared" ca="1" si="4"/>
        <v>0</v>
      </c>
      <c r="L10" s="39">
        <f t="shared" ca="1" si="4"/>
        <v>0</v>
      </c>
      <c r="M10" s="39">
        <f t="shared" ca="1" si="4"/>
        <v>0</v>
      </c>
      <c r="N10" s="39">
        <f t="shared" ca="1" si="4"/>
        <v>0</v>
      </c>
      <c r="O10" s="39">
        <f t="shared" ca="1" si="4"/>
        <v>0</v>
      </c>
      <c r="P10" s="39">
        <f t="shared" ca="1" si="4"/>
        <v>0</v>
      </c>
      <c r="Q10" s="39">
        <f t="shared" ca="1" si="4"/>
        <v>0</v>
      </c>
      <c r="R10" s="39">
        <f t="shared" ca="1" si="4"/>
        <v>0</v>
      </c>
      <c r="S10" s="39">
        <f t="shared" ca="1" si="4"/>
        <v>0</v>
      </c>
      <c r="T10" s="39">
        <f t="shared" ca="1" si="4"/>
        <v>0</v>
      </c>
      <c r="U10" s="39">
        <f t="shared" ca="1" si="4"/>
        <v>0</v>
      </c>
      <c r="V10" s="39">
        <f t="shared" ca="1" si="4"/>
        <v>0</v>
      </c>
      <c r="W10" s="39">
        <f t="shared" ca="1" si="4"/>
        <v>0</v>
      </c>
      <c r="X10" s="39">
        <f t="shared" ca="1" si="4"/>
        <v>0</v>
      </c>
      <c r="Y10" s="39">
        <f t="shared" ca="1" si="4"/>
        <v>0</v>
      </c>
      <c r="Z10" s="39">
        <f t="shared" ca="1" si="4"/>
        <v>0</v>
      </c>
    </row>
    <row r="11" spans="1:26">
      <c r="A11" s="39" t="s">
        <v>89</v>
      </c>
      <c r="B11" s="39">
        <f ca="1">B6-B9</f>
        <v>-283.10939642670564</v>
      </c>
      <c r="C11" s="39">
        <f t="shared" ref="C11:Z11" ca="1" si="5">C6-C9</f>
        <v>-154.45596061844117</v>
      </c>
      <c r="D11" s="39">
        <f t="shared" ca="1" si="5"/>
        <v>-24.958478150874726</v>
      </c>
      <c r="E11" s="39">
        <f t="shared" ca="1" si="5"/>
        <v>0</v>
      </c>
      <c r="F11" s="39">
        <f t="shared" ca="1" si="5"/>
        <v>0</v>
      </c>
      <c r="G11" s="39">
        <f t="shared" ca="1" si="5"/>
        <v>71.52206530838464</v>
      </c>
      <c r="H11" s="39">
        <f t="shared" ca="1" si="5"/>
        <v>336.75122140246623</v>
      </c>
      <c r="I11" s="39">
        <f t="shared" ca="1" si="5"/>
        <v>398.81811972302256</v>
      </c>
      <c r="J11" s="39">
        <f t="shared" ca="1" si="5"/>
        <v>452.8246718763483</v>
      </c>
      <c r="K11" s="39">
        <f t="shared" ca="1" si="5"/>
        <v>499.96761847940274</v>
      </c>
      <c r="L11" s="39">
        <f t="shared" ca="1" si="5"/>
        <v>541.38138624916621</v>
      </c>
      <c r="M11" s="39">
        <f t="shared" ca="1" si="5"/>
        <v>577.62642723997851</v>
      </c>
      <c r="N11" s="39">
        <f t="shared" ca="1" si="5"/>
        <v>392.95119844441808</v>
      </c>
      <c r="O11" s="39">
        <f t="shared" ca="1" si="5"/>
        <v>397.64574670600155</v>
      </c>
      <c r="P11" s="39">
        <f t="shared" ca="1" si="5"/>
        <v>399.32675759995021</v>
      </c>
      <c r="Q11" s="39">
        <f t="shared" ca="1" si="5"/>
        <v>404.24332103964917</v>
      </c>
      <c r="R11" s="39">
        <f t="shared" ca="1" si="5"/>
        <v>414.79557069593199</v>
      </c>
      <c r="S11" s="39">
        <f t="shared" ca="1" si="5"/>
        <v>516.89061405021903</v>
      </c>
      <c r="T11" s="39">
        <f t="shared" ca="1" si="5"/>
        <v>525.89906907914838</v>
      </c>
      <c r="U11" s="39">
        <f t="shared" ca="1" si="5"/>
        <v>533.55625585373843</v>
      </c>
      <c r="V11" s="39">
        <f t="shared" ca="1" si="5"/>
        <v>540.06486461214001</v>
      </c>
      <c r="W11" s="39">
        <f t="shared" ca="1" si="5"/>
        <v>545.59718205678098</v>
      </c>
      <c r="X11" s="39">
        <f t="shared" ca="1" si="5"/>
        <v>550.29965188472625</v>
      </c>
      <c r="Y11" s="39">
        <f t="shared" ca="1" si="5"/>
        <v>554.29675123847915</v>
      </c>
      <c r="Z11" s="39">
        <f t="shared" ca="1" si="5"/>
        <v>557.69428568916965</v>
      </c>
    </row>
    <row r="12" spans="1:26" s="5" customFormat="1">
      <c r="A12" s="41" t="s">
        <v>83</v>
      </c>
      <c r="B12" s="41">
        <f ca="1">IF(B11&lt;=0,0,(B11)*Assumption!$D$65)</f>
        <v>0</v>
      </c>
      <c r="C12" s="41">
        <f ca="1">IF(C11&lt;=0,0,(C11)*Assumption!$D$65)</f>
        <v>0</v>
      </c>
      <c r="D12" s="41">
        <f ca="1">IF(D11&lt;=0,0,(D11)*Assumption!$D$65)</f>
        <v>0</v>
      </c>
      <c r="E12" s="41">
        <f ca="1">IF(E11&lt;=0,0,(E11)*Assumption!$D$65)</f>
        <v>0</v>
      </c>
      <c r="F12" s="41">
        <f ca="1">IF(F11&lt;=0,0,(F11)*Assumption!$D$65)</f>
        <v>0</v>
      </c>
      <c r="G12" s="41">
        <f ca="1">IF(G11&lt;=0,0,(G11)*Assumption!$D$65)</f>
        <v>24.310349998319943</v>
      </c>
      <c r="H12" s="41">
        <f ca="1">IF(H11&lt;=0,0,(H11)*Assumption!$D$65)</f>
        <v>114.46174015469828</v>
      </c>
      <c r="I12" s="41">
        <f ca="1">IF(I11&lt;=0,0,(I11)*Assumption!$D$65)</f>
        <v>135.55827889385537</v>
      </c>
      <c r="J12" s="41">
        <f ca="1">IF(J11&lt;=0,0,(J11)*Assumption!$D$65)</f>
        <v>153.91510597077081</v>
      </c>
      <c r="K12" s="41">
        <f ca="1">IF(K11&lt;=0,0,(K11)*Assumption!$D$65)</f>
        <v>169.938993521149</v>
      </c>
      <c r="L12" s="41">
        <f ca="1">IF(L11&lt;=0,0,(L11)*Assumption!$D$65)</f>
        <v>184.0155331860916</v>
      </c>
      <c r="M12" s="41">
        <f ca="1">IF(M11&lt;=0,0,(M11)*Assumption!$D$65)</f>
        <v>196.33522261886873</v>
      </c>
      <c r="N12" s="41">
        <f ca="1">IF(N11&lt;=0,0,(N11)*Assumption!$D$65)</f>
        <v>133.56411235125773</v>
      </c>
      <c r="O12" s="41">
        <f ca="1">IF(O11&lt;=0,0,(O11)*Assumption!$D$65)</f>
        <v>135.15978930536994</v>
      </c>
      <c r="P12" s="41">
        <f ca="1">IF(P11&lt;=0,0,(P11)*Assumption!$D$65)</f>
        <v>135.73116490822309</v>
      </c>
      <c r="Q12" s="41">
        <f ca="1">IF(Q11&lt;=0,0,(Q11)*Assumption!$D$65)</f>
        <v>137.40230482137676</v>
      </c>
      <c r="R12" s="41">
        <f ca="1">IF(R11&lt;=0,0,(R11)*Assumption!$D$65)</f>
        <v>140.98901447954731</v>
      </c>
      <c r="S12" s="41">
        <f ca="1">IF(S11&lt;=0,0,(S11)*Assumption!$D$65)</f>
        <v>175.69111971566946</v>
      </c>
      <c r="T12" s="41">
        <f ca="1">IF(T11&lt;=0,0,(T11)*Assumption!$D$65)</f>
        <v>178.75309358000254</v>
      </c>
      <c r="U12" s="41">
        <f ca="1">IF(U11&lt;=0,0,(U11)*Assumption!$D$65)</f>
        <v>181.35577136468572</v>
      </c>
      <c r="V12" s="41">
        <f ca="1">IF(V11&lt;=0,0,(V11)*Assumption!$D$65)</f>
        <v>183.56804748166641</v>
      </c>
      <c r="W12" s="41">
        <f ca="1">IF(W11&lt;=0,0,(W11)*Assumption!$D$65)</f>
        <v>185.44848218109988</v>
      </c>
      <c r="X12" s="41">
        <f ca="1">IF(X11&lt;=0,0,(X11)*Assumption!$D$65)</f>
        <v>187.04685167561848</v>
      </c>
      <c r="Y12" s="41">
        <f ca="1">IF(Y11&lt;=0,0,(Y11)*Assumption!$D$65)</f>
        <v>188.40546574595908</v>
      </c>
      <c r="Z12" s="41">
        <f ca="1">IF(Z11&lt;=0,0,(Z11)*Assumption!$D$65)</f>
        <v>189.56028770574878</v>
      </c>
    </row>
    <row r="13" spans="1:26" s="5" customFormat="1">
      <c r="A13" s="41"/>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4" spans="1:26" s="5" customFormat="1">
      <c r="A14" s="41" t="s">
        <v>200</v>
      </c>
      <c r="B14" s="88" t="str">
        <f ca="1">IF(OR(B11&lt;=0,B1&gt;$P$1),"N","Y")</f>
        <v>N</v>
      </c>
      <c r="C14" s="88" t="str">
        <f t="shared" ref="C14:Z14" ca="1" si="6">IF(OR(C11&lt;=0,C1&gt;$P$1),"N","Y")</f>
        <v>N</v>
      </c>
      <c r="D14" s="88" t="str">
        <f t="shared" ca="1" si="6"/>
        <v>N</v>
      </c>
      <c r="E14" s="88" t="str">
        <f t="shared" ca="1" si="6"/>
        <v>N</v>
      </c>
      <c r="F14" s="88" t="str">
        <f t="shared" ca="1" si="6"/>
        <v>N</v>
      </c>
      <c r="G14" s="88" t="str">
        <f t="shared" ca="1" si="6"/>
        <v>Y</v>
      </c>
      <c r="H14" s="88" t="str">
        <f t="shared" ca="1" si="6"/>
        <v>Y</v>
      </c>
      <c r="I14" s="88" t="str">
        <f t="shared" ca="1" si="6"/>
        <v>Y</v>
      </c>
      <c r="J14" s="88" t="str">
        <f t="shared" ca="1" si="6"/>
        <v>Y</v>
      </c>
      <c r="K14" s="88" t="str">
        <f t="shared" ca="1" si="6"/>
        <v>Y</v>
      </c>
      <c r="L14" s="88" t="str">
        <f t="shared" ca="1" si="6"/>
        <v>Y</v>
      </c>
      <c r="M14" s="88" t="str">
        <f t="shared" ca="1" si="6"/>
        <v>Y</v>
      </c>
      <c r="N14" s="88" t="str">
        <f t="shared" ca="1" si="6"/>
        <v>Y</v>
      </c>
      <c r="O14" s="88" t="str">
        <f t="shared" ca="1" si="6"/>
        <v>Y</v>
      </c>
      <c r="P14" s="88" t="str">
        <f t="shared" ca="1" si="6"/>
        <v>Y</v>
      </c>
      <c r="Q14" s="88" t="str">
        <f t="shared" ca="1" si="6"/>
        <v>N</v>
      </c>
      <c r="R14" s="88" t="str">
        <f t="shared" ca="1" si="6"/>
        <v>N</v>
      </c>
      <c r="S14" s="88" t="str">
        <f t="shared" ca="1" si="6"/>
        <v>N</v>
      </c>
      <c r="T14" s="88" t="str">
        <f t="shared" ca="1" si="6"/>
        <v>N</v>
      </c>
      <c r="U14" s="88" t="str">
        <f t="shared" ca="1" si="6"/>
        <v>N</v>
      </c>
      <c r="V14" s="88" t="str">
        <f t="shared" ca="1" si="6"/>
        <v>N</v>
      </c>
      <c r="W14" s="88" t="str">
        <f t="shared" ca="1" si="6"/>
        <v>N</v>
      </c>
      <c r="X14" s="88" t="str">
        <f t="shared" ca="1" si="6"/>
        <v>N</v>
      </c>
      <c r="Y14" s="88" t="str">
        <f t="shared" ca="1" si="6"/>
        <v>N</v>
      </c>
      <c r="Z14" s="88" t="str">
        <f t="shared" ca="1" si="6"/>
        <v>N</v>
      </c>
    </row>
    <row r="15" spans="1:26" s="5" customFormat="1">
      <c r="A15" s="41" t="s">
        <v>201</v>
      </c>
      <c r="B15" s="41">
        <f ca="1">IF(B14="Y",0,B12)</f>
        <v>0</v>
      </c>
      <c r="C15" s="41">
        <f t="shared" ref="C15:Z15" ca="1" si="7">IF(C14="Y",0,C12)</f>
        <v>0</v>
      </c>
      <c r="D15" s="41">
        <f t="shared" ca="1" si="7"/>
        <v>0</v>
      </c>
      <c r="E15" s="41">
        <f t="shared" ca="1" si="7"/>
        <v>0</v>
      </c>
      <c r="F15" s="41">
        <f t="shared" ca="1" si="7"/>
        <v>0</v>
      </c>
      <c r="G15" s="41">
        <f t="shared" ca="1" si="7"/>
        <v>0</v>
      </c>
      <c r="H15" s="41">
        <f t="shared" ca="1" si="7"/>
        <v>0</v>
      </c>
      <c r="I15" s="41">
        <f t="shared" ca="1" si="7"/>
        <v>0</v>
      </c>
      <c r="J15" s="41">
        <f t="shared" ca="1" si="7"/>
        <v>0</v>
      </c>
      <c r="K15" s="41">
        <f t="shared" ca="1" si="7"/>
        <v>0</v>
      </c>
      <c r="L15" s="41">
        <f t="shared" ca="1" si="7"/>
        <v>0</v>
      </c>
      <c r="M15" s="41">
        <f t="shared" ca="1" si="7"/>
        <v>0</v>
      </c>
      <c r="N15" s="41">
        <f t="shared" ca="1" si="7"/>
        <v>0</v>
      </c>
      <c r="O15" s="41">
        <f t="shared" ca="1" si="7"/>
        <v>0</v>
      </c>
      <c r="P15" s="41">
        <f t="shared" ca="1" si="7"/>
        <v>0</v>
      </c>
      <c r="Q15" s="41">
        <f t="shared" ca="1" si="7"/>
        <v>137.40230482137676</v>
      </c>
      <c r="R15" s="41">
        <f t="shared" ca="1" si="7"/>
        <v>140.98901447954731</v>
      </c>
      <c r="S15" s="41">
        <f t="shared" ca="1" si="7"/>
        <v>175.69111971566946</v>
      </c>
      <c r="T15" s="41">
        <f t="shared" ca="1" si="7"/>
        <v>178.75309358000254</v>
      </c>
      <c r="U15" s="41">
        <f t="shared" ca="1" si="7"/>
        <v>181.35577136468572</v>
      </c>
      <c r="V15" s="41">
        <f t="shared" ca="1" si="7"/>
        <v>183.56804748166641</v>
      </c>
      <c r="W15" s="41">
        <f t="shared" ca="1" si="7"/>
        <v>185.44848218109988</v>
      </c>
      <c r="X15" s="41">
        <f t="shared" ca="1" si="7"/>
        <v>187.04685167561848</v>
      </c>
      <c r="Y15" s="41">
        <f t="shared" ca="1" si="7"/>
        <v>188.40546574595908</v>
      </c>
      <c r="Z15" s="41">
        <f t="shared" ca="1" si="7"/>
        <v>189.56028770574878</v>
      </c>
    </row>
    <row r="16" spans="1:26" s="5" customFormat="1">
      <c r="A16" s="41"/>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c r="A17" s="39" t="s">
        <v>90</v>
      </c>
      <c r="B17" s="39"/>
      <c r="C17" s="39"/>
      <c r="D17" s="39"/>
      <c r="E17" s="39"/>
      <c r="F17" s="39"/>
      <c r="G17" s="39"/>
      <c r="H17" s="39"/>
      <c r="I17" s="39"/>
      <c r="J17" s="39"/>
      <c r="K17" s="39"/>
      <c r="L17" s="39"/>
      <c r="M17" s="39"/>
      <c r="N17" s="39"/>
      <c r="O17" s="39"/>
      <c r="P17" s="39"/>
      <c r="Q17" s="39"/>
      <c r="R17" s="39"/>
      <c r="S17" s="39"/>
      <c r="T17" s="39"/>
      <c r="U17" s="39"/>
      <c r="V17" s="39"/>
      <c r="W17" s="39"/>
      <c r="X17" s="39"/>
      <c r="Y17" s="39"/>
      <c r="Z17" s="39"/>
    </row>
    <row r="18" spans="1:26">
      <c r="A18" s="39" t="s">
        <v>75</v>
      </c>
      <c r="B18" s="39">
        <f ca="1">B2</f>
        <v>334.42077480617104</v>
      </c>
      <c r="C18" s="39">
        <f t="shared" ref="C18:Z18" ca="1" si="8">C2</f>
        <v>319.42216438155884</v>
      </c>
      <c r="D18" s="39">
        <f t="shared" ca="1" si="8"/>
        <v>327.59542809912529</v>
      </c>
      <c r="E18" s="39">
        <f t="shared" ca="1" si="8"/>
        <v>335.92052801792266</v>
      </c>
      <c r="F18" s="39">
        <f t="shared" ca="1" si="8"/>
        <v>344.169709836104</v>
      </c>
      <c r="G18" s="39">
        <f t="shared" ca="1" si="8"/>
        <v>352.4188916542858</v>
      </c>
      <c r="H18" s="39">
        <f t="shared" ca="1" si="8"/>
        <v>360.68255736438033</v>
      </c>
      <c r="I18" s="39">
        <f t="shared" ca="1" si="8"/>
        <v>368.91725529064951</v>
      </c>
      <c r="J18" s="39">
        <f t="shared" ca="1" si="8"/>
        <v>377.16643710883119</v>
      </c>
      <c r="K18" s="39">
        <f t="shared" ca="1" si="8"/>
        <v>385.41561892701321</v>
      </c>
      <c r="L18" s="39">
        <f t="shared" ca="1" si="8"/>
        <v>393.76968662963515</v>
      </c>
      <c r="M18" s="39">
        <f t="shared" ca="1" si="8"/>
        <v>401.91398256337703</v>
      </c>
      <c r="N18" s="39">
        <f t="shared" ca="1" si="8"/>
        <v>193.35312046930693</v>
      </c>
      <c r="O18" s="39">
        <f t="shared" ca="1" si="8"/>
        <v>177.74488042715706</v>
      </c>
      <c r="P18" s="39">
        <f t="shared" ca="1" si="8"/>
        <v>162.16852126293236</v>
      </c>
      <c r="Q18" s="39">
        <f t="shared" ca="1" si="8"/>
        <v>152.41632015318402</v>
      </c>
      <c r="R18" s="39">
        <f t="shared" ca="1" si="8"/>
        <v>150.50011994243658</v>
      </c>
      <c r="S18" s="39">
        <f t="shared" ca="1" si="8"/>
        <v>241.99698090974795</v>
      </c>
      <c r="T18" s="39">
        <f t="shared" ca="1" si="8"/>
        <v>261.3793096768693</v>
      </c>
      <c r="U18" s="39">
        <f t="shared" ca="1" si="8"/>
        <v>576.94698090974805</v>
      </c>
      <c r="V18" s="39">
        <f t="shared" ca="1" si="8"/>
        <v>576.94698090974816</v>
      </c>
      <c r="W18" s="39">
        <f t="shared" ca="1" si="8"/>
        <v>576.94698090974794</v>
      </c>
      <c r="X18" s="39">
        <f t="shared" ca="1" si="8"/>
        <v>576.94698090974816</v>
      </c>
      <c r="Y18" s="39">
        <f t="shared" ca="1" si="8"/>
        <v>576.94698090974782</v>
      </c>
      <c r="Z18" s="39">
        <f t="shared" ca="1" si="8"/>
        <v>576.94698090974794</v>
      </c>
    </row>
    <row r="19" spans="1:26" s="5" customFormat="1">
      <c r="A19" s="41" t="s">
        <v>84</v>
      </c>
      <c r="B19" s="41">
        <f ca="1">B18*Assumption!$D$66</f>
        <v>56.834810678308777</v>
      </c>
      <c r="C19" s="41">
        <f ca="1">C18*Assumption!$D$66</f>
        <v>54.285796836645929</v>
      </c>
      <c r="D19" s="41">
        <f ca="1">D18*Assumption!$D$66</f>
        <v>55.674843005446348</v>
      </c>
      <c r="E19" s="41">
        <f ca="1">E18*Assumption!$D$66</f>
        <v>57.089693736645962</v>
      </c>
      <c r="F19" s="41">
        <f ca="1">F18*Assumption!$D$66</f>
        <v>58.491642186645883</v>
      </c>
      <c r="G19" s="41">
        <f ca="1">G18*Assumption!$D$66</f>
        <v>59.893590636645875</v>
      </c>
      <c r="H19" s="41">
        <f ca="1">H18*Assumption!$D$66</f>
        <v>61.298000624076444</v>
      </c>
      <c r="I19" s="41">
        <f ca="1">I18*Assumption!$D$66</f>
        <v>62.697487536645887</v>
      </c>
      <c r="J19" s="41">
        <f ca="1">J18*Assumption!$D$66</f>
        <v>64.099435986645872</v>
      </c>
      <c r="K19" s="41">
        <f ca="1">K18*Assumption!$D$66</f>
        <v>65.501384436645907</v>
      </c>
      <c r="L19" s="41">
        <f ca="1">L18*Assumption!$D$66</f>
        <v>66.921158242706497</v>
      </c>
      <c r="M19" s="41">
        <f ca="1">M18*Assumption!$D$66</f>
        <v>68.305281336645933</v>
      </c>
      <c r="N19" s="41">
        <f ca="1">N18*Assumption!$D$66</f>
        <v>32.860362823758713</v>
      </c>
      <c r="O19" s="41">
        <f ca="1">O18*Assumption!$D$66</f>
        <v>30.207742428595346</v>
      </c>
      <c r="P19" s="41">
        <f ca="1">P18*Assumption!$D$66</f>
        <v>27.560540188635358</v>
      </c>
      <c r="Q19" s="41">
        <f ca="1">Q18*Assumption!$D$66</f>
        <v>25.903153610033627</v>
      </c>
      <c r="R19" s="41">
        <f ca="1">R18*Assumption!$D$66</f>
        <v>25.577495384217102</v>
      </c>
      <c r="S19" s="41">
        <f ca="1">S18*Assumption!$D$66</f>
        <v>41.127386905611665</v>
      </c>
      <c r="T19" s="41">
        <f ca="1">T18*Assumption!$D$66</f>
        <v>44.421413679583942</v>
      </c>
      <c r="U19" s="41">
        <f ca="1">U18*Assumption!$D$66</f>
        <v>98.052139405611697</v>
      </c>
      <c r="V19" s="41">
        <f ca="1">V18*Assumption!$D$66</f>
        <v>98.052139405611712</v>
      </c>
      <c r="W19" s="41">
        <f ca="1">W18*Assumption!$D$66</f>
        <v>98.052139405611669</v>
      </c>
      <c r="X19" s="41">
        <f ca="1">X18*Assumption!$D$66</f>
        <v>98.052139405611712</v>
      </c>
      <c r="Y19" s="41">
        <f ca="1">Y18*Assumption!$D$66</f>
        <v>98.052139405611655</v>
      </c>
      <c r="Z19" s="41">
        <f ca="1">Z18*Assumption!$D$66</f>
        <v>98.052139405611669</v>
      </c>
    </row>
    <row r="20" spans="1:26" s="43" customFormat="1">
      <c r="A20" s="42" t="s">
        <v>91</v>
      </c>
      <c r="B20" s="42">
        <f ca="1">MAX(B19,B15)</f>
        <v>56.834810678308777</v>
      </c>
      <c r="C20" s="42">
        <f t="shared" ref="C20:Z20" ca="1" si="9">MAX(C19,C15)</f>
        <v>54.285796836645929</v>
      </c>
      <c r="D20" s="42">
        <f t="shared" ca="1" si="9"/>
        <v>55.674843005446348</v>
      </c>
      <c r="E20" s="42">
        <f t="shared" ca="1" si="9"/>
        <v>57.089693736645962</v>
      </c>
      <c r="F20" s="42">
        <f t="shared" ca="1" si="9"/>
        <v>58.491642186645883</v>
      </c>
      <c r="G20" s="42">
        <f t="shared" ca="1" si="9"/>
        <v>59.893590636645875</v>
      </c>
      <c r="H20" s="42">
        <f t="shared" ca="1" si="9"/>
        <v>61.298000624076444</v>
      </c>
      <c r="I20" s="42">
        <f t="shared" ca="1" si="9"/>
        <v>62.697487536645887</v>
      </c>
      <c r="J20" s="42">
        <f t="shared" ca="1" si="9"/>
        <v>64.099435986645872</v>
      </c>
      <c r="K20" s="42">
        <f t="shared" ca="1" si="9"/>
        <v>65.501384436645907</v>
      </c>
      <c r="L20" s="42">
        <f t="shared" ca="1" si="9"/>
        <v>66.921158242706497</v>
      </c>
      <c r="M20" s="42">
        <f t="shared" ca="1" si="9"/>
        <v>68.305281336645933</v>
      </c>
      <c r="N20" s="42">
        <f t="shared" ca="1" si="9"/>
        <v>32.860362823758713</v>
      </c>
      <c r="O20" s="42">
        <f t="shared" ca="1" si="9"/>
        <v>30.207742428595346</v>
      </c>
      <c r="P20" s="42">
        <f t="shared" ca="1" si="9"/>
        <v>27.560540188635358</v>
      </c>
      <c r="Q20" s="42">
        <f t="shared" ca="1" si="9"/>
        <v>137.40230482137676</v>
      </c>
      <c r="R20" s="42">
        <f t="shared" ca="1" si="9"/>
        <v>140.98901447954731</v>
      </c>
      <c r="S20" s="42">
        <f t="shared" ca="1" si="9"/>
        <v>175.69111971566946</v>
      </c>
      <c r="T20" s="42">
        <f t="shared" ca="1" si="9"/>
        <v>178.75309358000254</v>
      </c>
      <c r="U20" s="42">
        <f t="shared" ca="1" si="9"/>
        <v>181.35577136468572</v>
      </c>
      <c r="V20" s="42">
        <f t="shared" ca="1" si="9"/>
        <v>183.56804748166641</v>
      </c>
      <c r="W20" s="42">
        <f t="shared" ca="1" si="9"/>
        <v>185.44848218109988</v>
      </c>
      <c r="X20" s="42">
        <f t="shared" ca="1" si="9"/>
        <v>187.04685167561848</v>
      </c>
      <c r="Y20" s="42">
        <f t="shared" ca="1" si="9"/>
        <v>188.40546574595908</v>
      </c>
      <c r="Z20" s="42">
        <f t="shared" ca="1" si="9"/>
        <v>189.56028770574878</v>
      </c>
    </row>
    <row r="21" spans="1:26" s="46" customFormat="1">
      <c r="A21" s="44" t="s">
        <v>76</v>
      </c>
      <c r="B21" s="45" t="str">
        <f t="shared" ref="B21:Z21" ca="1" si="10">IF(B20=B19, "MAT", "Normal Tax")</f>
        <v>MAT</v>
      </c>
      <c r="C21" s="45" t="str">
        <f t="shared" ca="1" si="10"/>
        <v>MAT</v>
      </c>
      <c r="D21" s="45" t="str">
        <f t="shared" ca="1" si="10"/>
        <v>MAT</v>
      </c>
      <c r="E21" s="45" t="str">
        <f t="shared" ca="1" si="10"/>
        <v>MAT</v>
      </c>
      <c r="F21" s="45" t="str">
        <f t="shared" ca="1" si="10"/>
        <v>MAT</v>
      </c>
      <c r="G21" s="45" t="str">
        <f t="shared" ca="1" si="10"/>
        <v>MAT</v>
      </c>
      <c r="H21" s="45" t="str">
        <f t="shared" ca="1" si="10"/>
        <v>MAT</v>
      </c>
      <c r="I21" s="45" t="str">
        <f t="shared" ca="1" si="10"/>
        <v>MAT</v>
      </c>
      <c r="J21" s="45" t="str">
        <f t="shared" ca="1" si="10"/>
        <v>MAT</v>
      </c>
      <c r="K21" s="45" t="str">
        <f t="shared" ca="1" si="10"/>
        <v>MAT</v>
      </c>
      <c r="L21" s="45" t="str">
        <f t="shared" ca="1" si="10"/>
        <v>MAT</v>
      </c>
      <c r="M21" s="45" t="str">
        <f t="shared" ca="1" si="10"/>
        <v>MAT</v>
      </c>
      <c r="N21" s="45" t="str">
        <f t="shared" ca="1" si="10"/>
        <v>MAT</v>
      </c>
      <c r="O21" s="45" t="str">
        <f t="shared" ca="1" si="10"/>
        <v>MAT</v>
      </c>
      <c r="P21" s="45" t="str">
        <f t="shared" ca="1" si="10"/>
        <v>MAT</v>
      </c>
      <c r="Q21" s="45" t="str">
        <f t="shared" ca="1" si="10"/>
        <v>Normal Tax</v>
      </c>
      <c r="R21" s="45" t="str">
        <f t="shared" ca="1" si="10"/>
        <v>Normal Tax</v>
      </c>
      <c r="S21" s="45" t="str">
        <f t="shared" ca="1" si="10"/>
        <v>Normal Tax</v>
      </c>
      <c r="T21" s="45" t="str">
        <f t="shared" ca="1" si="10"/>
        <v>Normal Tax</v>
      </c>
      <c r="U21" s="45" t="str">
        <f t="shared" ca="1" si="10"/>
        <v>Normal Tax</v>
      </c>
      <c r="V21" s="45" t="str">
        <f t="shared" ca="1" si="10"/>
        <v>Normal Tax</v>
      </c>
      <c r="W21" s="45" t="str">
        <f t="shared" ca="1" si="10"/>
        <v>Normal Tax</v>
      </c>
      <c r="X21" s="45" t="str">
        <f t="shared" ca="1" si="10"/>
        <v>Normal Tax</v>
      </c>
      <c r="Y21" s="45" t="str">
        <f t="shared" ca="1" si="10"/>
        <v>Normal Tax</v>
      </c>
      <c r="Z21" s="45" t="str">
        <f t="shared" ca="1" si="10"/>
        <v>Normal Tax</v>
      </c>
    </row>
    <row r="22" spans="1:26" s="43" customFormat="1">
      <c r="A22" s="42" t="s">
        <v>179</v>
      </c>
      <c r="B22" s="42">
        <f ca="1">IF(B20=B19,(B19-B15),0)</f>
        <v>56.834810678308777</v>
      </c>
      <c r="C22" s="42">
        <f t="shared" ref="C22:Z22" ca="1" si="11">IF(C20=C19,(C19-C15),0)</f>
        <v>54.285796836645929</v>
      </c>
      <c r="D22" s="42">
        <f t="shared" ca="1" si="11"/>
        <v>55.674843005446348</v>
      </c>
      <c r="E22" s="42">
        <f t="shared" ca="1" si="11"/>
        <v>57.089693736645962</v>
      </c>
      <c r="F22" s="42">
        <f t="shared" ca="1" si="11"/>
        <v>58.491642186645883</v>
      </c>
      <c r="G22" s="42">
        <f t="shared" ca="1" si="11"/>
        <v>59.893590636645875</v>
      </c>
      <c r="H22" s="42">
        <f t="shared" ca="1" si="11"/>
        <v>61.298000624076444</v>
      </c>
      <c r="I22" s="42">
        <f t="shared" ca="1" si="11"/>
        <v>62.697487536645887</v>
      </c>
      <c r="J22" s="42">
        <f t="shared" ca="1" si="11"/>
        <v>64.099435986645872</v>
      </c>
      <c r="K22" s="42">
        <f t="shared" ca="1" si="11"/>
        <v>65.501384436645907</v>
      </c>
      <c r="L22" s="42">
        <f t="shared" ca="1" si="11"/>
        <v>66.921158242706497</v>
      </c>
      <c r="M22" s="42">
        <f t="shared" ca="1" si="11"/>
        <v>68.305281336645933</v>
      </c>
      <c r="N22" s="42">
        <f t="shared" ca="1" si="11"/>
        <v>32.860362823758713</v>
      </c>
      <c r="O22" s="42">
        <f t="shared" ca="1" si="11"/>
        <v>30.207742428595346</v>
      </c>
      <c r="P22" s="42">
        <f t="shared" ca="1" si="11"/>
        <v>27.560540188635358</v>
      </c>
      <c r="Q22" s="42">
        <f t="shared" ca="1" si="11"/>
        <v>0</v>
      </c>
      <c r="R22" s="42">
        <f t="shared" ca="1" si="11"/>
        <v>0</v>
      </c>
      <c r="S22" s="42">
        <f t="shared" ca="1" si="11"/>
        <v>0</v>
      </c>
      <c r="T22" s="42">
        <f t="shared" ca="1" si="11"/>
        <v>0</v>
      </c>
      <c r="U22" s="42">
        <f t="shared" ca="1" si="11"/>
        <v>0</v>
      </c>
      <c r="V22" s="42">
        <f t="shared" ca="1" si="11"/>
        <v>0</v>
      </c>
      <c r="W22" s="42">
        <f t="shared" ca="1" si="11"/>
        <v>0</v>
      </c>
      <c r="X22" s="42">
        <f t="shared" ca="1" si="11"/>
        <v>0</v>
      </c>
      <c r="Y22" s="42">
        <f t="shared" ca="1" si="11"/>
        <v>0</v>
      </c>
      <c r="Z22" s="42">
        <f t="shared" ca="1" si="11"/>
        <v>0</v>
      </c>
    </row>
    <row r="23" spans="1:26" s="43" customFormat="1">
      <c r="A23" s="42" t="s">
        <v>77</v>
      </c>
      <c r="B23" s="89">
        <f>DATE(YEAR(B1)+7,MONTH(B1),DAY(B1))</f>
        <v>44286</v>
      </c>
      <c r="C23" s="89">
        <f t="shared" ref="C23:Z23" si="12">DATE(YEAR(C1)+7,MONTH(C1),DAY(C1))</f>
        <v>44651</v>
      </c>
      <c r="D23" s="89">
        <f t="shared" si="12"/>
        <v>45016</v>
      </c>
      <c r="E23" s="89">
        <f t="shared" si="12"/>
        <v>45382</v>
      </c>
      <c r="F23" s="89">
        <f t="shared" si="12"/>
        <v>45747</v>
      </c>
      <c r="G23" s="89">
        <f t="shared" si="12"/>
        <v>46112</v>
      </c>
      <c r="H23" s="89">
        <f t="shared" si="12"/>
        <v>46477</v>
      </c>
      <c r="I23" s="89">
        <f t="shared" si="12"/>
        <v>46843</v>
      </c>
      <c r="J23" s="89">
        <f t="shared" si="12"/>
        <v>47208</v>
      </c>
      <c r="K23" s="89">
        <f t="shared" si="12"/>
        <v>47573</v>
      </c>
      <c r="L23" s="89">
        <f t="shared" si="12"/>
        <v>47938</v>
      </c>
      <c r="M23" s="89">
        <f t="shared" si="12"/>
        <v>48304</v>
      </c>
      <c r="N23" s="89">
        <f t="shared" si="12"/>
        <v>48669</v>
      </c>
      <c r="O23" s="89">
        <f t="shared" si="12"/>
        <v>49034</v>
      </c>
      <c r="P23" s="89">
        <f t="shared" si="12"/>
        <v>49399</v>
      </c>
      <c r="Q23" s="89">
        <f t="shared" si="12"/>
        <v>49765</v>
      </c>
      <c r="R23" s="89">
        <f t="shared" si="12"/>
        <v>50130</v>
      </c>
      <c r="S23" s="89">
        <f t="shared" si="12"/>
        <v>50495</v>
      </c>
      <c r="T23" s="89">
        <f t="shared" si="12"/>
        <v>50860</v>
      </c>
      <c r="U23" s="89">
        <f t="shared" si="12"/>
        <v>51226</v>
      </c>
      <c r="V23" s="89">
        <f t="shared" si="12"/>
        <v>51591</v>
      </c>
      <c r="W23" s="89">
        <f t="shared" si="12"/>
        <v>51956</v>
      </c>
      <c r="X23" s="89">
        <f t="shared" si="12"/>
        <v>52321</v>
      </c>
      <c r="Y23" s="89">
        <f t="shared" si="12"/>
        <v>52687</v>
      </c>
      <c r="Z23" s="89">
        <f t="shared" si="12"/>
        <v>53052</v>
      </c>
    </row>
    <row r="24" spans="1:26" s="91" customFormat="1">
      <c r="A24" s="42" t="s">
        <v>180</v>
      </c>
      <c r="B24" s="90" t="str">
        <f ca="1">IF(B20=B15, "Yes", "No")</f>
        <v>No</v>
      </c>
      <c r="C24" s="90" t="str">
        <f t="shared" ref="C24:Z24" ca="1" si="13">IF(C20=C15, "Yes", "No")</f>
        <v>No</v>
      </c>
      <c r="D24" s="90" t="str">
        <f t="shared" ca="1" si="13"/>
        <v>No</v>
      </c>
      <c r="E24" s="90" t="str">
        <f t="shared" ca="1" si="13"/>
        <v>No</v>
      </c>
      <c r="F24" s="90" t="str">
        <f t="shared" ca="1" si="13"/>
        <v>No</v>
      </c>
      <c r="G24" s="90" t="str">
        <f t="shared" ca="1" si="13"/>
        <v>No</v>
      </c>
      <c r="H24" s="90" t="str">
        <f t="shared" ca="1" si="13"/>
        <v>No</v>
      </c>
      <c r="I24" s="90" t="str">
        <f t="shared" ca="1" si="13"/>
        <v>No</v>
      </c>
      <c r="J24" s="90" t="str">
        <f t="shared" ca="1" si="13"/>
        <v>No</v>
      </c>
      <c r="K24" s="90" t="str">
        <f t="shared" ca="1" si="13"/>
        <v>No</v>
      </c>
      <c r="L24" s="90" t="str">
        <f t="shared" ca="1" si="13"/>
        <v>No</v>
      </c>
      <c r="M24" s="90" t="str">
        <f t="shared" ca="1" si="13"/>
        <v>No</v>
      </c>
      <c r="N24" s="90" t="str">
        <f t="shared" ca="1" si="13"/>
        <v>No</v>
      </c>
      <c r="O24" s="90" t="str">
        <f t="shared" ca="1" si="13"/>
        <v>No</v>
      </c>
      <c r="P24" s="90" t="str">
        <f t="shared" ca="1" si="13"/>
        <v>No</v>
      </c>
      <c r="Q24" s="90" t="str">
        <f t="shared" ca="1" si="13"/>
        <v>Yes</v>
      </c>
      <c r="R24" s="90" t="str">
        <f t="shared" ca="1" si="13"/>
        <v>Yes</v>
      </c>
      <c r="S24" s="90" t="str">
        <f t="shared" ca="1" si="13"/>
        <v>Yes</v>
      </c>
      <c r="T24" s="90" t="str">
        <f t="shared" ca="1" si="13"/>
        <v>Yes</v>
      </c>
      <c r="U24" s="90" t="str">
        <f t="shared" ca="1" si="13"/>
        <v>Yes</v>
      </c>
      <c r="V24" s="90" t="str">
        <f t="shared" ca="1" si="13"/>
        <v>Yes</v>
      </c>
      <c r="W24" s="90" t="str">
        <f t="shared" ca="1" si="13"/>
        <v>Yes</v>
      </c>
      <c r="X24" s="90" t="str">
        <f t="shared" ca="1" si="13"/>
        <v>Yes</v>
      </c>
      <c r="Y24" s="90" t="str">
        <f t="shared" ca="1" si="13"/>
        <v>Yes</v>
      </c>
      <c r="Z24" s="90" t="str">
        <f t="shared" ca="1" si="13"/>
        <v>Yes</v>
      </c>
    </row>
    <row r="25" spans="1:26" s="43" customFormat="1">
      <c r="A25" s="42" t="s">
        <v>78</v>
      </c>
      <c r="B25" s="42">
        <f ca="1">IF(B21="MAT",0,(B15-B19))</f>
        <v>0</v>
      </c>
      <c r="C25" s="42">
        <f t="shared" ref="C25:Z25" ca="1" si="14">IF(C21="MAT",0,(C15-C19))</f>
        <v>0</v>
      </c>
      <c r="D25" s="42">
        <f t="shared" ca="1" si="14"/>
        <v>0</v>
      </c>
      <c r="E25" s="42">
        <f t="shared" ca="1" si="14"/>
        <v>0</v>
      </c>
      <c r="F25" s="42">
        <f t="shared" ca="1" si="14"/>
        <v>0</v>
      </c>
      <c r="G25" s="42">
        <f t="shared" ca="1" si="14"/>
        <v>0</v>
      </c>
      <c r="H25" s="42">
        <f t="shared" ca="1" si="14"/>
        <v>0</v>
      </c>
      <c r="I25" s="42">
        <f t="shared" ca="1" si="14"/>
        <v>0</v>
      </c>
      <c r="J25" s="42">
        <f t="shared" ca="1" si="14"/>
        <v>0</v>
      </c>
      <c r="K25" s="42">
        <f t="shared" ca="1" si="14"/>
        <v>0</v>
      </c>
      <c r="L25" s="42">
        <f t="shared" ca="1" si="14"/>
        <v>0</v>
      </c>
      <c r="M25" s="42">
        <f t="shared" ca="1" si="14"/>
        <v>0</v>
      </c>
      <c r="N25" s="42">
        <f t="shared" ca="1" si="14"/>
        <v>0</v>
      </c>
      <c r="O25" s="42">
        <f t="shared" ca="1" si="14"/>
        <v>0</v>
      </c>
      <c r="P25" s="42">
        <f t="shared" ca="1" si="14"/>
        <v>0</v>
      </c>
      <c r="Q25" s="42">
        <f t="shared" ca="1" si="14"/>
        <v>111.49915121134313</v>
      </c>
      <c r="R25" s="42">
        <f t="shared" ca="1" si="14"/>
        <v>115.41151909533021</v>
      </c>
      <c r="S25" s="42">
        <f t="shared" ca="1" si="14"/>
        <v>134.56373281005779</v>
      </c>
      <c r="T25" s="42">
        <f t="shared" ca="1" si="14"/>
        <v>134.33167990041861</v>
      </c>
      <c r="U25" s="42">
        <f t="shared" ca="1" si="14"/>
        <v>83.303631959074025</v>
      </c>
      <c r="V25" s="42">
        <f t="shared" ca="1" si="14"/>
        <v>85.5159080760547</v>
      </c>
      <c r="W25" s="42">
        <f t="shared" ca="1" si="14"/>
        <v>87.396342775488208</v>
      </c>
      <c r="X25" s="42">
        <f t="shared" ca="1" si="14"/>
        <v>88.994712270006772</v>
      </c>
      <c r="Y25" s="42">
        <f t="shared" ca="1" si="14"/>
        <v>90.353326340347422</v>
      </c>
      <c r="Z25" s="42">
        <f t="shared" ca="1" si="14"/>
        <v>91.508148300137108</v>
      </c>
    </row>
    <row r="26" spans="1:26" s="47" customFormat="1">
      <c r="A26" s="39" t="s">
        <v>181</v>
      </c>
      <c r="B26" s="44">
        <v>0</v>
      </c>
      <c r="C26" s="44">
        <f t="shared" ref="C26:Z26" ca="1" si="15">B31</f>
        <v>56.834810678308777</v>
      </c>
      <c r="D26" s="44">
        <f t="shared" ca="1" si="15"/>
        <v>111.12060751495471</v>
      </c>
      <c r="E26" s="44">
        <f t="shared" ca="1" si="15"/>
        <v>166.79545052040106</v>
      </c>
      <c r="F26" s="44">
        <f t="shared" ca="1" si="15"/>
        <v>223.88514425704702</v>
      </c>
      <c r="G26" s="44">
        <f t="shared" ca="1" si="15"/>
        <v>282.37678644369288</v>
      </c>
      <c r="H26" s="44">
        <f t="shared" ca="1" si="15"/>
        <v>342.27037708033873</v>
      </c>
      <c r="I26" s="44">
        <f t="shared" ca="1" si="15"/>
        <v>403.56837770441518</v>
      </c>
      <c r="J26" s="44">
        <f t="shared" ca="1" si="15"/>
        <v>409.43105456275231</v>
      </c>
      <c r="K26" s="44">
        <f t="shared" ca="1" si="15"/>
        <v>419.24469371275222</v>
      </c>
      <c r="L26" s="44">
        <f t="shared" ca="1" si="15"/>
        <v>429.07123514395181</v>
      </c>
      <c r="M26" s="44">
        <f t="shared" ca="1" si="15"/>
        <v>438.90269965001232</v>
      </c>
      <c r="N26" s="44">
        <f t="shared" ca="1" si="15"/>
        <v>448.71633880001241</v>
      </c>
      <c r="O26" s="44">
        <f t="shared" ca="1" si="15"/>
        <v>421.68311098712525</v>
      </c>
      <c r="P26" s="44">
        <f t="shared" ca="1" si="15"/>
        <v>390.59285279164413</v>
      </c>
      <c r="Q26" s="44">
        <f t="shared" ca="1" si="15"/>
        <v>355.45590544363358</v>
      </c>
      <c r="R26" s="44">
        <f t="shared" ca="1" si="15"/>
        <v>243.95675423229045</v>
      </c>
      <c r="S26" s="44">
        <f t="shared" ca="1" si="15"/>
        <v>128.54523513696023</v>
      </c>
      <c r="T26" s="44">
        <f t="shared" ca="1" si="15"/>
        <v>0</v>
      </c>
      <c r="U26" s="44">
        <f t="shared" ca="1" si="15"/>
        <v>0</v>
      </c>
      <c r="V26" s="44">
        <f t="shared" ca="1" si="15"/>
        <v>0</v>
      </c>
      <c r="W26" s="44">
        <f t="shared" ca="1" si="15"/>
        <v>0</v>
      </c>
      <c r="X26" s="44">
        <f t="shared" ca="1" si="15"/>
        <v>0</v>
      </c>
      <c r="Y26" s="44">
        <f t="shared" ca="1" si="15"/>
        <v>0</v>
      </c>
      <c r="Z26" s="44">
        <f t="shared" ca="1" si="15"/>
        <v>0</v>
      </c>
    </row>
    <row r="27" spans="1:26" s="47" customFormat="1">
      <c r="A27" s="39" t="s">
        <v>182</v>
      </c>
      <c r="B27" s="44">
        <f t="shared" ref="B27:Z27" ca="1" si="16">B22</f>
        <v>56.834810678308777</v>
      </c>
      <c r="C27" s="44">
        <f t="shared" ca="1" si="16"/>
        <v>54.285796836645929</v>
      </c>
      <c r="D27" s="44">
        <f t="shared" ca="1" si="16"/>
        <v>55.674843005446348</v>
      </c>
      <c r="E27" s="44">
        <f t="shared" ca="1" si="16"/>
        <v>57.089693736645962</v>
      </c>
      <c r="F27" s="44">
        <f t="shared" ca="1" si="16"/>
        <v>58.491642186645883</v>
      </c>
      <c r="G27" s="44">
        <f t="shared" ca="1" si="16"/>
        <v>59.893590636645875</v>
      </c>
      <c r="H27" s="44">
        <f t="shared" ca="1" si="16"/>
        <v>61.298000624076444</v>
      </c>
      <c r="I27" s="44">
        <f t="shared" ca="1" si="16"/>
        <v>62.697487536645887</v>
      </c>
      <c r="J27" s="44">
        <f t="shared" ca="1" si="16"/>
        <v>64.099435986645872</v>
      </c>
      <c r="K27" s="44">
        <f t="shared" ca="1" si="16"/>
        <v>65.501384436645907</v>
      </c>
      <c r="L27" s="44">
        <f t="shared" ca="1" si="16"/>
        <v>66.921158242706497</v>
      </c>
      <c r="M27" s="44">
        <f t="shared" ca="1" si="16"/>
        <v>68.305281336645933</v>
      </c>
      <c r="N27" s="44">
        <f t="shared" ca="1" si="16"/>
        <v>32.860362823758713</v>
      </c>
      <c r="O27" s="44">
        <f t="shared" ca="1" si="16"/>
        <v>30.207742428595346</v>
      </c>
      <c r="P27" s="44">
        <f t="shared" ca="1" si="16"/>
        <v>27.560540188635358</v>
      </c>
      <c r="Q27" s="44">
        <f t="shared" ca="1" si="16"/>
        <v>0</v>
      </c>
      <c r="R27" s="44">
        <f t="shared" ca="1" si="16"/>
        <v>0</v>
      </c>
      <c r="S27" s="44">
        <f t="shared" ca="1" si="16"/>
        <v>0</v>
      </c>
      <c r="T27" s="44">
        <f t="shared" ca="1" si="16"/>
        <v>0</v>
      </c>
      <c r="U27" s="44">
        <f t="shared" ca="1" si="16"/>
        <v>0</v>
      </c>
      <c r="V27" s="44">
        <f t="shared" ca="1" si="16"/>
        <v>0</v>
      </c>
      <c r="W27" s="44">
        <f t="shared" ca="1" si="16"/>
        <v>0</v>
      </c>
      <c r="X27" s="44">
        <f t="shared" ca="1" si="16"/>
        <v>0</v>
      </c>
      <c r="Y27" s="44">
        <f t="shared" ca="1" si="16"/>
        <v>0</v>
      </c>
      <c r="Z27" s="44">
        <f t="shared" ca="1" si="16"/>
        <v>0</v>
      </c>
    </row>
    <row r="28" spans="1:26" s="43" customFormat="1">
      <c r="A28" s="41" t="s">
        <v>202</v>
      </c>
      <c r="B28" s="42"/>
      <c r="C28" s="42"/>
      <c r="D28" s="42"/>
      <c r="E28" s="42"/>
      <c r="F28" s="42"/>
      <c r="G28" s="42"/>
      <c r="H28" s="42"/>
      <c r="I28" s="42">
        <f ca="1">IF(B27&gt;SUM($C$30:I30),B27-SUM($C$30:I30),0)</f>
        <v>56.834810678308777</v>
      </c>
      <c r="J28" s="42">
        <f ca="1">IF(C27&gt;SUM($C$30:J30),C27-SUM($C$30:J30),0)+I28</f>
        <v>111.12060751495471</v>
      </c>
      <c r="K28" s="42">
        <f ca="1">IF(D27&gt;SUM($C$30:K30),D27-SUM($C$30:K30),0)+J28</f>
        <v>166.79545052040106</v>
      </c>
      <c r="L28" s="42">
        <f ca="1">IF(E27&gt;SUM($C$30:L30),E27-SUM($C$30:L30),0)+K28</f>
        <v>223.88514425704702</v>
      </c>
      <c r="M28" s="42">
        <f ca="1">IF(F27&gt;SUM($C$30:M30),F27-SUM($C$30:M30),0)+L28</f>
        <v>282.37678644369288</v>
      </c>
      <c r="N28" s="42">
        <f ca="1">IF(G27&gt;SUM($C$30:N30),G27-SUM($C$30:N30),0)+M28</f>
        <v>342.27037708033873</v>
      </c>
      <c r="O28" s="42">
        <f ca="1">IF(H27&gt;SUM($C$30:O30),H27-SUM($C$30:O30),0)+N28</f>
        <v>403.56837770441518</v>
      </c>
      <c r="P28" s="42">
        <f ca="1">IF(I27&gt;SUM($C$30:P30),I27-SUM($C$30:P30),0)+O28</f>
        <v>466.26586524106108</v>
      </c>
      <c r="Q28" s="42">
        <f ca="1">IF(J27&gt;SUM($C$30:Q30),J27-SUM($C$30:Q30),0)+P28</f>
        <v>466.26586524106108</v>
      </c>
      <c r="R28" s="42">
        <f ca="1">IF(K27&gt;SUM($C$30:R30),K27-SUM($C$30:R30),0)+Q28</f>
        <v>466.26586524106108</v>
      </c>
      <c r="S28" s="42">
        <f ca="1">IF(L27&gt;SUM($C$30:S30),L27-SUM($C$30:S30),0)+R28</f>
        <v>466.26586524106108</v>
      </c>
      <c r="T28" s="42">
        <f ca="1">IF(M27&gt;SUM($C$30:T30),M27-SUM($C$30:T30),0)+S28</f>
        <v>466.26586524106108</v>
      </c>
      <c r="U28" s="42">
        <f ca="1">IF(N27&gt;SUM($C$30:U30),N27-SUM($C$30:U30),0)+T28</f>
        <v>466.26586524106108</v>
      </c>
      <c r="V28" s="42">
        <f ca="1">IF(O27&gt;SUM($C$30:V30),O27-SUM($C$30:V30),0)+U28</f>
        <v>466.26586524106108</v>
      </c>
      <c r="W28" s="42">
        <f ca="1">IF(P27&gt;SUM($C$30:W30),P27-SUM($C$30:W30),0)+V28</f>
        <v>466.26586524106108</v>
      </c>
      <c r="X28" s="42">
        <f ca="1">IF(Q27&gt;SUM($C$30:X30),Q27-SUM($C$30:X30),0)+W28</f>
        <v>466.26586524106108</v>
      </c>
      <c r="Y28" s="42">
        <f ca="1">IF(R27&gt;SUM($C$30:Y30),R27-SUM($C$30:Y30),0)+X28</f>
        <v>466.26586524106108</v>
      </c>
      <c r="Z28" s="42">
        <f ca="1">IF(S27&gt;SUM($C$30:Z30),S27-SUM($C$30:Z30),0)+Y28</f>
        <v>466.26586524106108</v>
      </c>
    </row>
    <row r="29" spans="1:26" s="43" customFormat="1">
      <c r="A29" s="41" t="s">
        <v>85</v>
      </c>
      <c r="B29" s="42">
        <f t="shared" ref="B29" ca="1" si="17">B26+B27</f>
        <v>56.834810678308777</v>
      </c>
      <c r="C29" s="42">
        <f t="shared" ref="C29:H29" ca="1" si="18">C26+C27-(C28-B28)</f>
        <v>111.12060751495471</v>
      </c>
      <c r="D29" s="42">
        <f t="shared" ca="1" si="18"/>
        <v>166.79545052040106</v>
      </c>
      <c r="E29" s="42">
        <f t="shared" ca="1" si="18"/>
        <v>223.88514425704702</v>
      </c>
      <c r="F29" s="42">
        <f t="shared" ca="1" si="18"/>
        <v>282.37678644369288</v>
      </c>
      <c r="G29" s="42">
        <f t="shared" ca="1" si="18"/>
        <v>342.27037708033873</v>
      </c>
      <c r="H29" s="42">
        <f t="shared" ca="1" si="18"/>
        <v>403.56837770441518</v>
      </c>
      <c r="I29" s="42">
        <f ca="1">I26+I27-(I28-H28)</f>
        <v>409.43105456275231</v>
      </c>
      <c r="J29" s="42">
        <f t="shared" ref="J29:Z29" ca="1" si="19">J26+J27-(J28-I28)</f>
        <v>419.24469371275222</v>
      </c>
      <c r="K29" s="42">
        <f t="shared" ca="1" si="19"/>
        <v>429.07123514395181</v>
      </c>
      <c r="L29" s="42">
        <f t="shared" ca="1" si="19"/>
        <v>438.90269965001232</v>
      </c>
      <c r="M29" s="42">
        <f t="shared" ca="1" si="19"/>
        <v>448.71633880001241</v>
      </c>
      <c r="N29" s="42">
        <f t="shared" ca="1" si="19"/>
        <v>421.68311098712525</v>
      </c>
      <c r="O29" s="42">
        <f t="shared" ca="1" si="19"/>
        <v>390.59285279164413</v>
      </c>
      <c r="P29" s="42">
        <f t="shared" ca="1" si="19"/>
        <v>355.45590544363358</v>
      </c>
      <c r="Q29" s="42">
        <f t="shared" ca="1" si="19"/>
        <v>355.45590544363358</v>
      </c>
      <c r="R29" s="42">
        <f t="shared" ca="1" si="19"/>
        <v>243.95675423229045</v>
      </c>
      <c r="S29" s="42">
        <f t="shared" ca="1" si="19"/>
        <v>128.54523513696023</v>
      </c>
      <c r="T29" s="42">
        <f t="shared" ca="1" si="19"/>
        <v>0</v>
      </c>
      <c r="U29" s="42">
        <f t="shared" ca="1" si="19"/>
        <v>0</v>
      </c>
      <c r="V29" s="42">
        <f t="shared" ca="1" si="19"/>
        <v>0</v>
      </c>
      <c r="W29" s="42">
        <f t="shared" ca="1" si="19"/>
        <v>0</v>
      </c>
      <c r="X29" s="42">
        <f t="shared" ca="1" si="19"/>
        <v>0</v>
      </c>
      <c r="Y29" s="42">
        <f t="shared" ca="1" si="19"/>
        <v>0</v>
      </c>
      <c r="Z29" s="42">
        <f t="shared" ca="1" si="19"/>
        <v>0</v>
      </c>
    </row>
    <row r="30" spans="1:26" s="47" customFormat="1">
      <c r="A30" s="39" t="s">
        <v>183</v>
      </c>
      <c r="B30" s="42">
        <f t="shared" ref="B30:Z30" ca="1" si="20">IF(B21="MAT",0,IF((MIN(B25,B29)&gt;0),MIN(B25,B29),0))</f>
        <v>0</v>
      </c>
      <c r="C30" s="42">
        <f t="shared" ca="1" si="20"/>
        <v>0</v>
      </c>
      <c r="D30" s="42">
        <f t="shared" ca="1" si="20"/>
        <v>0</v>
      </c>
      <c r="E30" s="42">
        <f t="shared" ca="1" si="20"/>
        <v>0</v>
      </c>
      <c r="F30" s="42">
        <f t="shared" ca="1" si="20"/>
        <v>0</v>
      </c>
      <c r="G30" s="42">
        <f t="shared" ca="1" si="20"/>
        <v>0</v>
      </c>
      <c r="H30" s="42">
        <f t="shared" ca="1" si="20"/>
        <v>0</v>
      </c>
      <c r="I30" s="42">
        <f t="shared" ca="1" si="20"/>
        <v>0</v>
      </c>
      <c r="J30" s="42">
        <f t="shared" ca="1" si="20"/>
        <v>0</v>
      </c>
      <c r="K30" s="42">
        <f t="shared" ca="1" si="20"/>
        <v>0</v>
      </c>
      <c r="L30" s="42">
        <f t="shared" ca="1" si="20"/>
        <v>0</v>
      </c>
      <c r="M30" s="42">
        <f t="shared" ca="1" si="20"/>
        <v>0</v>
      </c>
      <c r="N30" s="42">
        <f t="shared" ca="1" si="20"/>
        <v>0</v>
      </c>
      <c r="O30" s="42">
        <f t="shared" ca="1" si="20"/>
        <v>0</v>
      </c>
      <c r="P30" s="42">
        <f t="shared" ca="1" si="20"/>
        <v>0</v>
      </c>
      <c r="Q30" s="42">
        <f t="shared" ca="1" si="20"/>
        <v>111.49915121134313</v>
      </c>
      <c r="R30" s="42">
        <f t="shared" ca="1" si="20"/>
        <v>115.41151909533021</v>
      </c>
      <c r="S30" s="42">
        <f t="shared" ca="1" si="20"/>
        <v>128.54523513696023</v>
      </c>
      <c r="T30" s="42">
        <f t="shared" ca="1" si="20"/>
        <v>0</v>
      </c>
      <c r="U30" s="42">
        <f t="shared" ca="1" si="20"/>
        <v>0</v>
      </c>
      <c r="V30" s="42">
        <f t="shared" ca="1" si="20"/>
        <v>0</v>
      </c>
      <c r="W30" s="42">
        <f t="shared" ca="1" si="20"/>
        <v>0</v>
      </c>
      <c r="X30" s="42">
        <f t="shared" ca="1" si="20"/>
        <v>0</v>
      </c>
      <c r="Y30" s="42">
        <f t="shared" ca="1" si="20"/>
        <v>0</v>
      </c>
      <c r="Z30" s="42">
        <f t="shared" ca="1" si="20"/>
        <v>0</v>
      </c>
    </row>
    <row r="31" spans="1:26" s="47" customFormat="1">
      <c r="A31" s="39" t="s">
        <v>184</v>
      </c>
      <c r="B31" s="44">
        <f t="shared" ref="B31:Z31" ca="1" si="21">B29-B30</f>
        <v>56.834810678308777</v>
      </c>
      <c r="C31" s="44">
        <f t="shared" ca="1" si="21"/>
        <v>111.12060751495471</v>
      </c>
      <c r="D31" s="44">
        <f t="shared" ca="1" si="21"/>
        <v>166.79545052040106</v>
      </c>
      <c r="E31" s="44">
        <f t="shared" ca="1" si="21"/>
        <v>223.88514425704702</v>
      </c>
      <c r="F31" s="44">
        <f t="shared" ca="1" si="21"/>
        <v>282.37678644369288</v>
      </c>
      <c r="G31" s="44">
        <f t="shared" ca="1" si="21"/>
        <v>342.27037708033873</v>
      </c>
      <c r="H31" s="44">
        <f t="shared" ca="1" si="21"/>
        <v>403.56837770441518</v>
      </c>
      <c r="I31" s="44">
        <f t="shared" ca="1" si="21"/>
        <v>409.43105456275231</v>
      </c>
      <c r="J31" s="44">
        <f t="shared" ca="1" si="21"/>
        <v>419.24469371275222</v>
      </c>
      <c r="K31" s="44">
        <f t="shared" ca="1" si="21"/>
        <v>429.07123514395181</v>
      </c>
      <c r="L31" s="44">
        <f t="shared" ca="1" si="21"/>
        <v>438.90269965001232</v>
      </c>
      <c r="M31" s="44">
        <f t="shared" ca="1" si="21"/>
        <v>448.71633880001241</v>
      </c>
      <c r="N31" s="44">
        <f t="shared" ca="1" si="21"/>
        <v>421.68311098712525</v>
      </c>
      <c r="O31" s="44">
        <f t="shared" ca="1" si="21"/>
        <v>390.59285279164413</v>
      </c>
      <c r="P31" s="44">
        <f t="shared" ca="1" si="21"/>
        <v>355.45590544363358</v>
      </c>
      <c r="Q31" s="44">
        <f t="shared" ca="1" si="21"/>
        <v>243.95675423229045</v>
      </c>
      <c r="R31" s="44">
        <f t="shared" ca="1" si="21"/>
        <v>128.54523513696023</v>
      </c>
      <c r="S31" s="44">
        <f t="shared" ca="1" si="21"/>
        <v>0</v>
      </c>
      <c r="T31" s="44">
        <f t="shared" ca="1" si="21"/>
        <v>0</v>
      </c>
      <c r="U31" s="44">
        <f t="shared" ca="1" si="21"/>
        <v>0</v>
      </c>
      <c r="V31" s="44">
        <f t="shared" ca="1" si="21"/>
        <v>0</v>
      </c>
      <c r="W31" s="44">
        <f t="shared" ca="1" si="21"/>
        <v>0</v>
      </c>
      <c r="X31" s="44">
        <f t="shared" ca="1" si="21"/>
        <v>0</v>
      </c>
      <c r="Y31" s="44">
        <f t="shared" ca="1" si="21"/>
        <v>0</v>
      </c>
      <c r="Z31" s="44">
        <f t="shared" ca="1" si="21"/>
        <v>0</v>
      </c>
    </row>
    <row r="32" spans="1:26" s="47" customFormat="1">
      <c r="A32" s="39" t="s">
        <v>185</v>
      </c>
      <c r="B32" s="44">
        <f t="shared" ref="B32:Z32" ca="1" si="22">B20-B30</f>
        <v>56.834810678308777</v>
      </c>
      <c r="C32" s="44">
        <f t="shared" ca="1" si="22"/>
        <v>54.285796836645929</v>
      </c>
      <c r="D32" s="44">
        <f t="shared" ca="1" si="22"/>
        <v>55.674843005446348</v>
      </c>
      <c r="E32" s="44">
        <f t="shared" ca="1" si="22"/>
        <v>57.089693736645962</v>
      </c>
      <c r="F32" s="44">
        <f t="shared" ca="1" si="22"/>
        <v>58.491642186645883</v>
      </c>
      <c r="G32" s="44">
        <f t="shared" ca="1" si="22"/>
        <v>59.893590636645875</v>
      </c>
      <c r="H32" s="44">
        <f t="shared" ca="1" si="22"/>
        <v>61.298000624076444</v>
      </c>
      <c r="I32" s="44">
        <f t="shared" ca="1" si="22"/>
        <v>62.697487536645887</v>
      </c>
      <c r="J32" s="44">
        <f t="shared" ca="1" si="22"/>
        <v>64.099435986645872</v>
      </c>
      <c r="K32" s="44">
        <f t="shared" ca="1" si="22"/>
        <v>65.501384436645907</v>
      </c>
      <c r="L32" s="44">
        <f t="shared" ca="1" si="22"/>
        <v>66.921158242706497</v>
      </c>
      <c r="M32" s="44">
        <f t="shared" ca="1" si="22"/>
        <v>68.305281336645933</v>
      </c>
      <c r="N32" s="44">
        <f t="shared" ca="1" si="22"/>
        <v>32.860362823758713</v>
      </c>
      <c r="O32" s="44">
        <f t="shared" ca="1" si="22"/>
        <v>30.207742428595346</v>
      </c>
      <c r="P32" s="44">
        <f t="shared" ca="1" si="22"/>
        <v>27.560540188635358</v>
      </c>
      <c r="Q32" s="44">
        <f t="shared" ca="1" si="22"/>
        <v>25.903153610033627</v>
      </c>
      <c r="R32" s="44">
        <f t="shared" ca="1" si="22"/>
        <v>25.577495384217102</v>
      </c>
      <c r="S32" s="44">
        <f t="shared" ca="1" si="22"/>
        <v>47.145884578709229</v>
      </c>
      <c r="T32" s="44">
        <f t="shared" ca="1" si="22"/>
        <v>178.75309358000254</v>
      </c>
      <c r="U32" s="44">
        <f t="shared" ca="1" si="22"/>
        <v>181.35577136468572</v>
      </c>
      <c r="V32" s="44">
        <f t="shared" ca="1" si="22"/>
        <v>183.56804748166641</v>
      </c>
      <c r="W32" s="44">
        <f t="shared" ca="1" si="22"/>
        <v>185.44848218109988</v>
      </c>
      <c r="X32" s="44">
        <f t="shared" ca="1" si="22"/>
        <v>187.04685167561848</v>
      </c>
      <c r="Y32" s="44">
        <f t="shared" ca="1" si="22"/>
        <v>188.40546574595908</v>
      </c>
      <c r="Z32" s="44">
        <f t="shared" ca="1" si="22"/>
        <v>189.56028770574878</v>
      </c>
    </row>
    <row r="34" spans="1:26">
      <c r="A34" s="41" t="s">
        <v>154</v>
      </c>
      <c r="B34" s="30">
        <f>DATE(YEAR(B1)+8,MONTH(B1),DAY(B1))</f>
        <v>44651</v>
      </c>
      <c r="C34" s="30">
        <f t="shared" ref="C34:Z34" si="23">DATE(YEAR(C1)+8,MONTH(C1),DAY(C1))</f>
        <v>45016</v>
      </c>
      <c r="D34" s="30">
        <f t="shared" si="23"/>
        <v>45382</v>
      </c>
      <c r="E34" s="30">
        <f t="shared" si="23"/>
        <v>45747</v>
      </c>
      <c r="F34" s="30">
        <f t="shared" si="23"/>
        <v>46112</v>
      </c>
      <c r="G34" s="30">
        <f t="shared" si="23"/>
        <v>46477</v>
      </c>
      <c r="H34" s="30">
        <f t="shared" si="23"/>
        <v>46843</v>
      </c>
      <c r="I34" s="30">
        <f t="shared" si="23"/>
        <v>47208</v>
      </c>
      <c r="J34" s="30">
        <f t="shared" si="23"/>
        <v>47573</v>
      </c>
      <c r="K34" s="30">
        <f t="shared" si="23"/>
        <v>47938</v>
      </c>
      <c r="L34" s="30">
        <f t="shared" si="23"/>
        <v>48304</v>
      </c>
      <c r="M34" s="30">
        <f t="shared" si="23"/>
        <v>48669</v>
      </c>
      <c r="N34" s="30">
        <f t="shared" si="23"/>
        <v>49034</v>
      </c>
      <c r="O34" s="30">
        <f t="shared" si="23"/>
        <v>49399</v>
      </c>
      <c r="P34" s="30">
        <f t="shared" si="23"/>
        <v>49765</v>
      </c>
      <c r="Q34" s="30">
        <f t="shared" si="23"/>
        <v>50130</v>
      </c>
      <c r="R34" s="30">
        <f t="shared" si="23"/>
        <v>50495</v>
      </c>
      <c r="S34" s="30">
        <f t="shared" si="23"/>
        <v>50860</v>
      </c>
      <c r="T34" s="30">
        <f t="shared" si="23"/>
        <v>51226</v>
      </c>
      <c r="U34" s="30">
        <f t="shared" si="23"/>
        <v>51591</v>
      </c>
      <c r="V34" s="30">
        <f t="shared" si="23"/>
        <v>51956</v>
      </c>
      <c r="W34" s="30">
        <f t="shared" si="23"/>
        <v>52321</v>
      </c>
      <c r="X34" s="30">
        <f t="shared" si="23"/>
        <v>52687</v>
      </c>
      <c r="Y34" s="30">
        <f t="shared" si="23"/>
        <v>53052</v>
      </c>
      <c r="Z34" s="30">
        <f t="shared" si="23"/>
        <v>53417</v>
      </c>
    </row>
    <row r="35" spans="1:26">
      <c r="A35" s="39" t="s">
        <v>81</v>
      </c>
      <c r="B35" s="29">
        <v>0</v>
      </c>
      <c r="C35" s="44">
        <f ca="1">B42</f>
        <v>-283.10939642670564</v>
      </c>
      <c r="D35" s="44">
        <f ca="1">C42</f>
        <v>-437.56535704514681</v>
      </c>
      <c r="E35" s="44">
        <f t="shared" ref="E35:Z35" ca="1" si="24">D42</f>
        <v>-462.52383519602154</v>
      </c>
      <c r="F35" s="44">
        <f t="shared" ca="1" si="24"/>
        <v>-376.03162749059891</v>
      </c>
      <c r="G35" s="44">
        <f t="shared" ca="1" si="24"/>
        <v>-193.63348992011993</v>
      </c>
      <c r="H35" s="44">
        <f t="shared" ca="1" si="24"/>
        <v>0</v>
      </c>
      <c r="I35" s="44">
        <f t="shared" ca="1" si="24"/>
        <v>0</v>
      </c>
      <c r="J35" s="44">
        <f t="shared" ca="1" si="24"/>
        <v>0</v>
      </c>
      <c r="K35" s="44">
        <f t="shared" ca="1" si="24"/>
        <v>0</v>
      </c>
      <c r="L35" s="44">
        <f t="shared" ca="1" si="24"/>
        <v>0</v>
      </c>
      <c r="M35" s="44">
        <f t="shared" ca="1" si="24"/>
        <v>0</v>
      </c>
      <c r="N35" s="44">
        <f t="shared" ca="1" si="24"/>
        <v>0</v>
      </c>
      <c r="O35" s="44">
        <f t="shared" ca="1" si="24"/>
        <v>0</v>
      </c>
      <c r="P35" s="44">
        <f t="shared" ca="1" si="24"/>
        <v>0</v>
      </c>
      <c r="Q35" s="44">
        <f t="shared" ca="1" si="24"/>
        <v>0</v>
      </c>
      <c r="R35" s="44">
        <f t="shared" ca="1" si="24"/>
        <v>0</v>
      </c>
      <c r="S35" s="44">
        <f t="shared" ca="1" si="24"/>
        <v>0</v>
      </c>
      <c r="T35" s="44">
        <f t="shared" ca="1" si="24"/>
        <v>0</v>
      </c>
      <c r="U35" s="44">
        <f t="shared" ca="1" si="24"/>
        <v>0</v>
      </c>
      <c r="V35" s="44">
        <f t="shared" ca="1" si="24"/>
        <v>0</v>
      </c>
      <c r="W35" s="44">
        <f t="shared" ca="1" si="24"/>
        <v>0</v>
      </c>
      <c r="X35" s="44">
        <f t="shared" ca="1" si="24"/>
        <v>0</v>
      </c>
      <c r="Y35" s="44">
        <f t="shared" ca="1" si="24"/>
        <v>0</v>
      </c>
      <c r="Z35" s="44">
        <f t="shared" ca="1" si="24"/>
        <v>0</v>
      </c>
    </row>
    <row r="36" spans="1:26">
      <c r="A36" s="39" t="s">
        <v>155</v>
      </c>
      <c r="B36" s="39">
        <v>0</v>
      </c>
      <c r="C36" s="39">
        <v>0</v>
      </c>
      <c r="D36" s="39">
        <v>0</v>
      </c>
      <c r="E36" s="39">
        <v>0</v>
      </c>
      <c r="F36" s="39">
        <v>0</v>
      </c>
      <c r="G36" s="39">
        <v>0</v>
      </c>
      <c r="H36" s="39">
        <v>0</v>
      </c>
      <c r="I36" s="39">
        <v>0</v>
      </c>
      <c r="J36" s="39">
        <v>0</v>
      </c>
      <c r="K36" s="39">
        <f ca="1">IF(AND(ABS(J41)&gt;J40,ABS(K35)&gt;0)=TRUE,J41+J40,0)</f>
        <v>0</v>
      </c>
      <c r="L36" s="39">
        <f ca="1">IF(AND(ABS(K41)&gt;K39,ABS(L35)&gt;0)=TRUE,K41+K39,0)</f>
        <v>0</v>
      </c>
      <c r="M36" s="39">
        <f t="shared" ref="M36:Z36" ca="1" si="25">IF(AND(ABS(L41)&gt;L39,ABS(M35)&gt;0)=TRUE,L41+L39,0)</f>
        <v>0</v>
      </c>
      <c r="N36" s="39">
        <f t="shared" ca="1" si="25"/>
        <v>0</v>
      </c>
      <c r="O36" s="39">
        <f t="shared" ca="1" si="25"/>
        <v>0</v>
      </c>
      <c r="P36" s="39">
        <f t="shared" ca="1" si="25"/>
        <v>0</v>
      </c>
      <c r="Q36" s="39">
        <f t="shared" ca="1" si="25"/>
        <v>0</v>
      </c>
      <c r="R36" s="39">
        <f t="shared" ca="1" si="25"/>
        <v>0</v>
      </c>
      <c r="S36" s="39">
        <f t="shared" ca="1" si="25"/>
        <v>0</v>
      </c>
      <c r="T36" s="39">
        <f t="shared" ca="1" si="25"/>
        <v>0</v>
      </c>
      <c r="U36" s="39">
        <f t="shared" ca="1" si="25"/>
        <v>0</v>
      </c>
      <c r="V36" s="39">
        <f t="shared" ca="1" si="25"/>
        <v>0</v>
      </c>
      <c r="W36" s="39">
        <f t="shared" ca="1" si="25"/>
        <v>0</v>
      </c>
      <c r="X36" s="39">
        <f t="shared" ca="1" si="25"/>
        <v>0</v>
      </c>
      <c r="Y36" s="39">
        <f t="shared" ca="1" si="25"/>
        <v>0</v>
      </c>
      <c r="Z36" s="39">
        <f t="shared" ca="1" si="25"/>
        <v>0</v>
      </c>
    </row>
    <row r="37" spans="1:26">
      <c r="A37" s="39" t="s">
        <v>156</v>
      </c>
      <c r="B37" s="39">
        <f>B35-B36</f>
        <v>0</v>
      </c>
      <c r="C37" s="39">
        <f t="shared" ref="C37:Z37" ca="1" si="26">C35-C36</f>
        <v>-283.10939642670564</v>
      </c>
      <c r="D37" s="39">
        <f t="shared" ca="1" si="26"/>
        <v>-437.56535704514681</v>
      </c>
      <c r="E37" s="39">
        <f t="shared" ca="1" si="26"/>
        <v>-462.52383519602154</v>
      </c>
      <c r="F37" s="39">
        <f t="shared" ca="1" si="26"/>
        <v>-376.03162749059891</v>
      </c>
      <c r="G37" s="39">
        <f t="shared" ca="1" si="26"/>
        <v>-193.63348992011993</v>
      </c>
      <c r="H37" s="39">
        <f t="shared" ca="1" si="26"/>
        <v>0</v>
      </c>
      <c r="I37" s="39">
        <f t="shared" ca="1" si="26"/>
        <v>0</v>
      </c>
      <c r="J37" s="39">
        <f t="shared" ca="1" si="26"/>
        <v>0</v>
      </c>
      <c r="K37" s="39">
        <f t="shared" ca="1" si="26"/>
        <v>0</v>
      </c>
      <c r="L37" s="39">
        <f t="shared" ca="1" si="26"/>
        <v>0</v>
      </c>
      <c r="M37" s="39">
        <f t="shared" ca="1" si="26"/>
        <v>0</v>
      </c>
      <c r="N37" s="39">
        <f t="shared" ca="1" si="26"/>
        <v>0</v>
      </c>
      <c r="O37" s="39">
        <f t="shared" ca="1" si="26"/>
        <v>0</v>
      </c>
      <c r="P37" s="39">
        <f t="shared" ca="1" si="26"/>
        <v>0</v>
      </c>
      <c r="Q37" s="39">
        <f t="shared" ca="1" si="26"/>
        <v>0</v>
      </c>
      <c r="R37" s="39">
        <f t="shared" ca="1" si="26"/>
        <v>0</v>
      </c>
      <c r="S37" s="39">
        <f t="shared" ca="1" si="26"/>
        <v>0</v>
      </c>
      <c r="T37" s="39">
        <f t="shared" ca="1" si="26"/>
        <v>0</v>
      </c>
      <c r="U37" s="39">
        <f t="shared" ca="1" si="26"/>
        <v>0</v>
      </c>
      <c r="V37" s="39">
        <f t="shared" ca="1" si="26"/>
        <v>0</v>
      </c>
      <c r="W37" s="39">
        <f t="shared" ca="1" si="26"/>
        <v>0</v>
      </c>
      <c r="X37" s="39">
        <f t="shared" ca="1" si="26"/>
        <v>0</v>
      </c>
      <c r="Y37" s="39">
        <f t="shared" ca="1" si="26"/>
        <v>0</v>
      </c>
      <c r="Z37" s="39">
        <f t="shared" ca="1" si="26"/>
        <v>0</v>
      </c>
    </row>
    <row r="38" spans="1:26">
      <c r="A38" s="39" t="s">
        <v>80</v>
      </c>
      <c r="B38" s="39">
        <f ca="1">B8</f>
        <v>-283.10939642670564</v>
      </c>
      <c r="C38" s="39">
        <f t="shared" ref="C38:Z38" ca="1" si="27">C8</f>
        <v>-154.45596061844117</v>
      </c>
      <c r="D38" s="39">
        <f t="shared" ca="1" si="27"/>
        <v>-24.958478150874726</v>
      </c>
      <c r="E38" s="39">
        <f t="shared" ca="1" si="27"/>
        <v>0</v>
      </c>
      <c r="F38" s="39">
        <f t="shared" ca="1" si="27"/>
        <v>0</v>
      </c>
      <c r="G38" s="39">
        <f t="shared" ca="1" si="27"/>
        <v>0</v>
      </c>
      <c r="H38" s="39">
        <f t="shared" ca="1" si="27"/>
        <v>0</v>
      </c>
      <c r="I38" s="39">
        <f t="shared" ca="1" si="27"/>
        <v>0</v>
      </c>
      <c r="J38" s="39">
        <f t="shared" ca="1" si="27"/>
        <v>0</v>
      </c>
      <c r="K38" s="39">
        <f t="shared" ca="1" si="27"/>
        <v>0</v>
      </c>
      <c r="L38" s="39">
        <f t="shared" ca="1" si="27"/>
        <v>0</v>
      </c>
      <c r="M38" s="39">
        <f t="shared" ca="1" si="27"/>
        <v>0</v>
      </c>
      <c r="N38" s="39">
        <f t="shared" ca="1" si="27"/>
        <v>0</v>
      </c>
      <c r="O38" s="39">
        <f t="shared" ca="1" si="27"/>
        <v>0</v>
      </c>
      <c r="P38" s="39">
        <f t="shared" ca="1" si="27"/>
        <v>0</v>
      </c>
      <c r="Q38" s="39">
        <f t="shared" ca="1" si="27"/>
        <v>0</v>
      </c>
      <c r="R38" s="39">
        <f t="shared" ca="1" si="27"/>
        <v>0</v>
      </c>
      <c r="S38" s="39">
        <f t="shared" ca="1" si="27"/>
        <v>0</v>
      </c>
      <c r="T38" s="39">
        <f t="shared" ca="1" si="27"/>
        <v>0</v>
      </c>
      <c r="U38" s="39">
        <f t="shared" ca="1" si="27"/>
        <v>0</v>
      </c>
      <c r="V38" s="39">
        <f t="shared" ca="1" si="27"/>
        <v>0</v>
      </c>
      <c r="W38" s="39">
        <f t="shared" ca="1" si="27"/>
        <v>0</v>
      </c>
      <c r="X38" s="39">
        <f t="shared" ca="1" si="27"/>
        <v>0</v>
      </c>
      <c r="Y38" s="39">
        <f t="shared" ca="1" si="27"/>
        <v>0</v>
      </c>
      <c r="Z38" s="39">
        <f t="shared" ca="1" si="27"/>
        <v>0</v>
      </c>
    </row>
    <row r="39" spans="1:26">
      <c r="A39" s="39" t="s">
        <v>88</v>
      </c>
      <c r="B39" s="39">
        <f ca="1">IF(B6&gt;0, MIN(B6,ABS(B37)),0)</f>
        <v>0</v>
      </c>
      <c r="C39" s="39">
        <f t="shared" ref="C39:Z39" ca="1" si="28">IF(C6&gt;0, MIN(C6,ABS(C37)),0)</f>
        <v>0</v>
      </c>
      <c r="D39" s="39">
        <f t="shared" ca="1" si="28"/>
        <v>0</v>
      </c>
      <c r="E39" s="39">
        <f t="shared" ca="1" si="28"/>
        <v>86.492207705422629</v>
      </c>
      <c r="F39" s="39">
        <f t="shared" ca="1" si="28"/>
        <v>182.39813757047898</v>
      </c>
      <c r="G39" s="39">
        <f t="shared" ca="1" si="28"/>
        <v>193.63348992011993</v>
      </c>
      <c r="H39" s="39">
        <f t="shared" ca="1" si="28"/>
        <v>0</v>
      </c>
      <c r="I39" s="39">
        <f t="shared" ca="1" si="28"/>
        <v>0</v>
      </c>
      <c r="J39" s="39">
        <f t="shared" ca="1" si="28"/>
        <v>0</v>
      </c>
      <c r="K39" s="39">
        <f t="shared" ca="1" si="28"/>
        <v>0</v>
      </c>
      <c r="L39" s="39">
        <f t="shared" ca="1" si="28"/>
        <v>0</v>
      </c>
      <c r="M39" s="39">
        <f t="shared" ca="1" si="28"/>
        <v>0</v>
      </c>
      <c r="N39" s="39">
        <f t="shared" ca="1" si="28"/>
        <v>0</v>
      </c>
      <c r="O39" s="39">
        <f t="shared" ca="1" si="28"/>
        <v>0</v>
      </c>
      <c r="P39" s="39">
        <f t="shared" ca="1" si="28"/>
        <v>0</v>
      </c>
      <c r="Q39" s="39">
        <f t="shared" ca="1" si="28"/>
        <v>0</v>
      </c>
      <c r="R39" s="39">
        <f t="shared" ca="1" si="28"/>
        <v>0</v>
      </c>
      <c r="S39" s="39">
        <f t="shared" ca="1" si="28"/>
        <v>0</v>
      </c>
      <c r="T39" s="39">
        <f t="shared" ca="1" si="28"/>
        <v>0</v>
      </c>
      <c r="U39" s="39">
        <f t="shared" ca="1" si="28"/>
        <v>0</v>
      </c>
      <c r="V39" s="39">
        <f t="shared" ca="1" si="28"/>
        <v>0</v>
      </c>
      <c r="W39" s="39">
        <f t="shared" ca="1" si="28"/>
        <v>0</v>
      </c>
      <c r="X39" s="39">
        <f t="shared" ca="1" si="28"/>
        <v>0</v>
      </c>
      <c r="Y39" s="39">
        <f t="shared" ca="1" si="28"/>
        <v>0</v>
      </c>
      <c r="Z39" s="39">
        <f t="shared" ca="1" si="28"/>
        <v>0</v>
      </c>
    </row>
    <row r="40" spans="1:26">
      <c r="A40" s="41" t="s">
        <v>157</v>
      </c>
      <c r="B40" s="39">
        <f ca="1">B39</f>
        <v>0</v>
      </c>
      <c r="C40" s="39">
        <f ca="1">B40+C39</f>
        <v>0</v>
      </c>
      <c r="D40" s="39">
        <f ca="1">C40+D39</f>
        <v>0</v>
      </c>
      <c r="E40" s="39">
        <f t="shared" ref="E40:Z40" ca="1" si="29">D40+E39</f>
        <v>86.492207705422629</v>
      </c>
      <c r="F40" s="39">
        <f t="shared" ca="1" si="29"/>
        <v>268.89034527590161</v>
      </c>
      <c r="G40" s="39">
        <f t="shared" ca="1" si="29"/>
        <v>462.52383519602154</v>
      </c>
      <c r="H40" s="39">
        <f t="shared" ca="1" si="29"/>
        <v>462.52383519602154</v>
      </c>
      <c r="I40" s="39">
        <f t="shared" ca="1" si="29"/>
        <v>462.52383519602154</v>
      </c>
      <c r="J40" s="39">
        <f t="shared" ca="1" si="29"/>
        <v>462.52383519602154</v>
      </c>
      <c r="K40" s="39">
        <f t="shared" ca="1" si="29"/>
        <v>462.52383519602154</v>
      </c>
      <c r="L40" s="39">
        <f t="shared" ca="1" si="29"/>
        <v>462.52383519602154</v>
      </c>
      <c r="M40" s="39">
        <f t="shared" ca="1" si="29"/>
        <v>462.52383519602154</v>
      </c>
      <c r="N40" s="39">
        <f t="shared" ca="1" si="29"/>
        <v>462.52383519602154</v>
      </c>
      <c r="O40" s="39">
        <f t="shared" ca="1" si="29"/>
        <v>462.52383519602154</v>
      </c>
      <c r="P40" s="39">
        <f t="shared" ca="1" si="29"/>
        <v>462.52383519602154</v>
      </c>
      <c r="Q40" s="39">
        <f t="shared" ca="1" si="29"/>
        <v>462.52383519602154</v>
      </c>
      <c r="R40" s="39">
        <f t="shared" ca="1" si="29"/>
        <v>462.52383519602154</v>
      </c>
      <c r="S40" s="39">
        <f t="shared" ca="1" si="29"/>
        <v>462.52383519602154</v>
      </c>
      <c r="T40" s="39">
        <f t="shared" ca="1" si="29"/>
        <v>462.52383519602154</v>
      </c>
      <c r="U40" s="39">
        <f t="shared" ca="1" si="29"/>
        <v>462.52383519602154</v>
      </c>
      <c r="V40" s="39">
        <f t="shared" ca="1" si="29"/>
        <v>462.52383519602154</v>
      </c>
      <c r="W40" s="39">
        <f t="shared" ca="1" si="29"/>
        <v>462.52383519602154</v>
      </c>
      <c r="X40" s="39">
        <f t="shared" ca="1" si="29"/>
        <v>462.52383519602154</v>
      </c>
      <c r="Y40" s="39">
        <f t="shared" ca="1" si="29"/>
        <v>462.52383519602154</v>
      </c>
      <c r="Z40" s="39">
        <f t="shared" ca="1" si="29"/>
        <v>462.52383519602154</v>
      </c>
    </row>
    <row r="41" spans="1:26">
      <c r="A41" s="39" t="s">
        <v>158</v>
      </c>
      <c r="B41" s="44">
        <v>0</v>
      </c>
      <c r="C41" s="44">
        <v>0</v>
      </c>
      <c r="D41" s="44">
        <v>0</v>
      </c>
      <c r="E41" s="44">
        <v>0</v>
      </c>
      <c r="F41" s="44">
        <v>0</v>
      </c>
      <c r="G41" s="44">
        <v>0</v>
      </c>
      <c r="H41" s="44">
        <v>0</v>
      </c>
      <c r="I41" s="44">
        <v>0</v>
      </c>
      <c r="J41" s="44">
        <f ca="1">B38</f>
        <v>-283.10939642670564</v>
      </c>
      <c r="K41" s="44">
        <f t="shared" ref="K41:Z41" ca="1" si="30">C38</f>
        <v>-154.45596061844117</v>
      </c>
      <c r="L41" s="44">
        <f t="shared" ca="1" si="30"/>
        <v>-24.958478150874726</v>
      </c>
      <c r="M41" s="44">
        <f t="shared" ca="1" si="30"/>
        <v>0</v>
      </c>
      <c r="N41" s="44">
        <f t="shared" ca="1" si="30"/>
        <v>0</v>
      </c>
      <c r="O41" s="44">
        <f t="shared" ca="1" si="30"/>
        <v>0</v>
      </c>
      <c r="P41" s="44">
        <f t="shared" ca="1" si="30"/>
        <v>0</v>
      </c>
      <c r="Q41" s="44">
        <f t="shared" ca="1" si="30"/>
        <v>0</v>
      </c>
      <c r="R41" s="44">
        <f t="shared" ca="1" si="30"/>
        <v>0</v>
      </c>
      <c r="S41" s="44">
        <f t="shared" ca="1" si="30"/>
        <v>0</v>
      </c>
      <c r="T41" s="44">
        <f t="shared" ca="1" si="30"/>
        <v>0</v>
      </c>
      <c r="U41" s="44">
        <f t="shared" ca="1" si="30"/>
        <v>0</v>
      </c>
      <c r="V41" s="44">
        <f t="shared" ca="1" si="30"/>
        <v>0</v>
      </c>
      <c r="W41" s="44">
        <f t="shared" ca="1" si="30"/>
        <v>0</v>
      </c>
      <c r="X41" s="44">
        <f t="shared" ca="1" si="30"/>
        <v>0</v>
      </c>
      <c r="Y41" s="44">
        <f t="shared" ca="1" si="30"/>
        <v>0</v>
      </c>
      <c r="Z41" s="44">
        <f t="shared" ca="1" si="30"/>
        <v>0</v>
      </c>
    </row>
    <row r="42" spans="1:26">
      <c r="A42" s="39" t="s">
        <v>82</v>
      </c>
      <c r="B42" s="39">
        <f t="shared" ref="B42:J42" ca="1" si="31">B37+B38+B39</f>
        <v>-283.10939642670564</v>
      </c>
      <c r="C42" s="39">
        <f t="shared" ca="1" si="31"/>
        <v>-437.56535704514681</v>
      </c>
      <c r="D42" s="39">
        <f t="shared" ca="1" si="31"/>
        <v>-462.52383519602154</v>
      </c>
      <c r="E42" s="39">
        <f t="shared" ca="1" si="31"/>
        <v>-376.03162749059891</v>
      </c>
      <c r="F42" s="39">
        <f t="shared" ca="1" si="31"/>
        <v>-193.63348992011993</v>
      </c>
      <c r="G42" s="39">
        <f t="shared" ca="1" si="31"/>
        <v>0</v>
      </c>
      <c r="H42" s="39">
        <f t="shared" ca="1" si="31"/>
        <v>0</v>
      </c>
      <c r="I42" s="39">
        <f t="shared" ca="1" si="31"/>
        <v>0</v>
      </c>
      <c r="J42" s="39">
        <f t="shared" ca="1" si="31"/>
        <v>0</v>
      </c>
      <c r="K42" s="39">
        <f ca="1">K37+K38+K39</f>
        <v>0</v>
      </c>
      <c r="L42" s="39">
        <f t="shared" ref="L42:Z42" ca="1" si="32">L37+L38+L39</f>
        <v>0</v>
      </c>
      <c r="M42" s="39">
        <f t="shared" ca="1" si="32"/>
        <v>0</v>
      </c>
      <c r="N42" s="39">
        <f t="shared" ca="1" si="32"/>
        <v>0</v>
      </c>
      <c r="O42" s="39">
        <f t="shared" ca="1" si="32"/>
        <v>0</v>
      </c>
      <c r="P42" s="39">
        <f t="shared" ca="1" si="32"/>
        <v>0</v>
      </c>
      <c r="Q42" s="39">
        <f t="shared" ca="1" si="32"/>
        <v>0</v>
      </c>
      <c r="R42" s="39">
        <f t="shared" ca="1" si="32"/>
        <v>0</v>
      </c>
      <c r="S42" s="39">
        <f t="shared" ca="1" si="32"/>
        <v>0</v>
      </c>
      <c r="T42" s="39">
        <f t="shared" ca="1" si="32"/>
        <v>0</v>
      </c>
      <c r="U42" s="39">
        <f t="shared" ca="1" si="32"/>
        <v>0</v>
      </c>
      <c r="V42" s="39">
        <f t="shared" ca="1" si="32"/>
        <v>0</v>
      </c>
      <c r="W42" s="39">
        <f t="shared" ca="1" si="32"/>
        <v>0</v>
      </c>
      <c r="X42" s="39">
        <f t="shared" ca="1" si="32"/>
        <v>0</v>
      </c>
      <c r="Y42" s="39">
        <f t="shared" ca="1" si="32"/>
        <v>0</v>
      </c>
      <c r="Z42" s="39">
        <f t="shared" ca="1" si="32"/>
        <v>0</v>
      </c>
    </row>
    <row r="43" spans="1:26">
      <c r="C43" s="47"/>
    </row>
    <row r="44" spans="1:26">
      <c r="A44" s="41" t="s">
        <v>186</v>
      </c>
      <c r="B44" s="86">
        <f ca="1">IF(B19=B32,Assumption!$D$66,Assumption!$D$65)</f>
        <v>0.16995000000000002</v>
      </c>
      <c r="C44" s="86">
        <f ca="1">IF(C19=C32,Assumption!$D$66,Assumption!$D$65)</f>
        <v>0.16995000000000002</v>
      </c>
      <c r="D44" s="86">
        <f ca="1">IF(D19=D32,Assumption!$D$66,Assumption!$D$65)</f>
        <v>0.16995000000000002</v>
      </c>
      <c r="E44" s="86">
        <f ca="1">IF(E19=E32,Assumption!$D$66,Assumption!$D$65)</f>
        <v>0.16995000000000002</v>
      </c>
      <c r="F44" s="86">
        <f ca="1">IF(F19=F32,Assumption!$D$66,Assumption!$D$65)</f>
        <v>0.16995000000000002</v>
      </c>
      <c r="G44" s="86">
        <f ca="1">IF(G19=G32,Assumption!$D$66,Assumption!$D$65)</f>
        <v>0.16995000000000002</v>
      </c>
      <c r="H44" s="86">
        <f ca="1">IF(H19=H32,Assumption!$D$66,Assumption!$D$65)</f>
        <v>0.16995000000000002</v>
      </c>
      <c r="I44" s="86">
        <f ca="1">IF(I19=I32,Assumption!$D$66,Assumption!$D$65)</f>
        <v>0.16995000000000002</v>
      </c>
      <c r="J44" s="86">
        <f ca="1">IF(J19=J32,Assumption!$D$66,Assumption!$D$65)</f>
        <v>0.16995000000000002</v>
      </c>
      <c r="K44" s="86">
        <f ca="1">IF(K19=K32,Assumption!$D$66,Assumption!$D$65)</f>
        <v>0.16995000000000002</v>
      </c>
      <c r="L44" s="86">
        <f ca="1">IF(L19=L32,Assumption!$D$66,Assumption!$D$65)</f>
        <v>0.16995000000000002</v>
      </c>
      <c r="M44" s="86">
        <f ca="1">IF(M19=M32,Assumption!$D$66,Assumption!$D$65)</f>
        <v>0.16995000000000002</v>
      </c>
      <c r="N44" s="86">
        <f ca="1">IF(N19=N32,Assumption!$D$66,Assumption!$D$65)</f>
        <v>0.16995000000000002</v>
      </c>
      <c r="O44" s="86">
        <f ca="1">IF(O19=O32,Assumption!$D$66,Assumption!$D$65)</f>
        <v>0.16995000000000002</v>
      </c>
      <c r="P44" s="86">
        <f ca="1">IF(P19=P32,Assumption!$D$66,Assumption!$D$65)</f>
        <v>0.16995000000000002</v>
      </c>
      <c r="Q44" s="86">
        <f ca="1">IF(Q19=Q32,Assumption!$D$66,Assumption!$D$65)</f>
        <v>0.16995000000000002</v>
      </c>
      <c r="R44" s="86">
        <f ca="1">IF(R19=R32,Assumption!$D$66,Assumption!$D$65)</f>
        <v>0.16995000000000002</v>
      </c>
      <c r="S44" s="86">
        <f ca="1">IF(S19=S32,Assumption!$D$66,Assumption!$D$65)</f>
        <v>0.33990000000000004</v>
      </c>
      <c r="T44" s="86">
        <f ca="1">IF(T19=T32,Assumption!$D$66,Assumption!$D$65)</f>
        <v>0.33990000000000004</v>
      </c>
      <c r="U44" s="86">
        <f ca="1">IF(U19=U32,Assumption!$D$66,Assumption!$D$65)</f>
        <v>0.33990000000000004</v>
      </c>
      <c r="V44" s="86">
        <f ca="1">IF(V19=V32,Assumption!$D$66,Assumption!$D$65)</f>
        <v>0.33990000000000004</v>
      </c>
      <c r="W44" s="86">
        <f ca="1">IF(W19=W32,Assumption!$D$66,Assumption!$D$65)</f>
        <v>0.33990000000000004</v>
      </c>
      <c r="X44" s="86">
        <f ca="1">IF(X19=X32,Assumption!$D$66,Assumption!$D$65)</f>
        <v>0.33990000000000004</v>
      </c>
      <c r="Y44" s="86">
        <f ca="1">IF(Y19=Y32,Assumption!$D$66,Assumption!$D$65)</f>
        <v>0.33990000000000004</v>
      </c>
      <c r="Z44" s="86">
        <f ca="1">IF(Z19=Z32,Assumption!$D$66,Assumption!$D$65)</f>
        <v>0.33990000000000004</v>
      </c>
    </row>
    <row r="45" spans="1:26" ht="45" customHeight="1">
      <c r="A45" s="48" t="s">
        <v>160</v>
      </c>
      <c r="B45" s="49">
        <f ca="1">Assumption!$D$60/(1-B44)</f>
        <v>0.18673573881091501</v>
      </c>
      <c r="C45" s="49">
        <f ca="1">Assumption!$D$60/(1-C44)</f>
        <v>0.18673573881091501</v>
      </c>
      <c r="D45" s="49">
        <f ca="1">Assumption!$D$60/(1-D44)</f>
        <v>0.18673573881091501</v>
      </c>
      <c r="E45" s="49">
        <f ca="1">Assumption!$D$60/(1-E44)</f>
        <v>0.18673573881091501</v>
      </c>
      <c r="F45" s="49">
        <f ca="1">Assumption!$D$60/(1-F44)</f>
        <v>0.18673573881091501</v>
      </c>
      <c r="G45" s="49">
        <f ca="1">Assumption!$D$60/(1-G44)</f>
        <v>0.18673573881091501</v>
      </c>
      <c r="H45" s="49">
        <f ca="1">Assumption!$D$60/(1-H44)</f>
        <v>0.18673573881091501</v>
      </c>
      <c r="I45" s="49">
        <f ca="1">Assumption!$D$60/(1-I44)</f>
        <v>0.18673573881091501</v>
      </c>
      <c r="J45" s="49">
        <f ca="1">Assumption!$D$60/(1-J44)</f>
        <v>0.18673573881091501</v>
      </c>
      <c r="K45" s="49">
        <f ca="1">Assumption!$D$60/(1-K44)</f>
        <v>0.18673573881091501</v>
      </c>
      <c r="L45" s="49">
        <f ca="1">Assumption!$D$60/(1-L44)</f>
        <v>0.18673573881091501</v>
      </c>
      <c r="M45" s="49">
        <f ca="1">Assumption!$D$60/(1-M44)</f>
        <v>0.18673573881091501</v>
      </c>
      <c r="N45" s="49">
        <f ca="1">Assumption!$D$60/(1-N44)</f>
        <v>0.18673573881091501</v>
      </c>
      <c r="O45" s="49">
        <f ca="1">Assumption!$D$60/(1-O44)</f>
        <v>0.18673573881091501</v>
      </c>
      <c r="P45" s="49">
        <f ca="1">Assumption!$D$60/(1-P44)</f>
        <v>0.18673573881091501</v>
      </c>
      <c r="Q45" s="49">
        <f ca="1">Assumption!$D$60/(1-Q44)</f>
        <v>0.18673573881091501</v>
      </c>
      <c r="R45" s="49">
        <f ca="1">Assumption!$D$60/(1-R44)</f>
        <v>0.18673573881091501</v>
      </c>
      <c r="S45" s="49">
        <f ca="1">Assumption!$D$60/(1-S44)</f>
        <v>0.23481290713528255</v>
      </c>
      <c r="T45" s="49">
        <f ca="1">Assumption!$D$60/(1-T44)</f>
        <v>0.23481290713528255</v>
      </c>
      <c r="U45" s="49">
        <f ca="1">Assumption!$D$60/(1-U44)</f>
        <v>0.23481290713528255</v>
      </c>
      <c r="V45" s="49">
        <f ca="1">Assumption!$D$60/(1-V44)</f>
        <v>0.23481290713528255</v>
      </c>
      <c r="W45" s="49">
        <f ca="1">Assumption!$D$60/(1-W44)</f>
        <v>0.23481290713528255</v>
      </c>
      <c r="X45" s="49">
        <f ca="1">Assumption!$D$60/(1-X44)</f>
        <v>0.23481290713528255</v>
      </c>
      <c r="Y45" s="49">
        <f ca="1">Assumption!$D$60/(1-Y44)</f>
        <v>0.23481290713528255</v>
      </c>
      <c r="Z45" s="49">
        <f ca="1">Assumption!$D$60/(1-Z44)</f>
        <v>0.23481290713528255</v>
      </c>
    </row>
    <row r="46" spans="1:26">
      <c r="C46" s="47"/>
    </row>
    <row r="47" spans="1:26">
      <c r="C47" s="47"/>
    </row>
    <row r="48" spans="1:26">
      <c r="C48" s="47"/>
    </row>
    <row r="49" spans="3:3">
      <c r="C49" s="47"/>
    </row>
    <row r="50" spans="3:3">
      <c r="C50" s="47"/>
    </row>
    <row r="51" spans="3:3">
      <c r="C51" s="47"/>
    </row>
    <row r="52" spans="3:3">
      <c r="C52" s="47"/>
    </row>
    <row r="53" spans="3:3">
      <c r="C53" s="47"/>
    </row>
    <row r="54" spans="3:3">
      <c r="C54" s="47"/>
    </row>
    <row r="55" spans="3:3">
      <c r="C55" s="4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Assumption</vt:lpstr>
      <vt:lpstr>Sensitivity Analysis</vt:lpstr>
      <vt:lpstr>Lignite Price</vt:lpstr>
      <vt:lpstr>depre</vt:lpstr>
      <vt:lpstr>term loan </vt:lpstr>
      <vt:lpstr>fuel</vt:lpstr>
      <vt:lpstr>fixed cost</vt:lpstr>
      <vt:lpstr>Sheet1</vt:lpstr>
      <vt:lpstr>Tax</vt:lpstr>
      <vt:lpstr>PL</vt:lpstr>
      <vt:lpstr>Assumption!Print_Area</vt:lpstr>
      <vt:lpstr>depre!Print_Area</vt:lpstr>
      <vt:lpstr>'fixed cost'!Print_Area</vt:lpstr>
      <vt:lpstr>fuel!Print_Area</vt:lpstr>
      <vt:lpstr>PL!Print_Area</vt:lpstr>
      <vt:lpstr>'term loan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2011-05-31T10:19:21Z</cp:lastPrinted>
  <dcterms:created xsi:type="dcterms:W3CDTF">1996-10-14T23:33:28Z</dcterms:created>
  <dcterms:modified xsi:type="dcterms:W3CDTF">2012-11-03T09:20:29Z</dcterms:modified>
</cp:coreProperties>
</file>