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1355" windowHeight="6405" activeTab="6"/>
  </bookViews>
  <sheets>
    <sheet name="NG prices" sheetId="5" r:id="rId1"/>
    <sheet name="Input" sheetId="1" r:id="rId2"/>
    <sheet name="Tariff" sheetId="3" r:id="rId3"/>
    <sheet name="pool cost" sheetId="4" state="hidden" r:id="rId4"/>
    <sheet name="P&amp;L " sheetId="7" r:id="rId5"/>
    <sheet name="Cash Flow" sheetId="8" r:id="rId6"/>
    <sheet name="Sensitivity" sheetId="9" r:id="rId7"/>
  </sheets>
  <externalReferences>
    <externalReference r:id="rId8"/>
  </externalReferences>
  <definedNames>
    <definedName name="_xlnm.Print_Area" localSheetId="1">Input!$B$4:$E$84</definedName>
    <definedName name="GasPRice">[1]Assumptions!$D$5</definedName>
  </definedNames>
  <calcPr calcId="125725" iterate="1"/>
</workbook>
</file>

<file path=xl/calcChain.xml><?xml version="1.0" encoding="utf-8"?>
<calcChain xmlns="http://schemas.openxmlformats.org/spreadsheetml/2006/main">
  <c r="D65" i="1"/>
  <c r="G35"/>
  <c r="D35"/>
  <c r="E39" i="7" l="1"/>
  <c r="F39" s="1"/>
  <c r="G39" s="1"/>
  <c r="H39" s="1"/>
  <c r="I39" s="1"/>
  <c r="J39" s="1"/>
  <c r="K39" s="1"/>
  <c r="L39" s="1"/>
  <c r="M39" s="1"/>
  <c r="N39" s="1"/>
  <c r="O39" s="1"/>
  <c r="P39" s="1"/>
  <c r="Q39" s="1"/>
  <c r="R39" s="1"/>
  <c r="S39" s="1"/>
  <c r="T39" s="1"/>
  <c r="U39" s="1"/>
  <c r="V39" s="1"/>
  <c r="W39" s="1"/>
  <c r="D9" i="8"/>
  <c r="E8" s="1"/>
  <c r="E9" s="1"/>
  <c r="G7"/>
  <c r="H7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B8"/>
  <c r="B9"/>
  <c r="B10"/>
  <c r="B7"/>
  <c r="E6" i="7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D7"/>
  <c r="D8" s="1"/>
  <c r="D41" i="1"/>
  <c r="D10"/>
  <c r="D12" i="8" s="1"/>
  <c r="D34" i="1"/>
  <c r="E10" i="5"/>
  <c r="E3" i="3"/>
  <c r="E4" s="1"/>
  <c r="D14" i="5"/>
  <c r="E6"/>
  <c r="E8" s="1"/>
  <c r="E11" s="1"/>
  <c r="E13" s="1"/>
  <c r="D23" i="1"/>
  <c r="D15" i="5"/>
  <c r="E42" i="3"/>
  <c r="F42" s="1"/>
  <c r="G42" s="1"/>
  <c r="H42" s="1"/>
  <c r="I42" s="1"/>
  <c r="J42" s="1"/>
  <c r="K42" s="1"/>
  <c r="L42" s="1"/>
  <c r="M42" s="1"/>
  <c r="N42" s="1"/>
  <c r="O42" s="1"/>
  <c r="P42" s="1"/>
  <c r="Q42" s="1"/>
  <c r="R42" s="1"/>
  <c r="S42" s="1"/>
  <c r="T42" s="1"/>
  <c r="U42" s="1"/>
  <c r="V42" s="1"/>
  <c r="W42" s="1"/>
  <c r="X42" s="1"/>
  <c r="Y42" s="1"/>
  <c r="Z42" s="1"/>
  <c r="AA42" s="1"/>
  <c r="AB42" s="1"/>
  <c r="AC42" s="1"/>
  <c r="D47" i="1"/>
  <c r="D46"/>
  <c r="D51"/>
  <c r="D60"/>
  <c r="Y87" i="3"/>
  <c r="Z87"/>
  <c r="AA87"/>
  <c r="AB87"/>
  <c r="AC87"/>
  <c r="E75"/>
  <c r="F75" s="1"/>
  <c r="G75" s="1"/>
  <c r="H75" s="1"/>
  <c r="I75" s="1"/>
  <c r="J75" s="1"/>
  <c r="E16" i="5" l="1"/>
  <c r="D48" i="1" s="1"/>
  <c r="E34" i="3" s="1"/>
  <c r="F34" s="1"/>
  <c r="G34" s="1"/>
  <c r="H34" s="1"/>
  <c r="I34" s="1"/>
  <c r="J34" s="1"/>
  <c r="K34" s="1"/>
  <c r="L34" s="1"/>
  <c r="M34" s="1"/>
  <c r="N34" s="1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E12" i="8"/>
  <c r="E16" s="1"/>
  <c r="D16"/>
  <c r="D25" i="7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D26" i="1"/>
  <c r="D48" i="3" s="1"/>
  <c r="E49" s="1"/>
  <c r="E50" s="1"/>
  <c r="E51" s="1"/>
  <c r="E52" s="1"/>
  <c r="E53" s="1"/>
  <c r="D80"/>
  <c r="D24" i="1"/>
  <c r="D16"/>
  <c r="D59" i="7"/>
  <c r="K75" i="3"/>
  <c r="A54"/>
  <c r="A52" s="1"/>
  <c r="A50" s="1"/>
  <c r="F3"/>
  <c r="F4" s="1"/>
  <c r="E5"/>
  <c r="D40" i="7"/>
  <c r="D9"/>
  <c r="F9" i="8"/>
  <c r="E7" i="7"/>
  <c r="F8" i="8"/>
  <c r="D60" i="7" l="1"/>
  <c r="D44" s="1"/>
  <c r="E54" i="3"/>
  <c r="E55" s="1"/>
  <c r="G8" i="8"/>
  <c r="E8" i="7"/>
  <c r="E66" i="3"/>
  <c r="E7"/>
  <c r="L75"/>
  <c r="E60" i="7"/>
  <c r="E44" s="1"/>
  <c r="G3" i="3"/>
  <c r="G4" s="1"/>
  <c r="F5"/>
  <c r="F10" i="8"/>
  <c r="E56" i="3" l="1"/>
  <c r="E59" s="1"/>
  <c r="E58"/>
  <c r="F27"/>
  <c r="F7"/>
  <c r="D12" i="7"/>
  <c r="E8" i="3"/>
  <c r="D13" i="7" s="1"/>
  <c r="E40" i="3"/>
  <c r="E31"/>
  <c r="E9" i="7"/>
  <c r="G9" i="8"/>
  <c r="G10" s="1"/>
  <c r="E40" i="7"/>
  <c r="F7"/>
  <c r="F60"/>
  <c r="G60" s="1"/>
  <c r="G44" s="1"/>
  <c r="H3" i="3"/>
  <c r="H4" s="1"/>
  <c r="G5"/>
  <c r="M75"/>
  <c r="F66"/>
  <c r="G66" l="1"/>
  <c r="E9"/>
  <c r="N75"/>
  <c r="I3"/>
  <c r="I4" s="1"/>
  <c r="H5"/>
  <c r="E43"/>
  <c r="E41"/>
  <c r="E32" s="1"/>
  <c r="E33" s="1"/>
  <c r="E35" s="1"/>
  <c r="F40"/>
  <c r="E12" i="7"/>
  <c r="F8" i="3"/>
  <c r="E13" i="7" s="1"/>
  <c r="F31" i="3"/>
  <c r="F9"/>
  <c r="D23" i="7"/>
  <c r="E17" i="3"/>
  <c r="H60" i="7"/>
  <c r="H44" s="1"/>
  <c r="E57" i="3"/>
  <c r="F49" s="1"/>
  <c r="G27"/>
  <c r="G7"/>
  <c r="F44" i="7"/>
  <c r="F8"/>
  <c r="H8" i="8"/>
  <c r="D14" i="7"/>
  <c r="K11" i="4"/>
  <c r="L11" s="1"/>
  <c r="E22" i="3"/>
  <c r="E23" s="1"/>
  <c r="D33" i="7" s="1"/>
  <c r="E19" i="3"/>
  <c r="E83"/>
  <c r="E60"/>
  <c r="H66" l="1"/>
  <c r="I60" i="7"/>
  <c r="I44" s="1"/>
  <c r="F14" i="8"/>
  <c r="H7" i="3"/>
  <c r="H27"/>
  <c r="J60" i="7"/>
  <c r="E84" i="3"/>
  <c r="E67"/>
  <c r="D26" i="7"/>
  <c r="E12" i="3"/>
  <c r="E69"/>
  <c r="H9" i="8"/>
  <c r="H10" s="1"/>
  <c r="F9" i="7"/>
  <c r="F40"/>
  <c r="G7"/>
  <c r="F12"/>
  <c r="G8" i="3"/>
  <c r="F13" i="7" s="1"/>
  <c r="G31" i="3"/>
  <c r="G40"/>
  <c r="F50"/>
  <c r="F51" s="1"/>
  <c r="E14" i="7"/>
  <c r="F22" i="3"/>
  <c r="F23" s="1"/>
  <c r="E33" i="7" s="1"/>
  <c r="F19" i="3"/>
  <c r="F69" s="1"/>
  <c r="F43"/>
  <c r="F41"/>
  <c r="F32" s="1"/>
  <c r="F33" s="1"/>
  <c r="F35" s="1"/>
  <c r="E68"/>
  <c r="E13"/>
  <c r="J3"/>
  <c r="J4" s="1"/>
  <c r="I5"/>
  <c r="O75"/>
  <c r="I66" l="1"/>
  <c r="F52"/>
  <c r="F53" s="1"/>
  <c r="E26" i="7"/>
  <c r="F12" i="3"/>
  <c r="F67"/>
  <c r="I7"/>
  <c r="I27"/>
  <c r="P75"/>
  <c r="K3"/>
  <c r="K4" s="1"/>
  <c r="J5"/>
  <c r="J66" s="1"/>
  <c r="F13"/>
  <c r="F68"/>
  <c r="G43"/>
  <c r="G41"/>
  <c r="E81"/>
  <c r="G12" i="7"/>
  <c r="H31" i="3"/>
  <c r="H40"/>
  <c r="H8"/>
  <c r="G13" i="7" s="1"/>
  <c r="G9" i="3"/>
  <c r="G8" i="7"/>
  <c r="I8" i="8"/>
  <c r="E14" i="3"/>
  <c r="J44" i="7"/>
  <c r="K60"/>
  <c r="L60" s="1"/>
  <c r="L44" s="1"/>
  <c r="G32" i="3"/>
  <c r="G33" s="1"/>
  <c r="G35" s="1"/>
  <c r="F54" l="1"/>
  <c r="F55" s="1"/>
  <c r="K44" i="7"/>
  <c r="F14"/>
  <c r="G22" i="3"/>
  <c r="G23" s="1"/>
  <c r="F33" i="7" s="1"/>
  <c r="G19" i="3"/>
  <c r="E82"/>
  <c r="E85" s="1"/>
  <c r="E88" s="1"/>
  <c r="D27" i="7" s="1"/>
  <c r="E20" i="3"/>
  <c r="G13"/>
  <c r="G68"/>
  <c r="K5"/>
  <c r="L3"/>
  <c r="L4" s="1"/>
  <c r="Q75"/>
  <c r="H12" i="7"/>
  <c r="I8" i="3"/>
  <c r="H13" i="7" s="1"/>
  <c r="I31" i="3"/>
  <c r="I40"/>
  <c r="H9"/>
  <c r="F14"/>
  <c r="F26" i="7"/>
  <c r="G12" i="3"/>
  <c r="G67"/>
  <c r="G40" i="7"/>
  <c r="I9" i="8"/>
  <c r="I10" s="1"/>
  <c r="G9" i="7"/>
  <c r="H7"/>
  <c r="H43" i="3"/>
  <c r="H41"/>
  <c r="H32" s="1"/>
  <c r="H33" s="1"/>
  <c r="H35" s="1"/>
  <c r="J7"/>
  <c r="J27"/>
  <c r="M60" i="7"/>
  <c r="M44" s="1"/>
  <c r="N60" l="1"/>
  <c r="N44" s="1"/>
  <c r="G26"/>
  <c r="H67" i="3"/>
  <c r="H12"/>
  <c r="F56"/>
  <c r="F59" s="1"/>
  <c r="F58"/>
  <c r="I12" i="7"/>
  <c r="J40" i="3"/>
  <c r="J8"/>
  <c r="I13" i="7" s="1"/>
  <c r="J31" i="3"/>
  <c r="H13"/>
  <c r="H68"/>
  <c r="G14"/>
  <c r="G14" i="7"/>
  <c r="H22" i="3"/>
  <c r="H23" s="1"/>
  <c r="G33" i="7" s="1"/>
  <c r="H19" i="3"/>
  <c r="H69" s="1"/>
  <c r="M3"/>
  <c r="M4" s="1"/>
  <c r="L5"/>
  <c r="E21"/>
  <c r="E86"/>
  <c r="E87" s="1"/>
  <c r="I9"/>
  <c r="H8" i="7"/>
  <c r="J8" i="8"/>
  <c r="I43" i="3"/>
  <c r="I41"/>
  <c r="I32" s="1"/>
  <c r="I33" s="1"/>
  <c r="I35" s="1"/>
  <c r="R75"/>
  <c r="K7"/>
  <c r="K27"/>
  <c r="F15" i="8"/>
  <c r="D42" i="7"/>
  <c r="G69" i="3"/>
  <c r="O60" i="7"/>
  <c r="K66" i="3"/>
  <c r="L66" s="1"/>
  <c r="J9" l="1"/>
  <c r="J19" s="1"/>
  <c r="J69" s="1"/>
  <c r="I12"/>
  <c r="I67"/>
  <c r="H26" i="7"/>
  <c r="J12"/>
  <c r="K8" i="3"/>
  <c r="J13" i="7" s="1"/>
  <c r="K40" i="3"/>
  <c r="K31"/>
  <c r="I68"/>
  <c r="I13"/>
  <c r="H9" i="7"/>
  <c r="H40"/>
  <c r="J9" i="8"/>
  <c r="J10" s="1"/>
  <c r="I7" i="7"/>
  <c r="L7" i="3"/>
  <c r="L27"/>
  <c r="I14" i="7"/>
  <c r="J22" i="3"/>
  <c r="J23" s="1"/>
  <c r="I33" i="7" s="1"/>
  <c r="F83" i="3"/>
  <c r="F60"/>
  <c r="H14"/>
  <c r="O44" i="7"/>
  <c r="P60"/>
  <c r="S75" i="3"/>
  <c r="H14" i="7"/>
  <c r="I19" i="3"/>
  <c r="I22"/>
  <c r="I23" s="1"/>
  <c r="H33" i="7" s="1"/>
  <c r="N3" i="3"/>
  <c r="N4" s="1"/>
  <c r="M5"/>
  <c r="J41"/>
  <c r="J32" s="1"/>
  <c r="J33" s="1"/>
  <c r="J35" s="1"/>
  <c r="J43"/>
  <c r="E23" i="7"/>
  <c r="F17" i="3"/>
  <c r="F57"/>
  <c r="G49" s="1"/>
  <c r="J12" l="1"/>
  <c r="I26" i="7"/>
  <c r="J67" i="3"/>
  <c r="J68"/>
  <c r="J13"/>
  <c r="M7"/>
  <c r="M27"/>
  <c r="T75"/>
  <c r="I8" i="7"/>
  <c r="K8" i="8"/>
  <c r="G50" i="3"/>
  <c r="G51" s="1"/>
  <c r="G14" i="8"/>
  <c r="N5" i="3"/>
  <c r="O3"/>
  <c r="O4" s="1"/>
  <c r="I69"/>
  <c r="F84"/>
  <c r="K12" i="7"/>
  <c r="L8" i="3"/>
  <c r="K13" i="7" s="1"/>
  <c r="L31" i="3"/>
  <c r="L40"/>
  <c r="K41"/>
  <c r="K32" s="1"/>
  <c r="K33" s="1"/>
  <c r="K35" s="1"/>
  <c r="K43"/>
  <c r="I14"/>
  <c r="M66"/>
  <c r="K9"/>
  <c r="P44" i="7"/>
  <c r="Q60"/>
  <c r="N66" i="3" l="1"/>
  <c r="K12"/>
  <c r="J26" i="7"/>
  <c r="K67" i="3"/>
  <c r="G52"/>
  <c r="G53" s="1"/>
  <c r="Q44" i="7"/>
  <c r="R60"/>
  <c r="J14"/>
  <c r="K19" i="3"/>
  <c r="K22"/>
  <c r="K23" s="1"/>
  <c r="J33" i="7" s="1"/>
  <c r="K13" i="3"/>
  <c r="K68"/>
  <c r="L41"/>
  <c r="L32" s="1"/>
  <c r="L33" s="1"/>
  <c r="L35" s="1"/>
  <c r="L43"/>
  <c r="F81"/>
  <c r="N27"/>
  <c r="N7"/>
  <c r="U75"/>
  <c r="L12" i="7"/>
  <c r="M40" i="3"/>
  <c r="M8"/>
  <c r="L13" i="7" s="1"/>
  <c r="M31" i="3"/>
  <c r="L9"/>
  <c r="J14"/>
  <c r="P3"/>
  <c r="P4" s="1"/>
  <c r="O5"/>
  <c r="I40" i="7"/>
  <c r="J7"/>
  <c r="K9" i="8"/>
  <c r="K10" s="1"/>
  <c r="I9" i="7"/>
  <c r="M9" i="3" l="1"/>
  <c r="O66"/>
  <c r="G54"/>
  <c r="G55" s="1"/>
  <c r="Q3"/>
  <c r="Q4" s="1"/>
  <c r="P5"/>
  <c r="K14" i="7"/>
  <c r="L22" i="3"/>
  <c r="L23" s="1"/>
  <c r="K33" i="7" s="1"/>
  <c r="L19" i="3"/>
  <c r="L69" s="1"/>
  <c r="M43"/>
  <c r="M41"/>
  <c r="M32" s="1"/>
  <c r="M33" s="1"/>
  <c r="M35" s="1"/>
  <c r="N8"/>
  <c r="M13" i="7" s="1"/>
  <c r="M12"/>
  <c r="N31" i="3"/>
  <c r="N40"/>
  <c r="F20"/>
  <c r="K69"/>
  <c r="K14"/>
  <c r="K26" i="7"/>
  <c r="L12" i="3"/>
  <c r="L67"/>
  <c r="J8" i="7"/>
  <c r="L8" i="8"/>
  <c r="O7" i="3"/>
  <c r="O27"/>
  <c r="L14" i="7"/>
  <c r="M19" i="3"/>
  <c r="M69" s="1"/>
  <c r="M22"/>
  <c r="M23" s="1"/>
  <c r="L33" i="7" s="1"/>
  <c r="V75" i="3"/>
  <c r="L13"/>
  <c r="L68"/>
  <c r="R44" i="7"/>
  <c r="S60"/>
  <c r="N9" i="3" l="1"/>
  <c r="M14" i="7" s="1"/>
  <c r="P66" i="3"/>
  <c r="G56"/>
  <c r="G59" s="1"/>
  <c r="G58"/>
  <c r="J40" i="7"/>
  <c r="L9" i="8"/>
  <c r="L10" s="1"/>
  <c r="K7" i="7"/>
  <c r="J9"/>
  <c r="S44"/>
  <c r="T60"/>
  <c r="L26"/>
  <c r="M12" i="3"/>
  <c r="M67"/>
  <c r="P7"/>
  <c r="P27"/>
  <c r="L14"/>
  <c r="W75"/>
  <c r="N12" i="7"/>
  <c r="O8" i="3"/>
  <c r="N13" i="7" s="1"/>
  <c r="O40" i="3"/>
  <c r="O31"/>
  <c r="N41"/>
  <c r="N32" s="1"/>
  <c r="N33" s="1"/>
  <c r="N35" s="1"/>
  <c r="N43"/>
  <c r="N22"/>
  <c r="N23" s="1"/>
  <c r="M33" i="7" s="1"/>
  <c r="N19" i="3"/>
  <c r="N69" s="1"/>
  <c r="M68"/>
  <c r="M13"/>
  <c r="R3"/>
  <c r="R4" s="1"/>
  <c r="Q5"/>
  <c r="Q66" s="1"/>
  <c r="M26" i="7" l="1"/>
  <c r="N12" i="3"/>
  <c r="N67"/>
  <c r="S3"/>
  <c r="S4" s="1"/>
  <c r="R5"/>
  <c r="O41"/>
  <c r="O32" s="1"/>
  <c r="O33" s="1"/>
  <c r="O35" s="1"/>
  <c r="O43"/>
  <c r="O12" i="7"/>
  <c r="P31" i="3"/>
  <c r="P8"/>
  <c r="O13" i="7" s="1"/>
  <c r="P40" i="3"/>
  <c r="T44" i="7"/>
  <c r="U60"/>
  <c r="F23"/>
  <c r="G17" i="3"/>
  <c r="O9"/>
  <c r="M14"/>
  <c r="G57"/>
  <c r="H49" s="1"/>
  <c r="Q7"/>
  <c r="Q27"/>
  <c r="N68"/>
  <c r="N13"/>
  <c r="X75"/>
  <c r="K8" i="7"/>
  <c r="M8" i="8"/>
  <c r="G83" i="3"/>
  <c r="G60"/>
  <c r="P9" l="1"/>
  <c r="P22" s="1"/>
  <c r="P23" s="1"/>
  <c r="O33" i="7" s="1"/>
  <c r="K40"/>
  <c r="M9" i="8"/>
  <c r="M10" s="1"/>
  <c r="K9" i="7"/>
  <c r="L7"/>
  <c r="Y75" i="3"/>
  <c r="H14" i="8"/>
  <c r="H50" i="3"/>
  <c r="H51" s="1"/>
  <c r="N14" i="7"/>
  <c r="O19" i="3"/>
  <c r="O69" s="1"/>
  <c r="O22"/>
  <c r="O23" s="1"/>
  <c r="N33" i="7" s="1"/>
  <c r="U44"/>
  <c r="V60"/>
  <c r="S5" i="3"/>
  <c r="T3"/>
  <c r="T4" s="1"/>
  <c r="N26" i="7"/>
  <c r="O67" i="3"/>
  <c r="O12"/>
  <c r="G84"/>
  <c r="P12" i="7"/>
  <c r="Q40" i="3"/>
  <c r="Q8"/>
  <c r="P13" i="7" s="1"/>
  <c r="Q31" i="3"/>
  <c r="P41"/>
  <c r="P32" s="1"/>
  <c r="P33" s="1"/>
  <c r="P35" s="1"/>
  <c r="P43"/>
  <c r="O68"/>
  <c r="O13"/>
  <c r="R7"/>
  <c r="R27"/>
  <c r="R66"/>
  <c r="N14"/>
  <c r="O14" i="7" l="1"/>
  <c r="P19" i="3"/>
  <c r="P69" s="1"/>
  <c r="S66"/>
  <c r="Q9"/>
  <c r="P14" i="7" s="1"/>
  <c r="O26"/>
  <c r="P12" i="3"/>
  <c r="P67"/>
  <c r="H52"/>
  <c r="H53" s="1"/>
  <c r="P68"/>
  <c r="P13"/>
  <c r="S27"/>
  <c r="S7"/>
  <c r="O14"/>
  <c r="R40"/>
  <c r="R8"/>
  <c r="Q13" i="7" s="1"/>
  <c r="Q12"/>
  <c r="R31" i="3"/>
  <c r="Q41"/>
  <c r="Q32" s="1"/>
  <c r="Q33" s="1"/>
  <c r="Q35" s="1"/>
  <c r="Q43"/>
  <c r="G81"/>
  <c r="U3"/>
  <c r="U4" s="1"/>
  <c r="T5"/>
  <c r="V44" i="7"/>
  <c r="W60"/>
  <c r="W44" s="1"/>
  <c r="Z75" i="3"/>
  <c r="L8" i="7"/>
  <c r="N8" i="8"/>
  <c r="Q19" i="3" l="1"/>
  <c r="Q69" s="1"/>
  <c r="T66"/>
  <c r="R9"/>
  <c r="Q22"/>
  <c r="Q23" s="1"/>
  <c r="P33" i="7" s="1"/>
  <c r="Q12" i="3"/>
  <c r="Q67"/>
  <c r="P26" i="7"/>
  <c r="H54" i="3"/>
  <c r="H55" s="1"/>
  <c r="V3"/>
  <c r="V4" s="1"/>
  <c r="U5"/>
  <c r="U66" s="1"/>
  <c r="Q68"/>
  <c r="Q13"/>
  <c r="R43"/>
  <c r="R41"/>
  <c r="R32" s="1"/>
  <c r="R33" s="1"/>
  <c r="R35" s="1"/>
  <c r="N9" i="8"/>
  <c r="N10" s="1"/>
  <c r="M7" i="7"/>
  <c r="L40"/>
  <c r="L9"/>
  <c r="AA75" i="3"/>
  <c r="T7"/>
  <c r="T27"/>
  <c r="G20"/>
  <c r="Q14" i="7"/>
  <c r="R19" i="3"/>
  <c r="R69" s="1"/>
  <c r="R22"/>
  <c r="R23" s="1"/>
  <c r="Q33" i="7" s="1"/>
  <c r="R12"/>
  <c r="S40" i="3"/>
  <c r="S8"/>
  <c r="R13" i="7" s="1"/>
  <c r="S31" i="3"/>
  <c r="P14"/>
  <c r="S9" l="1"/>
  <c r="R14" i="7" s="1"/>
  <c r="H56" i="3"/>
  <c r="H59" s="1"/>
  <c r="H58"/>
  <c r="S12" i="7"/>
  <c r="T8" i="3"/>
  <c r="S13" i="7" s="1"/>
  <c r="T40" i="3"/>
  <c r="T31"/>
  <c r="AB75"/>
  <c r="R13"/>
  <c r="R68"/>
  <c r="W3"/>
  <c r="W4" s="1"/>
  <c r="V5"/>
  <c r="V66" s="1"/>
  <c r="Q14"/>
  <c r="S41"/>
  <c r="S32" s="1"/>
  <c r="S33" s="1"/>
  <c r="S35" s="1"/>
  <c r="S43"/>
  <c r="S19"/>
  <c r="S69" s="1"/>
  <c r="S22"/>
  <c r="S23" s="1"/>
  <c r="R33" i="7" s="1"/>
  <c r="M8"/>
  <c r="O8" i="8"/>
  <c r="R12" i="3"/>
  <c r="R14" s="1"/>
  <c r="R67"/>
  <c r="Q26" i="7"/>
  <c r="U27" i="3"/>
  <c r="U7"/>
  <c r="S12" l="1"/>
  <c r="S67"/>
  <c r="R26" i="7"/>
  <c r="S68" i="3"/>
  <c r="S13"/>
  <c r="T12" i="7"/>
  <c r="U8" i="3"/>
  <c r="T13" i="7" s="1"/>
  <c r="U31" i="3"/>
  <c r="U9"/>
  <c r="U40"/>
  <c r="N7" i="7"/>
  <c r="M40"/>
  <c r="O9" i="8"/>
  <c r="O10" s="1"/>
  <c r="M9" i="7"/>
  <c r="X3" i="3"/>
  <c r="X4" s="1"/>
  <c r="W5"/>
  <c r="T41"/>
  <c r="T32" s="1"/>
  <c r="T33" s="1"/>
  <c r="T35" s="1"/>
  <c r="T43"/>
  <c r="G23" i="7"/>
  <c r="H17" i="3"/>
  <c r="H57"/>
  <c r="I49" s="1"/>
  <c r="V7"/>
  <c r="V27"/>
  <c r="AC75"/>
  <c r="H83"/>
  <c r="H60"/>
  <c r="T9"/>
  <c r="S26" i="7" l="1"/>
  <c r="T12" i="3"/>
  <c r="T67"/>
  <c r="V40"/>
  <c r="U12" i="7"/>
  <c r="V8" i="3"/>
  <c r="U13" i="7" s="1"/>
  <c r="V31" i="3"/>
  <c r="I14" i="8"/>
  <c r="S14" i="7"/>
  <c r="T19" i="3"/>
  <c r="T69" s="1"/>
  <c r="T22"/>
  <c r="T23" s="1"/>
  <c r="S33" i="7" s="1"/>
  <c r="I50" i="3"/>
  <c r="I51" s="1"/>
  <c r="T68"/>
  <c r="T13"/>
  <c r="W7"/>
  <c r="W27"/>
  <c r="U41"/>
  <c r="U32" s="1"/>
  <c r="U33" s="1"/>
  <c r="U35" s="1"/>
  <c r="U43"/>
  <c r="W66"/>
  <c r="H84"/>
  <c r="Y3"/>
  <c r="Y4" s="1"/>
  <c r="X5"/>
  <c r="N8" i="7"/>
  <c r="P8" i="8"/>
  <c r="T14" i="7"/>
  <c r="U22" i="3"/>
  <c r="U23" s="1"/>
  <c r="T33" i="7" s="1"/>
  <c r="U19" i="3"/>
  <c r="U69" s="1"/>
  <c r="S14"/>
  <c r="V9" l="1"/>
  <c r="T26" i="7"/>
  <c r="U12" i="3"/>
  <c r="U67"/>
  <c r="I52"/>
  <c r="I53" s="1"/>
  <c r="N40" i="7"/>
  <c r="P9" i="8"/>
  <c r="P10" s="1"/>
  <c r="N9" i="7"/>
  <c r="O7"/>
  <c r="Z3" i="3"/>
  <c r="Z4" s="1"/>
  <c r="Y5"/>
  <c r="U68"/>
  <c r="U13"/>
  <c r="V41"/>
  <c r="V32" s="1"/>
  <c r="V33" s="1"/>
  <c r="V35" s="1"/>
  <c r="V43"/>
  <c r="X7"/>
  <c r="X27"/>
  <c r="H81"/>
  <c r="V12" i="7"/>
  <c r="W40" i="3"/>
  <c r="W31"/>
  <c r="W8"/>
  <c r="V13" i="7" s="1"/>
  <c r="U14"/>
  <c r="V19" i="3"/>
  <c r="V69" s="1"/>
  <c r="V22"/>
  <c r="V23" s="1"/>
  <c r="U33" i="7" s="1"/>
  <c r="X66" i="3"/>
  <c r="T14"/>
  <c r="Y66" l="1"/>
  <c r="U26" i="7"/>
  <c r="V12" i="3"/>
  <c r="V67"/>
  <c r="W41"/>
  <c r="W32" s="1"/>
  <c r="W33" s="1"/>
  <c r="W35" s="1"/>
  <c r="W43"/>
  <c r="H20"/>
  <c r="W12" i="7"/>
  <c r="X31" i="3"/>
  <c r="X8"/>
  <c r="W13" i="7" s="1"/>
  <c r="X40" i="3"/>
  <c r="AA3"/>
  <c r="AA4" s="1"/>
  <c r="Z5"/>
  <c r="W9"/>
  <c r="V68"/>
  <c r="V13"/>
  <c r="Y7"/>
  <c r="Y27"/>
  <c r="O8" i="7"/>
  <c r="Q8" i="8"/>
  <c r="I54" i="3"/>
  <c r="I55" s="1"/>
  <c r="U14"/>
  <c r="Z66" l="1"/>
  <c r="X9"/>
  <c r="W14" i="7" s="1"/>
  <c r="I56" i="3"/>
  <c r="I59" s="1"/>
  <c r="I58"/>
  <c r="X19"/>
  <c r="X69" s="1"/>
  <c r="P7" i="7"/>
  <c r="O40"/>
  <c r="Q9" i="8"/>
  <c r="Q10" s="1"/>
  <c r="O9" i="7"/>
  <c r="Y31" i="3"/>
  <c r="Y40"/>
  <c r="Y8"/>
  <c r="Y9" s="1"/>
  <c r="Z27"/>
  <c r="Z7"/>
  <c r="AA5"/>
  <c r="AA66" s="1"/>
  <c r="AB3"/>
  <c r="AB4" s="1"/>
  <c r="W68"/>
  <c r="W13"/>
  <c r="V14" i="7"/>
  <c r="W22" i="3"/>
  <c r="W23" s="1"/>
  <c r="V33" i="7" s="1"/>
  <c r="W19" i="3"/>
  <c r="W69" s="1"/>
  <c r="W12"/>
  <c r="W67"/>
  <c r="V26" i="7"/>
  <c r="X41" i="3"/>
  <c r="X32" s="1"/>
  <c r="X33" s="1"/>
  <c r="X35" s="1"/>
  <c r="X43"/>
  <c r="V14"/>
  <c r="X22" l="1"/>
  <c r="X23" s="1"/>
  <c r="W33" i="7" s="1"/>
  <c r="W14" i="3"/>
  <c r="W26" i="7"/>
  <c r="X12" i="3"/>
  <c r="X67"/>
  <c r="X13"/>
  <c r="X68"/>
  <c r="AC3"/>
  <c r="AC4" s="1"/>
  <c r="AB5"/>
  <c r="AB66" s="1"/>
  <c r="Z40"/>
  <c r="Z31"/>
  <c r="Z8"/>
  <c r="Z9" s="1"/>
  <c r="Y43"/>
  <c r="Y41"/>
  <c r="Y32" s="1"/>
  <c r="Y33" s="1"/>
  <c r="Y35" s="1"/>
  <c r="H23" i="7"/>
  <c r="I17" i="3"/>
  <c r="I57"/>
  <c r="J49" s="1"/>
  <c r="AA7"/>
  <c r="AA27"/>
  <c r="Y22"/>
  <c r="Y23" s="1"/>
  <c r="Y19"/>
  <c r="Y69" s="1"/>
  <c r="P8" i="7"/>
  <c r="R8" i="8"/>
  <c r="I83" i="3"/>
  <c r="I60"/>
  <c r="P40" i="7" l="1"/>
  <c r="R9" i="8"/>
  <c r="R10" s="1"/>
  <c r="Q7" i="7"/>
  <c r="P9"/>
  <c r="J50" i="3"/>
  <c r="J51" s="1"/>
  <c r="Y68"/>
  <c r="Y13"/>
  <c r="Z22"/>
  <c r="Z23" s="1"/>
  <c r="Z19"/>
  <c r="Z69" s="1"/>
  <c r="Z43"/>
  <c r="Z41"/>
  <c r="AA40"/>
  <c r="AA31"/>
  <c r="AA8"/>
  <c r="AA9" s="1"/>
  <c r="AB7"/>
  <c r="AB27"/>
  <c r="Z32"/>
  <c r="Z33" s="1"/>
  <c r="Z35" s="1"/>
  <c r="Y12"/>
  <c r="Y67"/>
  <c r="I84"/>
  <c r="J14" i="8"/>
  <c r="AC5" i="3"/>
  <c r="X14"/>
  <c r="Y14" l="1"/>
  <c r="J52"/>
  <c r="J53" s="1"/>
  <c r="AC7"/>
  <c r="AC27"/>
  <c r="Z12"/>
  <c r="Z67"/>
  <c r="AA22"/>
  <c r="AA23" s="1"/>
  <c r="AA19"/>
  <c r="AA69" s="1"/>
  <c r="Z68"/>
  <c r="Z13"/>
  <c r="Q8" i="7"/>
  <c r="S8" i="8"/>
  <c r="I81" i="3"/>
  <c r="AB31"/>
  <c r="AB8"/>
  <c r="AB9" s="1"/>
  <c r="AB40"/>
  <c r="AA41"/>
  <c r="AA32" s="1"/>
  <c r="AA33" s="1"/>
  <c r="AA35" s="1"/>
  <c r="AA43"/>
  <c r="AC66"/>
  <c r="AA12" l="1"/>
  <c r="AA67"/>
  <c r="J54"/>
  <c r="J55" s="1"/>
  <c r="I20"/>
  <c r="R7" i="7"/>
  <c r="Q40"/>
  <c r="S9" i="8"/>
  <c r="S10" s="1"/>
  <c r="Q9" i="7"/>
  <c r="AA13" i="3"/>
  <c r="AA68"/>
  <c r="AB43"/>
  <c r="AB41"/>
  <c r="AB32" s="1"/>
  <c r="AB33" s="1"/>
  <c r="AB35" s="1"/>
  <c r="AB22"/>
  <c r="AB23" s="1"/>
  <c r="AB19"/>
  <c r="AB69" s="1"/>
  <c r="AC31"/>
  <c r="AC8"/>
  <c r="AC9" s="1"/>
  <c r="AC40"/>
  <c r="Z14"/>
  <c r="AB12" l="1"/>
  <c r="AB67"/>
  <c r="J56"/>
  <c r="J59" s="1"/>
  <c r="J58"/>
  <c r="AC41"/>
  <c r="AC32" s="1"/>
  <c r="AC33" s="1"/>
  <c r="AC35" s="1"/>
  <c r="AC43"/>
  <c r="R8" i="7"/>
  <c r="T8" i="8"/>
  <c r="AA14" i="3"/>
  <c r="AC22"/>
  <c r="AC19"/>
  <c r="AB68"/>
  <c r="AB13"/>
  <c r="AC12" l="1"/>
  <c r="AC67"/>
  <c r="AC23"/>
  <c r="D22"/>
  <c r="J83"/>
  <c r="J84" s="1"/>
  <c r="J60"/>
  <c r="AC69"/>
  <c r="D19"/>
  <c r="AC68"/>
  <c r="AC13"/>
  <c r="D13" s="1"/>
  <c r="I23" i="7"/>
  <c r="J17" i="3"/>
  <c r="J57"/>
  <c r="K49" s="1"/>
  <c r="AB14"/>
  <c r="R40" i="7"/>
  <c r="T9" i="8"/>
  <c r="T10" s="1"/>
  <c r="S7" i="7"/>
  <c r="R9"/>
  <c r="S8" l="1"/>
  <c r="U8" i="8"/>
  <c r="K14"/>
  <c r="J81" i="3"/>
  <c r="AC14"/>
  <c r="D12"/>
  <c r="K50"/>
  <c r="K51" s="1"/>
  <c r="K52" l="1"/>
  <c r="K53" s="1"/>
  <c r="J20"/>
  <c r="T7" i="7"/>
  <c r="S40"/>
  <c r="U9" i="8"/>
  <c r="U10" s="1"/>
  <c r="S9" i="7"/>
  <c r="D14" i="3"/>
  <c r="K54" l="1"/>
  <c r="K55" s="1"/>
  <c r="T8" i="7"/>
  <c r="V8" i="8"/>
  <c r="K56" i="3" l="1"/>
  <c r="K59" s="1"/>
  <c r="K58"/>
  <c r="T40" i="7"/>
  <c r="V9" i="8"/>
  <c r="V10" s="1"/>
  <c r="U7" i="7"/>
  <c r="T9"/>
  <c r="U8" l="1"/>
  <c r="W8" i="8"/>
  <c r="K83" i="3"/>
  <c r="K84" s="1"/>
  <c r="K60"/>
  <c r="J23" i="7"/>
  <c r="K17" i="3"/>
  <c r="K57"/>
  <c r="L49" s="1"/>
  <c r="L50" l="1"/>
  <c r="L51" s="1"/>
  <c r="L14" i="8"/>
  <c r="K81" i="3"/>
  <c r="V7" i="7"/>
  <c r="U40"/>
  <c r="W9" i="8"/>
  <c r="W10" s="1"/>
  <c r="U9" i="7"/>
  <c r="L52" i="3" l="1"/>
  <c r="L53" s="1"/>
  <c r="K20"/>
  <c r="V8" i="7"/>
  <c r="X8" i="8"/>
  <c r="L54" i="3" l="1"/>
  <c r="L55" s="1"/>
  <c r="V40" i="7"/>
  <c r="X9" i="8"/>
  <c r="X10" s="1"/>
  <c r="V9" i="7"/>
  <c r="W7"/>
  <c r="L56" i="3" l="1"/>
  <c r="L59" s="1"/>
  <c r="L58"/>
  <c r="W8" i="7"/>
  <c r="Y8" i="8"/>
  <c r="Y9" l="1"/>
  <c r="Y10" s="1"/>
  <c r="W40" i="7"/>
  <c r="W9"/>
  <c r="L83" i="3"/>
  <c r="L84" s="1"/>
  <c r="L60"/>
  <c r="K23" i="7"/>
  <c r="L17" i="3"/>
  <c r="L57"/>
  <c r="M49" s="1"/>
  <c r="M50" l="1"/>
  <c r="M51" s="1"/>
  <c r="M14" i="8"/>
  <c r="L81" i="3"/>
  <c r="M52" l="1"/>
  <c r="M53" s="1"/>
  <c r="L20"/>
  <c r="M54" l="1"/>
  <c r="M55" s="1"/>
  <c r="M56" l="1"/>
  <c r="M59" s="1"/>
  <c r="M58"/>
  <c r="M83" l="1"/>
  <c r="M84" s="1"/>
  <c r="M60"/>
  <c r="L23" i="7"/>
  <c r="M17" i="3"/>
  <c r="M57"/>
  <c r="N49" s="1"/>
  <c r="N50" l="1"/>
  <c r="N51" s="1"/>
  <c r="N14" i="8"/>
  <c r="M81" i="3"/>
  <c r="N52" l="1"/>
  <c r="N53" s="1"/>
  <c r="M20"/>
  <c r="N54" l="1"/>
  <c r="N55" s="1"/>
  <c r="N56" l="1"/>
  <c r="N59" s="1"/>
  <c r="N58"/>
  <c r="N83" l="1"/>
  <c r="N84" s="1"/>
  <c r="N60"/>
  <c r="M23" i="7"/>
  <c r="N17" i="3"/>
  <c r="N57"/>
  <c r="O49" s="1"/>
  <c r="O50" l="1"/>
  <c r="O51" s="1"/>
  <c r="O14" i="8"/>
  <c r="N81" i="3"/>
  <c r="O52" l="1"/>
  <c r="O53" s="1"/>
  <c r="N20"/>
  <c r="O54" l="1"/>
  <c r="O55" s="1"/>
  <c r="O56" l="1"/>
  <c r="O59" s="1"/>
  <c r="O58"/>
  <c r="O83" l="1"/>
  <c r="O84" s="1"/>
  <c r="O60"/>
  <c r="N23" i="7"/>
  <c r="O17" i="3"/>
  <c r="O57"/>
  <c r="P49" s="1"/>
  <c r="P50" l="1"/>
  <c r="P51" s="1"/>
  <c r="P14" i="8"/>
  <c r="O81" i="3"/>
  <c r="P52" l="1"/>
  <c r="P53" s="1"/>
  <c r="O20"/>
  <c r="P54" l="1"/>
  <c r="P55" s="1"/>
  <c r="P56" l="1"/>
  <c r="P59" s="1"/>
  <c r="P58"/>
  <c r="P83" l="1"/>
  <c r="P84" s="1"/>
  <c r="P60"/>
  <c r="Q60" s="1"/>
  <c r="R60" s="1"/>
  <c r="S60" s="1"/>
  <c r="T60" s="1"/>
  <c r="U60" s="1"/>
  <c r="V60" s="1"/>
  <c r="W60" s="1"/>
  <c r="X60" s="1"/>
  <c r="Y60" s="1"/>
  <c r="Z60" s="1"/>
  <c r="AA60" s="1"/>
  <c r="AB60" s="1"/>
  <c r="AC60" s="1"/>
  <c r="O23" i="7"/>
  <c r="P17" i="3"/>
  <c r="P57"/>
  <c r="Q49" s="1"/>
  <c r="Q50" l="1"/>
  <c r="Q51" s="1"/>
  <c r="Q14" i="8"/>
  <c r="P81" i="3"/>
  <c r="Q52" l="1"/>
  <c r="Q53" s="1"/>
  <c r="P20"/>
  <c r="Q54" l="1"/>
  <c r="Q55" s="1"/>
  <c r="Q56" l="1"/>
  <c r="Q59" s="1"/>
  <c r="Q83" s="1"/>
  <c r="Q84" s="1"/>
  <c r="Q58"/>
  <c r="Q86" l="1"/>
  <c r="P23" i="7"/>
  <c r="Q17" i="3"/>
  <c r="Q57"/>
  <c r="R49" s="1"/>
  <c r="R50" l="1"/>
  <c r="R51" s="1"/>
  <c r="R14" i="8"/>
  <c r="R52" i="3" l="1"/>
  <c r="R53" s="1"/>
  <c r="R54" l="1"/>
  <c r="R55" s="1"/>
  <c r="R56" l="1"/>
  <c r="R59" s="1"/>
  <c r="R83" s="1"/>
  <c r="R84" s="1"/>
  <c r="R58"/>
  <c r="R86" l="1"/>
  <c r="Q23" i="7"/>
  <c r="R17" i="3"/>
  <c r="R57"/>
  <c r="S49" s="1"/>
  <c r="S50" l="1"/>
  <c r="S51" s="1"/>
  <c r="S14" i="8"/>
  <c r="S52" i="3" l="1"/>
  <c r="S53" s="1"/>
  <c r="S54" l="1"/>
  <c r="S55" s="1"/>
  <c r="S56" l="1"/>
  <c r="S59" s="1"/>
  <c r="S83" s="1"/>
  <c r="S84" s="1"/>
  <c r="S58"/>
  <c r="S86" l="1"/>
  <c r="R23" i="7"/>
  <c r="S17" i="3"/>
  <c r="S57"/>
  <c r="T49" s="1"/>
  <c r="T50" l="1"/>
  <c r="T51" s="1"/>
  <c r="T14" i="8"/>
  <c r="T52" i="3" l="1"/>
  <c r="T53" s="1"/>
  <c r="T54" l="1"/>
  <c r="T55" s="1"/>
  <c r="T56" l="1"/>
  <c r="T59" s="1"/>
  <c r="T83" s="1"/>
  <c r="T84" s="1"/>
  <c r="T58"/>
  <c r="T86" l="1"/>
  <c r="S23" i="7"/>
  <c r="T17" i="3"/>
  <c r="T57"/>
  <c r="U49" s="1"/>
  <c r="U50" l="1"/>
  <c r="U51" s="1"/>
  <c r="U14" i="8"/>
  <c r="U52" i="3" l="1"/>
  <c r="U53" s="1"/>
  <c r="U54" l="1"/>
  <c r="U55" s="1"/>
  <c r="U56" l="1"/>
  <c r="U59" s="1"/>
  <c r="U83" s="1"/>
  <c r="U84" s="1"/>
  <c r="U58"/>
  <c r="U86" l="1"/>
  <c r="T23" i="7"/>
  <c r="U17" i="3"/>
  <c r="U57"/>
  <c r="V49" s="1"/>
  <c r="V50" l="1"/>
  <c r="V51" s="1"/>
  <c r="V14" i="8"/>
  <c r="V52" i="3" l="1"/>
  <c r="V53" s="1"/>
  <c r="V54" l="1"/>
  <c r="V55" s="1"/>
  <c r="V56" l="1"/>
  <c r="V59" s="1"/>
  <c r="V83" s="1"/>
  <c r="V84" s="1"/>
  <c r="V58"/>
  <c r="V86" l="1"/>
  <c r="U23" i="7"/>
  <c r="V17" i="3"/>
  <c r="V57"/>
  <c r="W49" s="1"/>
  <c r="W50" l="1"/>
  <c r="W51" s="1"/>
  <c r="W14" i="8"/>
  <c r="W52" i="3" l="1"/>
  <c r="W53" s="1"/>
  <c r="W54" l="1"/>
  <c r="W55" s="1"/>
  <c r="W56" l="1"/>
  <c r="W59" s="1"/>
  <c r="W83" s="1"/>
  <c r="W84" s="1"/>
  <c r="W58"/>
  <c r="W86" l="1"/>
  <c r="V23" i="7"/>
  <c r="W17" i="3"/>
  <c r="W57"/>
  <c r="X49" s="1"/>
  <c r="X50" l="1"/>
  <c r="X51" s="1"/>
  <c r="X14" i="8"/>
  <c r="X52" i="3" l="1"/>
  <c r="X53" s="1"/>
  <c r="X54" l="1"/>
  <c r="X55" s="1"/>
  <c r="X56" l="1"/>
  <c r="X59" s="1"/>
  <c r="X83" s="1"/>
  <c r="X84" s="1"/>
  <c r="X58"/>
  <c r="X86" l="1"/>
  <c r="W23" i="7"/>
  <c r="X17" i="3"/>
  <c r="X57"/>
  <c r="Y49" s="1"/>
  <c r="Y50" l="1"/>
  <c r="Y51" s="1"/>
  <c r="Y14" i="8"/>
  <c r="Y52" i="3" l="1"/>
  <c r="Y53" s="1"/>
  <c r="Y54" l="1"/>
  <c r="Y55" s="1"/>
  <c r="Y56" l="1"/>
  <c r="Y59" s="1"/>
  <c r="Y83" s="1"/>
  <c r="Y84" s="1"/>
  <c r="Y58"/>
  <c r="Y17" s="1"/>
  <c r="Y86" l="1"/>
  <c r="Y81"/>
  <c r="Y57"/>
  <c r="Z49" s="1"/>
  <c r="Z50" l="1"/>
  <c r="Z51" s="1"/>
  <c r="Y20"/>
  <c r="Z52" l="1"/>
  <c r="Z53" s="1"/>
  <c r="Z54" l="1"/>
  <c r="Z55" s="1"/>
  <c r="Z56" l="1"/>
  <c r="Z59" s="1"/>
  <c r="Z83" s="1"/>
  <c r="Z84" s="1"/>
  <c r="Z58"/>
  <c r="Z17" s="1"/>
  <c r="Z86" l="1"/>
  <c r="Z81"/>
  <c r="Z57"/>
  <c r="AA49" s="1"/>
  <c r="AA50" l="1"/>
  <c r="AA51" s="1"/>
  <c r="Z20"/>
  <c r="AA52" l="1"/>
  <c r="AA53" s="1"/>
  <c r="AA54" l="1"/>
  <c r="AA55" s="1"/>
  <c r="AA56" l="1"/>
  <c r="AA59" s="1"/>
  <c r="AA83" s="1"/>
  <c r="AA84" s="1"/>
  <c r="AA58"/>
  <c r="AA17" s="1"/>
  <c r="AA86" l="1"/>
  <c r="AA81"/>
  <c r="AA57"/>
  <c r="AB49" s="1"/>
  <c r="AB50" l="1"/>
  <c r="AB51" s="1"/>
  <c r="AA20"/>
  <c r="AB52" l="1"/>
  <c r="AB53" s="1"/>
  <c r="AB54" l="1"/>
  <c r="AB55" s="1"/>
  <c r="AB56" l="1"/>
  <c r="AB59" s="1"/>
  <c r="AB83" s="1"/>
  <c r="AB84" s="1"/>
  <c r="AB58"/>
  <c r="AB17" s="1"/>
  <c r="AB81" l="1"/>
  <c r="AB86"/>
  <c r="AB57"/>
  <c r="AC49" s="1"/>
  <c r="AC50" l="1"/>
  <c r="AC51" s="1"/>
  <c r="AB20"/>
  <c r="AC52" l="1"/>
  <c r="AC53" s="1"/>
  <c r="AC54" l="1"/>
  <c r="AC55" s="1"/>
  <c r="AC56" l="1"/>
  <c r="AC59" s="1"/>
  <c r="AC83" s="1"/>
  <c r="AC84" s="1"/>
  <c r="AC58"/>
  <c r="AC17" s="1"/>
  <c r="AC86" l="1"/>
  <c r="AC81"/>
  <c r="D17"/>
  <c r="AC57"/>
  <c r="AC20" l="1"/>
  <c r="D23"/>
  <c r="F13" i="8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D17"/>
  <c r="D18" i="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K10" i="4"/>
  <c r="L10"/>
  <c r="K12"/>
  <c r="L12"/>
  <c r="L15"/>
  <c r="D18" i="3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D20"/>
  <c r="Q20"/>
  <c r="R20"/>
  <c r="S20"/>
  <c r="T20"/>
  <c r="U20"/>
  <c r="V20"/>
  <c r="W20"/>
  <c r="X20"/>
  <c r="D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E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D27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Q81"/>
  <c r="R81"/>
  <c r="S81"/>
  <c r="T81"/>
  <c r="U81"/>
  <c r="V81"/>
  <c r="W81"/>
  <c r="X81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F86"/>
  <c r="G86"/>
  <c r="H86"/>
  <c r="I86"/>
  <c r="J86"/>
  <c r="K86"/>
  <c r="L86"/>
  <c r="M86"/>
  <c r="N86"/>
  <c r="O86"/>
  <c r="P86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</calcChain>
</file>

<file path=xl/sharedStrings.xml><?xml version="1.0" encoding="utf-8"?>
<sst xmlns="http://schemas.openxmlformats.org/spreadsheetml/2006/main" count="411" uniqueCount="247">
  <si>
    <t>Project capacity</t>
  </si>
  <si>
    <t>MW</t>
  </si>
  <si>
    <t>Project cost including IDC</t>
  </si>
  <si>
    <t>Project Financing</t>
  </si>
  <si>
    <t>Project Debt</t>
  </si>
  <si>
    <t>%</t>
  </si>
  <si>
    <t>Project Equity</t>
  </si>
  <si>
    <t>Term of Debt</t>
  </si>
  <si>
    <t>Years</t>
  </si>
  <si>
    <t>Interest on Debt</t>
  </si>
  <si>
    <t>Moratium Peirod</t>
  </si>
  <si>
    <t>ROE</t>
  </si>
  <si>
    <t>Operating Norms</t>
  </si>
  <si>
    <t>PLF</t>
  </si>
  <si>
    <t>Auxiliary Consumption</t>
  </si>
  <si>
    <t>SHR</t>
  </si>
  <si>
    <t>Kcal/Kwh</t>
  </si>
  <si>
    <t>Depreciation</t>
  </si>
  <si>
    <t>Recovery of Depreciation</t>
  </si>
  <si>
    <t>Rate of Depreciation - Book Depreciation</t>
  </si>
  <si>
    <t>Advance Against Depreciation</t>
  </si>
  <si>
    <t>O&amp;M Expenses</t>
  </si>
  <si>
    <t>Escalation Factor</t>
  </si>
  <si>
    <t>O&amp;M</t>
  </si>
  <si>
    <t>Tax</t>
  </si>
  <si>
    <t>Tax Rate</t>
  </si>
  <si>
    <t>MAT Rate</t>
  </si>
  <si>
    <t>80IA Exemption</t>
  </si>
  <si>
    <t>Working Capital norms</t>
  </si>
  <si>
    <t>Receivables</t>
  </si>
  <si>
    <t>Spares</t>
  </si>
  <si>
    <t>Escalation factor for spares</t>
  </si>
  <si>
    <t>Primary Fuel Stock</t>
  </si>
  <si>
    <t>Interest on Working Capital</t>
  </si>
  <si>
    <t>Days</t>
  </si>
  <si>
    <t>% of Project Cost</t>
  </si>
  <si>
    <t>Particulars</t>
  </si>
  <si>
    <t>Unit</t>
  </si>
  <si>
    <t>Period Beginning</t>
  </si>
  <si>
    <t>Period Ending</t>
  </si>
  <si>
    <t>Gross Generation</t>
  </si>
  <si>
    <t>Auxillary Generation</t>
  </si>
  <si>
    <t>Net Generation</t>
  </si>
  <si>
    <t>Primary fuel</t>
  </si>
  <si>
    <t>Rs / Kwh</t>
  </si>
  <si>
    <t>Interest on debt</t>
  </si>
  <si>
    <t>Interest on working capital</t>
  </si>
  <si>
    <t>O&amp;M expenses</t>
  </si>
  <si>
    <t>Advance against depreciation</t>
  </si>
  <si>
    <t>Return on equity</t>
  </si>
  <si>
    <t>Total</t>
  </si>
  <si>
    <t>Mn Kcal</t>
  </si>
  <si>
    <t>Calculation for Interest on Debt</t>
  </si>
  <si>
    <t>Total Debt</t>
  </si>
  <si>
    <t>Closing balance</t>
  </si>
  <si>
    <t>Calculation for Depreciation</t>
  </si>
  <si>
    <t>Depreciable value</t>
  </si>
  <si>
    <t>Booked depreciation</t>
  </si>
  <si>
    <t>Accumulated debt repayment</t>
  </si>
  <si>
    <t>Accumulated depreciation</t>
  </si>
  <si>
    <t>Khaperkheda</t>
  </si>
  <si>
    <t>Project cost per MW</t>
  </si>
  <si>
    <t>Secondary Fuel</t>
  </si>
  <si>
    <t>ml / kWh</t>
  </si>
  <si>
    <t>Cost of Oil</t>
  </si>
  <si>
    <t>Rs. / kl</t>
  </si>
  <si>
    <t>Escalation for oil</t>
  </si>
  <si>
    <t>of loan amount</t>
  </si>
  <si>
    <t>Secondary Fuel Stock</t>
  </si>
  <si>
    <t>days</t>
  </si>
  <si>
    <t>Heat contributed by oil</t>
  </si>
  <si>
    <t>Oil consumption</t>
  </si>
  <si>
    <t>Oil cost</t>
  </si>
  <si>
    <t>Secondary fuel cost</t>
  </si>
  <si>
    <t>KL</t>
  </si>
  <si>
    <t>B'wal</t>
  </si>
  <si>
    <t>Ch'pur</t>
  </si>
  <si>
    <t>Koradi</t>
  </si>
  <si>
    <t>Nasik</t>
  </si>
  <si>
    <t>Paras</t>
  </si>
  <si>
    <t>Panl</t>
  </si>
  <si>
    <t>K'kheda</t>
  </si>
  <si>
    <t>Hydro</t>
  </si>
  <si>
    <t>Uran</t>
  </si>
  <si>
    <t>Total Revenue requirement</t>
  </si>
  <si>
    <t>Net MU</t>
  </si>
  <si>
    <t>Transfer Price Rs. Per KwH</t>
  </si>
  <si>
    <t>Total Revenue requirement (Rs Cr)</t>
  </si>
  <si>
    <t>Pooled cost of Generation as on 2005-06 (Rs/kWh)</t>
  </si>
  <si>
    <t>Plants</t>
  </si>
  <si>
    <t>Secondary Fuel -Oil</t>
  </si>
  <si>
    <t>Transportation cost</t>
  </si>
  <si>
    <t>Discounting factor as Notified by CERC for bid evln</t>
  </si>
  <si>
    <t>Increase/(decrease) in pooled cost due to addition of Chandrapur Exp Project (Rs/kWh)</t>
  </si>
  <si>
    <t>Khaperkheda TPS 1 x 500 MW</t>
  </si>
  <si>
    <t>Levelised Tariff</t>
  </si>
  <si>
    <t>Rs. / scm</t>
  </si>
  <si>
    <t>Landed Cost of NG</t>
  </si>
  <si>
    <t>` -10%</t>
  </si>
  <si>
    <t>Total Project Cost</t>
  </si>
  <si>
    <t>base case</t>
  </si>
  <si>
    <t>` +10%</t>
  </si>
  <si>
    <t>Landed Cost of Fuel</t>
  </si>
  <si>
    <t>Natural Gas consumption</t>
  </si>
  <si>
    <t>Natural Gascost</t>
  </si>
  <si>
    <t>Interest During Construction</t>
  </si>
  <si>
    <t>Margin Money - Working Capital</t>
  </si>
  <si>
    <t>Financing Charges</t>
  </si>
  <si>
    <t>Plant EPC</t>
  </si>
  <si>
    <t>Other cost</t>
  </si>
  <si>
    <t>As per Detailed Project Report (DPR)</t>
  </si>
  <si>
    <t>% of total capital cost</t>
  </si>
  <si>
    <t>Income Tax Act</t>
  </si>
  <si>
    <t>http://www.cercind.gov.in/13042007/Terms_and_conditions_of_tariff.pdf</t>
  </si>
  <si>
    <t>Project Cost</t>
  </si>
  <si>
    <t>Project Specifications</t>
  </si>
  <si>
    <t>Rs. Crores</t>
  </si>
  <si>
    <t>CoD - Open cycle</t>
  </si>
  <si>
    <t>CoD - Combined cycle</t>
  </si>
  <si>
    <t>BASELINE ALTERNATIVE 1 : 366 MW COMBINED CYCLE CCGT WITHOUT CDM</t>
  </si>
  <si>
    <t>Open cycle</t>
  </si>
  <si>
    <t>Combined Cycle</t>
  </si>
  <si>
    <t>Heat Rate</t>
  </si>
  <si>
    <t>Fuel Specifications</t>
  </si>
  <si>
    <t>NCV of Natural Gas</t>
  </si>
  <si>
    <t>kCal/SCM</t>
  </si>
  <si>
    <t>Specific Gas consumption - Open cycle</t>
  </si>
  <si>
    <t>Specific Gas consumption - Combined cycle</t>
  </si>
  <si>
    <t>SCM/kWh</t>
  </si>
  <si>
    <t>Annual Gas Price Escalation</t>
  </si>
  <si>
    <t>GWh</t>
  </si>
  <si>
    <t>Primary Fuel - Natural Gas</t>
  </si>
  <si>
    <t>kCal / lt</t>
  </si>
  <si>
    <t>Specific Oil consumption - Open cycle</t>
  </si>
  <si>
    <t>Specific Oil consumption - Combined cycle</t>
  </si>
  <si>
    <t>NCV of Oil</t>
  </si>
  <si>
    <t>Oil Price</t>
  </si>
  <si>
    <t>Rs./kL</t>
  </si>
  <si>
    <t>Cost of Secondary Fuel</t>
  </si>
  <si>
    <t>Cost of Primary Fuel</t>
  </si>
  <si>
    <t>Total Heat Required</t>
  </si>
  <si>
    <t>Million kCal</t>
  </si>
  <si>
    <t>Million SCM</t>
  </si>
  <si>
    <t>Natural Gas Price</t>
  </si>
  <si>
    <t>Rs./SCM</t>
  </si>
  <si>
    <t>Heat Contributed by Primary fuel</t>
  </si>
  <si>
    <t>Energy charge</t>
  </si>
  <si>
    <t>Sub total  - Energy Charge</t>
  </si>
  <si>
    <t>Principal Repayment  - 1</t>
  </si>
  <si>
    <t>Opening balance - 2nd qtr</t>
  </si>
  <si>
    <t>Opening balance - 1st qtr</t>
  </si>
  <si>
    <t>Principal Repayment  - 2</t>
  </si>
  <si>
    <t>Opening balance - 3rd qtr</t>
  </si>
  <si>
    <t>Principal Repayment  - 3</t>
  </si>
  <si>
    <t>Opening balance - 4th qtr</t>
  </si>
  <si>
    <t>Principal Repayment  - 4</t>
  </si>
  <si>
    <t>Working Capital</t>
  </si>
  <si>
    <t>Rs. Million/MW</t>
  </si>
  <si>
    <t>Annual Debt repayment</t>
  </si>
  <si>
    <t>Total Interest payments</t>
  </si>
  <si>
    <t>Total Repayments</t>
  </si>
  <si>
    <t>Depreciation for the balance period</t>
  </si>
  <si>
    <t>Project life</t>
  </si>
  <si>
    <t>Total AAD+Depreciation</t>
  </si>
  <si>
    <t>Loan repayment ends</t>
  </si>
  <si>
    <t>Accumulated AAD</t>
  </si>
  <si>
    <t>Fixed charge</t>
  </si>
  <si>
    <t>Cost of NG</t>
  </si>
  <si>
    <t>Value</t>
  </si>
  <si>
    <t>Basis</t>
  </si>
  <si>
    <t>Supply cost of Gas</t>
  </si>
  <si>
    <t>US$/mmbtu</t>
  </si>
  <si>
    <t>DPR</t>
  </si>
  <si>
    <t>VAT</t>
  </si>
  <si>
    <t>Supply cost including VAT</t>
  </si>
  <si>
    <t>Service Tax on Transportation</t>
  </si>
  <si>
    <t>Landed cost of Gas</t>
  </si>
  <si>
    <t>Exchange rate</t>
  </si>
  <si>
    <t>INR/US$</t>
  </si>
  <si>
    <t>last one year average exchange rate</t>
  </si>
  <si>
    <t>INR/mmbtu</t>
  </si>
  <si>
    <t>NCV of Gas</t>
  </si>
  <si>
    <t>kCal/mmbtu</t>
  </si>
  <si>
    <t>INR/SCM</t>
  </si>
  <si>
    <t>Sub total  - Fixed charge</t>
  </si>
  <si>
    <t>Days of Operation</t>
  </si>
  <si>
    <t>Months</t>
  </si>
  <si>
    <t>Calculated</t>
  </si>
  <si>
    <t>As per Detailed Project Report (DPR) the GCV of gas is 12672 kCAl/kg. The density has been onsidered at 0.75 kg/m3. The NCV has been considered as 90% of GCV</t>
  </si>
  <si>
    <t>-</t>
  </si>
  <si>
    <r>
      <t xml:space="preserve">CERC: </t>
    </r>
    <r>
      <rPr>
        <u/>
        <sz val="8"/>
        <color indexed="8"/>
        <rFont val="Arial"/>
        <family val="2"/>
      </rPr>
      <t>http://www.cercind.gov.in/13042007/Terms_and_conditions_of_tariff.pdf</t>
    </r>
  </si>
  <si>
    <t>Year Count</t>
  </si>
  <si>
    <t>Year Beginning</t>
  </si>
  <si>
    <t>Year Ending</t>
  </si>
  <si>
    <t>Days of operation</t>
  </si>
  <si>
    <t>Gross Generation (MUs)</t>
  </si>
  <si>
    <t>Auxiliary Consumptions (MUs)</t>
  </si>
  <si>
    <t>Net Generation (MUs)</t>
  </si>
  <si>
    <t xml:space="preserve"> Tariff</t>
  </si>
  <si>
    <t xml:space="preserve"> Energy sale revenue</t>
  </si>
  <si>
    <t>EXPENSES</t>
  </si>
  <si>
    <t>REVENUES</t>
  </si>
  <si>
    <t xml:space="preserve"> Int. on term loan</t>
  </si>
  <si>
    <t xml:space="preserve"> Int. on working capital</t>
  </si>
  <si>
    <t xml:space="preserve"> O&amp;M expenses</t>
  </si>
  <si>
    <t xml:space="preserve"> Fuel cost</t>
  </si>
  <si>
    <t xml:space="preserve"> Total AAD + Depreciation</t>
  </si>
  <si>
    <t xml:space="preserve"> Total expenses</t>
  </si>
  <si>
    <t>Profit Before Tax</t>
  </si>
  <si>
    <t xml:space="preserve"> Income Tax</t>
  </si>
  <si>
    <t>Profit after tax</t>
  </si>
  <si>
    <t xml:space="preserve"> Project Cost</t>
  </si>
  <si>
    <t xml:space="preserve"> PAT</t>
  </si>
  <si>
    <t xml:space="preserve"> Interest</t>
  </si>
  <si>
    <t>ADD Back : Total AAD+Depreciation</t>
  </si>
  <si>
    <t>Income Tax Calculation</t>
  </si>
  <si>
    <t>Period ending</t>
  </si>
  <si>
    <t>Add: Depreciation + AAD</t>
  </si>
  <si>
    <t>Gross Income</t>
  </si>
  <si>
    <t>Less: Depreciation as per IT act</t>
  </si>
  <si>
    <t>Depreciation as per IT act under WDV</t>
  </si>
  <si>
    <t>Total capitalised value</t>
  </si>
  <si>
    <t xml:space="preserve">Depreciation as per IT act </t>
  </si>
  <si>
    <t>Taxable income</t>
  </si>
  <si>
    <t>Carried over losses</t>
  </si>
  <si>
    <t>Income after adjusting carried over losses</t>
  </si>
  <si>
    <t>80 IA Applicable</t>
  </si>
  <si>
    <t>Exempted under section 80IA</t>
  </si>
  <si>
    <t xml:space="preserve">Income Tax </t>
  </si>
  <si>
    <t xml:space="preserve">Minimum Alternate Tax </t>
  </si>
  <si>
    <t xml:space="preserve">Project IRR </t>
  </si>
  <si>
    <t>Average of prevaling interest rate at the time of investment decision making.
Reference :http://www.rbi.org.in/scripts/WSSView.aspx?Id=11982</t>
  </si>
  <si>
    <t>As per Detailed Project Report (Financial DPR) (page 9 of 15)</t>
  </si>
  <si>
    <t>As per Detailed Project Report (Financial DPR) (page 10 of 15)</t>
  </si>
  <si>
    <t>As per Detailed Project Report (Financial DPR) (page 11 of 15)</t>
  </si>
  <si>
    <t xml:space="preserve">Profit &amp; Loss Account </t>
  </si>
  <si>
    <t>values hasve been expressed in million INR</t>
  </si>
  <si>
    <t>CEA CO2 Emission Database version 2: http://www.cea.nic.in/reports/planning/cdm_co2/cdm_co2.htm</t>
  </si>
  <si>
    <t>Sensitivity Analysis</t>
  </si>
  <si>
    <t>Parameter</t>
  </si>
  <si>
    <t>Variation</t>
  </si>
  <si>
    <t>IRR (%)</t>
  </si>
  <si>
    <t xml:space="preserve">INR Crore </t>
  </si>
  <si>
    <t>kCal/kWh</t>
  </si>
  <si>
    <t>Rs. / SCM</t>
  </si>
  <si>
    <t>% of total project cost</t>
  </si>
  <si>
    <t>O&amp;M Cost</t>
  </si>
</sst>
</file>

<file path=xl/styles.xml><?xml version="1.0" encoding="utf-8"?>
<styleSheet xmlns="http://schemas.openxmlformats.org/spreadsheetml/2006/main">
  <numFmts count="1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 * #,##0.00_ ;_ * \-#,##0.00_ ;_ * &quot;-&quot;??_ ;_ @_ "/>
    <numFmt numFmtId="167" formatCode="[$-409]d\-mmm\-yy;@"/>
    <numFmt numFmtId="168" formatCode="_(* #,##0_);_(* \(#,##0\);_(* &quot;-&quot;??_);_(@_)"/>
    <numFmt numFmtId="169" formatCode="0.0"/>
    <numFmt numFmtId="170" formatCode="0.000"/>
    <numFmt numFmtId="171" formatCode="_(* #,##0.000_);_(* \(#,##0.000\);_(* &quot;-&quot;??_);_(@_)"/>
    <numFmt numFmtId="172" formatCode="_(* #,##0.0_);_(* \(#,##0.0\);_(* &quot;-&quot;??_);_(@_)"/>
    <numFmt numFmtId="173" formatCode="_(* #,##0.0_);_(* \(#,##0.0\);_(* &quot;-&quot;?_);_(@_)"/>
    <numFmt numFmtId="174" formatCode="_(* #,##0.0000_);_(* \(#,##0.0000\);_(* &quot;-&quot;??_);_(@_)"/>
    <numFmt numFmtId="175" formatCode="_(* #,##0.00000_);_(* \(#,##0.00000\);_(* &quot;-&quot;??_);_(@_)"/>
    <numFmt numFmtId="176" formatCode="[$-409]mmm\-yy;@"/>
  </numFmts>
  <fonts count="3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2"/>
      <name val="Tahoma"/>
      <family val="2"/>
    </font>
    <font>
      <sz val="8"/>
      <color indexed="9"/>
      <name val="Tahoma"/>
      <family val="2"/>
    </font>
    <font>
      <b/>
      <sz val="8"/>
      <color indexed="9"/>
      <name val="Tahoma"/>
      <family val="2"/>
    </font>
    <font>
      <b/>
      <i/>
      <sz val="8"/>
      <name val="Tahoma"/>
      <family val="2"/>
    </font>
    <font>
      <sz val="10"/>
      <color indexed="62"/>
      <name val="Tahoma"/>
      <family val="2"/>
    </font>
    <font>
      <i/>
      <sz val="8"/>
      <name val="Tahoma"/>
      <family val="2"/>
    </font>
    <font>
      <sz val="8"/>
      <color indexed="8"/>
      <name val="Tahoma"/>
      <family val="2"/>
    </font>
    <font>
      <sz val="10"/>
      <name val="Arial"/>
      <family val="2"/>
    </font>
    <font>
      <sz val="8"/>
      <color indexed="8"/>
      <name val="Tahoma"/>
      <family val="2"/>
    </font>
    <font>
      <b/>
      <sz val="10"/>
      <color indexed="62"/>
      <name val="Tahoma"/>
      <family val="2"/>
    </font>
    <font>
      <sz val="10"/>
      <color indexed="8"/>
      <name val="Tahoma"/>
      <family val="2"/>
    </font>
    <font>
      <b/>
      <sz val="8"/>
      <color indexed="10"/>
      <name val="Tahoma"/>
      <family val="2"/>
    </font>
    <font>
      <b/>
      <sz val="8"/>
      <color indexed="62"/>
      <name val="Tahoma"/>
      <family val="2"/>
    </font>
    <font>
      <sz val="8"/>
      <color indexed="8"/>
      <name val="Arial"/>
      <family val="2"/>
    </font>
    <font>
      <b/>
      <sz val="8"/>
      <color indexed="8"/>
      <name val="Tahoma"/>
      <family val="2"/>
    </font>
    <font>
      <sz val="8"/>
      <color indexed="8"/>
      <name val="Calibri"/>
      <family val="2"/>
    </font>
    <font>
      <u/>
      <sz val="10"/>
      <color indexed="8"/>
      <name val="Calibri"/>
      <family val="2"/>
    </font>
    <font>
      <b/>
      <u/>
      <sz val="8"/>
      <color indexed="8"/>
      <name val="Arial"/>
      <family val="2"/>
    </font>
    <font>
      <u/>
      <sz val="8"/>
      <color indexed="8"/>
      <name val="Arial"/>
      <family val="2"/>
    </font>
    <font>
      <b/>
      <sz val="8"/>
      <name val="Arial"/>
      <family val="2"/>
    </font>
    <font>
      <sz val="10"/>
      <name val="Arial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  <xf numFmtId="0" fontId="29" fillId="0" borderId="0"/>
  </cellStyleXfs>
  <cellXfs count="366">
    <xf numFmtId="0" fontId="0" fillId="0" borderId="0" xfId="0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170" fontId="2" fillId="0" borderId="0" xfId="0" applyNumberFormat="1" applyFo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/>
    <xf numFmtId="170" fontId="3" fillId="0" borderId="5" xfId="0" applyNumberFormat="1" applyFont="1" applyBorder="1"/>
    <xf numFmtId="0" fontId="3" fillId="0" borderId="6" xfId="0" applyFont="1" applyBorder="1"/>
    <xf numFmtId="170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8" fillId="0" borderId="0" xfId="0" applyFont="1" applyAlignment="1">
      <alignment vertical="top"/>
    </xf>
    <xf numFmtId="0" fontId="8" fillId="0" borderId="0" xfId="0" applyFont="1"/>
    <xf numFmtId="0" fontId="8" fillId="0" borderId="0" xfId="0" applyFont="1" applyBorder="1"/>
    <xf numFmtId="0" fontId="8" fillId="0" borderId="0" xfId="0" applyFont="1" applyFill="1" applyBorder="1"/>
    <xf numFmtId="0" fontId="12" fillId="0" borderId="14" xfId="0" applyFont="1" applyFill="1" applyBorder="1"/>
    <xf numFmtId="0" fontId="12" fillId="0" borderId="14" xfId="0" applyFont="1" applyFill="1" applyBorder="1" applyAlignment="1"/>
    <xf numFmtId="0" fontId="12" fillId="0" borderId="15" xfId="0" applyFont="1" applyFill="1" applyBorder="1" applyAlignment="1">
      <alignment wrapText="1"/>
    </xf>
    <xf numFmtId="0" fontId="12" fillId="0" borderId="19" xfId="0" applyFont="1" applyFill="1" applyBorder="1" applyAlignment="1">
      <alignment wrapText="1"/>
    </xf>
    <xf numFmtId="0" fontId="12" fillId="0" borderId="20" xfId="0" applyFont="1" applyFill="1" applyBorder="1"/>
    <xf numFmtId="0" fontId="12" fillId="0" borderId="20" xfId="0" applyFont="1" applyFill="1" applyBorder="1" applyAlignment="1"/>
    <xf numFmtId="0" fontId="7" fillId="0" borderId="13" xfId="0" applyFont="1" applyFill="1" applyBorder="1"/>
    <xf numFmtId="0" fontId="8" fillId="0" borderId="21" xfId="0" applyFont="1" applyFill="1" applyBorder="1" applyAlignment="1">
      <alignment horizontal="left" indent="1"/>
    </xf>
    <xf numFmtId="0" fontId="8" fillId="0" borderId="21" xfId="0" applyFont="1" applyFill="1" applyBorder="1" applyAlignment="1">
      <alignment horizontal="left" vertical="center" wrapText="1" indent="1"/>
    </xf>
    <xf numFmtId="0" fontId="8" fillId="0" borderId="21" xfId="0" applyFont="1" applyFill="1" applyBorder="1" applyAlignment="1">
      <alignment horizontal="left" wrapText="1" indent="1" shrinkToFit="1"/>
    </xf>
    <xf numFmtId="0" fontId="14" fillId="0" borderId="22" xfId="0" applyFont="1" applyFill="1" applyBorder="1"/>
    <xf numFmtId="0" fontId="8" fillId="0" borderId="23" xfId="0" applyFont="1" applyFill="1" applyBorder="1" applyAlignment="1">
      <alignment wrapText="1"/>
    </xf>
    <xf numFmtId="0" fontId="8" fillId="0" borderId="14" xfId="0" applyFont="1" applyFill="1" applyBorder="1"/>
    <xf numFmtId="0" fontId="8" fillId="0" borderId="15" xfId="0" applyFont="1" applyFill="1" applyBorder="1" applyAlignment="1">
      <alignment wrapText="1"/>
    </xf>
    <xf numFmtId="0" fontId="15" fillId="0" borderId="23" xfId="0" applyFont="1" applyFill="1" applyBorder="1" applyAlignment="1">
      <alignment wrapText="1"/>
    </xf>
    <xf numFmtId="0" fontId="7" fillId="0" borderId="13" xfId="0" applyFont="1" applyFill="1" applyBorder="1" applyAlignment="1">
      <alignment horizontal="left"/>
    </xf>
    <xf numFmtId="172" fontId="17" fillId="0" borderId="0" xfId="1" applyNumberFormat="1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top"/>
    </xf>
    <xf numFmtId="172" fontId="8" fillId="0" borderId="25" xfId="1" applyNumberFormat="1" applyFont="1" applyFill="1" applyBorder="1" applyAlignment="1">
      <alignment horizontal="center" vertical="top"/>
    </xf>
    <xf numFmtId="172" fontId="8" fillId="0" borderId="8" xfId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7" fillId="0" borderId="13" xfId="0" applyFont="1" applyFill="1" applyBorder="1" applyAlignment="1">
      <alignment vertical="top"/>
    </xf>
    <xf numFmtId="0" fontId="8" fillId="0" borderId="26" xfId="0" applyFont="1" applyFill="1" applyBorder="1" applyAlignment="1">
      <alignment vertical="top"/>
    </xf>
    <xf numFmtId="165" fontId="8" fillId="0" borderId="26" xfId="0" applyNumberFormat="1" applyFont="1" applyFill="1" applyBorder="1" applyAlignment="1">
      <alignment vertical="top"/>
    </xf>
    <xf numFmtId="0" fontId="8" fillId="0" borderId="25" xfId="0" applyFont="1" applyFill="1" applyBorder="1" applyAlignment="1">
      <alignment vertical="top"/>
    </xf>
    <xf numFmtId="168" fontId="8" fillId="0" borderId="25" xfId="1" applyNumberFormat="1" applyFont="1" applyFill="1" applyBorder="1" applyAlignment="1">
      <alignment vertical="top"/>
    </xf>
    <xf numFmtId="0" fontId="8" fillId="0" borderId="27" xfId="0" applyFont="1" applyFill="1" applyBorder="1" applyAlignment="1">
      <alignment vertical="top"/>
    </xf>
    <xf numFmtId="0" fontId="8" fillId="0" borderId="28" xfId="0" applyFont="1" applyFill="1" applyBorder="1" applyAlignment="1">
      <alignment vertical="top"/>
    </xf>
    <xf numFmtId="0" fontId="7" fillId="0" borderId="29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165" fontId="8" fillId="0" borderId="8" xfId="1" applyFont="1" applyFill="1" applyBorder="1" applyAlignment="1">
      <alignment vertical="top"/>
    </xf>
    <xf numFmtId="172" fontId="8" fillId="0" borderId="0" xfId="1" applyNumberFormat="1" applyFont="1" applyFill="1" applyBorder="1" applyAlignment="1">
      <alignment vertical="top"/>
    </xf>
    <xf numFmtId="168" fontId="8" fillId="0" borderId="0" xfId="1" applyNumberFormat="1" applyFont="1" applyFill="1" applyBorder="1" applyAlignment="1">
      <alignment vertical="top"/>
    </xf>
    <xf numFmtId="0" fontId="8" fillId="0" borderId="14" xfId="0" applyFont="1" applyFill="1" applyBorder="1" applyAlignment="1">
      <alignment vertical="top"/>
    </xf>
    <xf numFmtId="168" fontId="8" fillId="0" borderId="14" xfId="1" applyNumberFormat="1" applyFont="1" applyFill="1" applyBorder="1" applyAlignment="1">
      <alignment vertical="top"/>
    </xf>
    <xf numFmtId="0" fontId="8" fillId="0" borderId="22" xfId="0" applyFont="1" applyFill="1" applyBorder="1" applyAlignment="1">
      <alignment vertical="top"/>
    </xf>
    <xf numFmtId="0" fontId="8" fillId="0" borderId="20" xfId="0" applyFont="1" applyFill="1" applyBorder="1" applyAlignment="1">
      <alignment vertical="top"/>
    </xf>
    <xf numFmtId="172" fontId="8" fillId="0" borderId="20" xfId="1" applyNumberFormat="1" applyFont="1" applyFill="1" applyBorder="1" applyAlignment="1">
      <alignment vertical="top"/>
    </xf>
    <xf numFmtId="0" fontId="8" fillId="0" borderId="30" xfId="0" applyFont="1" applyFill="1" applyBorder="1" applyAlignment="1">
      <alignment vertical="top"/>
    </xf>
    <xf numFmtId="172" fontId="8" fillId="0" borderId="30" xfId="1" applyNumberFormat="1" applyFont="1" applyFill="1" applyBorder="1" applyAlignment="1">
      <alignment vertical="top"/>
    </xf>
    <xf numFmtId="0" fontId="8" fillId="0" borderId="21" xfId="0" applyFont="1" applyFill="1" applyBorder="1" applyAlignment="1">
      <alignment horizontal="left" vertical="top" indent="1"/>
    </xf>
    <xf numFmtId="0" fontId="8" fillId="0" borderId="24" xfId="0" applyFont="1" applyFill="1" applyBorder="1" applyAlignment="1">
      <alignment horizontal="left" vertical="top" indent="1"/>
    </xf>
    <xf numFmtId="0" fontId="8" fillId="0" borderId="14" xfId="0" applyFont="1" applyFill="1" applyBorder="1" applyAlignment="1">
      <alignment horizontal="center" vertical="top"/>
    </xf>
    <xf numFmtId="0" fontId="8" fillId="0" borderId="20" xfId="0" applyFont="1" applyFill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26" xfId="0" applyFont="1" applyFill="1" applyBorder="1" applyAlignment="1">
      <alignment horizontal="center" vertical="top"/>
    </xf>
    <xf numFmtId="0" fontId="8" fillId="0" borderId="28" xfId="0" applyFont="1" applyFill="1" applyBorder="1" applyAlignment="1">
      <alignment horizontal="center" vertical="top"/>
    </xf>
    <xf numFmtId="165" fontId="8" fillId="0" borderId="0" xfId="1" applyFont="1" applyFill="1" applyBorder="1" applyAlignment="1">
      <alignment vertical="top"/>
    </xf>
    <xf numFmtId="0" fontId="7" fillId="0" borderId="14" xfId="0" applyFont="1" applyFill="1" applyBorder="1" applyAlignment="1">
      <alignment vertical="top"/>
    </xf>
    <xf numFmtId="0" fontId="8" fillId="0" borderId="21" xfId="0" applyFont="1" applyFill="1" applyBorder="1" applyAlignment="1">
      <alignment vertical="top"/>
    </xf>
    <xf numFmtId="165" fontId="8" fillId="0" borderId="20" xfId="1" applyFont="1" applyFill="1" applyBorder="1" applyAlignment="1">
      <alignment vertical="top"/>
    </xf>
    <xf numFmtId="165" fontId="8" fillId="0" borderId="8" xfId="1" applyFont="1" applyFill="1" applyBorder="1" applyAlignment="1">
      <alignment horizontal="center" vertical="top"/>
    </xf>
    <xf numFmtId="2" fontId="8" fillId="0" borderId="20" xfId="0" applyNumberFormat="1" applyFont="1" applyFill="1" applyBorder="1" applyAlignment="1">
      <alignment vertical="top"/>
    </xf>
    <xf numFmtId="165" fontId="8" fillId="0" borderId="0" xfId="1" applyNumberFormat="1" applyFont="1" applyFill="1" applyBorder="1" applyAlignment="1">
      <alignment vertical="top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167" fontId="8" fillId="0" borderId="1" xfId="0" applyNumberFormat="1" applyFont="1" applyFill="1" applyBorder="1" applyAlignment="1">
      <alignment horizontal="center" vertical="top"/>
    </xf>
    <xf numFmtId="167" fontId="8" fillId="0" borderId="7" xfId="0" applyNumberFormat="1" applyFont="1" applyFill="1" applyBorder="1" applyAlignment="1">
      <alignment horizontal="center" vertical="top"/>
    </xf>
    <xf numFmtId="167" fontId="8" fillId="0" borderId="11" xfId="0" applyNumberFormat="1" applyFont="1" applyFill="1" applyBorder="1" applyAlignment="1">
      <alignment horizontal="center" vertical="top"/>
    </xf>
    <xf numFmtId="17" fontId="8" fillId="0" borderId="1" xfId="0" applyNumberFormat="1" applyFont="1" applyFill="1" applyBorder="1" applyAlignment="1">
      <alignment horizontal="center" vertical="top"/>
    </xf>
    <xf numFmtId="17" fontId="8" fillId="0" borderId="7" xfId="0" applyNumberFormat="1" applyFont="1" applyFill="1" applyBorder="1" applyAlignment="1">
      <alignment horizontal="center" vertical="top"/>
    </xf>
    <xf numFmtId="17" fontId="8" fillId="0" borderId="11" xfId="0" applyNumberFormat="1" applyFont="1" applyFill="1" applyBorder="1" applyAlignment="1">
      <alignment horizontal="center" vertical="top"/>
    </xf>
    <xf numFmtId="2" fontId="8" fillId="0" borderId="8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165" fontId="8" fillId="0" borderId="25" xfId="1" applyFont="1" applyFill="1" applyBorder="1" applyAlignment="1">
      <alignment horizontal="center" vertical="top"/>
    </xf>
    <xf numFmtId="165" fontId="8" fillId="0" borderId="28" xfId="1" applyFont="1" applyFill="1" applyBorder="1" applyAlignment="1">
      <alignment horizontal="center" vertical="top"/>
    </xf>
    <xf numFmtId="168" fontId="20" fillId="0" borderId="25" xfId="1" applyNumberFormat="1" applyFont="1" applyFill="1" applyBorder="1" applyAlignment="1">
      <alignment horizontal="center" vertical="top"/>
    </xf>
    <xf numFmtId="172" fontId="8" fillId="0" borderId="26" xfId="1" applyNumberFormat="1" applyFont="1" applyFill="1" applyBorder="1" applyAlignment="1">
      <alignment horizontal="center" vertical="top"/>
    </xf>
    <xf numFmtId="0" fontId="8" fillId="0" borderId="25" xfId="0" applyFont="1" applyFill="1" applyBorder="1"/>
    <xf numFmtId="0" fontId="21" fillId="0" borderId="0" xfId="0" applyFont="1" applyBorder="1"/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65" fontId="7" fillId="0" borderId="32" xfId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165" fontId="8" fillId="0" borderId="24" xfId="1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5" xfId="0" applyFont="1" applyFill="1" applyBorder="1" applyAlignment="1">
      <alignment vertical="center"/>
    </xf>
    <xf numFmtId="164" fontId="8" fillId="0" borderId="25" xfId="2" applyFont="1" applyFill="1" applyBorder="1" applyAlignment="1">
      <alignment vertical="center"/>
    </xf>
    <xf numFmtId="165" fontId="8" fillId="0" borderId="35" xfId="1" applyFont="1" applyBorder="1" applyAlignment="1">
      <alignment vertical="center"/>
    </xf>
    <xf numFmtId="10" fontId="8" fillId="0" borderId="25" xfId="0" applyNumberFormat="1" applyFont="1" applyFill="1" applyBorder="1" applyAlignment="1">
      <alignment vertical="center"/>
    </xf>
    <xf numFmtId="165" fontId="8" fillId="0" borderId="24" xfId="1" applyFont="1" applyFill="1" applyBorder="1" applyAlignment="1">
      <alignment vertical="center"/>
    </xf>
    <xf numFmtId="164" fontId="8" fillId="0" borderId="25" xfId="0" applyNumberFormat="1" applyFont="1" applyFill="1" applyBorder="1" applyAlignment="1">
      <alignment vertical="center"/>
    </xf>
    <xf numFmtId="165" fontId="8" fillId="0" borderId="25" xfId="1" applyFont="1" applyFill="1" applyBorder="1" applyAlignment="1">
      <alignment vertical="center"/>
    </xf>
    <xf numFmtId="165" fontId="8" fillId="0" borderId="35" xfId="1" applyFont="1" applyFill="1" applyBorder="1" applyAlignment="1">
      <alignment vertical="center"/>
    </xf>
    <xf numFmtId="168" fontId="8" fillId="0" borderId="25" xfId="1" applyNumberFormat="1" applyFont="1" applyFill="1" applyBorder="1" applyAlignment="1">
      <alignment vertical="center"/>
    </xf>
    <xf numFmtId="165" fontId="8" fillId="0" borderId="27" xfId="1" applyFont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64" fontId="8" fillId="0" borderId="28" xfId="2" applyFont="1" applyFill="1" applyBorder="1" applyAlignment="1">
      <alignment vertical="center"/>
    </xf>
    <xf numFmtId="165" fontId="8" fillId="0" borderId="28" xfId="1" applyFont="1" applyFill="1" applyBorder="1" applyAlignment="1">
      <alignment vertical="center"/>
    </xf>
    <xf numFmtId="165" fontId="8" fillId="0" borderId="36" xfId="1" applyFont="1" applyBorder="1" applyAlignment="1">
      <alignment vertical="center"/>
    </xf>
    <xf numFmtId="165" fontId="8" fillId="0" borderId="0" xfId="1" applyFont="1" applyBorder="1" applyAlignment="1">
      <alignment vertical="center"/>
    </xf>
    <xf numFmtId="164" fontId="8" fillId="0" borderId="0" xfId="2" applyFont="1" applyFill="1" applyBorder="1" applyAlignment="1">
      <alignment vertical="center"/>
    </xf>
    <xf numFmtId="175" fontId="8" fillId="0" borderId="0" xfId="1" applyNumberFormat="1" applyFont="1" applyFill="1" applyBorder="1" applyAlignment="1">
      <alignment vertical="center"/>
    </xf>
    <xf numFmtId="0" fontId="8" fillId="0" borderId="23" xfId="0" applyFont="1" applyFill="1" applyBorder="1" applyAlignment="1">
      <alignment horizontal="left" wrapText="1"/>
    </xf>
    <xf numFmtId="0" fontId="22" fillId="0" borderId="23" xfId="3" applyFont="1" applyFill="1" applyBorder="1" applyAlignment="1" applyProtection="1">
      <alignment wrapText="1"/>
    </xf>
    <xf numFmtId="168" fontId="17" fillId="0" borderId="0" xfId="1" applyNumberFormat="1" applyFont="1" applyFill="1" applyBorder="1"/>
    <xf numFmtId="0" fontId="23" fillId="0" borderId="13" xfId="0" applyFont="1" applyFill="1" applyBorder="1" applyAlignment="1">
      <alignment horizontal="left" wrapText="1"/>
    </xf>
    <xf numFmtId="0" fontId="15" fillId="0" borderId="14" xfId="0" applyFont="1" applyFill="1" applyBorder="1"/>
    <xf numFmtId="0" fontId="23" fillId="0" borderId="14" xfId="0" applyFont="1" applyFill="1" applyBorder="1" applyAlignment="1">
      <alignment horizontal="center" wrapText="1"/>
    </xf>
    <xf numFmtId="0" fontId="15" fillId="0" borderId="15" xfId="0" applyFont="1" applyFill="1" applyBorder="1" applyAlignment="1">
      <alignment wrapText="1"/>
    </xf>
    <xf numFmtId="0" fontId="15" fillId="0" borderId="21" xfId="0" applyFont="1" applyFill="1" applyBorder="1" applyAlignment="1">
      <alignment wrapText="1"/>
    </xf>
    <xf numFmtId="0" fontId="15" fillId="0" borderId="0" xfId="0" applyFont="1" applyFill="1" applyBorder="1"/>
    <xf numFmtId="0" fontId="15" fillId="0" borderId="21" xfId="0" applyFont="1" applyFill="1" applyBorder="1" applyAlignment="1">
      <alignment horizontal="left" wrapText="1" indent="1"/>
    </xf>
    <xf numFmtId="168" fontId="15" fillId="0" borderId="0" xfId="1" applyNumberFormat="1" applyFont="1" applyFill="1" applyBorder="1"/>
    <xf numFmtId="10" fontId="15" fillId="0" borderId="0" xfId="0" applyNumberFormat="1" applyFont="1" applyFill="1" applyBorder="1"/>
    <xf numFmtId="0" fontId="15" fillId="0" borderId="22" xfId="0" applyFont="1" applyFill="1" applyBorder="1" applyAlignment="1">
      <alignment wrapText="1"/>
    </xf>
    <xf numFmtId="0" fontId="15" fillId="0" borderId="20" xfId="0" applyFont="1" applyFill="1" applyBorder="1"/>
    <xf numFmtId="9" fontId="15" fillId="0" borderId="20" xfId="0" applyNumberFormat="1" applyFont="1" applyFill="1" applyBorder="1"/>
    <xf numFmtId="0" fontId="15" fillId="0" borderId="19" xfId="0" applyFont="1" applyFill="1" applyBorder="1" applyAlignment="1">
      <alignment wrapText="1"/>
    </xf>
    <xf numFmtId="0" fontId="15" fillId="0" borderId="21" xfId="0" applyFont="1" applyFill="1" applyBorder="1" applyAlignment="1">
      <alignment horizontal="left" wrapText="1"/>
    </xf>
    <xf numFmtId="165" fontId="15" fillId="0" borderId="0" xfId="1" applyFont="1" applyFill="1" applyBorder="1"/>
    <xf numFmtId="0" fontId="15" fillId="0" borderId="21" xfId="4" applyFont="1" applyFill="1" applyBorder="1" applyAlignment="1">
      <alignment horizontal="left" indent="1"/>
    </xf>
    <xf numFmtId="0" fontId="15" fillId="0" borderId="0" xfId="4" applyFont="1" applyFill="1" applyBorder="1" applyAlignment="1">
      <alignment horizontal="center"/>
    </xf>
    <xf numFmtId="9" fontId="15" fillId="0" borderId="0" xfId="0" applyNumberFormat="1" applyFont="1" applyFill="1" applyBorder="1"/>
    <xf numFmtId="169" fontId="15" fillId="0" borderId="0" xfId="4" applyNumberFormat="1" applyFont="1" applyFill="1" applyBorder="1"/>
    <xf numFmtId="0" fontId="25" fillId="0" borderId="23" xfId="3" applyFont="1" applyFill="1" applyBorder="1" applyAlignment="1" applyProtection="1">
      <alignment wrapText="1"/>
    </xf>
    <xf numFmtId="0" fontId="24" fillId="0" borderId="23" xfId="0" applyFont="1" applyFill="1" applyBorder="1" applyAlignment="1"/>
    <xf numFmtId="0" fontId="15" fillId="0" borderId="22" xfId="4" applyFont="1" applyFill="1" applyBorder="1" applyAlignment="1">
      <alignment horizontal="left" indent="1"/>
    </xf>
    <xf numFmtId="9" fontId="15" fillId="0" borderId="20" xfId="4" applyNumberFormat="1" applyFont="1" applyFill="1" applyBorder="1"/>
    <xf numFmtId="0" fontId="26" fillId="0" borderId="23" xfId="3" applyFont="1" applyFill="1" applyBorder="1" applyAlignment="1" applyProtection="1">
      <alignment wrapText="1"/>
    </xf>
    <xf numFmtId="9" fontId="15" fillId="0" borderId="0" xfId="5" applyFont="1" applyFill="1" applyBorder="1"/>
    <xf numFmtId="0" fontId="15" fillId="0" borderId="22" xfId="0" applyFont="1" applyFill="1" applyBorder="1"/>
    <xf numFmtId="0" fontId="15" fillId="0" borderId="21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10" fontId="15" fillId="0" borderId="0" xfId="1" applyNumberFormat="1" applyFont="1" applyFill="1" applyBorder="1" applyAlignment="1">
      <alignment vertical="top"/>
    </xf>
    <xf numFmtId="0" fontId="15" fillId="0" borderId="0" xfId="0" applyFont="1" applyFill="1" applyBorder="1" applyAlignment="1">
      <alignment horizontal="center"/>
    </xf>
    <xf numFmtId="0" fontId="15" fillId="0" borderId="22" xfId="0" applyFont="1" applyFill="1" applyBorder="1" applyAlignment="1">
      <alignment horizontal="left" wrapText="1" indent="1"/>
    </xf>
    <xf numFmtId="0" fontId="15" fillId="0" borderId="20" xfId="0" applyFont="1" applyFill="1" applyBorder="1" applyAlignment="1">
      <alignment horizontal="center"/>
    </xf>
    <xf numFmtId="10" fontId="15" fillId="0" borderId="20" xfId="4" applyNumberFormat="1" applyFont="1" applyFill="1" applyBorder="1"/>
    <xf numFmtId="172" fontId="8" fillId="4" borderId="0" xfId="1" applyNumberFormat="1" applyFont="1" applyFill="1" applyBorder="1" applyAlignment="1">
      <alignment vertical="top"/>
    </xf>
    <xf numFmtId="0" fontId="28" fillId="0" borderId="1" xfId="0" applyFont="1" applyFill="1" applyBorder="1"/>
    <xf numFmtId="0" fontId="3" fillId="0" borderId="0" xfId="0" applyFont="1"/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Border="1"/>
    <xf numFmtId="170" fontId="3" fillId="0" borderId="0" xfId="0" applyNumberFormat="1" applyFont="1" applyBorder="1"/>
    <xf numFmtId="2" fontId="3" fillId="0" borderId="0" xfId="0" applyNumberFormat="1" applyFont="1" applyBorder="1"/>
    <xf numFmtId="0" fontId="3" fillId="0" borderId="16" xfId="0" applyFont="1" applyFill="1" applyBorder="1"/>
    <xf numFmtId="0" fontId="3" fillId="0" borderId="31" xfId="0" applyFont="1" applyBorder="1"/>
    <xf numFmtId="0" fontId="3" fillId="0" borderId="38" xfId="0" applyFont="1" applyBorder="1"/>
    <xf numFmtId="0" fontId="3" fillId="0" borderId="39" xfId="0" applyFont="1" applyFill="1" applyBorder="1"/>
    <xf numFmtId="170" fontId="3" fillId="0" borderId="40" xfId="0" applyNumberFormat="1" applyFont="1" applyBorder="1"/>
    <xf numFmtId="2" fontId="3" fillId="0" borderId="17" xfId="0" applyNumberFormat="1" applyFont="1" applyBorder="1"/>
    <xf numFmtId="2" fontId="3" fillId="0" borderId="41" xfId="0" applyNumberFormat="1" applyFont="1" applyBorder="1"/>
    <xf numFmtId="2" fontId="3" fillId="0" borderId="11" xfId="0" applyNumberFormat="1" applyFont="1" applyBorder="1"/>
    <xf numFmtId="0" fontId="3" fillId="0" borderId="17" xfId="0" applyFont="1" applyFill="1" applyBorder="1"/>
    <xf numFmtId="0" fontId="3" fillId="0" borderId="37" xfId="0" applyFont="1" applyFill="1" applyBorder="1"/>
    <xf numFmtId="0" fontId="3" fillId="0" borderId="25" xfId="0" applyFont="1" applyFill="1" applyBorder="1"/>
    <xf numFmtId="0" fontId="3" fillId="0" borderId="42" xfId="0" applyFont="1" applyFill="1" applyBorder="1"/>
    <xf numFmtId="165" fontId="0" fillId="0" borderId="0" xfId="0" applyNumberFormat="1"/>
    <xf numFmtId="0" fontId="0" fillId="0" borderId="31" xfId="0" applyBorder="1"/>
    <xf numFmtId="0" fontId="0" fillId="0" borderId="38" xfId="0" applyBorder="1"/>
    <xf numFmtId="165" fontId="3" fillId="0" borderId="0" xfId="0" applyNumberFormat="1" applyFont="1" applyBorder="1"/>
    <xf numFmtId="165" fontId="3" fillId="0" borderId="40" xfId="0" applyNumberFormat="1" applyFont="1" applyBorder="1"/>
    <xf numFmtId="0" fontId="0" fillId="0" borderId="43" xfId="0" applyBorder="1"/>
    <xf numFmtId="0" fontId="0" fillId="0" borderId="16" xfId="0" applyBorder="1"/>
    <xf numFmtId="165" fontId="3" fillId="0" borderId="39" xfId="0" applyNumberFormat="1" applyFont="1" applyBorder="1"/>
    <xf numFmtId="167" fontId="8" fillId="0" borderId="0" xfId="0" applyNumberFormat="1" applyFont="1" applyFill="1" applyBorder="1" applyAlignment="1">
      <alignment horizontal="center" vertical="top"/>
    </xf>
    <xf numFmtId="0" fontId="3" fillId="0" borderId="31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167" fontId="8" fillId="0" borderId="40" xfId="0" applyNumberFormat="1" applyFont="1" applyFill="1" applyBorder="1" applyAlignment="1">
      <alignment horizontal="center" vertical="top"/>
    </xf>
    <xf numFmtId="0" fontId="3" fillId="0" borderId="43" xfId="0" applyFont="1" applyBorder="1"/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37" xfId="0" applyFont="1" applyBorder="1"/>
    <xf numFmtId="0" fontId="3" fillId="0" borderId="25" xfId="0" applyFont="1" applyBorder="1"/>
    <xf numFmtId="0" fontId="3" fillId="0" borderId="42" xfId="0" applyFont="1" applyBorder="1"/>
    <xf numFmtId="0" fontId="3" fillId="0" borderId="16" xfId="0" applyFont="1" applyBorder="1" applyAlignment="1">
      <alignment horizontal="center"/>
    </xf>
    <xf numFmtId="167" fontId="8" fillId="0" borderId="39" xfId="0" applyNumberFormat="1" applyFont="1" applyFill="1" applyBorder="1" applyAlignment="1">
      <alignment horizontal="center" vertical="top"/>
    </xf>
    <xf numFmtId="0" fontId="3" fillId="0" borderId="18" xfId="0" applyFont="1" applyBorder="1" applyAlignment="1">
      <alignment horizontal="center"/>
    </xf>
    <xf numFmtId="170" fontId="0" fillId="0" borderId="0" xfId="0" applyNumberFormat="1"/>
    <xf numFmtId="0" fontId="0" fillId="0" borderId="0" xfId="0" applyBorder="1"/>
    <xf numFmtId="2" fontId="3" fillId="0" borderId="40" xfId="0" applyNumberFormat="1" applyFont="1" applyBorder="1"/>
    <xf numFmtId="2" fontId="3" fillId="0" borderId="39" xfId="0" applyNumberFormat="1" applyFont="1" applyBorder="1"/>
    <xf numFmtId="165" fontId="3" fillId="0" borderId="17" xfId="0" applyNumberFormat="1" applyFont="1" applyBorder="1"/>
    <xf numFmtId="165" fontId="3" fillId="0" borderId="41" xfId="0" applyNumberFormat="1" applyFont="1" applyBorder="1"/>
    <xf numFmtId="165" fontId="3" fillId="0" borderId="11" xfId="0" applyNumberFormat="1" applyFont="1" applyBorder="1"/>
    <xf numFmtId="165" fontId="3" fillId="0" borderId="31" xfId="0" applyNumberFormat="1" applyFont="1" applyBorder="1"/>
    <xf numFmtId="165" fontId="3" fillId="0" borderId="38" xfId="0" applyNumberFormat="1" applyFont="1" applyBorder="1"/>
    <xf numFmtId="165" fontId="3" fillId="0" borderId="16" xfId="0" applyNumberFormat="1" applyFont="1" applyBorder="1"/>
    <xf numFmtId="0" fontId="28" fillId="0" borderId="37" xfId="0" applyFont="1" applyFill="1" applyBorder="1"/>
    <xf numFmtId="17" fontId="3" fillId="0" borderId="0" xfId="0" applyNumberFormat="1" applyFont="1" applyBorder="1" applyAlignment="1">
      <alignment horizontal="center" vertical="center" wrapText="1"/>
    </xf>
    <xf numFmtId="17" fontId="3" fillId="0" borderId="40" xfId="0" applyNumberFormat="1" applyFont="1" applyBorder="1" applyAlignment="1">
      <alignment horizontal="center" vertical="center" wrapText="1"/>
    </xf>
    <xf numFmtId="0" fontId="0" fillId="0" borderId="44" xfId="0" applyBorder="1"/>
    <xf numFmtId="0" fontId="28" fillId="0" borderId="42" xfId="0" applyFont="1" applyFill="1" applyBorder="1"/>
    <xf numFmtId="0" fontId="0" fillId="0" borderId="39" xfId="0" applyBorder="1"/>
    <xf numFmtId="0" fontId="0" fillId="0" borderId="40" xfId="0" applyBorder="1"/>
    <xf numFmtId="0" fontId="0" fillId="0" borderId="18" xfId="0" applyBorder="1"/>
    <xf numFmtId="17" fontId="3" fillId="0" borderId="16" xfId="0" applyNumberFormat="1" applyFont="1" applyBorder="1" applyAlignment="1">
      <alignment horizontal="center" vertical="center" wrapText="1"/>
    </xf>
    <xf numFmtId="17" fontId="3" fillId="0" borderId="39" xfId="0" applyNumberFormat="1" applyFont="1" applyBorder="1" applyAlignment="1">
      <alignment horizontal="center" vertical="center" wrapText="1"/>
    </xf>
    <xf numFmtId="0" fontId="0" fillId="0" borderId="25" xfId="0" applyBorder="1"/>
    <xf numFmtId="0" fontId="16" fillId="0" borderId="25" xfId="0" applyFont="1" applyBorder="1"/>
    <xf numFmtId="0" fontId="0" fillId="0" borderId="42" xfId="0" applyBorder="1"/>
    <xf numFmtId="10" fontId="3" fillId="0" borderId="18" xfId="0" applyNumberFormat="1" applyFont="1" applyBorder="1"/>
    <xf numFmtId="165" fontId="0" fillId="0" borderId="39" xfId="0" applyNumberFormat="1" applyBorder="1"/>
    <xf numFmtId="165" fontId="0" fillId="0" borderId="0" xfId="0" applyNumberFormat="1" applyBorder="1"/>
    <xf numFmtId="167" fontId="3" fillId="0" borderId="43" xfId="0" applyNumberFormat="1" applyFont="1" applyBorder="1"/>
    <xf numFmtId="167" fontId="3" fillId="0" borderId="44" xfId="0" applyNumberFormat="1" applyFont="1" applyBorder="1"/>
    <xf numFmtId="165" fontId="3" fillId="0" borderId="25" xfId="0" applyNumberFormat="1" applyFont="1" applyBorder="1"/>
    <xf numFmtId="2" fontId="3" fillId="0" borderId="43" xfId="0" applyNumberFormat="1" applyFont="1" applyBorder="1"/>
    <xf numFmtId="2" fontId="3" fillId="0" borderId="18" xfId="0" applyNumberFormat="1" applyFont="1" applyBorder="1"/>
    <xf numFmtId="2" fontId="3" fillId="0" borderId="44" xfId="0" applyNumberFormat="1" applyFont="1" applyBorder="1"/>
    <xf numFmtId="165" fontId="8" fillId="4" borderId="24" xfId="1" applyFont="1" applyFill="1" applyBorder="1" applyAlignment="1">
      <alignment vertical="center"/>
    </xf>
    <xf numFmtId="0" fontId="8" fillId="4" borderId="4" xfId="0" applyFont="1" applyFill="1" applyBorder="1" applyAlignment="1">
      <alignment horizontal="left" vertical="top"/>
    </xf>
    <xf numFmtId="0" fontId="8" fillId="4" borderId="5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left" vertical="top"/>
    </xf>
    <xf numFmtId="167" fontId="8" fillId="4" borderId="1" xfId="0" applyNumberFormat="1" applyFont="1" applyFill="1" applyBorder="1" applyAlignment="1">
      <alignment horizontal="center" vertical="top"/>
    </xf>
    <xf numFmtId="17" fontId="8" fillId="4" borderId="1" xfId="0" applyNumberFormat="1" applyFont="1" applyFill="1" applyBorder="1" applyAlignment="1">
      <alignment horizontal="center" vertical="top"/>
    </xf>
    <xf numFmtId="0" fontId="8" fillId="4" borderId="3" xfId="0" applyFont="1" applyFill="1" applyBorder="1" applyAlignment="1">
      <alignment horizontal="left" vertical="top"/>
    </xf>
    <xf numFmtId="2" fontId="8" fillId="4" borderId="8" xfId="0" applyNumberFormat="1" applyFont="1" applyFill="1" applyBorder="1" applyAlignment="1">
      <alignment horizontal="center" vertical="top"/>
    </xf>
    <xf numFmtId="0" fontId="10" fillId="4" borderId="0" xfId="0" applyFont="1" applyFill="1" applyBorder="1" applyAlignment="1">
      <alignment horizontal="left" vertical="top"/>
    </xf>
    <xf numFmtId="0" fontId="10" fillId="4" borderId="0" xfId="0" applyFont="1" applyFill="1" applyBorder="1" applyAlignment="1">
      <alignment horizontal="center" vertical="top"/>
    </xf>
    <xf numFmtId="0" fontId="10" fillId="4" borderId="0" xfId="0" applyFont="1" applyFill="1" applyBorder="1" applyAlignment="1">
      <alignment horizontal="center" vertical="top" wrapText="1"/>
    </xf>
    <xf numFmtId="2" fontId="8" fillId="4" borderId="0" xfId="0" applyNumberFormat="1" applyFont="1" applyFill="1" applyBorder="1" applyAlignment="1">
      <alignment horizontal="center" vertical="top"/>
    </xf>
    <xf numFmtId="0" fontId="8" fillId="4" borderId="29" xfId="0" applyFont="1" applyFill="1" applyBorder="1" applyAlignment="1">
      <alignment vertical="top"/>
    </xf>
    <xf numFmtId="0" fontId="8" fillId="4" borderId="26" xfId="0" applyFont="1" applyFill="1" applyBorder="1" applyAlignment="1">
      <alignment horizontal="center" vertical="top"/>
    </xf>
    <xf numFmtId="172" fontId="8" fillId="4" borderId="26" xfId="1" applyNumberFormat="1" applyFont="1" applyFill="1" applyBorder="1" applyAlignment="1">
      <alignment horizontal="center" vertical="top"/>
    </xf>
    <xf numFmtId="0" fontId="8" fillId="4" borderId="24" xfId="0" applyFont="1" applyFill="1" applyBorder="1" applyAlignment="1">
      <alignment vertical="top"/>
    </xf>
    <xf numFmtId="0" fontId="8" fillId="4" borderId="25" xfId="0" applyFont="1" applyFill="1" applyBorder="1" applyAlignment="1">
      <alignment horizontal="center" vertical="top"/>
    </xf>
    <xf numFmtId="172" fontId="8" fillId="4" borderId="25" xfId="1" applyNumberFormat="1" applyFont="1" applyFill="1" applyBorder="1" applyAlignment="1">
      <alignment horizontal="center" vertical="top"/>
    </xf>
    <xf numFmtId="172" fontId="8" fillId="4" borderId="8" xfId="1" applyNumberFormat="1" applyFont="1" applyFill="1" applyBorder="1" applyAlignment="1">
      <alignment horizontal="center" vertical="top"/>
    </xf>
    <xf numFmtId="0" fontId="8" fillId="4" borderId="24" xfId="0" applyFont="1" applyFill="1" applyBorder="1" applyAlignment="1">
      <alignment horizontal="left" vertical="top" indent="1"/>
    </xf>
    <xf numFmtId="165" fontId="8" fillId="4" borderId="25" xfId="1" applyFont="1" applyFill="1" applyBorder="1" applyAlignment="1">
      <alignment vertical="top"/>
    </xf>
    <xf numFmtId="165" fontId="7" fillId="4" borderId="25" xfId="1" applyFont="1" applyFill="1" applyBorder="1" applyAlignment="1">
      <alignment vertical="top"/>
    </xf>
    <xf numFmtId="165" fontId="8" fillId="4" borderId="25" xfId="1" applyFont="1" applyFill="1" applyBorder="1" applyAlignment="1">
      <alignment horizontal="center" vertical="top"/>
    </xf>
    <xf numFmtId="165" fontId="20" fillId="4" borderId="25" xfId="1" applyNumberFormat="1" applyFont="1" applyFill="1" applyBorder="1" applyAlignment="1">
      <alignment horizontal="center" vertical="top"/>
    </xf>
    <xf numFmtId="0" fontId="8" fillId="4" borderId="24" xfId="0" applyFont="1" applyFill="1" applyBorder="1" applyAlignment="1">
      <alignment horizontal="left" vertical="top" wrapText="1" indent="1"/>
    </xf>
    <xf numFmtId="165" fontId="7" fillId="4" borderId="25" xfId="1" applyFont="1" applyFill="1" applyBorder="1" applyAlignment="1">
      <alignment horizontal="center" vertical="top"/>
    </xf>
    <xf numFmtId="165" fontId="8" fillId="4" borderId="8" xfId="1" applyFont="1" applyFill="1" applyBorder="1" applyAlignment="1">
      <alignment horizontal="center" vertical="top"/>
    </xf>
    <xf numFmtId="165" fontId="11" fillId="4" borderId="25" xfId="1" applyFont="1" applyFill="1" applyBorder="1" applyAlignment="1">
      <alignment horizontal="center" vertical="top"/>
    </xf>
    <xf numFmtId="0" fontId="7" fillId="4" borderId="24" xfId="0" applyFont="1" applyFill="1" applyBorder="1" applyAlignment="1">
      <alignment vertical="top"/>
    </xf>
    <xf numFmtId="174" fontId="7" fillId="4" borderId="25" xfId="1" applyNumberFormat="1" applyFont="1" applyFill="1" applyBorder="1" applyAlignment="1">
      <alignment horizontal="center" vertical="top"/>
    </xf>
    <xf numFmtId="0" fontId="8" fillId="4" borderId="27" xfId="0" quotePrefix="1" applyFont="1" applyFill="1" applyBorder="1" applyAlignment="1">
      <alignment horizontal="left" vertical="top" wrapText="1"/>
    </xf>
    <xf numFmtId="10" fontId="8" fillId="4" borderId="28" xfId="0" applyNumberFormat="1" applyFont="1" applyFill="1" applyBorder="1" applyAlignment="1">
      <alignment horizontal="center" vertical="top"/>
    </xf>
    <xf numFmtId="165" fontId="8" fillId="4" borderId="28" xfId="1" applyFont="1" applyFill="1" applyBorder="1" applyAlignment="1">
      <alignment horizontal="center" vertical="top"/>
    </xf>
    <xf numFmtId="0" fontId="8" fillId="4" borderId="0" xfId="0" applyFont="1" applyFill="1" applyAlignment="1">
      <alignment vertical="top"/>
    </xf>
    <xf numFmtId="165" fontId="8" fillId="4" borderId="0" xfId="0" applyNumberFormat="1" applyFont="1" applyFill="1" applyAlignment="1">
      <alignment vertical="top"/>
    </xf>
    <xf numFmtId="0" fontId="7" fillId="4" borderId="13" xfId="0" applyFont="1" applyFill="1" applyBorder="1" applyAlignment="1">
      <alignment vertical="top"/>
    </xf>
    <xf numFmtId="0" fontId="7" fillId="4" borderId="14" xfId="0" applyFont="1" applyFill="1" applyBorder="1" applyAlignment="1">
      <alignment vertical="top"/>
    </xf>
    <xf numFmtId="0" fontId="8" fillId="4" borderId="14" xfId="0" applyFont="1" applyFill="1" applyBorder="1" applyAlignment="1">
      <alignment vertical="top"/>
    </xf>
    <xf numFmtId="173" fontId="8" fillId="4" borderId="14" xfId="0" applyNumberFormat="1" applyFont="1" applyFill="1" applyBorder="1" applyAlignment="1">
      <alignment vertical="top"/>
    </xf>
    <xf numFmtId="0" fontId="7" fillId="4" borderId="21" xfId="0" applyFont="1" applyFill="1" applyBorder="1" applyAlignment="1">
      <alignment horizontal="left" vertical="top" indent="1"/>
    </xf>
    <xf numFmtId="0" fontId="7" fillId="4" borderId="0" xfId="0" applyFont="1" applyFill="1" applyBorder="1" applyAlignment="1">
      <alignment horizontal="center" vertical="top"/>
    </xf>
    <xf numFmtId="172" fontId="7" fillId="4" borderId="0" xfId="1" applyNumberFormat="1" applyFont="1" applyFill="1" applyBorder="1" applyAlignment="1">
      <alignment vertical="top"/>
    </xf>
    <xf numFmtId="165" fontId="8" fillId="4" borderId="0" xfId="1" applyFont="1" applyFill="1" applyBorder="1" applyAlignment="1">
      <alignment vertical="top"/>
    </xf>
    <xf numFmtId="2" fontId="8" fillId="4" borderId="0" xfId="0" applyNumberFormat="1" applyFont="1" applyFill="1" applyBorder="1" applyAlignment="1">
      <alignment vertical="top"/>
    </xf>
    <xf numFmtId="0" fontId="8" fillId="4" borderId="0" xfId="0" applyFont="1" applyFill="1" applyAlignment="1">
      <alignment horizontal="center" vertical="top"/>
    </xf>
    <xf numFmtId="0" fontId="8" fillId="4" borderId="21" xfId="0" applyFont="1" applyFill="1" applyBorder="1" applyAlignment="1">
      <alignment horizontal="left" vertical="top" indent="1"/>
    </xf>
    <xf numFmtId="0" fontId="8" fillId="4" borderId="0" xfId="0" applyFont="1" applyFill="1" applyBorder="1" applyAlignment="1">
      <alignment horizontal="center" vertical="top"/>
    </xf>
    <xf numFmtId="0" fontId="8" fillId="4" borderId="0" xfId="0" applyFont="1" applyFill="1" applyBorder="1" applyAlignment="1">
      <alignment vertical="top"/>
    </xf>
    <xf numFmtId="176" fontId="3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8" fillId="4" borderId="31" xfId="0" applyFont="1" applyFill="1" applyBorder="1" applyAlignment="1">
      <alignment vertical="top"/>
    </xf>
    <xf numFmtId="172" fontId="8" fillId="4" borderId="31" xfId="1" applyNumberFormat="1" applyFont="1" applyFill="1" applyBorder="1" applyAlignment="1">
      <alignment vertical="top"/>
    </xf>
    <xf numFmtId="0" fontId="8" fillId="4" borderId="20" xfId="0" applyFont="1" applyFill="1" applyBorder="1" applyAlignment="1">
      <alignment vertical="top"/>
    </xf>
    <xf numFmtId="172" fontId="8" fillId="4" borderId="20" xfId="1" applyNumberFormat="1" applyFont="1" applyFill="1" applyBorder="1" applyAlignment="1">
      <alignment vertical="top"/>
    </xf>
    <xf numFmtId="0" fontId="8" fillId="4" borderId="22" xfId="0" applyFont="1" applyFill="1" applyBorder="1" applyAlignment="1">
      <alignment vertical="top"/>
    </xf>
    <xf numFmtId="165" fontId="8" fillId="4" borderId="20" xfId="1" applyFont="1" applyFill="1" applyBorder="1" applyAlignment="1">
      <alignment vertical="top"/>
    </xf>
    <xf numFmtId="165" fontId="8" fillId="4" borderId="0" xfId="0" applyNumberFormat="1" applyFont="1" applyFill="1" applyBorder="1" applyAlignment="1">
      <alignment vertical="top"/>
    </xf>
    <xf numFmtId="0" fontId="8" fillId="4" borderId="21" xfId="0" applyFont="1" applyFill="1" applyBorder="1" applyAlignment="1">
      <alignment horizontal="left" vertical="top" wrapText="1" indent="1"/>
    </xf>
    <xf numFmtId="0" fontId="8" fillId="0" borderId="19" xfId="0" applyFont="1" applyFill="1" applyBorder="1" applyAlignment="1">
      <alignment horizontal="left" wrapText="1"/>
    </xf>
    <xf numFmtId="0" fontId="3" fillId="0" borderId="16" xfId="0" applyFont="1" applyBorder="1"/>
    <xf numFmtId="165" fontId="3" fillId="0" borderId="43" xfId="0" applyNumberFormat="1" applyFont="1" applyBorder="1"/>
    <xf numFmtId="165" fontId="3" fillId="0" borderId="44" xfId="0" applyNumberFormat="1" applyFont="1" applyBorder="1"/>
    <xf numFmtId="0" fontId="0" fillId="0" borderId="37" xfId="0" applyBorder="1"/>
    <xf numFmtId="165" fontId="3" fillId="0" borderId="37" xfId="0" applyNumberFormat="1" applyFont="1" applyBorder="1"/>
    <xf numFmtId="165" fontId="3" fillId="0" borderId="0" xfId="0" applyNumberFormat="1" applyFont="1" applyBorder="1" applyAlignment="1">
      <alignment horizontal="center"/>
    </xf>
    <xf numFmtId="165" fontId="3" fillId="0" borderId="40" xfId="0" applyNumberFormat="1" applyFont="1" applyBorder="1" applyAlignment="1">
      <alignment horizontal="center"/>
    </xf>
    <xf numFmtId="0" fontId="3" fillId="0" borderId="39" xfId="0" applyFont="1" applyBorder="1"/>
    <xf numFmtId="0" fontId="3" fillId="0" borderId="40" xfId="0" applyFont="1" applyBorder="1"/>
    <xf numFmtId="0" fontId="3" fillId="0" borderId="18" xfId="0" applyFont="1" applyBorder="1"/>
    <xf numFmtId="0" fontId="1" fillId="0" borderId="0" xfId="0" applyFont="1"/>
    <xf numFmtId="0" fontId="30" fillId="0" borderId="1" xfId="6" applyFont="1" applyFill="1" applyBorder="1" applyAlignment="1">
      <alignment horizontal="center"/>
    </xf>
    <xf numFmtId="0" fontId="30" fillId="0" borderId="1" xfId="6" applyFont="1" applyFill="1" applyBorder="1" applyAlignment="1">
      <alignment horizontal="center" vertical="center"/>
    </xf>
    <xf numFmtId="0" fontId="30" fillId="0" borderId="1" xfId="6" applyFont="1" applyFill="1" applyBorder="1"/>
    <xf numFmtId="2" fontId="30" fillId="0" borderId="1" xfId="6" applyNumberFormat="1" applyFont="1" applyFill="1" applyBorder="1" applyAlignment="1">
      <alignment horizontal="center"/>
    </xf>
    <xf numFmtId="0" fontId="30" fillId="0" borderId="1" xfId="6" applyFont="1" applyFill="1" applyBorder="1" applyAlignment="1">
      <alignment horizontal="center" wrapText="1"/>
    </xf>
    <xf numFmtId="2" fontId="30" fillId="0" borderId="1" xfId="6" applyNumberFormat="1" applyFont="1" applyFill="1" applyBorder="1" applyAlignment="1">
      <alignment horizontal="center" vertical="center"/>
    </xf>
    <xf numFmtId="9" fontId="30" fillId="0" borderId="1" xfId="6" applyNumberFormat="1" applyFont="1" applyFill="1" applyBorder="1" applyAlignment="1">
      <alignment horizontal="center"/>
    </xf>
    <xf numFmtId="9" fontId="30" fillId="0" borderId="1" xfId="6" applyNumberFormat="1" applyFont="1" applyFill="1" applyBorder="1" applyAlignment="1">
      <alignment horizontal="center" wrapText="1"/>
    </xf>
    <xf numFmtId="10" fontId="30" fillId="0" borderId="1" xfId="6" applyNumberFormat="1" applyFont="1" applyFill="1" applyBorder="1" applyAlignment="1">
      <alignment horizontal="center" vertical="center"/>
    </xf>
    <xf numFmtId="2" fontId="30" fillId="0" borderId="1" xfId="6" applyNumberFormat="1" applyFont="1" applyFill="1" applyBorder="1" applyAlignment="1"/>
    <xf numFmtId="0" fontId="6" fillId="0" borderId="0" xfId="0" applyFont="1" applyFill="1"/>
    <xf numFmtId="0" fontId="18" fillId="0" borderId="0" xfId="0" applyFont="1" applyFill="1"/>
    <xf numFmtId="0" fontId="8" fillId="0" borderId="0" xfId="0" applyFont="1" applyFill="1" applyAlignment="1"/>
    <xf numFmtId="165" fontId="6" fillId="0" borderId="0" xfId="0" applyNumberFormat="1" applyFont="1" applyFill="1"/>
    <xf numFmtId="165" fontId="8" fillId="0" borderId="0" xfId="1" applyFont="1" applyFill="1" applyBorder="1" applyAlignment="1">
      <alignment horizontal="center"/>
    </xf>
    <xf numFmtId="10" fontId="6" fillId="0" borderId="0" xfId="5" applyNumberFormat="1" applyFont="1" applyFill="1"/>
    <xf numFmtId="172" fontId="9" fillId="0" borderId="30" xfId="0" applyNumberFormat="1" applyFont="1" applyFill="1" applyBorder="1"/>
    <xf numFmtId="0" fontId="8" fillId="0" borderId="0" xfId="0" applyFont="1" applyFill="1" applyBorder="1" applyAlignment="1">
      <alignment vertical="center" wrapText="1"/>
    </xf>
    <xf numFmtId="166" fontId="6" fillId="0" borderId="0" xfId="0" applyNumberFormat="1" applyFont="1" applyFill="1"/>
    <xf numFmtId="171" fontId="17" fillId="0" borderId="0" xfId="1" applyNumberFormat="1" applyFont="1" applyFill="1" applyBorder="1"/>
    <xf numFmtId="17" fontId="17" fillId="0" borderId="0" xfId="0" applyNumberFormat="1" applyFont="1" applyFill="1" applyBorder="1"/>
    <xf numFmtId="0" fontId="8" fillId="0" borderId="22" xfId="0" applyFont="1" applyFill="1" applyBorder="1"/>
    <xf numFmtId="0" fontId="8" fillId="0" borderId="20" xfId="0" applyFont="1" applyFill="1" applyBorder="1"/>
    <xf numFmtId="0" fontId="8" fillId="0" borderId="19" xfId="0" applyFont="1" applyFill="1" applyBorder="1" applyAlignment="1">
      <alignment wrapText="1"/>
    </xf>
    <xf numFmtId="0" fontId="7" fillId="0" borderId="14" xfId="0" applyFont="1" applyFill="1" applyBorder="1" applyAlignment="1">
      <alignment horizontal="center"/>
    </xf>
    <xf numFmtId="9" fontId="17" fillId="0" borderId="0" xfId="0" applyNumberFormat="1" applyFont="1" applyFill="1" applyBorder="1"/>
    <xf numFmtId="165" fontId="17" fillId="0" borderId="0" xfId="1" applyNumberFormat="1" applyFont="1" applyFill="1" applyBorder="1"/>
    <xf numFmtId="10" fontId="17" fillId="0" borderId="0" xfId="0" applyNumberFormat="1" applyFont="1" applyFill="1" applyBorder="1"/>
    <xf numFmtId="0" fontId="6" fillId="0" borderId="22" xfId="0" applyFont="1" applyFill="1" applyBorder="1"/>
    <xf numFmtId="0" fontId="6" fillId="0" borderId="20" xfId="0" applyFont="1" applyFill="1" applyBorder="1"/>
    <xf numFmtId="0" fontId="19" fillId="0" borderId="20" xfId="0" applyFont="1" applyFill="1" applyBorder="1"/>
    <xf numFmtId="0" fontId="6" fillId="0" borderId="19" xfId="0" applyFont="1" applyFill="1" applyBorder="1"/>
    <xf numFmtId="0" fontId="19" fillId="0" borderId="0" xfId="0" applyFont="1" applyFill="1"/>
    <xf numFmtId="0" fontId="8" fillId="0" borderId="0" xfId="0" applyFont="1" applyFill="1"/>
    <xf numFmtId="0" fontId="15" fillId="0" borderId="15" xfId="0" applyFont="1" applyFill="1" applyBorder="1"/>
    <xf numFmtId="0" fontId="15" fillId="0" borderId="23" xfId="0" applyFont="1" applyFill="1" applyBorder="1"/>
    <xf numFmtId="0" fontId="15" fillId="0" borderId="21" xfId="0" applyFont="1" applyFill="1" applyBorder="1" applyAlignment="1">
      <alignment horizontal="left" indent="1"/>
    </xf>
    <xf numFmtId="0" fontId="15" fillId="0" borderId="23" xfId="0" applyFont="1" applyFill="1" applyBorder="1" applyAlignment="1">
      <alignment vertical="center" wrapText="1"/>
    </xf>
    <xf numFmtId="0" fontId="15" fillId="0" borderId="21" xfId="0" applyFont="1" applyFill="1" applyBorder="1"/>
    <xf numFmtId="0" fontId="15" fillId="0" borderId="20" xfId="4" applyFont="1" applyFill="1" applyBorder="1" applyAlignment="1">
      <alignment horizontal="center"/>
    </xf>
    <xf numFmtId="2" fontId="6" fillId="0" borderId="0" xfId="0" applyNumberFormat="1" applyFont="1" applyFill="1"/>
    <xf numFmtId="10" fontId="15" fillId="0" borderId="0" xfId="5" applyNumberFormat="1" applyFont="1" applyFill="1" applyBorder="1"/>
    <xf numFmtId="2" fontId="15" fillId="0" borderId="0" xfId="4" applyNumberFormat="1" applyFont="1" applyFill="1" applyBorder="1"/>
    <xf numFmtId="0" fontId="8" fillId="0" borderId="0" xfId="0" applyFont="1" applyFill="1" applyBorder="1" applyAlignment="1">
      <alignment wrapText="1"/>
    </xf>
    <xf numFmtId="9" fontId="15" fillId="0" borderId="0" xfId="4" applyNumberFormat="1" applyFont="1" applyFill="1" applyBorder="1"/>
    <xf numFmtId="0" fontId="13" fillId="0" borderId="0" xfId="0" applyFont="1" applyFill="1"/>
    <xf numFmtId="0" fontId="8" fillId="4" borderId="5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8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/>
    </xf>
    <xf numFmtId="0" fontId="8" fillId="4" borderId="8" xfId="0" applyFont="1" applyFill="1" applyBorder="1" applyAlignment="1">
      <alignment horizontal="center" vertical="top"/>
    </xf>
    <xf numFmtId="0" fontId="4" fillId="3" borderId="0" xfId="0" applyFont="1" applyFill="1" applyAlignment="1">
      <alignment horizontal="left"/>
    </xf>
    <xf numFmtId="0" fontId="2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0" fillId="0" borderId="37" xfId="6" applyFont="1" applyFill="1" applyBorder="1" applyAlignment="1">
      <alignment horizontal="center" vertical="center" wrapText="1"/>
    </xf>
    <xf numFmtId="0" fontId="30" fillId="0" borderId="25" xfId="6" applyFont="1" applyFill="1" applyBorder="1" applyAlignment="1">
      <alignment horizontal="center" vertical="center" wrapText="1"/>
    </xf>
    <xf numFmtId="0" fontId="30" fillId="0" borderId="42" xfId="6" applyFont="1" applyFill="1" applyBorder="1" applyAlignment="1">
      <alignment horizontal="center" vertical="center" wrapText="1"/>
    </xf>
    <xf numFmtId="0" fontId="30" fillId="0" borderId="37" xfId="6" applyFont="1" applyFill="1" applyBorder="1" applyAlignment="1">
      <alignment horizontal="center" vertical="center"/>
    </xf>
    <xf numFmtId="0" fontId="30" fillId="0" borderId="25" xfId="6" applyFont="1" applyFill="1" applyBorder="1" applyAlignment="1">
      <alignment horizontal="center" vertical="center"/>
    </xf>
    <xf numFmtId="0" fontId="30" fillId="0" borderId="42" xfId="6" applyFont="1" applyFill="1" applyBorder="1" applyAlignment="1">
      <alignment horizontal="center" vertical="center"/>
    </xf>
    <xf numFmtId="0" fontId="30" fillId="0" borderId="1" xfId="6" applyFont="1" applyBorder="1" applyAlignment="1">
      <alignment horizontal="center"/>
    </xf>
  </cellXfs>
  <cellStyles count="7">
    <cellStyle name="Dezimal" xfId="1" builtinId="3"/>
    <cellStyle name="Hyperlink" xfId="3" builtinId="8"/>
    <cellStyle name="Normal 2" xfId="6"/>
    <cellStyle name="Normal_Model 1" xfId="4"/>
    <cellStyle name="Prozent" xfId="5" builtinId="5"/>
    <cellStyle name="Standard" xfId="0" builtinId="0"/>
    <cellStyle name="Währung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ssignments/LANCO/Appendix%201A%20-%20FM%20G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nsitivity Summary"/>
      <sheetName val="Assumptions"/>
      <sheetName val="Cost of Gas"/>
      <sheetName val="Phasing"/>
      <sheetName val="Loan"/>
      <sheetName val="Loan-Annul"/>
      <sheetName val="IDC"/>
      <sheetName val="Prel."/>
      <sheetName val="FA"/>
      <sheetName val="P&amp;L"/>
      <sheetName val="WC"/>
      <sheetName val="BS"/>
      <sheetName val="CF"/>
      <sheetName val="Operations"/>
      <sheetName val="Tariff"/>
    </sheetNames>
    <sheetDataSet>
      <sheetData sheetId="0"/>
      <sheetData sheetId="1" refreshError="1">
        <row r="5">
          <cell r="D5">
            <v>4.32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ercind.gov.in/13042007/Terms_and_conditions_of_tariff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20"/>
  <sheetViews>
    <sheetView workbookViewId="0">
      <selection activeCell="D7" sqref="D7"/>
    </sheetView>
  </sheetViews>
  <sheetFormatPr baseColWidth="10" defaultColWidth="9.140625" defaultRowHeight="14.1" customHeight="1"/>
  <cols>
    <col min="1" max="1" width="9.140625" style="22"/>
    <col min="2" max="2" width="27.140625" style="22" bestFit="1" customWidth="1"/>
    <col min="3" max="3" width="16" style="22" customWidth="1"/>
    <col min="4" max="4" width="16.42578125" style="22" customWidth="1"/>
    <col min="5" max="5" width="12.85546875" style="22" customWidth="1"/>
    <col min="6" max="6" width="33.5703125" style="22" customWidth="1"/>
    <col min="7" max="16384" width="9.140625" style="22"/>
  </cols>
  <sheetData>
    <row r="3" spans="2:6" ht="14.1" customHeight="1">
      <c r="B3" s="98" t="s">
        <v>167</v>
      </c>
      <c r="C3" s="23"/>
      <c r="D3" s="24"/>
      <c r="E3" s="24"/>
      <c r="F3" s="23"/>
    </row>
    <row r="4" spans="2:6" ht="14.1" customHeight="1" thickBot="1">
      <c r="B4" s="99"/>
      <c r="C4" s="99"/>
      <c r="D4" s="100"/>
      <c r="E4" s="100"/>
      <c r="F4" s="23"/>
    </row>
    <row r="5" spans="2:6" ht="14.1" customHeight="1" thickBot="1">
      <c r="B5" s="101" t="s">
        <v>36</v>
      </c>
      <c r="C5" s="102" t="s">
        <v>37</v>
      </c>
      <c r="D5" s="103"/>
      <c r="E5" s="103" t="s">
        <v>168</v>
      </c>
      <c r="F5" s="104" t="s">
        <v>169</v>
      </c>
    </row>
    <row r="6" spans="2:6" ht="14.1" customHeight="1">
      <c r="B6" s="105" t="s">
        <v>170</v>
      </c>
      <c r="C6" s="106" t="s">
        <v>171</v>
      </c>
      <c r="D6" s="107"/>
      <c r="E6" s="108">
        <f>GasPRice</f>
        <v>4.32</v>
      </c>
      <c r="F6" s="109" t="s">
        <v>172</v>
      </c>
    </row>
    <row r="7" spans="2:6" ht="14.1" customHeight="1">
      <c r="B7" s="105" t="s">
        <v>173</v>
      </c>
      <c r="C7" s="106"/>
      <c r="D7" s="110">
        <v>0.125</v>
      </c>
      <c r="E7" s="108"/>
      <c r="F7" s="109" t="s">
        <v>172</v>
      </c>
    </row>
    <row r="8" spans="2:6" ht="14.1" customHeight="1">
      <c r="B8" s="111" t="s">
        <v>174</v>
      </c>
      <c r="C8" s="106" t="s">
        <v>171</v>
      </c>
      <c r="D8" s="107"/>
      <c r="E8" s="108">
        <f>E6*(1+$D$7)</f>
        <v>4.8600000000000003</v>
      </c>
      <c r="F8" s="109" t="s">
        <v>172</v>
      </c>
    </row>
    <row r="9" spans="2:6" ht="14.1" customHeight="1">
      <c r="B9" s="105" t="s">
        <v>91</v>
      </c>
      <c r="C9" s="106" t="s">
        <v>171</v>
      </c>
      <c r="D9" s="108">
        <v>0.5</v>
      </c>
      <c r="E9" s="97"/>
      <c r="F9" s="109" t="s">
        <v>172</v>
      </c>
    </row>
    <row r="10" spans="2:6" ht="14.1" customHeight="1">
      <c r="B10" s="105" t="s">
        <v>175</v>
      </c>
      <c r="C10" s="106"/>
      <c r="D10" s="110">
        <v>0.12239999999999999</v>
      </c>
      <c r="E10" s="108">
        <f>D9*(1+D10)</f>
        <v>0.56120000000000003</v>
      </c>
      <c r="F10" s="109"/>
    </row>
    <row r="11" spans="2:6" ht="14.1" customHeight="1">
      <c r="B11" s="105" t="s">
        <v>176</v>
      </c>
      <c r="C11" s="106" t="s">
        <v>171</v>
      </c>
      <c r="D11" s="108"/>
      <c r="E11" s="112">
        <f>E8+E10</f>
        <v>5.4212000000000007</v>
      </c>
      <c r="F11" s="109" t="s">
        <v>172</v>
      </c>
    </row>
    <row r="12" spans="2:6" ht="14.1" customHeight="1">
      <c r="B12" s="105" t="s">
        <v>177</v>
      </c>
      <c r="C12" s="107" t="s">
        <v>178</v>
      </c>
      <c r="D12" s="108"/>
      <c r="E12" s="113">
        <v>42.74</v>
      </c>
      <c r="F12" s="114" t="s">
        <v>179</v>
      </c>
    </row>
    <row r="13" spans="2:6" ht="14.1" customHeight="1">
      <c r="B13" s="233" t="s">
        <v>176</v>
      </c>
      <c r="C13" s="107" t="s">
        <v>180</v>
      </c>
      <c r="D13" s="108"/>
      <c r="E13" s="113">
        <f>E12*E11</f>
        <v>231.70208800000003</v>
      </c>
      <c r="F13" s="109"/>
    </row>
    <row r="14" spans="2:6" ht="14.1" customHeight="1">
      <c r="B14" s="105" t="s">
        <v>181</v>
      </c>
      <c r="C14" s="106" t="s">
        <v>125</v>
      </c>
      <c r="D14" s="115">
        <f>Input!D45</f>
        <v>8553</v>
      </c>
      <c r="E14" s="107"/>
      <c r="F14" s="109"/>
    </row>
    <row r="15" spans="2:6" ht="14.1" customHeight="1">
      <c r="B15" s="105"/>
      <c r="C15" s="106" t="s">
        <v>182</v>
      </c>
      <c r="D15" s="115">
        <f>0.252*10^6</f>
        <v>252000</v>
      </c>
      <c r="E15" s="97"/>
      <c r="F15" s="109"/>
    </row>
    <row r="16" spans="2:6" ht="14.1" customHeight="1" thickBot="1">
      <c r="B16" s="116" t="s">
        <v>176</v>
      </c>
      <c r="C16" s="117" t="s">
        <v>183</v>
      </c>
      <c r="D16" s="118"/>
      <c r="E16" s="119">
        <f>(E13/D15)*D14</f>
        <v>7.8640792010476206</v>
      </c>
      <c r="F16" s="120"/>
    </row>
    <row r="17" spans="2:6" ht="14.1" customHeight="1">
      <c r="B17" s="121"/>
      <c r="C17" s="99"/>
      <c r="D17" s="122"/>
      <c r="E17" s="123"/>
      <c r="F17" s="99"/>
    </row>
    <row r="18" spans="2:6" ht="14.1" customHeight="1">
      <c r="B18" s="99"/>
      <c r="C18" s="99"/>
      <c r="D18" s="100"/>
      <c r="E18" s="100"/>
      <c r="F18" s="99"/>
    </row>
    <row r="19" spans="2:6" ht="14.1" customHeight="1">
      <c r="B19" s="99"/>
      <c r="C19" s="99"/>
      <c r="D19" s="100"/>
      <c r="E19" s="100"/>
      <c r="F19" s="99"/>
    </row>
    <row r="20" spans="2:6" ht="14.1" customHeight="1">
      <c r="B20" s="99"/>
      <c r="C20" s="99"/>
      <c r="D20" s="100"/>
      <c r="E20" s="100"/>
      <c r="F20" s="99"/>
    </row>
  </sheetData>
  <phoneticPr fontId="0" type="noConversion"/>
  <pageMargins left="0.75" right="0.5" top="0.75" bottom="0.7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I85"/>
  <sheetViews>
    <sheetView workbookViewId="0">
      <selection activeCell="G13" sqref="G13"/>
    </sheetView>
  </sheetViews>
  <sheetFormatPr baseColWidth="10" defaultColWidth="9.140625" defaultRowHeight="12.75"/>
  <cols>
    <col min="1" max="1" width="9.140625" style="313"/>
    <col min="2" max="2" width="34" style="313" customWidth="1"/>
    <col min="3" max="3" width="13.5703125" style="313" customWidth="1"/>
    <col min="4" max="4" width="11.28515625" style="313" customWidth="1"/>
    <col min="5" max="5" width="64.7109375" style="315" customWidth="1"/>
    <col min="6" max="6" width="9.140625" style="313"/>
    <col min="7" max="7" width="9.5703125" style="313" bestFit="1" customWidth="1"/>
    <col min="8" max="8" width="23.5703125" style="313" customWidth="1"/>
    <col min="9" max="9" width="8.5703125" style="313" customWidth="1"/>
    <col min="10" max="16384" width="9.140625" style="313"/>
  </cols>
  <sheetData>
    <row r="2" spans="1:8">
      <c r="B2" s="314" t="s">
        <v>119</v>
      </c>
    </row>
    <row r="3" spans="1:8" ht="13.5" thickBot="1"/>
    <row r="4" spans="1:8" ht="14.1" customHeight="1">
      <c r="B4" s="31" t="s">
        <v>114</v>
      </c>
      <c r="C4" s="25"/>
      <c r="D4" s="26"/>
      <c r="E4" s="27"/>
      <c r="G4" s="316"/>
    </row>
    <row r="5" spans="1:8" ht="14.1" customHeight="1">
      <c r="B5" s="32" t="s">
        <v>108</v>
      </c>
      <c r="C5" s="42" t="s">
        <v>116</v>
      </c>
      <c r="D5" s="317">
        <v>974.95</v>
      </c>
      <c r="E5" s="124" t="s">
        <v>232</v>
      </c>
      <c r="G5" s="318"/>
    </row>
    <row r="6" spans="1:8" ht="14.1" customHeight="1">
      <c r="B6" s="33" t="s">
        <v>109</v>
      </c>
      <c r="C6" s="42" t="s">
        <v>116</v>
      </c>
      <c r="D6" s="317">
        <v>105.33</v>
      </c>
      <c r="E6" s="124" t="s">
        <v>232</v>
      </c>
    </row>
    <row r="7" spans="1:8" ht="14.1" customHeight="1">
      <c r="B7" s="33" t="s">
        <v>106</v>
      </c>
      <c r="C7" s="42" t="s">
        <v>116</v>
      </c>
      <c r="D7" s="317">
        <v>0</v>
      </c>
      <c r="E7" s="124" t="s">
        <v>110</v>
      </c>
    </row>
    <row r="8" spans="1:8" ht="14.1" customHeight="1">
      <c r="B8" s="32" t="s">
        <v>105</v>
      </c>
      <c r="C8" s="42" t="s">
        <v>116</v>
      </c>
      <c r="D8" s="317">
        <v>101.01</v>
      </c>
      <c r="E8" s="124" t="s">
        <v>232</v>
      </c>
    </row>
    <row r="9" spans="1:8" ht="14.1" customHeight="1">
      <c r="B9" s="33" t="s">
        <v>107</v>
      </c>
      <c r="C9" s="42" t="s">
        <v>116</v>
      </c>
      <c r="D9" s="317">
        <v>6.71</v>
      </c>
      <c r="E9" s="124" t="s">
        <v>232</v>
      </c>
    </row>
    <row r="10" spans="1:8" ht="14.1" customHeight="1" thickBot="1">
      <c r="B10" s="34" t="s">
        <v>2</v>
      </c>
      <c r="C10" s="42" t="s">
        <v>116</v>
      </c>
      <c r="D10" s="319">
        <f>SUM(D5:D9)</f>
        <v>1188</v>
      </c>
      <c r="E10" s="124" t="s">
        <v>187</v>
      </c>
    </row>
    <row r="11" spans="1:8" ht="14.1" customHeight="1" thickBot="1">
      <c r="B11" s="35"/>
      <c r="C11" s="29"/>
      <c r="D11" s="30"/>
      <c r="E11" s="28"/>
    </row>
    <row r="12" spans="1:8" ht="14.1" customHeight="1" thickBot="1">
      <c r="A12" s="320"/>
      <c r="B12" s="320"/>
      <c r="C12" s="320"/>
      <c r="D12" s="320"/>
      <c r="E12" s="320"/>
      <c r="F12" s="320"/>
      <c r="G12" s="321"/>
    </row>
    <row r="13" spans="1:8" ht="14.1" customHeight="1">
      <c r="B13" s="31" t="s">
        <v>115</v>
      </c>
      <c r="C13" s="25"/>
      <c r="D13" s="26"/>
      <c r="E13" s="27"/>
    </row>
    <row r="14" spans="1:8" ht="14.1" customHeight="1">
      <c r="B14" s="32" t="s">
        <v>0</v>
      </c>
      <c r="C14" s="42" t="s">
        <v>1</v>
      </c>
      <c r="D14" s="126">
        <v>366</v>
      </c>
      <c r="E14" s="124" t="s">
        <v>232</v>
      </c>
    </row>
    <row r="15" spans="1:8" ht="14.1" customHeight="1">
      <c r="B15" s="32" t="s">
        <v>162</v>
      </c>
      <c r="C15" s="42" t="s">
        <v>8</v>
      </c>
      <c r="D15" s="126">
        <v>20</v>
      </c>
      <c r="E15" s="124" t="s">
        <v>232</v>
      </c>
    </row>
    <row r="16" spans="1:8" ht="14.1" customHeight="1">
      <c r="B16" s="34" t="s">
        <v>61</v>
      </c>
      <c r="C16" s="42" t="s">
        <v>116</v>
      </c>
      <c r="D16" s="322">
        <f>D10/D14</f>
        <v>3.2459016393442623</v>
      </c>
      <c r="E16" s="125" t="s">
        <v>187</v>
      </c>
      <c r="H16" s="316"/>
    </row>
    <row r="17" spans="2:5" ht="14.1" customHeight="1">
      <c r="B17" s="32" t="s">
        <v>117</v>
      </c>
      <c r="C17" s="24"/>
      <c r="D17" s="323">
        <v>40087</v>
      </c>
      <c r="E17" s="124" t="s">
        <v>232</v>
      </c>
    </row>
    <row r="18" spans="2:5" ht="14.1" customHeight="1">
      <c r="B18" s="32" t="s">
        <v>118</v>
      </c>
      <c r="C18" s="24"/>
      <c r="D18" s="323">
        <v>40269</v>
      </c>
      <c r="E18" s="124" t="s">
        <v>232</v>
      </c>
    </row>
    <row r="19" spans="2:5" ht="14.1" customHeight="1" thickBot="1">
      <c r="B19" s="324"/>
      <c r="C19" s="325"/>
      <c r="D19" s="325"/>
      <c r="E19" s="326"/>
    </row>
    <row r="20" spans="2:5" ht="14.1" customHeight="1" thickBot="1">
      <c r="E20" s="313"/>
    </row>
    <row r="21" spans="2:5" ht="14.1" customHeight="1">
      <c r="B21" s="40" t="s">
        <v>3</v>
      </c>
      <c r="C21" s="37"/>
      <c r="D21" s="327"/>
      <c r="E21" s="38"/>
    </row>
    <row r="22" spans="2:5" ht="14.1" customHeight="1">
      <c r="B22" s="32" t="s">
        <v>6</v>
      </c>
      <c r="C22" s="42" t="s">
        <v>5</v>
      </c>
      <c r="D22" s="328">
        <v>0.25</v>
      </c>
      <c r="E22" s="124" t="s">
        <v>232</v>
      </c>
    </row>
    <row r="23" spans="2:5" ht="14.1" customHeight="1">
      <c r="B23" s="32" t="s">
        <v>4</v>
      </c>
      <c r="C23" s="42" t="s">
        <v>5</v>
      </c>
      <c r="D23" s="328">
        <f>1-D22</f>
        <v>0.75</v>
      </c>
      <c r="E23" s="124" t="s">
        <v>232</v>
      </c>
    </row>
    <row r="24" spans="2:5" ht="14.1" customHeight="1">
      <c r="B24" s="32" t="s">
        <v>6</v>
      </c>
      <c r="C24" s="42" t="s">
        <v>116</v>
      </c>
      <c r="D24" s="41">
        <f>D22*D10</f>
        <v>297</v>
      </c>
      <c r="E24" s="39" t="s">
        <v>187</v>
      </c>
    </row>
    <row r="25" spans="2:5" ht="14.1" customHeight="1">
      <c r="B25" s="32" t="s">
        <v>11</v>
      </c>
      <c r="C25" s="42" t="s">
        <v>5</v>
      </c>
      <c r="D25" s="328">
        <v>0.14000000000000001</v>
      </c>
      <c r="E25" s="124" t="s">
        <v>232</v>
      </c>
    </row>
    <row r="26" spans="2:5" ht="14.1" customHeight="1">
      <c r="B26" s="32" t="s">
        <v>4</v>
      </c>
      <c r="C26" s="42" t="s">
        <v>116</v>
      </c>
      <c r="D26" s="329">
        <f>D23*D10</f>
        <v>891</v>
      </c>
      <c r="E26" s="39" t="s">
        <v>187</v>
      </c>
    </row>
    <row r="27" spans="2:5" ht="14.1" customHeight="1">
      <c r="B27" s="32" t="s">
        <v>7</v>
      </c>
      <c r="C27" s="42" t="s">
        <v>8</v>
      </c>
      <c r="D27" s="41">
        <v>12</v>
      </c>
      <c r="E27" s="124" t="s">
        <v>232</v>
      </c>
    </row>
    <row r="28" spans="2:5" ht="30.75" customHeight="1">
      <c r="B28" s="32" t="s">
        <v>9</v>
      </c>
      <c r="C28" s="42" t="s">
        <v>5</v>
      </c>
      <c r="D28" s="330">
        <v>0.13</v>
      </c>
      <c r="E28" s="36" t="s">
        <v>231</v>
      </c>
    </row>
    <row r="29" spans="2:5" ht="14.1" customHeight="1">
      <c r="B29" s="32" t="s">
        <v>10</v>
      </c>
      <c r="C29" s="42" t="s">
        <v>186</v>
      </c>
      <c r="D29" s="41">
        <v>6</v>
      </c>
      <c r="E29" s="124" t="s">
        <v>232</v>
      </c>
    </row>
    <row r="30" spans="2:5" ht="14.1" customHeight="1" thickBot="1">
      <c r="B30" s="331"/>
      <c r="C30" s="332"/>
      <c r="D30" s="333"/>
      <c r="E30" s="334"/>
    </row>
    <row r="31" spans="2:5" ht="13.5" thickBot="1">
      <c r="E31" s="313"/>
    </row>
    <row r="32" spans="2:5">
      <c r="B32" s="127" t="s">
        <v>12</v>
      </c>
      <c r="C32" s="128"/>
      <c r="D32" s="129"/>
      <c r="E32" s="130"/>
    </row>
    <row r="33" spans="2:7">
      <c r="B33" s="131" t="s">
        <v>122</v>
      </c>
      <c r="C33" s="132"/>
      <c r="D33" s="132"/>
      <c r="E33" s="39"/>
    </row>
    <row r="34" spans="2:7">
      <c r="B34" s="133" t="s">
        <v>120</v>
      </c>
      <c r="C34" s="132" t="s">
        <v>16</v>
      </c>
      <c r="D34" s="134">
        <f>2685</f>
        <v>2685</v>
      </c>
      <c r="E34" s="124" t="s">
        <v>233</v>
      </c>
    </row>
    <row r="35" spans="2:7">
      <c r="B35" s="133" t="s">
        <v>121</v>
      </c>
      <c r="C35" s="132" t="s">
        <v>16</v>
      </c>
      <c r="D35" s="134">
        <f>1850</f>
        <v>1850</v>
      </c>
      <c r="E35" s="124" t="s">
        <v>233</v>
      </c>
      <c r="G35" s="313">
        <f>860/1850</f>
        <v>0.46486486486486489</v>
      </c>
    </row>
    <row r="36" spans="2:7">
      <c r="B36" s="133"/>
      <c r="C36" s="132"/>
      <c r="D36" s="134"/>
      <c r="E36" s="125"/>
    </row>
    <row r="37" spans="2:7">
      <c r="B37" s="131" t="s">
        <v>14</v>
      </c>
      <c r="C37" s="132"/>
      <c r="D37" s="134"/>
      <c r="E37" s="125"/>
    </row>
    <row r="38" spans="2:7">
      <c r="B38" s="133" t="s">
        <v>120</v>
      </c>
      <c r="C38" s="132" t="s">
        <v>5</v>
      </c>
      <c r="D38" s="135">
        <v>0.01</v>
      </c>
      <c r="E38" s="124" t="s">
        <v>233</v>
      </c>
    </row>
    <row r="39" spans="2:7">
      <c r="B39" s="133" t="s">
        <v>121</v>
      </c>
      <c r="C39" s="132"/>
      <c r="D39" s="135">
        <v>0.03</v>
      </c>
      <c r="E39" s="124" t="s">
        <v>233</v>
      </c>
    </row>
    <row r="40" spans="2:7">
      <c r="B40" s="131"/>
      <c r="C40" s="132"/>
      <c r="D40" s="135"/>
      <c r="E40" s="125"/>
    </row>
    <row r="41" spans="2:7" ht="13.5" thickBot="1">
      <c r="B41" s="136" t="s">
        <v>13</v>
      </c>
      <c r="C41" s="137"/>
      <c r="D41" s="138">
        <f>80%</f>
        <v>0.8</v>
      </c>
      <c r="E41" s="291" t="s">
        <v>233</v>
      </c>
    </row>
    <row r="42" spans="2:7" ht="13.5" thickBot="1">
      <c r="B42" s="335"/>
      <c r="C42" s="335"/>
      <c r="D42" s="335"/>
      <c r="E42" s="335"/>
    </row>
    <row r="43" spans="2:7" s="336" customFormat="1" ht="14.1" customHeight="1">
      <c r="B43" s="127" t="s">
        <v>123</v>
      </c>
      <c r="C43" s="128"/>
      <c r="D43" s="128"/>
      <c r="E43" s="337"/>
    </row>
    <row r="44" spans="2:7" s="336" customFormat="1" ht="14.1" customHeight="1">
      <c r="B44" s="140" t="s">
        <v>131</v>
      </c>
      <c r="C44" s="132"/>
      <c r="D44" s="132"/>
      <c r="E44" s="338"/>
    </row>
    <row r="45" spans="2:7" s="336" customFormat="1" ht="22.5" customHeight="1">
      <c r="B45" s="339" t="s">
        <v>124</v>
      </c>
      <c r="C45" s="156" t="s">
        <v>125</v>
      </c>
      <c r="D45" s="134">
        <v>8553</v>
      </c>
      <c r="E45" s="340" t="s">
        <v>188</v>
      </c>
    </row>
    <row r="46" spans="2:7" s="336" customFormat="1" ht="14.1" customHeight="1">
      <c r="B46" s="339" t="s">
        <v>126</v>
      </c>
      <c r="C46" s="156" t="s">
        <v>128</v>
      </c>
      <c r="D46" s="141">
        <f>D34/$D$45</f>
        <v>0.31392493861802878</v>
      </c>
      <c r="E46" s="338" t="s">
        <v>187</v>
      </c>
    </row>
    <row r="47" spans="2:7" s="336" customFormat="1" ht="14.1" customHeight="1">
      <c r="B47" s="339" t="s">
        <v>127</v>
      </c>
      <c r="C47" s="156" t="s">
        <v>128</v>
      </c>
      <c r="D47" s="141">
        <f>D35/$D$45</f>
        <v>0.21629837483923769</v>
      </c>
      <c r="E47" s="338" t="s">
        <v>187</v>
      </c>
    </row>
    <row r="48" spans="2:7" s="336" customFormat="1" ht="14.1" customHeight="1">
      <c r="B48" s="142" t="s">
        <v>97</v>
      </c>
      <c r="C48" s="143" t="s">
        <v>96</v>
      </c>
      <c r="D48" s="141">
        <f>'NG prices'!E16</f>
        <v>7.8640792010476206</v>
      </c>
      <c r="E48" s="125" t="s">
        <v>187</v>
      </c>
    </row>
    <row r="49" spans="2:9" s="336" customFormat="1" ht="14.1" customHeight="1">
      <c r="B49" s="339" t="s">
        <v>129</v>
      </c>
      <c r="C49" s="144"/>
      <c r="D49" s="144">
        <v>0</v>
      </c>
      <c r="E49" s="338" t="s">
        <v>189</v>
      </c>
    </row>
    <row r="50" spans="2:9" s="336" customFormat="1" ht="14.1" customHeight="1">
      <c r="B50" s="341" t="s">
        <v>90</v>
      </c>
      <c r="C50" s="132"/>
      <c r="D50" s="132"/>
      <c r="E50" s="147"/>
    </row>
    <row r="51" spans="2:9" s="336" customFormat="1" ht="28.5" customHeight="1">
      <c r="B51" s="142" t="s">
        <v>135</v>
      </c>
      <c r="C51" s="143" t="s">
        <v>132</v>
      </c>
      <c r="D51" s="134">
        <f>10100*0.95</f>
        <v>9595</v>
      </c>
      <c r="E51" s="340" t="s">
        <v>237</v>
      </c>
    </row>
    <row r="52" spans="2:9" s="336" customFormat="1" ht="21" customHeight="1">
      <c r="B52" s="339" t="s">
        <v>133</v>
      </c>
      <c r="C52" s="143" t="s">
        <v>63</v>
      </c>
      <c r="D52" s="145">
        <v>0</v>
      </c>
      <c r="E52" s="146" t="s">
        <v>113</v>
      </c>
    </row>
    <row r="53" spans="2:9" s="336" customFormat="1" ht="20.25" customHeight="1">
      <c r="B53" s="339" t="s">
        <v>134</v>
      </c>
      <c r="C53" s="143" t="s">
        <v>63</v>
      </c>
      <c r="D53" s="145">
        <v>0</v>
      </c>
      <c r="E53" s="146" t="s">
        <v>113</v>
      </c>
    </row>
    <row r="54" spans="2:9" s="336" customFormat="1" ht="20.25" customHeight="1">
      <c r="B54" s="142" t="s">
        <v>64</v>
      </c>
      <c r="C54" s="143" t="s">
        <v>65</v>
      </c>
      <c r="D54" s="134">
        <v>33000</v>
      </c>
      <c r="E54" s="147" t="s">
        <v>189</v>
      </c>
    </row>
    <row r="55" spans="2:9" ht="14.1" customHeight="1" thickBot="1">
      <c r="B55" s="148" t="s">
        <v>66</v>
      </c>
      <c r="C55" s="342" t="s">
        <v>5</v>
      </c>
      <c r="D55" s="149">
        <v>0</v>
      </c>
      <c r="E55" s="139"/>
    </row>
    <row r="56" spans="2:9" ht="14.1" customHeight="1">
      <c r="E56" s="313"/>
    </row>
    <row r="57" spans="2:9" ht="14.1" customHeight="1" thickBot="1">
      <c r="E57" s="313"/>
    </row>
    <row r="58" spans="2:9" ht="14.1" customHeight="1">
      <c r="B58" s="127" t="s">
        <v>17</v>
      </c>
      <c r="C58" s="128"/>
      <c r="D58" s="129"/>
      <c r="E58" s="130"/>
    </row>
    <row r="59" spans="2:9" ht="14.1" customHeight="1">
      <c r="B59" s="131" t="s">
        <v>18</v>
      </c>
      <c r="C59" s="132" t="s">
        <v>5</v>
      </c>
      <c r="D59" s="144">
        <v>0.9</v>
      </c>
      <c r="E59" s="150" t="s">
        <v>190</v>
      </c>
    </row>
    <row r="60" spans="2:9" ht="14.1" customHeight="1">
      <c r="B60" s="131" t="s">
        <v>19</v>
      </c>
      <c r="C60" s="132" t="s">
        <v>5</v>
      </c>
      <c r="D60" s="135">
        <f>D59/25</f>
        <v>3.6000000000000004E-2</v>
      </c>
      <c r="E60" s="150" t="s">
        <v>190</v>
      </c>
    </row>
    <row r="61" spans="2:9" ht="14.1" customHeight="1">
      <c r="B61" s="131" t="s">
        <v>20</v>
      </c>
      <c r="C61" s="132" t="s">
        <v>67</v>
      </c>
      <c r="D61" s="151">
        <v>0.1</v>
      </c>
      <c r="E61" s="150" t="s">
        <v>190</v>
      </c>
      <c r="I61" s="343"/>
    </row>
    <row r="62" spans="2:9" ht="14.1" customHeight="1" thickBot="1">
      <c r="B62" s="152"/>
      <c r="C62" s="137"/>
      <c r="D62" s="137"/>
      <c r="E62" s="139"/>
      <c r="I62" s="343"/>
    </row>
    <row r="63" spans="2:9" ht="14.1" customHeight="1" thickBot="1">
      <c r="B63" s="335"/>
      <c r="C63" s="335"/>
      <c r="D63" s="335"/>
      <c r="E63" s="335"/>
      <c r="H63" s="343"/>
    </row>
    <row r="64" spans="2:9" ht="14.1" customHeight="1">
      <c r="B64" s="127" t="s">
        <v>23</v>
      </c>
      <c r="C64" s="128"/>
      <c r="D64" s="129"/>
      <c r="E64" s="130"/>
    </row>
    <row r="65" spans="2:5" ht="14.1" customHeight="1">
      <c r="B65" s="153" t="s">
        <v>21</v>
      </c>
      <c r="C65" s="154" t="s">
        <v>111</v>
      </c>
      <c r="D65" s="155">
        <f>2.8%</f>
        <v>2.7999999999999997E-2</v>
      </c>
      <c r="E65" s="125" t="s">
        <v>234</v>
      </c>
    </row>
    <row r="66" spans="2:5" ht="14.1" customHeight="1">
      <c r="B66" s="131" t="s">
        <v>22</v>
      </c>
      <c r="C66" s="132" t="s">
        <v>5</v>
      </c>
      <c r="D66" s="144">
        <v>0.04</v>
      </c>
      <c r="E66" s="125" t="s">
        <v>234</v>
      </c>
    </row>
    <row r="67" spans="2:5" ht="14.1" customHeight="1" thickBot="1">
      <c r="B67" s="152"/>
      <c r="C67" s="137"/>
      <c r="D67" s="137"/>
      <c r="E67" s="139"/>
    </row>
    <row r="68" spans="2:5" ht="14.1" customHeight="1" thickBot="1">
      <c r="B68" s="335"/>
      <c r="C68" s="335"/>
      <c r="D68" s="335"/>
      <c r="E68" s="335"/>
    </row>
    <row r="69" spans="2:5" ht="14.1" customHeight="1">
      <c r="B69" s="127" t="s">
        <v>24</v>
      </c>
      <c r="C69" s="128"/>
      <c r="D69" s="129"/>
      <c r="E69" s="130"/>
    </row>
    <row r="70" spans="2:5" ht="14.1" customHeight="1">
      <c r="B70" s="131" t="s">
        <v>25</v>
      </c>
      <c r="C70" s="132" t="s">
        <v>5</v>
      </c>
      <c r="D70" s="344">
        <v>0.33989999999999998</v>
      </c>
      <c r="E70" s="39" t="s">
        <v>112</v>
      </c>
    </row>
    <row r="71" spans="2:5" ht="14.1" customHeight="1">
      <c r="B71" s="131" t="s">
        <v>26</v>
      </c>
      <c r="C71" s="132" t="s">
        <v>5</v>
      </c>
      <c r="D71" s="344">
        <v>0.1133</v>
      </c>
      <c r="E71" s="39" t="s">
        <v>112</v>
      </c>
    </row>
    <row r="72" spans="2:5" ht="14.1" customHeight="1">
      <c r="B72" s="131" t="s">
        <v>27</v>
      </c>
      <c r="C72" s="132" t="s">
        <v>8</v>
      </c>
      <c r="D72" s="345">
        <v>10</v>
      </c>
      <c r="E72" s="39" t="s">
        <v>112</v>
      </c>
    </row>
    <row r="73" spans="2:5" ht="14.1" customHeight="1" thickBot="1">
      <c r="B73" s="152"/>
      <c r="C73" s="137"/>
      <c r="D73" s="138">
        <v>0.15</v>
      </c>
      <c r="E73" s="139" t="s">
        <v>112</v>
      </c>
    </row>
    <row r="74" spans="2:5" ht="14.1" customHeight="1" thickBot="1">
      <c r="B74" s="24"/>
      <c r="C74" s="24"/>
      <c r="D74" s="24"/>
      <c r="E74" s="346"/>
    </row>
    <row r="75" spans="2:5" ht="14.1" customHeight="1">
      <c r="B75" s="127" t="s">
        <v>28</v>
      </c>
      <c r="C75" s="128"/>
      <c r="D75" s="129"/>
      <c r="E75" s="130"/>
    </row>
    <row r="76" spans="2:5" ht="14.1" customHeight="1">
      <c r="B76" s="133" t="s">
        <v>29</v>
      </c>
      <c r="C76" s="156" t="s">
        <v>34</v>
      </c>
      <c r="D76" s="134">
        <v>60</v>
      </c>
      <c r="E76" s="150" t="s">
        <v>190</v>
      </c>
    </row>
    <row r="77" spans="2:5" ht="14.1" customHeight="1">
      <c r="B77" s="133" t="s">
        <v>30</v>
      </c>
      <c r="C77" s="156" t="s">
        <v>35</v>
      </c>
      <c r="D77" s="347">
        <v>0.01</v>
      </c>
      <c r="E77" s="150" t="s">
        <v>190</v>
      </c>
    </row>
    <row r="78" spans="2:5" ht="14.1" customHeight="1">
      <c r="B78" s="133" t="s">
        <v>31</v>
      </c>
      <c r="C78" s="156" t="s">
        <v>5</v>
      </c>
      <c r="D78" s="347">
        <v>0.06</v>
      </c>
      <c r="E78" s="150" t="s">
        <v>190</v>
      </c>
    </row>
    <row r="79" spans="2:5" ht="14.1" customHeight="1">
      <c r="B79" s="133" t="s">
        <v>32</v>
      </c>
      <c r="C79" s="156" t="s">
        <v>34</v>
      </c>
      <c r="D79" s="134">
        <v>30</v>
      </c>
      <c r="E79" s="150" t="s">
        <v>190</v>
      </c>
    </row>
    <row r="80" spans="2:5" ht="14.1" customHeight="1">
      <c r="B80" s="133" t="s">
        <v>68</v>
      </c>
      <c r="C80" s="156" t="s">
        <v>69</v>
      </c>
      <c r="D80" s="134">
        <v>15</v>
      </c>
      <c r="E80" s="150" t="s">
        <v>190</v>
      </c>
    </row>
    <row r="81" spans="2:5" ht="14.1" customHeight="1">
      <c r="B81" s="133" t="s">
        <v>21</v>
      </c>
      <c r="C81" s="156" t="s">
        <v>34</v>
      </c>
      <c r="D81" s="134">
        <v>30</v>
      </c>
      <c r="E81" s="150" t="s">
        <v>190</v>
      </c>
    </row>
    <row r="82" spans="2:5" ht="14.1" customHeight="1" thickBot="1">
      <c r="B82" s="157" t="s">
        <v>33</v>
      </c>
      <c r="C82" s="158" t="s">
        <v>5</v>
      </c>
      <c r="D82" s="159">
        <v>0.115</v>
      </c>
      <c r="E82" s="139" t="s">
        <v>234</v>
      </c>
    </row>
    <row r="83" spans="2:5">
      <c r="E83" s="313"/>
    </row>
    <row r="84" spans="2:5">
      <c r="E84" s="313"/>
    </row>
    <row r="85" spans="2:5">
      <c r="D85" s="348"/>
    </row>
  </sheetData>
  <phoneticPr fontId="0" type="noConversion"/>
  <hyperlinks>
    <hyperlink ref="E52" r:id="rId1"/>
  </hyperlinks>
  <pageMargins left="1.25" right="0.75" top="0.5" bottom="0.5" header="0.5" footer="0.5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90"/>
  <sheetViews>
    <sheetView topLeftCell="A76" workbookViewId="0">
      <selection activeCell="E27" sqref="E27"/>
    </sheetView>
  </sheetViews>
  <sheetFormatPr baseColWidth="10" defaultColWidth="9.140625" defaultRowHeight="10.5"/>
  <cols>
    <col min="1" max="1" width="9.140625" style="21"/>
    <col min="2" max="2" width="39.140625" style="21" customWidth="1"/>
    <col min="3" max="3" width="11.28515625" style="21" customWidth="1"/>
    <col min="4" max="29" width="9.7109375" style="21" customWidth="1"/>
    <col min="30" max="16384" width="9.140625" style="21"/>
  </cols>
  <sheetData>
    <row r="1" spans="2:31" ht="11.25" thickBot="1"/>
    <row r="2" spans="2:31" ht="21" customHeight="1">
      <c r="B2" s="234" t="s">
        <v>36</v>
      </c>
      <c r="C2" s="352" t="s">
        <v>37</v>
      </c>
      <c r="D2" s="349" t="s">
        <v>95</v>
      </c>
      <c r="E2" s="235">
        <v>1</v>
      </c>
      <c r="F2" s="82">
        <v>2</v>
      </c>
      <c r="G2" s="82">
        <v>3</v>
      </c>
      <c r="H2" s="82">
        <v>4</v>
      </c>
      <c r="I2" s="82">
        <v>5</v>
      </c>
      <c r="J2" s="82">
        <v>6</v>
      </c>
      <c r="K2" s="82">
        <v>7</v>
      </c>
      <c r="L2" s="82">
        <v>8</v>
      </c>
      <c r="M2" s="82">
        <v>9</v>
      </c>
      <c r="N2" s="82">
        <v>10</v>
      </c>
      <c r="O2" s="82">
        <v>11</v>
      </c>
      <c r="P2" s="82">
        <v>12</v>
      </c>
      <c r="Q2" s="82">
        <v>13</v>
      </c>
      <c r="R2" s="82">
        <v>14</v>
      </c>
      <c r="S2" s="83">
        <v>15</v>
      </c>
      <c r="T2" s="84">
        <v>16</v>
      </c>
      <c r="U2" s="82">
        <v>17</v>
      </c>
      <c r="V2" s="82">
        <v>18</v>
      </c>
      <c r="W2" s="82">
        <v>19</v>
      </c>
      <c r="X2" s="83">
        <v>20</v>
      </c>
      <c r="Y2" s="82">
        <v>21</v>
      </c>
      <c r="Z2" s="82">
        <v>22</v>
      </c>
      <c r="AA2" s="82">
        <v>23</v>
      </c>
      <c r="AB2" s="82">
        <v>24</v>
      </c>
      <c r="AC2" s="82">
        <v>25</v>
      </c>
    </row>
    <row r="3" spans="2:31" ht="12.75" customHeight="1">
      <c r="B3" s="236" t="s">
        <v>38</v>
      </c>
      <c r="C3" s="353"/>
      <c r="D3" s="350"/>
      <c r="E3" s="237">
        <f>Input!D18</f>
        <v>40269</v>
      </c>
      <c r="F3" s="85">
        <f>E4+1</f>
        <v>40634</v>
      </c>
      <c r="G3" s="85">
        <f t="shared" ref="G3:AC3" si="0">F4+1</f>
        <v>41000</v>
      </c>
      <c r="H3" s="85">
        <f t="shared" si="0"/>
        <v>41365</v>
      </c>
      <c r="I3" s="85">
        <f t="shared" si="0"/>
        <v>41730</v>
      </c>
      <c r="J3" s="85">
        <f t="shared" si="0"/>
        <v>42095</v>
      </c>
      <c r="K3" s="85">
        <f t="shared" si="0"/>
        <v>42461</v>
      </c>
      <c r="L3" s="85">
        <f t="shared" si="0"/>
        <v>42826</v>
      </c>
      <c r="M3" s="85">
        <f t="shared" si="0"/>
        <v>43191</v>
      </c>
      <c r="N3" s="85">
        <f t="shared" si="0"/>
        <v>43556</v>
      </c>
      <c r="O3" s="85">
        <f t="shared" si="0"/>
        <v>43922</v>
      </c>
      <c r="P3" s="85">
        <f t="shared" si="0"/>
        <v>44287</v>
      </c>
      <c r="Q3" s="85">
        <f t="shared" si="0"/>
        <v>44652</v>
      </c>
      <c r="R3" s="85">
        <f t="shared" si="0"/>
        <v>45017</v>
      </c>
      <c r="S3" s="86">
        <f t="shared" si="0"/>
        <v>45383</v>
      </c>
      <c r="T3" s="87">
        <f t="shared" si="0"/>
        <v>45748</v>
      </c>
      <c r="U3" s="85">
        <f t="shared" si="0"/>
        <v>46113</v>
      </c>
      <c r="V3" s="85">
        <f t="shared" si="0"/>
        <v>46478</v>
      </c>
      <c r="W3" s="85">
        <f t="shared" si="0"/>
        <v>46844</v>
      </c>
      <c r="X3" s="85">
        <f t="shared" si="0"/>
        <v>47209</v>
      </c>
      <c r="Y3" s="85">
        <f t="shared" si="0"/>
        <v>47574</v>
      </c>
      <c r="Z3" s="85">
        <f t="shared" si="0"/>
        <v>47939</v>
      </c>
      <c r="AA3" s="85">
        <f t="shared" si="0"/>
        <v>48305</v>
      </c>
      <c r="AB3" s="85">
        <f t="shared" si="0"/>
        <v>48670</v>
      </c>
      <c r="AC3" s="85">
        <f t="shared" si="0"/>
        <v>49035</v>
      </c>
    </row>
    <row r="4" spans="2:31" ht="12.75" customHeight="1">
      <c r="B4" s="236" t="s">
        <v>39</v>
      </c>
      <c r="C4" s="353"/>
      <c r="D4" s="350"/>
      <c r="E4" s="238">
        <f>DATE(IF(AND(MONTH(E3)&gt;=4,MONTH(E3)&lt;=12),YEAR(E3)+1,YEAR(E3)),3,31)</f>
        <v>40633</v>
      </c>
      <c r="F4" s="88">
        <f t="shared" ref="F4:AC4" si="1">DATE(IF(AND(MONTH(F3)&gt;=4,MONTH(F3)&lt;=12),YEAR(F3)+1,YEAR(F3)),3,31)</f>
        <v>40999</v>
      </c>
      <c r="G4" s="88">
        <f t="shared" si="1"/>
        <v>41364</v>
      </c>
      <c r="H4" s="88">
        <f t="shared" si="1"/>
        <v>41729</v>
      </c>
      <c r="I4" s="88">
        <f t="shared" si="1"/>
        <v>42094</v>
      </c>
      <c r="J4" s="88">
        <f t="shared" si="1"/>
        <v>42460</v>
      </c>
      <c r="K4" s="88">
        <f t="shared" si="1"/>
        <v>42825</v>
      </c>
      <c r="L4" s="88">
        <f t="shared" si="1"/>
        <v>43190</v>
      </c>
      <c r="M4" s="88">
        <f t="shared" si="1"/>
        <v>43555</v>
      </c>
      <c r="N4" s="88">
        <f t="shared" si="1"/>
        <v>43921</v>
      </c>
      <c r="O4" s="88">
        <f t="shared" si="1"/>
        <v>44286</v>
      </c>
      <c r="P4" s="88">
        <f t="shared" si="1"/>
        <v>44651</v>
      </c>
      <c r="Q4" s="88">
        <f t="shared" si="1"/>
        <v>45016</v>
      </c>
      <c r="R4" s="88">
        <f t="shared" si="1"/>
        <v>45382</v>
      </c>
      <c r="S4" s="89">
        <f t="shared" si="1"/>
        <v>45747</v>
      </c>
      <c r="T4" s="90">
        <f t="shared" si="1"/>
        <v>46112</v>
      </c>
      <c r="U4" s="88">
        <f t="shared" si="1"/>
        <v>46477</v>
      </c>
      <c r="V4" s="88">
        <f t="shared" si="1"/>
        <v>46843</v>
      </c>
      <c r="W4" s="88">
        <f t="shared" si="1"/>
        <v>47208</v>
      </c>
      <c r="X4" s="88">
        <f t="shared" si="1"/>
        <v>47573</v>
      </c>
      <c r="Y4" s="88">
        <f t="shared" si="1"/>
        <v>47938</v>
      </c>
      <c r="Z4" s="88">
        <f t="shared" si="1"/>
        <v>48304</v>
      </c>
      <c r="AA4" s="88">
        <f t="shared" si="1"/>
        <v>48669</v>
      </c>
      <c r="AB4" s="88">
        <f t="shared" si="1"/>
        <v>49034</v>
      </c>
      <c r="AC4" s="88">
        <f t="shared" si="1"/>
        <v>49399</v>
      </c>
    </row>
    <row r="5" spans="2:31" ht="12.75" customHeight="1" thickBot="1">
      <c r="B5" s="239" t="s">
        <v>185</v>
      </c>
      <c r="C5" s="354"/>
      <c r="D5" s="351"/>
      <c r="E5" s="240">
        <f>(E4-E3+1)*(Tariff!E2&lt;=Input!$D$15)</f>
        <v>365</v>
      </c>
      <c r="F5" s="91">
        <f>(F4-F3+1)*(Tariff!F2&lt;=Input!$D$15)</f>
        <v>366</v>
      </c>
      <c r="G5" s="91">
        <f>(G4-G3+1)*(Tariff!G2&lt;=Input!$D$15)</f>
        <v>365</v>
      </c>
      <c r="H5" s="91">
        <f>(H4-H3+1)*(Tariff!H2&lt;=Input!$D$15)</f>
        <v>365</v>
      </c>
      <c r="I5" s="91">
        <f>(I4-I3+1)*(Tariff!I2&lt;=Input!$D$15)</f>
        <v>365</v>
      </c>
      <c r="J5" s="91">
        <f>(J4-J3+1)*(Tariff!J2&lt;=Input!$D$15)</f>
        <v>366</v>
      </c>
      <c r="K5" s="91">
        <f>(K4-K3+1)*(Tariff!K2&lt;=Input!$D$15)</f>
        <v>365</v>
      </c>
      <c r="L5" s="91">
        <f>(L4-L3+1)*(Tariff!L2&lt;=Input!$D$15)</f>
        <v>365</v>
      </c>
      <c r="M5" s="91">
        <f>(M4-M3+1)*(Tariff!M2&lt;=Input!$D$15)</f>
        <v>365</v>
      </c>
      <c r="N5" s="91">
        <f>(N4-N3+1)*(Tariff!N2&lt;=Input!$D$15)</f>
        <v>366</v>
      </c>
      <c r="O5" s="91">
        <f>(O4-O3+1)*(Tariff!O2&lt;=Input!$D$15)</f>
        <v>365</v>
      </c>
      <c r="P5" s="91">
        <f>(P4-P3+1)*(Tariff!P2&lt;=Input!$D$15)</f>
        <v>365</v>
      </c>
      <c r="Q5" s="91">
        <f>(Q4-Q3+1)*(Tariff!Q2&lt;=Input!$D$15)</f>
        <v>365</v>
      </c>
      <c r="R5" s="91">
        <f>(R4-R3+1)*(Tariff!R2&lt;=Input!$D$15)</f>
        <v>366</v>
      </c>
      <c r="S5" s="91">
        <f>(S4-S3+1)*(Tariff!S2&lt;=Input!$D$15)</f>
        <v>365</v>
      </c>
      <c r="T5" s="91">
        <f>(T4-T3+1)*(Tariff!T2&lt;=Input!$D$15)</f>
        <v>365</v>
      </c>
      <c r="U5" s="91">
        <f>(U4-U3+1)*(Tariff!U2&lt;=Input!$D$15)</f>
        <v>365</v>
      </c>
      <c r="V5" s="91">
        <f>(V4-V3+1)*(Tariff!V2&lt;=Input!$D$15)</f>
        <v>366</v>
      </c>
      <c r="W5" s="91">
        <f>(W4-W3+1)*(Tariff!W2&lt;=Input!$D$15)</f>
        <v>365</v>
      </c>
      <c r="X5" s="91">
        <f>(X4-X3+1)*(Tariff!X2&lt;=Input!$D$15)</f>
        <v>365</v>
      </c>
      <c r="Y5" s="91">
        <f>(Y4-Y3+1)*(Tariff!Y2&lt;=Input!$D$15)</f>
        <v>0</v>
      </c>
      <c r="Z5" s="91">
        <f>(Z4-Z3+1)*(Tariff!Z2&lt;=Input!$D$15)</f>
        <v>0</v>
      </c>
      <c r="AA5" s="91">
        <f>(AA4-AA3+1)*(Tariff!AA2&lt;=Input!$D$15)</f>
        <v>0</v>
      </c>
      <c r="AB5" s="91">
        <f>(AB4-AB3+1)*(Tariff!AB2&lt;=Input!$D$15)</f>
        <v>0</v>
      </c>
      <c r="AC5" s="91">
        <f>(AC4-AC3+1)*(Tariff!AC2&lt;=Input!$D$15)</f>
        <v>0</v>
      </c>
    </row>
    <row r="6" spans="2:31" ht="12.75" customHeight="1" thickBot="1">
      <c r="B6" s="241"/>
      <c r="C6" s="242"/>
      <c r="D6" s="243"/>
      <c r="E6" s="244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43"/>
      <c r="AE6" s="43"/>
    </row>
    <row r="7" spans="2:31" ht="14.1" customHeight="1">
      <c r="B7" s="245" t="s">
        <v>40</v>
      </c>
      <c r="C7" s="246" t="s">
        <v>130</v>
      </c>
      <c r="D7" s="246"/>
      <c r="E7" s="247">
        <f>(Input!$D$14*Input!$D$41*Tariff!E5*24/10^3)</f>
        <v>2564.9279999999999</v>
      </c>
      <c r="F7" s="96">
        <f>(Input!$D$14*Input!$D$41*Tariff!F5*24/10^3)</f>
        <v>2571.9552000000003</v>
      </c>
      <c r="G7" s="96">
        <f>(Input!$D$14*Input!$D$41*Tariff!G5*24/10^3)</f>
        <v>2564.9279999999999</v>
      </c>
      <c r="H7" s="96">
        <f>(Input!$D$14*Input!$D$41*Tariff!H5*24/10^3)</f>
        <v>2564.9279999999999</v>
      </c>
      <c r="I7" s="96">
        <f>(Input!$D$14*Input!$D$41*Tariff!I5*24/10^3)</f>
        <v>2564.9279999999999</v>
      </c>
      <c r="J7" s="96">
        <f>(Input!$D$14*Input!$D$41*Tariff!J5*24/10^3)</f>
        <v>2571.9552000000003</v>
      </c>
      <c r="K7" s="96">
        <f>(Input!$D$14*Input!$D$41*Tariff!K5*24/10^3)</f>
        <v>2564.9279999999999</v>
      </c>
      <c r="L7" s="96">
        <f>(Input!$D$14*Input!$D$41*Tariff!L5*24/10^3)</f>
        <v>2564.9279999999999</v>
      </c>
      <c r="M7" s="96">
        <f>(Input!$D$14*Input!$D$41*Tariff!M5*24/10^3)</f>
        <v>2564.9279999999999</v>
      </c>
      <c r="N7" s="96">
        <f>(Input!$D$14*Input!$D$41*Tariff!N5*24/10^3)</f>
        <v>2571.9552000000003</v>
      </c>
      <c r="O7" s="96">
        <f>(Input!$D$14*Input!$D$41*Tariff!O5*24/10^3)</f>
        <v>2564.9279999999999</v>
      </c>
      <c r="P7" s="96">
        <f>(Input!$D$14*Input!$D$41*Tariff!P5*24/10^3)</f>
        <v>2564.9279999999999</v>
      </c>
      <c r="Q7" s="96">
        <f>(Input!$D$14*Input!$D$41*Tariff!Q5*24/10^3)</f>
        <v>2564.9279999999999</v>
      </c>
      <c r="R7" s="96">
        <f>(Input!$D$14*Input!$D$41*Tariff!R5*24/10^3)</f>
        <v>2571.9552000000003</v>
      </c>
      <c r="S7" s="96">
        <f>(Input!$D$14*Input!$D$41*Tariff!S5*24/10^3)</f>
        <v>2564.9279999999999</v>
      </c>
      <c r="T7" s="96">
        <f>(Input!$D$14*Input!$D$41*Tariff!T5*24/10^3)</f>
        <v>2564.9279999999999</v>
      </c>
      <c r="U7" s="96">
        <f>(Input!$D$14*Input!$D$41*Tariff!U5*24/10^3)</f>
        <v>2564.9279999999999</v>
      </c>
      <c r="V7" s="96">
        <f>(Input!$D$14*Input!$D$41*Tariff!V5*24/10^3)</f>
        <v>2571.9552000000003</v>
      </c>
      <c r="W7" s="96">
        <f>(Input!$D$14*Input!$D$41*Tariff!W5*24/10^3)</f>
        <v>2564.9279999999999</v>
      </c>
      <c r="X7" s="96">
        <f>(Input!$D$14*Input!$D$41*Tariff!X5*24/10^3)</f>
        <v>2564.9279999999999</v>
      </c>
      <c r="Y7" s="96">
        <f>(Input!$D$14*Input!$D$41*Tariff!Y5*24/10^3)</f>
        <v>0</v>
      </c>
      <c r="Z7" s="96">
        <f>(Input!$D$14*Input!$D$41*Tariff!Z5*24/10^3)</f>
        <v>0</v>
      </c>
      <c r="AA7" s="96">
        <f>(Input!$D$14*Input!$D$41*Tariff!AA5*24/10^3)</f>
        <v>0</v>
      </c>
      <c r="AB7" s="96">
        <f>(Input!$D$14*Input!$D$41*Tariff!AB5*24/10^3)</f>
        <v>0</v>
      </c>
      <c r="AC7" s="96">
        <f>(Input!$D$14*Input!$D$41*Tariff!AC5*24/10^3)</f>
        <v>0</v>
      </c>
    </row>
    <row r="8" spans="2:31" ht="14.1" customHeight="1">
      <c r="B8" s="248" t="s">
        <v>41</v>
      </c>
      <c r="C8" s="249" t="s">
        <v>130</v>
      </c>
      <c r="D8" s="249"/>
      <c r="E8" s="250">
        <f>E7*Input!$D$38</f>
        <v>25.649280000000001</v>
      </c>
      <c r="F8" s="46">
        <f>Input!$D$39*Tariff!F7</f>
        <v>77.158656000000008</v>
      </c>
      <c r="G8" s="46">
        <f>Input!$D$39*Tariff!G7</f>
        <v>76.947839999999999</v>
      </c>
      <c r="H8" s="46">
        <f>Input!$D$39*Tariff!H7</f>
        <v>76.947839999999999</v>
      </c>
      <c r="I8" s="46">
        <f>Input!$D$39*Tariff!I7</f>
        <v>76.947839999999999</v>
      </c>
      <c r="J8" s="46">
        <f>Input!$D$39*Tariff!J7</f>
        <v>77.158656000000008</v>
      </c>
      <c r="K8" s="46">
        <f>Input!$D$39*Tariff!K7</f>
        <v>76.947839999999999</v>
      </c>
      <c r="L8" s="46">
        <f>Input!$D$39*Tariff!L7</f>
        <v>76.947839999999999</v>
      </c>
      <c r="M8" s="46">
        <f>Input!$D$39*Tariff!M7</f>
        <v>76.947839999999999</v>
      </c>
      <c r="N8" s="46">
        <f>Input!$D$39*Tariff!N7</f>
        <v>77.158656000000008</v>
      </c>
      <c r="O8" s="46">
        <f>Input!$D$39*Tariff!O7</f>
        <v>76.947839999999999</v>
      </c>
      <c r="P8" s="46">
        <f>Input!$D$39*Tariff!P7</f>
        <v>76.947839999999999</v>
      </c>
      <c r="Q8" s="46">
        <f>Input!$D$39*Tariff!Q7</f>
        <v>76.947839999999999</v>
      </c>
      <c r="R8" s="46">
        <f>Input!$D$39*Tariff!R7</f>
        <v>77.158656000000008</v>
      </c>
      <c r="S8" s="46">
        <f>Input!$D$39*Tariff!S7</f>
        <v>76.947839999999999</v>
      </c>
      <c r="T8" s="46">
        <f>Input!$D$39*Tariff!T7</f>
        <v>76.947839999999999</v>
      </c>
      <c r="U8" s="46">
        <f>Input!$D$39*Tariff!U7</f>
        <v>76.947839999999999</v>
      </c>
      <c r="V8" s="46">
        <f>Input!$D$39*Tariff!V7</f>
        <v>77.158656000000008</v>
      </c>
      <c r="W8" s="46">
        <f>Input!$D$39*Tariff!W7</f>
        <v>76.947839999999999</v>
      </c>
      <c r="X8" s="46">
        <f>Input!$D$39*Tariff!X7</f>
        <v>76.947839999999999</v>
      </c>
      <c r="Y8" s="46">
        <f>Input!$D$39*Tariff!Y7</f>
        <v>0</v>
      </c>
      <c r="Z8" s="46">
        <f>Input!$D$39*Tariff!Z7</f>
        <v>0</v>
      </c>
      <c r="AA8" s="46">
        <f>Input!$D$39*Tariff!AA7</f>
        <v>0</v>
      </c>
      <c r="AB8" s="46">
        <f>Input!$D$39*Tariff!AB7</f>
        <v>0</v>
      </c>
      <c r="AC8" s="46">
        <f>Input!$D$39*Tariff!AC7</f>
        <v>0</v>
      </c>
    </row>
    <row r="9" spans="2:31" ht="14.1" customHeight="1" thickBot="1">
      <c r="B9" s="248" t="s">
        <v>42</v>
      </c>
      <c r="C9" s="249" t="s">
        <v>130</v>
      </c>
      <c r="D9" s="249"/>
      <c r="E9" s="251">
        <f>E7-E8</f>
        <v>2539.2787199999998</v>
      </c>
      <c r="F9" s="47">
        <f t="shared" ref="F9:AC9" si="2">F7-F8</f>
        <v>2494.7965440000003</v>
      </c>
      <c r="G9" s="47">
        <f t="shared" si="2"/>
        <v>2487.9801600000001</v>
      </c>
      <c r="H9" s="47">
        <f t="shared" si="2"/>
        <v>2487.9801600000001</v>
      </c>
      <c r="I9" s="47">
        <f t="shared" si="2"/>
        <v>2487.9801600000001</v>
      </c>
      <c r="J9" s="47">
        <f t="shared" si="2"/>
        <v>2494.7965440000003</v>
      </c>
      <c r="K9" s="47">
        <f t="shared" si="2"/>
        <v>2487.9801600000001</v>
      </c>
      <c r="L9" s="47">
        <f t="shared" si="2"/>
        <v>2487.9801600000001</v>
      </c>
      <c r="M9" s="47">
        <f t="shared" si="2"/>
        <v>2487.9801600000001</v>
      </c>
      <c r="N9" s="47">
        <f t="shared" si="2"/>
        <v>2494.7965440000003</v>
      </c>
      <c r="O9" s="47">
        <f t="shared" si="2"/>
        <v>2487.9801600000001</v>
      </c>
      <c r="P9" s="47">
        <f t="shared" si="2"/>
        <v>2487.9801600000001</v>
      </c>
      <c r="Q9" s="47">
        <f t="shared" si="2"/>
        <v>2487.9801600000001</v>
      </c>
      <c r="R9" s="47">
        <f t="shared" si="2"/>
        <v>2494.7965440000003</v>
      </c>
      <c r="S9" s="47">
        <f t="shared" si="2"/>
        <v>2487.9801600000001</v>
      </c>
      <c r="T9" s="47">
        <f t="shared" si="2"/>
        <v>2487.9801600000001</v>
      </c>
      <c r="U9" s="47">
        <f t="shared" si="2"/>
        <v>2487.9801600000001</v>
      </c>
      <c r="V9" s="47">
        <f t="shared" si="2"/>
        <v>2494.7965440000003</v>
      </c>
      <c r="W9" s="47">
        <f t="shared" si="2"/>
        <v>2487.9801600000001</v>
      </c>
      <c r="X9" s="47">
        <f t="shared" si="2"/>
        <v>2487.9801600000001</v>
      </c>
      <c r="Y9" s="47">
        <f t="shared" si="2"/>
        <v>0</v>
      </c>
      <c r="Z9" s="47">
        <f t="shared" si="2"/>
        <v>0</v>
      </c>
      <c r="AA9" s="47">
        <f t="shared" si="2"/>
        <v>0</v>
      </c>
      <c r="AB9" s="47">
        <f t="shared" si="2"/>
        <v>0</v>
      </c>
      <c r="AC9" s="47">
        <f t="shared" si="2"/>
        <v>0</v>
      </c>
    </row>
    <row r="10" spans="2:31" ht="14.1" customHeight="1">
      <c r="B10" s="248"/>
      <c r="C10" s="249"/>
      <c r="D10" s="249"/>
      <c r="E10" s="249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2:31" ht="14.1" customHeight="1">
      <c r="B11" s="248" t="s">
        <v>146</v>
      </c>
      <c r="C11" s="249"/>
      <c r="D11" s="249"/>
      <c r="E11" s="249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</row>
    <row r="12" spans="2:31" ht="14.1" customHeight="1">
      <c r="B12" s="252" t="s">
        <v>43</v>
      </c>
      <c r="C12" s="249" t="s">
        <v>44</v>
      </c>
      <c r="D12" s="253">
        <f>SUMPRODUCT(E12:AC12,E27:AC27)/SUM(E27:AC27)</f>
        <v>1.7498125544338474</v>
      </c>
      <c r="E12" s="250">
        <f t="shared" ref="E12:AC12" si="3">E35*10/(MAX(E9,1))</f>
        <v>1.7181692432259104</v>
      </c>
      <c r="F12" s="46">
        <f t="shared" si="3"/>
        <v>1.753595413189331</v>
      </c>
      <c r="G12" s="46">
        <f t="shared" si="3"/>
        <v>1.753595413189331</v>
      </c>
      <c r="H12" s="46">
        <f t="shared" si="3"/>
        <v>1.753595413189331</v>
      </c>
      <c r="I12" s="46">
        <f t="shared" si="3"/>
        <v>1.753595413189331</v>
      </c>
      <c r="J12" s="46">
        <f t="shared" si="3"/>
        <v>1.753595413189331</v>
      </c>
      <c r="K12" s="46">
        <f t="shared" si="3"/>
        <v>1.753595413189331</v>
      </c>
      <c r="L12" s="46">
        <f t="shared" si="3"/>
        <v>1.753595413189331</v>
      </c>
      <c r="M12" s="46">
        <f t="shared" si="3"/>
        <v>1.753595413189331</v>
      </c>
      <c r="N12" s="46">
        <f t="shared" si="3"/>
        <v>1.753595413189331</v>
      </c>
      <c r="O12" s="46">
        <f t="shared" si="3"/>
        <v>1.753595413189331</v>
      </c>
      <c r="P12" s="46">
        <f t="shared" si="3"/>
        <v>1.753595413189331</v>
      </c>
      <c r="Q12" s="46">
        <f t="shared" si="3"/>
        <v>1.753595413189331</v>
      </c>
      <c r="R12" s="46">
        <f t="shared" si="3"/>
        <v>1.753595413189331</v>
      </c>
      <c r="S12" s="46">
        <f t="shared" si="3"/>
        <v>1.753595413189331</v>
      </c>
      <c r="T12" s="46">
        <f t="shared" si="3"/>
        <v>1.753595413189331</v>
      </c>
      <c r="U12" s="46">
        <f t="shared" si="3"/>
        <v>1.753595413189331</v>
      </c>
      <c r="V12" s="46">
        <f t="shared" si="3"/>
        <v>1.753595413189331</v>
      </c>
      <c r="W12" s="46">
        <f t="shared" si="3"/>
        <v>1.753595413189331</v>
      </c>
      <c r="X12" s="46">
        <f t="shared" si="3"/>
        <v>1.753595413189331</v>
      </c>
      <c r="Y12" s="46">
        <f t="shared" si="3"/>
        <v>0</v>
      </c>
      <c r="Z12" s="46">
        <f t="shared" si="3"/>
        <v>0</v>
      </c>
      <c r="AA12" s="46">
        <f t="shared" si="3"/>
        <v>0</v>
      </c>
      <c r="AB12" s="46">
        <f t="shared" si="3"/>
        <v>0</v>
      </c>
      <c r="AC12" s="46">
        <f t="shared" si="3"/>
        <v>0</v>
      </c>
    </row>
    <row r="13" spans="2:31" ht="14.1" customHeight="1">
      <c r="B13" s="252" t="s">
        <v>62</v>
      </c>
      <c r="C13" s="249"/>
      <c r="D13" s="253">
        <f>SUMPRODUCT(E13:AC13,E27:AC27)/SUM(E27:AC27)</f>
        <v>0</v>
      </c>
      <c r="E13" s="250">
        <f>E43*(1+Input!$D$55)*10/(MAX(E9,1))</f>
        <v>0</v>
      </c>
      <c r="F13" s="46">
        <f>F43*(1+Input!$D$55)*10/(MAX(F9,1))</f>
        <v>0</v>
      </c>
      <c r="G13" s="46">
        <f>G43*(1+Input!$D$55)*10/(MAX(G9,1))</f>
        <v>0</v>
      </c>
      <c r="H13" s="46">
        <f>H43*(1+Input!$D$55)*10/(MAX(H9,1))</f>
        <v>0</v>
      </c>
      <c r="I13" s="46">
        <f>I43*(1+Input!$D$55)*10/(MAX(I9,1))</f>
        <v>0</v>
      </c>
      <c r="J13" s="46">
        <f>J43*(1+Input!$D$55)*10/(MAX(J9,1))</f>
        <v>0</v>
      </c>
      <c r="K13" s="46">
        <f>K43*(1+Input!$D$55)*10/(MAX(K9,1))</f>
        <v>0</v>
      </c>
      <c r="L13" s="46">
        <f>L43*(1+Input!$D$55)*10/(MAX(L9,1))</f>
        <v>0</v>
      </c>
      <c r="M13" s="46">
        <f>M43*(1+Input!$D$55)*10/(MAX(M9,1))</f>
        <v>0</v>
      </c>
      <c r="N13" s="46">
        <f>N43*(1+Input!$D$55)*10/(MAX(N9,1))</f>
        <v>0</v>
      </c>
      <c r="O13" s="46">
        <f>O43*(1+Input!$D$55)*10/(MAX(O9,1))</f>
        <v>0</v>
      </c>
      <c r="P13" s="46">
        <f>P43*(1+Input!$D$55)*10/(MAX(P9,1))</f>
        <v>0</v>
      </c>
      <c r="Q13" s="46">
        <f>Q43*(1+Input!$D$55)*10/(MAX(Q9,1))</f>
        <v>0</v>
      </c>
      <c r="R13" s="46">
        <f>R43*(1+Input!$D$55)*10/(MAX(R9,1))</f>
        <v>0</v>
      </c>
      <c r="S13" s="46">
        <f>S43*(1+Input!$D$55)*10/(MAX(S9,1))</f>
        <v>0</v>
      </c>
      <c r="T13" s="46">
        <f>T43*(1+Input!$D$55)*10/(MAX(T9,1))</f>
        <v>0</v>
      </c>
      <c r="U13" s="46">
        <f>U43*(1+Input!$D$55)*10/(MAX(U9,1))</f>
        <v>0</v>
      </c>
      <c r="V13" s="46">
        <f>V43*(1+Input!$D$55)*10/(MAX(V9,1))</f>
        <v>0</v>
      </c>
      <c r="W13" s="46">
        <f>W43*(1+Input!$D$55)*10/(MAX(W9,1))</f>
        <v>0</v>
      </c>
      <c r="X13" s="46">
        <f>X43*(1+Input!$D$55)*10/(MAX(X9,1))</f>
        <v>0</v>
      </c>
      <c r="Y13" s="46">
        <f>Y43*(1+Input!$D$55)*10/(MAX(Y9,1))</f>
        <v>0</v>
      </c>
      <c r="Z13" s="46">
        <f>Z43*(1+Input!$D$55)*10/(MAX(Z9,1))</f>
        <v>0</v>
      </c>
      <c r="AA13" s="46">
        <f>AA43*(1+Input!$D$55)*10/(MAX(AA9,1))</f>
        <v>0</v>
      </c>
      <c r="AB13" s="46">
        <f>AB43*(1+Input!$D$55)*10/(MAX(AB9,1))</f>
        <v>0</v>
      </c>
      <c r="AC13" s="46">
        <f>AC43*(1+Input!$D$55)*10/(MAX(AC9,1))</f>
        <v>0</v>
      </c>
    </row>
    <row r="14" spans="2:31" ht="14.1" customHeight="1" thickBot="1">
      <c r="B14" s="252" t="s">
        <v>147</v>
      </c>
      <c r="C14" s="249" t="s">
        <v>44</v>
      </c>
      <c r="D14" s="254">
        <f>SUMPRODUCT(E14:AC14,E27:AC27)/SUM(E27:AC27)</f>
        <v>1.7498125544338474</v>
      </c>
      <c r="E14" s="251">
        <f>E12+E13</f>
        <v>1.7181692432259104</v>
      </c>
      <c r="F14" s="47">
        <f t="shared" ref="F14:AC14" si="4">F12+F13</f>
        <v>1.753595413189331</v>
      </c>
      <c r="G14" s="47">
        <f t="shared" si="4"/>
        <v>1.753595413189331</v>
      </c>
      <c r="H14" s="47">
        <f t="shared" si="4"/>
        <v>1.753595413189331</v>
      </c>
      <c r="I14" s="47">
        <f t="shared" si="4"/>
        <v>1.753595413189331</v>
      </c>
      <c r="J14" s="47">
        <f t="shared" si="4"/>
        <v>1.753595413189331</v>
      </c>
      <c r="K14" s="47">
        <f t="shared" si="4"/>
        <v>1.753595413189331</v>
      </c>
      <c r="L14" s="47">
        <f t="shared" si="4"/>
        <v>1.753595413189331</v>
      </c>
      <c r="M14" s="47">
        <f t="shared" si="4"/>
        <v>1.753595413189331</v>
      </c>
      <c r="N14" s="47">
        <f t="shared" si="4"/>
        <v>1.753595413189331</v>
      </c>
      <c r="O14" s="47">
        <f t="shared" si="4"/>
        <v>1.753595413189331</v>
      </c>
      <c r="P14" s="47">
        <f t="shared" si="4"/>
        <v>1.753595413189331</v>
      </c>
      <c r="Q14" s="47">
        <f t="shared" si="4"/>
        <v>1.753595413189331</v>
      </c>
      <c r="R14" s="47">
        <f t="shared" si="4"/>
        <v>1.753595413189331</v>
      </c>
      <c r="S14" s="47">
        <f t="shared" si="4"/>
        <v>1.753595413189331</v>
      </c>
      <c r="T14" s="47">
        <f t="shared" si="4"/>
        <v>1.753595413189331</v>
      </c>
      <c r="U14" s="47">
        <f t="shared" si="4"/>
        <v>1.753595413189331</v>
      </c>
      <c r="V14" s="47">
        <f t="shared" si="4"/>
        <v>1.753595413189331</v>
      </c>
      <c r="W14" s="47">
        <f t="shared" si="4"/>
        <v>1.753595413189331</v>
      </c>
      <c r="X14" s="47">
        <f t="shared" si="4"/>
        <v>1.753595413189331</v>
      </c>
      <c r="Y14" s="47">
        <f t="shared" si="4"/>
        <v>0</v>
      </c>
      <c r="Z14" s="47">
        <f t="shared" si="4"/>
        <v>0</v>
      </c>
      <c r="AA14" s="47">
        <f t="shared" si="4"/>
        <v>0</v>
      </c>
      <c r="AB14" s="47">
        <f t="shared" si="4"/>
        <v>0</v>
      </c>
      <c r="AC14" s="47">
        <f t="shared" si="4"/>
        <v>0</v>
      </c>
    </row>
    <row r="15" spans="2:31" ht="14.1" customHeight="1">
      <c r="B15" s="248"/>
      <c r="C15" s="249"/>
      <c r="D15" s="255"/>
      <c r="E15" s="256"/>
      <c r="F15" s="95"/>
      <c r="G15" s="95"/>
      <c r="H15" s="95"/>
      <c r="I15" s="9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</row>
    <row r="16" spans="2:31" ht="14.1" customHeight="1">
      <c r="B16" s="248" t="s">
        <v>166</v>
      </c>
      <c r="C16" s="249"/>
      <c r="D16" s="255"/>
      <c r="E16" s="249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</row>
    <row r="17" spans="2:29" ht="14.1" customHeight="1">
      <c r="B17" s="252" t="s">
        <v>45</v>
      </c>
      <c r="C17" s="249" t="s">
        <v>44</v>
      </c>
      <c r="D17" s="255">
        <f>SUMPRODUCT(E17:AC17,E27:AC27)/SUM(E27:AC27)</f>
        <v>0.23248185582163147</v>
      </c>
      <c r="E17" s="255">
        <f t="shared" ref="E17:AC17" si="5">E58*10/(MAX(E9,1))</f>
        <v>0.45367406194163201</v>
      </c>
      <c r="F17" s="93">
        <f t="shared" si="5"/>
        <v>0.42896022155980262</v>
      </c>
      <c r="G17" s="93">
        <f t="shared" si="5"/>
        <v>0.38965211809825501</v>
      </c>
      <c r="H17" s="93">
        <f t="shared" si="5"/>
        <v>0.34916878115298183</v>
      </c>
      <c r="I17" s="93">
        <f t="shared" si="5"/>
        <v>0.30868544420770871</v>
      </c>
      <c r="J17" s="93">
        <f t="shared" si="5"/>
        <v>0.26746931461964202</v>
      </c>
      <c r="K17" s="93">
        <f t="shared" si="5"/>
        <v>0.22771877031716237</v>
      </c>
      <c r="L17" s="93">
        <f t="shared" si="5"/>
        <v>0.18723543337188914</v>
      </c>
      <c r="M17" s="93">
        <f t="shared" si="5"/>
        <v>0.14675209642661588</v>
      </c>
      <c r="N17" s="93">
        <f t="shared" si="5"/>
        <v>0.10597840767948104</v>
      </c>
      <c r="O17" s="93">
        <f t="shared" si="5"/>
        <v>6.5785422536069407E-2</v>
      </c>
      <c r="P17" s="93">
        <f t="shared" si="5"/>
        <v>2.5302085590796164E-2</v>
      </c>
      <c r="Q17" s="93">
        <f t="shared" si="5"/>
        <v>0</v>
      </c>
      <c r="R17" s="93">
        <f t="shared" si="5"/>
        <v>0</v>
      </c>
      <c r="S17" s="93">
        <f t="shared" si="5"/>
        <v>0</v>
      </c>
      <c r="T17" s="93">
        <f t="shared" si="5"/>
        <v>0</v>
      </c>
      <c r="U17" s="93">
        <f t="shared" si="5"/>
        <v>0</v>
      </c>
      <c r="V17" s="93">
        <f t="shared" si="5"/>
        <v>0</v>
      </c>
      <c r="W17" s="93">
        <f t="shared" si="5"/>
        <v>0</v>
      </c>
      <c r="X17" s="93">
        <f t="shared" si="5"/>
        <v>0</v>
      </c>
      <c r="Y17" s="93">
        <f t="shared" si="5"/>
        <v>0</v>
      </c>
      <c r="Z17" s="93">
        <f t="shared" si="5"/>
        <v>0</v>
      </c>
      <c r="AA17" s="93">
        <f t="shared" si="5"/>
        <v>0</v>
      </c>
      <c r="AB17" s="93">
        <f t="shared" si="5"/>
        <v>0</v>
      </c>
      <c r="AC17" s="93">
        <f t="shared" si="5"/>
        <v>0</v>
      </c>
    </row>
    <row r="18" spans="2:29" ht="14.1" customHeight="1">
      <c r="B18" s="257" t="s">
        <v>46</v>
      </c>
      <c r="C18" s="249" t="s">
        <v>44</v>
      </c>
      <c r="D18" s="255">
        <f ca="1">SUMPRODUCT(E18:AC18,E27:AC27)/SUM(E27:AC27)</f>
        <v>7.7274751680358508E-2</v>
      </c>
      <c r="E18" s="255">
        <f t="shared" ref="E18:AC18" ca="1" si="6">E70*10/MAX(E9,1)</f>
        <v>7.4123312374023198E-2</v>
      </c>
      <c r="F18" s="93">
        <f t="shared" ca="1" si="6"/>
        <v>7.8250856171525884E-2</v>
      </c>
      <c r="G18" s="93">
        <f t="shared" ca="1" si="6"/>
        <v>7.8245086559286595E-2</v>
      </c>
      <c r="H18" s="93">
        <f t="shared" ca="1" si="6"/>
        <v>7.8009549179744883E-2</v>
      </c>
      <c r="I18" s="93">
        <f t="shared" ca="1" si="6"/>
        <v>7.7803338764264152E-2</v>
      </c>
      <c r="J18" s="93">
        <f t="shared" ca="1" si="6"/>
        <v>7.7381478010144625E-2</v>
      </c>
      <c r="K18" s="93">
        <f t="shared" ca="1" si="6"/>
        <v>7.7485494516034675E-2</v>
      </c>
      <c r="L18" s="93">
        <f t="shared" ca="1" si="6"/>
        <v>7.7377394352935877E-2</v>
      </c>
      <c r="M18" s="93">
        <f t="shared" ca="1" si="6"/>
        <v>7.7305699440039441E-2</v>
      </c>
      <c r="N18" s="93">
        <f t="shared" ca="1" si="6"/>
        <v>7.7035326198185913E-2</v>
      </c>
      <c r="O18" s="93">
        <f t="shared" ca="1" si="6"/>
        <v>7.800944865619415E-2</v>
      </c>
      <c r="P18" s="93">
        <f t="shared" ca="1" si="6"/>
        <v>7.8059604926296572E-2</v>
      </c>
      <c r="Q18" s="93">
        <f t="shared" ca="1" si="6"/>
        <v>7.4172254674749499E-2</v>
      </c>
      <c r="R18" s="93">
        <f t="shared" ca="1" si="6"/>
        <v>7.4881640471957819E-2</v>
      </c>
      <c r="S18" s="93">
        <f t="shared" ca="1" si="6"/>
        <v>7.6069112470506101E-2</v>
      </c>
      <c r="T18" s="93">
        <f t="shared" ca="1" si="6"/>
        <v>7.7096034519476442E-2</v>
      </c>
      <c r="U18" s="93">
        <f t="shared" ca="1" si="6"/>
        <v>7.8179218606878015E-2</v>
      </c>
      <c r="V18" s="93">
        <f t="shared" ca="1" si="6"/>
        <v>7.9096235414169866E-2</v>
      </c>
      <c r="W18" s="93">
        <f t="shared" ca="1" si="6"/>
        <v>8.0527200390877351E-2</v>
      </c>
      <c r="X18" s="93">
        <f t="shared" ca="1" si="6"/>
        <v>8.1798875185129113E-2</v>
      </c>
      <c r="Y18" s="93">
        <f t="shared" ca="1" si="6"/>
        <v>0</v>
      </c>
      <c r="Z18" s="93">
        <f t="shared" ca="1" si="6"/>
        <v>0</v>
      </c>
      <c r="AA18" s="93">
        <f t="shared" ca="1" si="6"/>
        <v>0</v>
      </c>
      <c r="AB18" s="93">
        <f t="shared" ca="1" si="6"/>
        <v>0</v>
      </c>
      <c r="AC18" s="93">
        <f t="shared" ca="1" si="6"/>
        <v>0</v>
      </c>
    </row>
    <row r="19" spans="2:29" ht="14.1" customHeight="1">
      <c r="B19" s="252" t="s">
        <v>47</v>
      </c>
      <c r="C19" s="249" t="s">
        <v>44</v>
      </c>
      <c r="D19" s="255">
        <f>SUMPRODUCT(E19:AC19,E27:AC27)/SUM(E27:AC27)</f>
        <v>0.1762016793784407</v>
      </c>
      <c r="E19" s="255">
        <f>((E75*Input!$D$14)*E5/365)/(MAX(E9,1))</f>
        <v>0.13099782917883077</v>
      </c>
      <c r="F19" s="93">
        <f>((F75*Input!$D$14)*F5/365)/(MAX(F9,1))</f>
        <v>0.13904676796136506</v>
      </c>
      <c r="G19" s="93">
        <f>((G75*Input!$D$14)*G5/365)/(MAX(G9,1))</f>
        <v>0.14460863867981968</v>
      </c>
      <c r="H19" s="93">
        <f>((H75*Input!$D$14)*H5/365)/(MAX(H9,1))</f>
        <v>0.15039298422701247</v>
      </c>
      <c r="I19" s="93">
        <f>((I75*Input!$D$14)*I5/365)/(MAX(I9,1))</f>
        <v>0.15640870359609302</v>
      </c>
      <c r="J19" s="93">
        <f>((J75*Input!$D$14)*J5/365)/(MAX(J9,1))</f>
        <v>0.16266505173993673</v>
      </c>
      <c r="K19" s="93">
        <f>((K75*Input!$D$14)*K5/365)/(MAX(K9,1))</f>
        <v>0.16917165380953419</v>
      </c>
      <c r="L19" s="93">
        <f>((L75*Input!$D$14)*L5/365)/(MAX(L9,1))</f>
        <v>0.17593851996191556</v>
      </c>
      <c r="M19" s="93">
        <f>((M75*Input!$D$14)*M5/365)/(MAX(M9,1))</f>
        <v>0.18297606076039225</v>
      </c>
      <c r="N19" s="93">
        <f>((N75*Input!$D$14)*N5/365)/(MAX(N9,1))</f>
        <v>0.19029510319080792</v>
      </c>
      <c r="O19" s="93">
        <f>((O75*Input!$D$14)*O5/365)/(MAX(O9,1))</f>
        <v>0.19790690731844021</v>
      </c>
      <c r="P19" s="93">
        <f>((P75*Input!$D$14)*P5/365)/(MAX(P9,1))</f>
        <v>0.20582318361117788</v>
      </c>
      <c r="Q19" s="93">
        <f>((Q75*Input!$D$14)*Q5/365)/(MAX(Q9,1))</f>
        <v>0.21405611095562502</v>
      </c>
      <c r="R19" s="93">
        <f>((R75*Input!$D$14)*R5/365)/(MAX(R9,1))</f>
        <v>0.22261835539385003</v>
      </c>
      <c r="S19" s="93">
        <f>((S75*Input!$D$14)*S5/365)/(MAX(S9,1))</f>
        <v>0.23152308960960402</v>
      </c>
      <c r="T19" s="93">
        <f>((T75*Input!$D$14)*T5/365)/(MAX(T9,1))</f>
        <v>0.24078401319398818</v>
      </c>
      <c r="U19" s="93">
        <f>((U75*Input!$D$14)*U5/365)/(MAX(U9,1))</f>
        <v>0.25041537372174771</v>
      </c>
      <c r="V19" s="93">
        <f>((V75*Input!$D$14)*V5/365)/(MAX(V9,1))</f>
        <v>0.26043198867061762</v>
      </c>
      <c r="W19" s="93">
        <f>((W75*Input!$D$14)*W5/365)/(MAX(W9,1))</f>
        <v>0.27084926821744237</v>
      </c>
      <c r="X19" s="93">
        <f>((X75*Input!$D$14)*X5/365)/(MAX(X9,1))</f>
        <v>0.28168323894614</v>
      </c>
      <c r="Y19" s="93">
        <f>((Y75*Input!$D$14)*Y5/365)/(MAX(Y9,1))</f>
        <v>0</v>
      </c>
      <c r="Z19" s="93">
        <f>((Z75*Input!$D$14)*Z5/365)/(MAX(Z9,1))</f>
        <v>0</v>
      </c>
      <c r="AA19" s="93">
        <f>((AA75*Input!$D$14)*AA5/365)/(MAX(AA9,1))</f>
        <v>0</v>
      </c>
      <c r="AB19" s="93">
        <f>((AB75*Input!$D$14)*AB5/365)/(MAX(AB9,1))</f>
        <v>0</v>
      </c>
      <c r="AC19" s="93">
        <f>((AC75*Input!$D$14)*AC5/365)/(MAX(AC9,1))</f>
        <v>0</v>
      </c>
    </row>
    <row r="20" spans="2:29" ht="14.1" customHeight="1">
      <c r="B20" s="252" t="s">
        <v>17</v>
      </c>
      <c r="C20" s="249" t="s">
        <v>44</v>
      </c>
      <c r="D20" s="255">
        <f ca="1">SUMPRODUCT(E20:AC20,E27:AC27)/SUM(E27:AC27)</f>
        <v>0.14126006987813297</v>
      </c>
      <c r="E20" s="255">
        <f t="shared" ref="E20:AC20" si="7">E81*10/(MAX(E9,1))</f>
        <v>0.15158320233550418</v>
      </c>
      <c r="F20" s="93">
        <f t="shared" si="7"/>
        <v>0.15428592801513838</v>
      </c>
      <c r="G20" s="93">
        <f t="shared" si="7"/>
        <v>0.15470862918778261</v>
      </c>
      <c r="H20" s="93">
        <f t="shared" si="7"/>
        <v>0.15470862918778261</v>
      </c>
      <c r="I20" s="93">
        <f t="shared" si="7"/>
        <v>0.15470862918778261</v>
      </c>
      <c r="J20" s="93">
        <f t="shared" si="7"/>
        <v>0.15428592801513838</v>
      </c>
      <c r="K20" s="93">
        <f t="shared" si="7"/>
        <v>0.15470862918778261</v>
      </c>
      <c r="L20" s="93">
        <f t="shared" si="7"/>
        <v>0.15470862918778261</v>
      </c>
      <c r="M20" s="93">
        <f t="shared" si="7"/>
        <v>0.15470862918778261</v>
      </c>
      <c r="N20" s="93">
        <f t="shared" si="7"/>
        <v>0.15428592801513838</v>
      </c>
      <c r="O20" s="93">
        <f t="shared" si="7"/>
        <v>0.15470862918778261</v>
      </c>
      <c r="P20" s="93">
        <f t="shared" si="7"/>
        <v>0.15470862918778261</v>
      </c>
      <c r="Q20" s="93">
        <f t="shared" ca="1" si="7"/>
        <v>8.9530456705892839E-2</v>
      </c>
      <c r="R20" s="93">
        <f t="shared" ca="1" si="7"/>
        <v>8.9285837971723722E-2</v>
      </c>
      <c r="S20" s="93">
        <f t="shared" ca="1" si="7"/>
        <v>8.9530456705892839E-2</v>
      </c>
      <c r="T20" s="93">
        <f t="shared" ca="1" si="7"/>
        <v>8.9530456705892839E-2</v>
      </c>
      <c r="U20" s="93">
        <f t="shared" ca="1" si="7"/>
        <v>8.9530456705892839E-2</v>
      </c>
      <c r="V20" s="93">
        <f t="shared" ca="1" si="7"/>
        <v>8.9285837971723722E-2</v>
      </c>
      <c r="W20" s="93">
        <f t="shared" ca="1" si="7"/>
        <v>8.9530456705892839E-2</v>
      </c>
      <c r="X20" s="93">
        <f t="shared" ca="1" si="7"/>
        <v>8.9530456705892839E-2</v>
      </c>
      <c r="Y20" s="93">
        <f t="shared" si="7"/>
        <v>0</v>
      </c>
      <c r="Z20" s="93">
        <f t="shared" si="7"/>
        <v>0</v>
      </c>
      <c r="AA20" s="93">
        <f t="shared" si="7"/>
        <v>0</v>
      </c>
      <c r="AB20" s="93">
        <f t="shared" si="7"/>
        <v>0</v>
      </c>
      <c r="AC20" s="93">
        <f t="shared" si="7"/>
        <v>0</v>
      </c>
    </row>
    <row r="21" spans="2:29" ht="14.1" customHeight="1">
      <c r="B21" s="257" t="s">
        <v>48</v>
      </c>
      <c r="C21" s="249" t="s">
        <v>44</v>
      </c>
      <c r="D21" s="255">
        <f ca="1">SUMPRODUCT(E21:AC21,E27:AC27)/SUM(E27:AC27)</f>
        <v>0.1086956999911009</v>
      </c>
      <c r="E21" s="255">
        <f t="shared" ref="E21:AC21" si="8">E85*10/(MAX(E9,1))</f>
        <v>9.7638133549436841E-4</v>
      </c>
      <c r="F21" s="93">
        <f t="shared" ca="1" si="8"/>
        <v>0.156273508408248</v>
      </c>
      <c r="G21" s="93">
        <f t="shared" ca="1" si="8"/>
        <v>0.15670165500662678</v>
      </c>
      <c r="H21" s="93">
        <f t="shared" ca="1" si="8"/>
        <v>0.15670165500662678</v>
      </c>
      <c r="I21" s="93">
        <f t="shared" ca="1" si="8"/>
        <v>0.15670165500662678</v>
      </c>
      <c r="J21" s="93">
        <f t="shared" ca="1" si="8"/>
        <v>0.156273508408248</v>
      </c>
      <c r="K21" s="93">
        <f t="shared" ca="1" si="8"/>
        <v>0.15670165500662678</v>
      </c>
      <c r="L21" s="93">
        <f t="shared" ca="1" si="8"/>
        <v>0.15670165500662678</v>
      </c>
      <c r="M21" s="93">
        <f t="shared" ca="1" si="8"/>
        <v>0.15670165500662678</v>
      </c>
      <c r="N21" s="93">
        <f t="shared" ca="1" si="8"/>
        <v>0.156273508408248</v>
      </c>
      <c r="O21" s="93">
        <f t="shared" ca="1" si="8"/>
        <v>0.15670165500662678</v>
      </c>
      <c r="P21" s="93">
        <f t="shared" ca="1" si="8"/>
        <v>0.15670165500662678</v>
      </c>
      <c r="Q21" s="93">
        <f t="shared" ca="1" si="8"/>
        <v>0</v>
      </c>
      <c r="R21" s="93">
        <f t="shared" ca="1" si="8"/>
        <v>0</v>
      </c>
      <c r="S21" s="93">
        <f t="shared" ca="1" si="8"/>
        <v>0</v>
      </c>
      <c r="T21" s="93">
        <f t="shared" ca="1" si="8"/>
        <v>0</v>
      </c>
      <c r="U21" s="93">
        <f t="shared" ca="1" si="8"/>
        <v>0</v>
      </c>
      <c r="V21" s="93">
        <f t="shared" ca="1" si="8"/>
        <v>0</v>
      </c>
      <c r="W21" s="93">
        <f t="shared" ca="1" si="8"/>
        <v>0</v>
      </c>
      <c r="X21" s="93">
        <f t="shared" ca="1" si="8"/>
        <v>0</v>
      </c>
      <c r="Y21" s="93">
        <f t="shared" ca="1" si="8"/>
        <v>0</v>
      </c>
      <c r="Z21" s="93">
        <f t="shared" ca="1" si="8"/>
        <v>0</v>
      </c>
      <c r="AA21" s="93">
        <f t="shared" ca="1" si="8"/>
        <v>0</v>
      </c>
      <c r="AB21" s="93">
        <f t="shared" ca="1" si="8"/>
        <v>0</v>
      </c>
      <c r="AC21" s="93">
        <f t="shared" ca="1" si="8"/>
        <v>0</v>
      </c>
    </row>
    <row r="22" spans="2:29" ht="14.1" customHeight="1">
      <c r="B22" s="252" t="s">
        <v>49</v>
      </c>
      <c r="C22" s="249" t="s">
        <v>44</v>
      </c>
      <c r="D22" s="255">
        <f>SUMPRODUCT(E22:AC22,E27:AC27)/SUM(E27:AC27)</f>
        <v>0.16676300006855602</v>
      </c>
      <c r="E22" s="255">
        <f>(Input!$D$24*Input!$D$25*10*E5/365)/(MAX(E9,1))</f>
        <v>0.16374728647353848</v>
      </c>
      <c r="F22" s="93">
        <f>(Input!$D$24*Input!$D$25*10*F5/365)/(MAX(F9,1))</f>
        <v>0.16712351918433305</v>
      </c>
      <c r="G22" s="93">
        <f>(Input!$D$24*Input!$D$25*10*G5/365)/(MAX(G9,1))</f>
        <v>0.16712351918433307</v>
      </c>
      <c r="H22" s="93">
        <f>(Input!$D$24*Input!$D$25*10*H5/365)/(MAX(H9,1))</f>
        <v>0.16712351918433307</v>
      </c>
      <c r="I22" s="93">
        <f>(Input!$D$24*Input!$D$25*10*I5/365)/(MAX(I9,1))</f>
        <v>0.16712351918433307</v>
      </c>
      <c r="J22" s="93">
        <f>(Input!$D$24*Input!$D$25*10*J5/365)/(MAX(J9,1))</f>
        <v>0.16712351918433305</v>
      </c>
      <c r="K22" s="93">
        <f>(Input!$D$24*Input!$D$25*10*K5/365)/(MAX(K9,1))</f>
        <v>0.16712351918433307</v>
      </c>
      <c r="L22" s="93">
        <f>(Input!$D$24*Input!$D$25*10*L5/365)/(MAX(L9,1))</f>
        <v>0.16712351918433307</v>
      </c>
      <c r="M22" s="93">
        <f>(Input!$D$24*Input!$D$25*10*M5/365)/(MAX(M9,1))</f>
        <v>0.16712351918433307</v>
      </c>
      <c r="N22" s="93">
        <f>(Input!$D$24*Input!$D$25*10*N5/365)/(MAX(N9,1))</f>
        <v>0.16712351918433305</v>
      </c>
      <c r="O22" s="93">
        <f>(Input!$D$24*Input!$D$25*10*O5/365)/(MAX(O9,1))</f>
        <v>0.16712351918433307</v>
      </c>
      <c r="P22" s="93">
        <f>(Input!$D$24*Input!$D$25*10*P5/365)/(MAX(P9,1))</f>
        <v>0.16712351918433307</v>
      </c>
      <c r="Q22" s="93">
        <f>(Input!$D$24*Input!$D$25*10*Q5/365)/(MAX(Q9,1))</f>
        <v>0.16712351918433307</v>
      </c>
      <c r="R22" s="93">
        <f>(Input!$D$24*Input!$D$25*10*R5/365)/(MAX(R9,1))</f>
        <v>0.16712351918433305</v>
      </c>
      <c r="S22" s="93">
        <f>(Input!$D$24*Input!$D$25*10*S5/365)/(MAX(S9,1))</f>
        <v>0.16712351918433307</v>
      </c>
      <c r="T22" s="93">
        <f>(Input!$D$24*Input!$D$25*10*T5/365)/(MAX(T9,1))</f>
        <v>0.16712351918433307</v>
      </c>
      <c r="U22" s="93">
        <f>(Input!$D$24*Input!$D$25*10*U5/365)/(MAX(U9,1))</f>
        <v>0.16712351918433307</v>
      </c>
      <c r="V22" s="93">
        <f>(Input!$D$24*Input!$D$25*10*V5/365)/(MAX(V9,1))</f>
        <v>0.16712351918433305</v>
      </c>
      <c r="W22" s="93">
        <f>(Input!$D$24*Input!$D$25*10*W5/365)/(MAX(W9,1))</f>
        <v>0.16712351918433307</v>
      </c>
      <c r="X22" s="93">
        <f>(Input!$D$24*Input!$D$25*10*X5/365)/(MAX(X9,1))</f>
        <v>0.16712351918433307</v>
      </c>
      <c r="Y22" s="93">
        <f>(Input!$D$24*Input!$D$25*10*Y5/365)/(MAX(Y9,1))</f>
        <v>0</v>
      </c>
      <c r="Z22" s="93">
        <f>(Input!$D$24*Input!$D$25*10*Z5/365)/(MAX(Z9,1))</f>
        <v>0</v>
      </c>
      <c r="AA22" s="93">
        <f>(Input!$D$24*Input!$D$25*10*AA5/365)/(MAX(AA9,1))</f>
        <v>0</v>
      </c>
      <c r="AB22" s="93">
        <f>(Input!$D$24*Input!$D$25*10*AB5/365)/(MAX(AB9,1))</f>
        <v>0</v>
      </c>
      <c r="AC22" s="93">
        <f>(Input!$D$24*Input!$D$25*10*AC5/365)/(MAX(AC9,1))</f>
        <v>0</v>
      </c>
    </row>
    <row r="23" spans="2:29" ht="14.1" customHeight="1">
      <c r="B23" s="252" t="s">
        <v>24</v>
      </c>
      <c r="C23" s="249" t="s">
        <v>44</v>
      </c>
      <c r="D23" s="255">
        <f>SUMPRODUCT(E23:AC23,E27:AC27)/SUM(E27:AC27)</f>
        <v>2.9432061862893197E-2</v>
      </c>
      <c r="E23" s="255">
        <f>IF(E2&lt;=10,E22*Input!$D$71,E22*Input!$D$70)</f>
        <v>1.855256755745191E-2</v>
      </c>
      <c r="F23" s="93">
        <f>IF(F2&lt;=10,F22*Input!$D$71,F22*Input!$D$70)</f>
        <v>1.8935094723584935E-2</v>
      </c>
      <c r="G23" s="93">
        <f>IF(G2&lt;=10,G22*Input!$D$71,G22*Input!$D$70)</f>
        <v>1.8935094723584938E-2</v>
      </c>
      <c r="H23" s="93">
        <f>IF(H2&lt;=10,H22*Input!$D$71,H22*Input!$D$70)</f>
        <v>1.8935094723584938E-2</v>
      </c>
      <c r="I23" s="93">
        <f>IF(I2&lt;=10,I22*Input!$D$71,I22*Input!$D$70)</f>
        <v>1.8935094723584938E-2</v>
      </c>
      <c r="J23" s="93">
        <f>IF(J2&lt;=10,J22*Input!$D$71,J22*Input!$D$70)</f>
        <v>1.8935094723584935E-2</v>
      </c>
      <c r="K23" s="93">
        <f>IF(K2&lt;=10,K22*Input!$D$71,K22*Input!$D$70)</f>
        <v>1.8935094723584938E-2</v>
      </c>
      <c r="L23" s="93">
        <f>IF(L2&lt;=10,L22*Input!$D$71,L22*Input!$D$70)</f>
        <v>1.8935094723584938E-2</v>
      </c>
      <c r="M23" s="93">
        <f>IF(M2&lt;=10,M22*Input!$D$71,M22*Input!$D$70)</f>
        <v>1.8935094723584938E-2</v>
      </c>
      <c r="N23" s="93">
        <f>IF(N2&lt;=10,N22*Input!$D$71,N22*Input!$D$70)</f>
        <v>1.8935094723584935E-2</v>
      </c>
      <c r="O23" s="93">
        <f>IF(O2&lt;=10,O22*Input!$D$71,O22*Input!$D$70)</f>
        <v>5.6805284170754811E-2</v>
      </c>
      <c r="P23" s="93">
        <f>IF(P2&lt;=10,P22*Input!$D$71,P22*Input!$D$70)</f>
        <v>5.6805284170754811E-2</v>
      </c>
      <c r="Q23" s="93">
        <f>IF(Q2&lt;=10,Q22*Input!$D$71,Q22*Input!$D$70)</f>
        <v>5.6805284170754811E-2</v>
      </c>
      <c r="R23" s="93">
        <f>IF(R2&lt;=10,R22*Input!$D$71,R22*Input!$D$70)</f>
        <v>5.6805284170754797E-2</v>
      </c>
      <c r="S23" s="93">
        <f>IF(S2&lt;=10,S22*Input!$D$71,S22*Input!$D$70)</f>
        <v>5.6805284170754811E-2</v>
      </c>
      <c r="T23" s="93">
        <f>IF(T2&lt;=10,T22*Input!$D$71,T22*Input!$D$70)</f>
        <v>5.6805284170754811E-2</v>
      </c>
      <c r="U23" s="93">
        <f>IF(U2&lt;=10,U22*Input!$D$71,U22*Input!$D$70)</f>
        <v>5.6805284170754811E-2</v>
      </c>
      <c r="V23" s="93">
        <f>IF(V2&lt;=10,V22*Input!$D$71,V22*Input!$D$70)</f>
        <v>5.6805284170754797E-2</v>
      </c>
      <c r="W23" s="93">
        <f>IF(W2&lt;=10,W22*Input!$D$71,W22*Input!$D$70)</f>
        <v>5.6805284170754811E-2</v>
      </c>
      <c r="X23" s="93">
        <f>IF(X2&lt;=10,X22*Input!$D$71,X22*Input!$D$70)</f>
        <v>5.6805284170754811E-2</v>
      </c>
      <c r="Y23" s="93">
        <f>IF(Y2&lt;=Input!$D$72,Tariff!Y22*Input!$D$71,Tariff!Y22*Input!$D$70)</f>
        <v>0</v>
      </c>
      <c r="Z23" s="93">
        <f>IF(Z2&lt;=Input!$D$72,Tariff!Z22*Input!$D$71,Tariff!Z22*Input!$D$70)</f>
        <v>0</v>
      </c>
      <c r="AA23" s="93">
        <f>IF(AA2&lt;=Input!$D$72,Tariff!AA22*Input!$D$71,Tariff!AA22*Input!$D$70)</f>
        <v>0</v>
      </c>
      <c r="AB23" s="93">
        <f>IF(AB2&lt;=Input!$D$72,Tariff!AB22*Input!$D$71,Tariff!AB22*Input!$D$70)</f>
        <v>0</v>
      </c>
      <c r="AC23" s="93">
        <f>IF(AC2&lt;=Input!$D$72,Tariff!AC22*Input!$D$71,Tariff!AC22*Input!$D$70)</f>
        <v>0</v>
      </c>
    </row>
    <row r="24" spans="2:29" ht="14.1" customHeight="1" thickBot="1">
      <c r="B24" s="252" t="s">
        <v>184</v>
      </c>
      <c r="C24" s="249"/>
      <c r="D24" s="258">
        <f ca="1">SUMPRODUCT(E24:AC24,E27:AC27)/SUMPRODUCT(E27:AC27)</f>
        <v>0.93210911868111379</v>
      </c>
      <c r="E24" s="259">
        <f t="shared" ref="E24:AC24" ca="1" si="9">SUM(E17:E23)</f>
        <v>0.99365464119647495</v>
      </c>
      <c r="F24" s="79">
        <f t="shared" ca="1" si="9"/>
        <v>1.142875896023998</v>
      </c>
      <c r="G24" s="79">
        <f t="shared" ca="1" si="9"/>
        <v>1.1099747414396886</v>
      </c>
      <c r="H24" s="79">
        <f t="shared" ca="1" si="9"/>
        <v>1.0750402126620666</v>
      </c>
      <c r="I24" s="79">
        <f t="shared" ca="1" si="9"/>
        <v>1.0403663846703932</v>
      </c>
      <c r="J24" s="79">
        <f t="shared" ca="1" si="9"/>
        <v>1.0041338947010277</v>
      </c>
      <c r="K24" s="79">
        <f t="shared" ca="1" si="9"/>
        <v>0.97184481674505863</v>
      </c>
      <c r="L24" s="79">
        <f t="shared" ca="1" si="9"/>
        <v>0.93802024578906806</v>
      </c>
      <c r="M24" s="79">
        <f t="shared" ca="1" si="9"/>
        <v>0.90450275472937491</v>
      </c>
      <c r="N24" s="79">
        <f t="shared" ca="1" si="9"/>
        <v>0.86992688739977919</v>
      </c>
      <c r="O24" s="79">
        <f t="shared" ca="1" si="9"/>
        <v>0.87704086606020104</v>
      </c>
      <c r="P24" s="79">
        <f t="shared" ca="1" si="9"/>
        <v>0.84452396167776789</v>
      </c>
      <c r="Q24" s="79">
        <f t="shared" ca="1" si="9"/>
        <v>0.60168762569135525</v>
      </c>
      <c r="R24" s="79">
        <f t="shared" ca="1" si="9"/>
        <v>0.61071463719261943</v>
      </c>
      <c r="S24" s="79">
        <f t="shared" ca="1" si="9"/>
        <v>0.62105146214109086</v>
      </c>
      <c r="T24" s="79">
        <f t="shared" ca="1" si="9"/>
        <v>0.63133930777444536</v>
      </c>
      <c r="U24" s="79">
        <f t="shared" ca="1" si="9"/>
        <v>0.64205385238960644</v>
      </c>
      <c r="V24" s="79">
        <f t="shared" ca="1" si="9"/>
        <v>0.65274286541159909</v>
      </c>
      <c r="W24" s="79">
        <f t="shared" ca="1" si="9"/>
        <v>0.66483572866930041</v>
      </c>
      <c r="X24" s="79">
        <f t="shared" ca="1" si="9"/>
        <v>0.67694137419224987</v>
      </c>
      <c r="Y24" s="79">
        <f t="shared" ca="1" si="9"/>
        <v>0</v>
      </c>
      <c r="Z24" s="79">
        <f t="shared" ca="1" si="9"/>
        <v>0</v>
      </c>
      <c r="AA24" s="79">
        <f t="shared" ca="1" si="9"/>
        <v>0</v>
      </c>
      <c r="AB24" s="79">
        <f t="shared" ca="1" si="9"/>
        <v>0</v>
      </c>
      <c r="AC24" s="79">
        <f t="shared" ca="1" si="9"/>
        <v>0</v>
      </c>
    </row>
    <row r="25" spans="2:29" ht="14.1" customHeight="1">
      <c r="B25" s="248"/>
      <c r="C25" s="249"/>
      <c r="D25" s="258"/>
      <c r="E25" s="260">
        <f ca="1">SUMPRODUCT(E24:AC24,E27:AC27)/SUMPRODUCT(E27:AC27)</f>
        <v>0.93210911868111379</v>
      </c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</row>
    <row r="26" spans="2:29" ht="14.1" customHeight="1" thickBot="1">
      <c r="B26" s="261" t="s">
        <v>50</v>
      </c>
      <c r="C26" s="249" t="s">
        <v>44</v>
      </c>
      <c r="D26" s="262">
        <f ca="1">SUMPRODUCT(E26:AC26,E27:AC27)/SUM(E27:AC27)</f>
        <v>2.6819216731149602</v>
      </c>
      <c r="E26" s="259">
        <f t="shared" ref="E26:K26" ca="1" si="10">SUM(E14+E17+E18+E19+E20+E21+E22+E23)</f>
        <v>2.7118238844223854</v>
      </c>
      <c r="F26" s="79">
        <f t="shared" ca="1" si="10"/>
        <v>2.8964713092133287</v>
      </c>
      <c r="G26" s="79">
        <f t="shared" ca="1" si="10"/>
        <v>2.8635701546290195</v>
      </c>
      <c r="H26" s="79">
        <f t="shared" ca="1" si="10"/>
        <v>2.8286356258513976</v>
      </c>
      <c r="I26" s="79">
        <f t="shared" ca="1" si="10"/>
        <v>2.793961797859724</v>
      </c>
      <c r="J26" s="79">
        <f t="shared" ca="1" si="10"/>
        <v>2.7577293078903589</v>
      </c>
      <c r="K26" s="79">
        <f t="shared" ca="1" si="10"/>
        <v>2.7254402299343892</v>
      </c>
      <c r="L26" s="79">
        <f t="shared" ref="L26:AC26" ca="1" si="11">SUM(L14+L17+L18+L19+L20+L21+L22+L23)</f>
        <v>2.6916156589783986</v>
      </c>
      <c r="M26" s="79">
        <f t="shared" ca="1" si="11"/>
        <v>2.6580981679187055</v>
      </c>
      <c r="N26" s="79">
        <f t="shared" ca="1" si="11"/>
        <v>2.62352230058911</v>
      </c>
      <c r="O26" s="79">
        <f t="shared" ca="1" si="11"/>
        <v>2.6306362792495319</v>
      </c>
      <c r="P26" s="79">
        <f t="shared" ca="1" si="11"/>
        <v>2.5981193748670983</v>
      </c>
      <c r="Q26" s="79">
        <f t="shared" ca="1" si="11"/>
        <v>2.3552830388806862</v>
      </c>
      <c r="R26" s="79">
        <f t="shared" ca="1" si="11"/>
        <v>2.3643100503819503</v>
      </c>
      <c r="S26" s="79">
        <f t="shared" ca="1" si="11"/>
        <v>2.3746468753304217</v>
      </c>
      <c r="T26" s="79">
        <f t="shared" ca="1" si="11"/>
        <v>2.3849347209637761</v>
      </c>
      <c r="U26" s="79">
        <f t="shared" ca="1" si="11"/>
        <v>2.3956492655789372</v>
      </c>
      <c r="V26" s="79">
        <f t="shared" ca="1" si="11"/>
        <v>2.4063382786009297</v>
      </c>
      <c r="W26" s="79">
        <f t="shared" ca="1" si="11"/>
        <v>2.4184311418586315</v>
      </c>
      <c r="X26" s="79">
        <f t="shared" ca="1" si="11"/>
        <v>2.4305367873815809</v>
      </c>
      <c r="Y26" s="79">
        <f t="shared" ca="1" si="11"/>
        <v>0</v>
      </c>
      <c r="Z26" s="79">
        <f t="shared" ca="1" si="11"/>
        <v>0</v>
      </c>
      <c r="AA26" s="79">
        <f t="shared" ca="1" si="11"/>
        <v>0</v>
      </c>
      <c r="AB26" s="79">
        <f t="shared" ca="1" si="11"/>
        <v>0</v>
      </c>
      <c r="AC26" s="79">
        <f t="shared" ca="1" si="11"/>
        <v>0</v>
      </c>
    </row>
    <row r="27" spans="2:29" ht="14.1" customHeight="1" thickBot="1">
      <c r="B27" s="263" t="s">
        <v>92</v>
      </c>
      <c r="C27" s="264">
        <v>0.1</v>
      </c>
      <c r="D27" s="265">
        <f ca="1">D26-D14</f>
        <v>0.93210911868111279</v>
      </c>
      <c r="E27" s="265">
        <v>1</v>
      </c>
      <c r="F27" s="94">
        <f>(1/(1+Tariff!$C$27)^Tariff!E2)*(F5&gt;0)</f>
        <v>0.90909090909090906</v>
      </c>
      <c r="G27" s="94">
        <f>(1/(1+Tariff!$C$27)^Tariff!F2)*(G5&gt;0)</f>
        <v>0.82644628099173545</v>
      </c>
      <c r="H27" s="94">
        <f>(1/(1+Tariff!$C$27)^Tariff!G2)*(H5&gt;0)</f>
        <v>0.75131480090157754</v>
      </c>
      <c r="I27" s="94">
        <f>(1/(1+Tariff!$C$27)^Tariff!H2)*(I5&gt;0)</f>
        <v>0.68301345536507052</v>
      </c>
      <c r="J27" s="94">
        <f>(1/(1+Tariff!$C$27)^Tariff!I2)*(J5&gt;0)</f>
        <v>0.62092132305915493</v>
      </c>
      <c r="K27" s="94">
        <f>(1/(1+Tariff!$C$27)^Tariff!J2)*(K5&gt;0)</f>
        <v>0.56447393005377722</v>
      </c>
      <c r="L27" s="94">
        <f>(1/(1+Tariff!$C$27)^Tariff!K2)*(L5&gt;0)</f>
        <v>0.51315811823070645</v>
      </c>
      <c r="M27" s="94">
        <f>(1/(1+Tariff!$C$27)^Tariff!L2)*(M5&gt;0)</f>
        <v>0.46650738020973315</v>
      </c>
      <c r="N27" s="94">
        <f>(1/(1+Tariff!$C$27)^Tariff!M2)*(N5&gt;0)</f>
        <v>0.42409761837248466</v>
      </c>
      <c r="O27" s="94">
        <f>(1/(1+Tariff!$C$27)^Tariff!N2)*(O5&gt;0)</f>
        <v>0.38554328942953148</v>
      </c>
      <c r="P27" s="94">
        <f>(1/(1+Tariff!$C$27)^Tariff!O2)*(P5&gt;0)</f>
        <v>0.3504938994813922</v>
      </c>
      <c r="Q27" s="94">
        <f>(1/(1+Tariff!$C$27)^Tariff!P2)*(Q5&gt;0)</f>
        <v>0.31863081771035656</v>
      </c>
      <c r="R27" s="94">
        <f>(1/(1+Tariff!$C$27)^Tariff!Q2)*(R5&gt;0)</f>
        <v>0.28966437973668779</v>
      </c>
      <c r="S27" s="94">
        <f>(1/(1+Tariff!$C$27)^Tariff!R2)*(S5&gt;0)</f>
        <v>0.26333125430607973</v>
      </c>
      <c r="T27" s="94">
        <f>(1/(1+Tariff!$C$27)^Tariff!S2)*(T5&gt;0)</f>
        <v>0.23939204936916339</v>
      </c>
      <c r="U27" s="94">
        <f>(1/(1+Tariff!$C$27)^Tariff!T2)*(U5&gt;0)</f>
        <v>0.21762913579014853</v>
      </c>
      <c r="V27" s="94">
        <f>(1/(1+Tariff!$C$27)^Tariff!U2)*(V5&gt;0)</f>
        <v>0.19784466890013502</v>
      </c>
      <c r="W27" s="94">
        <f>(1/(1+Tariff!$C$27)^Tariff!V2)*(W5&gt;0)</f>
        <v>0.17985878990921364</v>
      </c>
      <c r="X27" s="94">
        <f>(1/(1+Tariff!$C$27)^Tariff!W2)*(X5&gt;0)</f>
        <v>0.16350799082655781</v>
      </c>
      <c r="Y27" s="94">
        <f>(1/(1+Tariff!$C$27)^Tariff!X2)*(Y5&gt;0)</f>
        <v>0</v>
      </c>
      <c r="Z27" s="94">
        <f>(1/(1+Tariff!$C$27)^Tariff!Y2)*(Z5&gt;0)</f>
        <v>0</v>
      </c>
      <c r="AA27" s="94">
        <f>(1/(1+Tariff!$C$27)^Tariff!Z2)*(AA5&gt;0)</f>
        <v>0</v>
      </c>
      <c r="AB27" s="94">
        <f>(1/(1+Tariff!$C$27)^Tariff!AA2)*(AB5&gt;0)</f>
        <v>0</v>
      </c>
      <c r="AC27" s="94">
        <f>(1/(1+Tariff!$C$27)^Tariff!AB2)*(AC5&gt;0)</f>
        <v>0</v>
      </c>
    </row>
    <row r="28" spans="2:29" ht="14.1" customHeight="1">
      <c r="B28" s="266"/>
      <c r="C28" s="266"/>
      <c r="D28" s="267"/>
      <c r="E28" s="266"/>
    </row>
    <row r="29" spans="2:29" ht="14.1" customHeight="1" thickBot="1"/>
    <row r="30" spans="2:29" ht="14.1" customHeight="1">
      <c r="B30" s="49" t="s">
        <v>139</v>
      </c>
      <c r="C30" s="70"/>
      <c r="D30" s="61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</row>
    <row r="31" spans="2:29" ht="14.1" customHeight="1">
      <c r="B31" s="68" t="s">
        <v>140</v>
      </c>
      <c r="C31" s="44" t="s">
        <v>141</v>
      </c>
      <c r="D31" s="43"/>
      <c r="E31" s="60">
        <f>E7*Input!$D$35</f>
        <v>4745116.8</v>
      </c>
      <c r="F31" s="60">
        <f>F7*Input!$D$35</f>
        <v>4758117.120000001</v>
      </c>
      <c r="G31" s="60">
        <f>G7*Input!$D$35</f>
        <v>4745116.8</v>
      </c>
      <c r="H31" s="60">
        <f>H7*Input!$D$35</f>
        <v>4745116.8</v>
      </c>
      <c r="I31" s="60">
        <f>I7*Input!$D$35</f>
        <v>4745116.8</v>
      </c>
      <c r="J31" s="60">
        <f>J7*Input!$D$35</f>
        <v>4758117.120000001</v>
      </c>
      <c r="K31" s="60">
        <f>K7*Input!$D$35</f>
        <v>4745116.8</v>
      </c>
      <c r="L31" s="60">
        <f>L7*Input!$D$35</f>
        <v>4745116.8</v>
      </c>
      <c r="M31" s="60">
        <f>M7*Input!$D$35</f>
        <v>4745116.8</v>
      </c>
      <c r="N31" s="60">
        <f>N7*Input!$D$35</f>
        <v>4758117.120000001</v>
      </c>
      <c r="O31" s="60">
        <f>O7*Input!$D$35</f>
        <v>4745116.8</v>
      </c>
      <c r="P31" s="60">
        <f>P7*Input!$D$35</f>
        <v>4745116.8</v>
      </c>
      <c r="Q31" s="60">
        <f>Q7*Input!$D$35</f>
        <v>4745116.8</v>
      </c>
      <c r="R31" s="60">
        <f>R7*Input!$D$35</f>
        <v>4758117.120000001</v>
      </c>
      <c r="S31" s="60">
        <f>S7*Input!$D$35</f>
        <v>4745116.8</v>
      </c>
      <c r="T31" s="60">
        <f>T7*Input!$D$35</f>
        <v>4745116.8</v>
      </c>
      <c r="U31" s="60">
        <f>U7*Input!$D$35</f>
        <v>4745116.8</v>
      </c>
      <c r="V31" s="60">
        <f>V7*Input!$D$35</f>
        <v>4758117.120000001</v>
      </c>
      <c r="W31" s="60">
        <f>W7*Input!$D$35</f>
        <v>4745116.8</v>
      </c>
      <c r="X31" s="60">
        <f>X7*Input!$D$35</f>
        <v>4745116.8</v>
      </c>
      <c r="Y31" s="60">
        <f>Y7*Input!$D$35</f>
        <v>0</v>
      </c>
      <c r="Z31" s="60">
        <f>Z7*Input!$D$35</f>
        <v>0</v>
      </c>
      <c r="AA31" s="60">
        <f>AA7*Input!$D$35</f>
        <v>0</v>
      </c>
      <c r="AB31" s="60">
        <f>AB7*Input!$D$35</f>
        <v>0</v>
      </c>
      <c r="AC31" s="60">
        <f>AC7*Input!$D$35</f>
        <v>0</v>
      </c>
    </row>
    <row r="32" spans="2:29" ht="14.1" customHeight="1">
      <c r="B32" s="68" t="s">
        <v>145</v>
      </c>
      <c r="C32" s="44" t="s">
        <v>51</v>
      </c>
      <c r="D32" s="43"/>
      <c r="E32" s="60">
        <f t="shared" ref="E32:AC32" si="12">E31-E41</f>
        <v>4745116.8</v>
      </c>
      <c r="F32" s="60">
        <f t="shared" si="12"/>
        <v>4758117.120000001</v>
      </c>
      <c r="G32" s="60">
        <f t="shared" si="12"/>
        <v>4745116.8</v>
      </c>
      <c r="H32" s="60">
        <f t="shared" si="12"/>
        <v>4745116.8</v>
      </c>
      <c r="I32" s="60">
        <f t="shared" si="12"/>
        <v>4745116.8</v>
      </c>
      <c r="J32" s="60">
        <f t="shared" si="12"/>
        <v>4758117.120000001</v>
      </c>
      <c r="K32" s="60">
        <f t="shared" si="12"/>
        <v>4745116.8</v>
      </c>
      <c r="L32" s="60">
        <f t="shared" si="12"/>
        <v>4745116.8</v>
      </c>
      <c r="M32" s="60">
        <f t="shared" si="12"/>
        <v>4745116.8</v>
      </c>
      <c r="N32" s="60">
        <f t="shared" si="12"/>
        <v>4758117.120000001</v>
      </c>
      <c r="O32" s="60">
        <f t="shared" si="12"/>
        <v>4745116.8</v>
      </c>
      <c r="P32" s="60">
        <f t="shared" si="12"/>
        <v>4745116.8</v>
      </c>
      <c r="Q32" s="60">
        <f t="shared" si="12"/>
        <v>4745116.8</v>
      </c>
      <c r="R32" s="60">
        <f t="shared" si="12"/>
        <v>4758117.120000001</v>
      </c>
      <c r="S32" s="60">
        <f t="shared" si="12"/>
        <v>4745116.8</v>
      </c>
      <c r="T32" s="60">
        <f t="shared" si="12"/>
        <v>4745116.8</v>
      </c>
      <c r="U32" s="60">
        <f t="shared" si="12"/>
        <v>4745116.8</v>
      </c>
      <c r="V32" s="60">
        <f t="shared" si="12"/>
        <v>4758117.120000001</v>
      </c>
      <c r="W32" s="60">
        <f t="shared" si="12"/>
        <v>4745116.8</v>
      </c>
      <c r="X32" s="60">
        <f t="shared" si="12"/>
        <v>4745116.8</v>
      </c>
      <c r="Y32" s="60">
        <f t="shared" si="12"/>
        <v>0</v>
      </c>
      <c r="Z32" s="60">
        <f t="shared" si="12"/>
        <v>0</v>
      </c>
      <c r="AA32" s="60">
        <f t="shared" si="12"/>
        <v>0</v>
      </c>
      <c r="AB32" s="60">
        <f t="shared" si="12"/>
        <v>0</v>
      </c>
      <c r="AC32" s="60">
        <f t="shared" si="12"/>
        <v>0</v>
      </c>
    </row>
    <row r="33" spans="1:31" ht="14.1" customHeight="1">
      <c r="B33" s="68" t="s">
        <v>103</v>
      </c>
      <c r="C33" s="44" t="s">
        <v>142</v>
      </c>
      <c r="D33" s="43"/>
      <c r="E33" s="59">
        <f>E32/Input!$D$45</f>
        <v>554.7897579796562</v>
      </c>
      <c r="F33" s="59">
        <f>F32/Input!$D$45</f>
        <v>556.30972991932663</v>
      </c>
      <c r="G33" s="59">
        <f>G32/Input!$D$45</f>
        <v>554.7897579796562</v>
      </c>
      <c r="H33" s="59">
        <f>H32/Input!$D$45</f>
        <v>554.7897579796562</v>
      </c>
      <c r="I33" s="59">
        <f>I32/Input!$D$45</f>
        <v>554.7897579796562</v>
      </c>
      <c r="J33" s="59">
        <f>J32/Input!$D$45</f>
        <v>556.30972991932663</v>
      </c>
      <c r="K33" s="59">
        <f>K32/Input!$D$45</f>
        <v>554.7897579796562</v>
      </c>
      <c r="L33" s="59">
        <f>L32/Input!$D$45</f>
        <v>554.7897579796562</v>
      </c>
      <c r="M33" s="59">
        <f>M32/Input!$D$45</f>
        <v>554.7897579796562</v>
      </c>
      <c r="N33" s="59">
        <f>N32/Input!$D$45</f>
        <v>556.30972991932663</v>
      </c>
      <c r="O33" s="59">
        <f>O32/Input!$D$45</f>
        <v>554.7897579796562</v>
      </c>
      <c r="P33" s="59">
        <f>P32/Input!$D$45</f>
        <v>554.7897579796562</v>
      </c>
      <c r="Q33" s="59">
        <f>Q32/Input!$D$45</f>
        <v>554.7897579796562</v>
      </c>
      <c r="R33" s="59">
        <f>R32/Input!$D$45</f>
        <v>556.30972991932663</v>
      </c>
      <c r="S33" s="59">
        <f>S32/Input!$D$45</f>
        <v>554.7897579796562</v>
      </c>
      <c r="T33" s="59">
        <f>T32/Input!$D$45</f>
        <v>554.7897579796562</v>
      </c>
      <c r="U33" s="59">
        <f>U32/Input!$D$45</f>
        <v>554.7897579796562</v>
      </c>
      <c r="V33" s="59">
        <f>V32/Input!$D$45</f>
        <v>556.30972991932663</v>
      </c>
      <c r="W33" s="59">
        <f>W32/Input!$D$45</f>
        <v>554.7897579796562</v>
      </c>
      <c r="X33" s="59">
        <f>X32/Input!$D$45</f>
        <v>554.7897579796562</v>
      </c>
      <c r="Y33" s="59">
        <f>Y32/Input!$D$45</f>
        <v>0</v>
      </c>
      <c r="Z33" s="59">
        <f>Z32/Input!$D$45</f>
        <v>0</v>
      </c>
      <c r="AA33" s="59">
        <f>AA32/Input!$D$45</f>
        <v>0</v>
      </c>
      <c r="AB33" s="59">
        <f>AB32/Input!$D$45</f>
        <v>0</v>
      </c>
      <c r="AC33" s="59">
        <f>AC32/Input!$D$45</f>
        <v>0</v>
      </c>
    </row>
    <row r="34" spans="1:31" ht="14.1" customHeight="1">
      <c r="B34" s="68" t="s">
        <v>143</v>
      </c>
      <c r="C34" s="44" t="s">
        <v>144</v>
      </c>
      <c r="D34" s="43"/>
      <c r="E34" s="59">
        <f>Input!D48</f>
        <v>7.8640792010476206</v>
      </c>
      <c r="F34" s="59">
        <f>E34*(1+Input!$D$49)</f>
        <v>7.8640792010476206</v>
      </c>
      <c r="G34" s="59">
        <f>F34*(1+Input!$D$49)</f>
        <v>7.8640792010476206</v>
      </c>
      <c r="H34" s="59">
        <f>G34*(1+Input!$D$49)</f>
        <v>7.8640792010476206</v>
      </c>
      <c r="I34" s="59">
        <f>H34*(1+Input!$D$49)</f>
        <v>7.8640792010476206</v>
      </c>
      <c r="J34" s="59">
        <f>I34*(1+Input!$D$49)</f>
        <v>7.8640792010476206</v>
      </c>
      <c r="K34" s="59">
        <f>J34*(1+Input!$D$49)</f>
        <v>7.8640792010476206</v>
      </c>
      <c r="L34" s="59">
        <f>K34*(1+Input!$D$49)</f>
        <v>7.8640792010476206</v>
      </c>
      <c r="M34" s="59">
        <f>L34*(1+Input!$D$49)</f>
        <v>7.8640792010476206</v>
      </c>
      <c r="N34" s="59">
        <f>M34*(1+Input!$D$49)</f>
        <v>7.8640792010476206</v>
      </c>
      <c r="O34" s="59">
        <f>N34*(1+Input!$D$49)</f>
        <v>7.8640792010476206</v>
      </c>
      <c r="P34" s="59">
        <f>O34*(1+Input!$D$49)</f>
        <v>7.8640792010476206</v>
      </c>
      <c r="Q34" s="59">
        <f>P34*(1+Input!$D$49)</f>
        <v>7.8640792010476206</v>
      </c>
      <c r="R34" s="59">
        <f>Q34*(1+Input!$D$49)</f>
        <v>7.8640792010476206</v>
      </c>
      <c r="S34" s="59">
        <f>R34*(1+Input!$D$49)</f>
        <v>7.8640792010476206</v>
      </c>
      <c r="T34" s="59">
        <f>S34*(1+Input!$D$49)</f>
        <v>7.8640792010476206</v>
      </c>
      <c r="U34" s="59">
        <f>T34*(1+Input!$D$49)</f>
        <v>7.8640792010476206</v>
      </c>
      <c r="V34" s="59">
        <f>U34*(1+Input!$D$49)</f>
        <v>7.8640792010476206</v>
      </c>
      <c r="W34" s="59">
        <f>V34*(1+Input!$D$49)</f>
        <v>7.8640792010476206</v>
      </c>
      <c r="X34" s="59">
        <f>W34*(1+Input!$D$49)</f>
        <v>7.8640792010476206</v>
      </c>
      <c r="Y34" s="59">
        <f>X34*(1+Input!$D$49)</f>
        <v>7.8640792010476206</v>
      </c>
      <c r="Z34" s="59">
        <f>Y34*(1+Input!$D$49)</f>
        <v>7.8640792010476206</v>
      </c>
      <c r="AA34" s="59">
        <f>Z34*(1+Input!$D$49)</f>
        <v>7.8640792010476206</v>
      </c>
      <c r="AB34" s="59">
        <f>AA34*(1+Input!$D$49)</f>
        <v>7.8640792010476206</v>
      </c>
      <c r="AC34" s="59">
        <f>AB34*(1+Input!$D$49)</f>
        <v>7.8640792010476206</v>
      </c>
    </row>
    <row r="35" spans="1:31" ht="14.1" customHeight="1" thickBot="1">
      <c r="B35" s="68" t="s">
        <v>104</v>
      </c>
      <c r="C35" s="44" t="s">
        <v>116</v>
      </c>
      <c r="D35" s="66"/>
      <c r="E35" s="67">
        <f>E33*E34/10</f>
        <v>436.29105966820578</v>
      </c>
      <c r="F35" s="67">
        <f>F33*F34/10</f>
        <v>437.48637763989956</v>
      </c>
      <c r="G35" s="67">
        <f>G33*G34/10</f>
        <v>436.29105966820578</v>
      </c>
      <c r="H35" s="67">
        <f>H33*H34/10</f>
        <v>436.29105966820578</v>
      </c>
      <c r="I35" s="67">
        <f t="shared" ref="I35:AC35" si="13">I33*I34/10</f>
        <v>436.29105966820578</v>
      </c>
      <c r="J35" s="67">
        <f t="shared" si="13"/>
        <v>437.48637763989956</v>
      </c>
      <c r="K35" s="67">
        <f t="shared" si="13"/>
        <v>436.29105966820578</v>
      </c>
      <c r="L35" s="67">
        <f t="shared" si="13"/>
        <v>436.29105966820578</v>
      </c>
      <c r="M35" s="67">
        <f t="shared" si="13"/>
        <v>436.29105966820578</v>
      </c>
      <c r="N35" s="67">
        <f t="shared" si="13"/>
        <v>437.48637763989956</v>
      </c>
      <c r="O35" s="67">
        <f t="shared" si="13"/>
        <v>436.29105966820578</v>
      </c>
      <c r="P35" s="67">
        <f t="shared" si="13"/>
        <v>436.29105966820578</v>
      </c>
      <c r="Q35" s="67">
        <f t="shared" si="13"/>
        <v>436.29105966820578</v>
      </c>
      <c r="R35" s="67">
        <f t="shared" si="13"/>
        <v>437.48637763989956</v>
      </c>
      <c r="S35" s="67">
        <f t="shared" si="13"/>
        <v>436.29105966820578</v>
      </c>
      <c r="T35" s="67">
        <f t="shared" si="13"/>
        <v>436.29105966820578</v>
      </c>
      <c r="U35" s="67">
        <f t="shared" si="13"/>
        <v>436.29105966820578</v>
      </c>
      <c r="V35" s="67">
        <f t="shared" si="13"/>
        <v>437.48637763989956</v>
      </c>
      <c r="W35" s="67">
        <f t="shared" si="13"/>
        <v>436.29105966820578</v>
      </c>
      <c r="X35" s="67">
        <f t="shared" si="13"/>
        <v>436.29105966820578</v>
      </c>
      <c r="Y35" s="67">
        <f t="shared" si="13"/>
        <v>0</v>
      </c>
      <c r="Z35" s="67">
        <f t="shared" si="13"/>
        <v>0</v>
      </c>
      <c r="AA35" s="67">
        <f t="shared" si="13"/>
        <v>0</v>
      </c>
      <c r="AB35" s="67">
        <f t="shared" si="13"/>
        <v>0</v>
      </c>
      <c r="AC35" s="67">
        <f t="shared" si="13"/>
        <v>0</v>
      </c>
    </row>
    <row r="36" spans="1:31" ht="14.1" customHeight="1" thickBot="1">
      <c r="B36" s="63"/>
      <c r="C36" s="71"/>
      <c r="D36" s="64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</row>
    <row r="37" spans="1:31" ht="14.1" customHeight="1">
      <c r="C37" s="72"/>
    </row>
    <row r="38" spans="1:31" ht="14.1" customHeight="1" thickBot="1">
      <c r="C38" s="72"/>
    </row>
    <row r="39" spans="1:31" ht="14.1" customHeight="1">
      <c r="A39" s="48"/>
      <c r="B39" s="56" t="s">
        <v>138</v>
      </c>
      <c r="C39" s="73"/>
      <c r="D39" s="50"/>
      <c r="E39" s="51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48"/>
      <c r="AE39" s="48"/>
    </row>
    <row r="40" spans="1:31" ht="14.1" customHeight="1">
      <c r="A40" s="48"/>
      <c r="B40" s="69" t="s">
        <v>71</v>
      </c>
      <c r="C40" s="45" t="s">
        <v>74</v>
      </c>
      <c r="D40" s="52"/>
      <c r="E40" s="53">
        <f>E7*Input!$D$52</f>
        <v>0</v>
      </c>
      <c r="F40" s="53">
        <f>F7*Input!$D$53</f>
        <v>0</v>
      </c>
      <c r="G40" s="53">
        <f>G7*Input!$D$53</f>
        <v>0</v>
      </c>
      <c r="H40" s="53">
        <f>H7*Input!$D$53</f>
        <v>0</v>
      </c>
      <c r="I40" s="53">
        <f>I7*Input!$D$53</f>
        <v>0</v>
      </c>
      <c r="J40" s="53">
        <f>J7*Input!$D$53</f>
        <v>0</v>
      </c>
      <c r="K40" s="53">
        <f>K7*Input!$D$53</f>
        <v>0</v>
      </c>
      <c r="L40" s="53">
        <f>L7*Input!$D$53</f>
        <v>0</v>
      </c>
      <c r="M40" s="53">
        <f>M7*Input!$D$53</f>
        <v>0</v>
      </c>
      <c r="N40" s="53">
        <f>N7*Input!$D$53</f>
        <v>0</v>
      </c>
      <c r="O40" s="53">
        <f>O7*Input!$D$53</f>
        <v>0</v>
      </c>
      <c r="P40" s="53">
        <f>P7*Input!$D$53</f>
        <v>0</v>
      </c>
      <c r="Q40" s="53">
        <f>Q7*Input!$D$53</f>
        <v>0</v>
      </c>
      <c r="R40" s="53">
        <f>R7*Input!$D$53</f>
        <v>0</v>
      </c>
      <c r="S40" s="53">
        <f>S7*Input!$D$53</f>
        <v>0</v>
      </c>
      <c r="T40" s="53">
        <f>T7*Input!$D$53</f>
        <v>0</v>
      </c>
      <c r="U40" s="53">
        <f>U7*Input!$D$53</f>
        <v>0</v>
      </c>
      <c r="V40" s="53">
        <f>V7*Input!$D$53</f>
        <v>0</v>
      </c>
      <c r="W40" s="53">
        <f>W7*Input!$D$53</f>
        <v>0</v>
      </c>
      <c r="X40" s="53">
        <f>X7*Input!$D$53</f>
        <v>0</v>
      </c>
      <c r="Y40" s="53">
        <f>Y7*Input!$D$53</f>
        <v>0</v>
      </c>
      <c r="Z40" s="53">
        <f>Z7*Input!$D$53</f>
        <v>0</v>
      </c>
      <c r="AA40" s="53">
        <f>AA7*Input!$D$53</f>
        <v>0</v>
      </c>
      <c r="AB40" s="53">
        <f>AB7*Input!$D$53</f>
        <v>0</v>
      </c>
      <c r="AC40" s="53">
        <f>AC7*Input!$D$53</f>
        <v>0</v>
      </c>
      <c r="AD40" s="48"/>
      <c r="AE40" s="48"/>
    </row>
    <row r="41" spans="1:31" ht="14.1" customHeight="1">
      <c r="A41" s="48"/>
      <c r="B41" s="69" t="s">
        <v>70</v>
      </c>
      <c r="C41" s="45" t="s">
        <v>51</v>
      </c>
      <c r="D41" s="52"/>
      <c r="E41" s="53">
        <f>E40*Input!$D$51/1000</f>
        <v>0</v>
      </c>
      <c r="F41" s="53">
        <f>F40*Input!$D$51/1000</f>
        <v>0</v>
      </c>
      <c r="G41" s="53">
        <f>G40*Input!$D$51/1000</f>
        <v>0</v>
      </c>
      <c r="H41" s="53">
        <f>H40*Input!$D$51/1000</f>
        <v>0</v>
      </c>
      <c r="I41" s="53">
        <f>I40*Input!$D$51/1000</f>
        <v>0</v>
      </c>
      <c r="J41" s="53">
        <f>J40*Input!$D$51/1000</f>
        <v>0</v>
      </c>
      <c r="K41" s="53">
        <f>K40*Input!$D$51/1000</f>
        <v>0</v>
      </c>
      <c r="L41" s="53">
        <f>L40*Input!$D$51/1000</f>
        <v>0</v>
      </c>
      <c r="M41" s="53">
        <f>M40*Input!$D$51/1000</f>
        <v>0</v>
      </c>
      <c r="N41" s="53">
        <f>N40*Input!$D$51/1000</f>
        <v>0</v>
      </c>
      <c r="O41" s="53">
        <f>O40*Input!$D$51/1000</f>
        <v>0</v>
      </c>
      <c r="P41" s="53">
        <f>P40*Input!$D$51/1000</f>
        <v>0</v>
      </c>
      <c r="Q41" s="53">
        <f>Q40*Input!$D$51/1000</f>
        <v>0</v>
      </c>
      <c r="R41" s="53">
        <f>R40*Input!$D$51/1000</f>
        <v>0</v>
      </c>
      <c r="S41" s="53">
        <f>S40*Input!$D$51/1000</f>
        <v>0</v>
      </c>
      <c r="T41" s="53">
        <f>T40*Input!$D$51/1000</f>
        <v>0</v>
      </c>
      <c r="U41" s="53">
        <f>U40*Input!$D$51/1000</f>
        <v>0</v>
      </c>
      <c r="V41" s="53">
        <f>V40*Input!$D$51/1000</f>
        <v>0</v>
      </c>
      <c r="W41" s="53">
        <f>W40*Input!$D$51/1000</f>
        <v>0</v>
      </c>
      <c r="X41" s="53">
        <f>X40*Input!$D$51/1000</f>
        <v>0</v>
      </c>
      <c r="Y41" s="53">
        <f>Y40*Input!$D$51/1000</f>
        <v>0</v>
      </c>
      <c r="Z41" s="53">
        <f>Z40*Input!$D$51/1000</f>
        <v>0</v>
      </c>
      <c r="AA41" s="53">
        <f>AA40*Input!$D$51/1000</f>
        <v>0</v>
      </c>
      <c r="AB41" s="53">
        <f>AB40*Input!$D$51/1000</f>
        <v>0</v>
      </c>
      <c r="AC41" s="53">
        <f>AC40*Input!$D$51/1000</f>
        <v>0</v>
      </c>
      <c r="AD41" s="48"/>
      <c r="AE41" s="48"/>
    </row>
    <row r="42" spans="1:31" ht="14.1" customHeight="1">
      <c r="A42" s="48"/>
      <c r="B42" s="69" t="s">
        <v>136</v>
      </c>
      <c r="C42" s="45" t="s">
        <v>137</v>
      </c>
      <c r="D42" s="52"/>
      <c r="E42" s="53">
        <f>Input!D54</f>
        <v>33000</v>
      </c>
      <c r="F42" s="53">
        <f>E42*(1+Input!$D$55)</f>
        <v>33000</v>
      </c>
      <c r="G42" s="53">
        <f>F42*(1+Input!$D$55)</f>
        <v>33000</v>
      </c>
      <c r="H42" s="53">
        <f>G42*(1+Input!$D$55)</f>
        <v>33000</v>
      </c>
      <c r="I42" s="53">
        <f>H42*(1+Input!$D$55)</f>
        <v>33000</v>
      </c>
      <c r="J42" s="53">
        <f>I42*(1+Input!$D$55)</f>
        <v>33000</v>
      </c>
      <c r="K42" s="53">
        <f>J42*(1+Input!$D$55)</f>
        <v>33000</v>
      </c>
      <c r="L42" s="53">
        <f>K42*(1+Input!$D$55)</f>
        <v>33000</v>
      </c>
      <c r="M42" s="53">
        <f>L42*(1+Input!$D$55)</f>
        <v>33000</v>
      </c>
      <c r="N42" s="53">
        <f>M42*(1+Input!$D$55)</f>
        <v>33000</v>
      </c>
      <c r="O42" s="53">
        <f>N42*(1+Input!$D$55)</f>
        <v>33000</v>
      </c>
      <c r="P42" s="53">
        <f>O42*(1+Input!$D$55)</f>
        <v>33000</v>
      </c>
      <c r="Q42" s="53">
        <f>P42*(1+Input!$D$55)</f>
        <v>33000</v>
      </c>
      <c r="R42" s="53">
        <f>Q42*(1+Input!$D$55)</f>
        <v>33000</v>
      </c>
      <c r="S42" s="53">
        <f>R42*(1+Input!$D$55)</f>
        <v>33000</v>
      </c>
      <c r="T42" s="53">
        <f>S42*(1+Input!$D$55)</f>
        <v>33000</v>
      </c>
      <c r="U42" s="53">
        <f>T42*(1+Input!$D$55)</f>
        <v>33000</v>
      </c>
      <c r="V42" s="53">
        <f>U42*(1+Input!$D$55)</f>
        <v>33000</v>
      </c>
      <c r="W42" s="53">
        <f>V42*(1+Input!$D$55)</f>
        <v>33000</v>
      </c>
      <c r="X42" s="53">
        <f>W42*(1+Input!$D$55)</f>
        <v>33000</v>
      </c>
      <c r="Y42" s="53">
        <f>X42*(1+Input!$D$55)</f>
        <v>33000</v>
      </c>
      <c r="Z42" s="53">
        <f>Y42*(1+Input!$D$55)</f>
        <v>33000</v>
      </c>
      <c r="AA42" s="53">
        <f>Z42*(1+Input!$D$55)</f>
        <v>33000</v>
      </c>
      <c r="AB42" s="53">
        <f>AA42*(1+Input!$D$55)</f>
        <v>33000</v>
      </c>
      <c r="AC42" s="53">
        <f>AB42*(1+Input!$D$55)</f>
        <v>33000</v>
      </c>
      <c r="AD42" s="48"/>
      <c r="AE42" s="48"/>
    </row>
    <row r="43" spans="1:31" ht="14.1" customHeight="1" thickBot="1">
      <c r="A43" s="48"/>
      <c r="B43" s="69" t="s">
        <v>72</v>
      </c>
      <c r="C43" s="45" t="s">
        <v>116</v>
      </c>
      <c r="D43" s="57"/>
      <c r="E43" s="58">
        <f t="shared" ref="E43:K43" si="14">E40*E42/10^7</f>
        <v>0</v>
      </c>
      <c r="F43" s="58">
        <f t="shared" si="14"/>
        <v>0</v>
      </c>
      <c r="G43" s="58">
        <f t="shared" si="14"/>
        <v>0</v>
      </c>
      <c r="H43" s="58">
        <f t="shared" si="14"/>
        <v>0</v>
      </c>
      <c r="I43" s="58">
        <f t="shared" si="14"/>
        <v>0</v>
      </c>
      <c r="J43" s="58">
        <f t="shared" si="14"/>
        <v>0</v>
      </c>
      <c r="K43" s="58">
        <f t="shared" si="14"/>
        <v>0</v>
      </c>
      <c r="L43" s="58">
        <f t="shared" ref="L43:AC43" si="15">L40*L42/10^7</f>
        <v>0</v>
      </c>
      <c r="M43" s="58">
        <f t="shared" si="15"/>
        <v>0</v>
      </c>
      <c r="N43" s="58">
        <f t="shared" si="15"/>
        <v>0</v>
      </c>
      <c r="O43" s="58">
        <f t="shared" si="15"/>
        <v>0</v>
      </c>
      <c r="P43" s="58">
        <f t="shared" si="15"/>
        <v>0</v>
      </c>
      <c r="Q43" s="58">
        <f t="shared" si="15"/>
        <v>0</v>
      </c>
      <c r="R43" s="58">
        <f t="shared" si="15"/>
        <v>0</v>
      </c>
      <c r="S43" s="58">
        <f t="shared" si="15"/>
        <v>0</v>
      </c>
      <c r="T43" s="58">
        <f t="shared" si="15"/>
        <v>0</v>
      </c>
      <c r="U43" s="58">
        <f t="shared" si="15"/>
        <v>0</v>
      </c>
      <c r="V43" s="58">
        <f t="shared" si="15"/>
        <v>0</v>
      </c>
      <c r="W43" s="58">
        <f t="shared" si="15"/>
        <v>0</v>
      </c>
      <c r="X43" s="58">
        <f t="shared" si="15"/>
        <v>0</v>
      </c>
      <c r="Y43" s="58">
        <f t="shared" si="15"/>
        <v>0</v>
      </c>
      <c r="Z43" s="58">
        <f t="shared" si="15"/>
        <v>0</v>
      </c>
      <c r="AA43" s="58">
        <f t="shared" si="15"/>
        <v>0</v>
      </c>
      <c r="AB43" s="58">
        <f t="shared" si="15"/>
        <v>0</v>
      </c>
      <c r="AC43" s="58">
        <f t="shared" si="15"/>
        <v>0</v>
      </c>
      <c r="AD43" s="48"/>
      <c r="AE43" s="48"/>
    </row>
    <row r="44" spans="1:31" ht="14.1" customHeight="1" thickBot="1">
      <c r="A44" s="48"/>
      <c r="B44" s="54"/>
      <c r="C44" s="74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48"/>
      <c r="AE44" s="48"/>
    </row>
    <row r="45" spans="1:31" ht="14.1" customHeight="1"/>
    <row r="46" spans="1:31" ht="14.1" customHeight="1" thickBot="1"/>
    <row r="47" spans="1:31" s="266" customFormat="1" ht="14.1" customHeight="1">
      <c r="B47" s="268" t="s">
        <v>52</v>
      </c>
      <c r="C47" s="269"/>
      <c r="D47" s="270"/>
      <c r="E47" s="270"/>
      <c r="F47" s="270"/>
      <c r="G47" s="270"/>
      <c r="H47" s="270"/>
      <c r="I47" s="270"/>
      <c r="J47" s="270"/>
      <c r="K47" s="270"/>
      <c r="L47" s="271"/>
      <c r="M47" s="270"/>
      <c r="N47" s="270"/>
      <c r="O47" s="270"/>
      <c r="P47" s="270"/>
      <c r="Q47" s="270"/>
      <c r="R47" s="270"/>
      <c r="S47" s="270"/>
      <c r="T47" s="270"/>
      <c r="U47" s="270"/>
      <c r="V47" s="270"/>
      <c r="W47" s="270"/>
      <c r="X47" s="270"/>
      <c r="Y47" s="270"/>
      <c r="Z47" s="270"/>
      <c r="AA47" s="270"/>
      <c r="AB47" s="270"/>
      <c r="AC47" s="270"/>
    </row>
    <row r="48" spans="1:31" s="266" customFormat="1" ht="14.1" customHeight="1">
      <c r="B48" s="272" t="s">
        <v>53</v>
      </c>
      <c r="C48" s="273" t="s">
        <v>116</v>
      </c>
      <c r="D48" s="274">
        <f>Input!D26</f>
        <v>891</v>
      </c>
      <c r="F48" s="275"/>
      <c r="G48" s="275"/>
      <c r="H48" s="275"/>
      <c r="I48" s="275"/>
      <c r="J48" s="275"/>
      <c r="K48" s="275"/>
      <c r="L48" s="275"/>
      <c r="M48" s="275"/>
      <c r="N48" s="275"/>
      <c r="O48" s="276"/>
      <c r="P48" s="276"/>
      <c r="Q48" s="275"/>
      <c r="R48" s="276"/>
      <c r="S48" s="276"/>
      <c r="T48" s="276"/>
      <c r="U48" s="276"/>
      <c r="V48" s="276"/>
      <c r="W48" s="276"/>
      <c r="X48" s="276"/>
      <c r="Y48" s="276"/>
      <c r="Z48" s="276"/>
      <c r="AA48" s="276"/>
      <c r="AB48" s="276"/>
      <c r="AC48" s="276"/>
    </row>
    <row r="49" spans="1:29" s="266" customFormat="1" ht="14.1" customHeight="1">
      <c r="A49" s="277"/>
      <c r="B49" s="278" t="s">
        <v>150</v>
      </c>
      <c r="C49" s="279" t="s">
        <v>116</v>
      </c>
      <c r="D49" s="280"/>
      <c r="E49" s="160">
        <f>D48</f>
        <v>891</v>
      </c>
      <c r="F49" s="160">
        <f>E57</f>
        <v>852.26086956521749</v>
      </c>
      <c r="G49" s="160">
        <f t="shared" ref="G49:AC49" si="16">F57</f>
        <v>774.78260869565247</v>
      </c>
      <c r="H49" s="160">
        <f t="shared" si="16"/>
        <v>697.30434782608745</v>
      </c>
      <c r="I49" s="160">
        <f t="shared" si="16"/>
        <v>619.82608695652243</v>
      </c>
      <c r="J49" s="160">
        <f t="shared" si="16"/>
        <v>542.34782608695741</v>
      </c>
      <c r="K49" s="160">
        <f t="shared" si="16"/>
        <v>464.86956521739222</v>
      </c>
      <c r="L49" s="160">
        <f t="shared" si="16"/>
        <v>387.39130434782697</v>
      </c>
      <c r="M49" s="160">
        <f t="shared" si="16"/>
        <v>309.91304347826173</v>
      </c>
      <c r="N49" s="160">
        <f t="shared" si="16"/>
        <v>232.43478260869648</v>
      </c>
      <c r="O49" s="160">
        <f t="shared" si="16"/>
        <v>154.95652173913123</v>
      </c>
      <c r="P49" s="160">
        <f t="shared" si="16"/>
        <v>77.478260869565986</v>
      </c>
      <c r="Q49" s="160">
        <f>P57</f>
        <v>0</v>
      </c>
      <c r="R49" s="160">
        <f t="shared" si="16"/>
        <v>0</v>
      </c>
      <c r="S49" s="160">
        <f t="shared" si="16"/>
        <v>0</v>
      </c>
      <c r="T49" s="160">
        <f t="shared" si="16"/>
        <v>0</v>
      </c>
      <c r="U49" s="160">
        <f t="shared" si="16"/>
        <v>0</v>
      </c>
      <c r="V49" s="160">
        <f t="shared" si="16"/>
        <v>0</v>
      </c>
      <c r="W49" s="160">
        <f t="shared" si="16"/>
        <v>0</v>
      </c>
      <c r="X49" s="160">
        <f t="shared" si="16"/>
        <v>0</v>
      </c>
      <c r="Y49" s="160">
        <f t="shared" si="16"/>
        <v>0</v>
      </c>
      <c r="Z49" s="160">
        <f t="shared" si="16"/>
        <v>0</v>
      </c>
      <c r="AA49" s="160">
        <f t="shared" si="16"/>
        <v>0</v>
      </c>
      <c r="AB49" s="160">
        <f t="shared" si="16"/>
        <v>0</v>
      </c>
      <c r="AC49" s="160">
        <f t="shared" si="16"/>
        <v>0</v>
      </c>
    </row>
    <row r="50" spans="1:29" s="266" customFormat="1" ht="14.1" customHeight="1">
      <c r="A50" s="281">
        <f>EOMONTH(A52,-3)</f>
        <v>40359</v>
      </c>
      <c r="B50" s="278" t="s">
        <v>148</v>
      </c>
      <c r="C50" s="279" t="s">
        <v>116</v>
      </c>
      <c r="D50" s="280"/>
      <c r="E50" s="160">
        <f>MIN(IF(EDATE(Input!$D$18,Input!$D$29)&lt;EDATE(Tariff!E4,-9),Tariff!$D$48/((Input!$D$27*4-Input!$D$29/3)),0),Tariff!E49)</f>
        <v>0</v>
      </c>
      <c r="F50" s="160">
        <f>MIN(IF(EDATE(Input!$D$18,Input!$D$29)&lt;EDATE(Tariff!F4,-9),Tariff!$D$48/((Input!$D$27*4-Input!$D$29/3)),0),Tariff!F49)</f>
        <v>19.369565217391305</v>
      </c>
      <c r="G50" s="160">
        <f>MIN(IF(EDATE(Input!$D$18,Input!$D$29)&lt;EDATE(Tariff!G4,-9),Tariff!$D$48/((Input!$D$27*4-Input!$D$29/3)),0),Tariff!G49)</f>
        <v>19.369565217391305</v>
      </c>
      <c r="H50" s="160">
        <f>MIN(IF(EDATE(Input!$D$18,Input!$D$29)&lt;EDATE(Tariff!H4,-9),Tariff!$D$48/((Input!$D$27*4-Input!$D$29/3)),0),Tariff!H49)</f>
        <v>19.369565217391305</v>
      </c>
      <c r="I50" s="160">
        <f>MIN(IF(EDATE(Input!$D$18,Input!$D$29)&lt;EDATE(Tariff!I4,-9),Tariff!$D$48/((Input!$D$27*4-Input!$D$29/3)),0),Tariff!I49)</f>
        <v>19.369565217391305</v>
      </c>
      <c r="J50" s="160">
        <f>MIN(IF(EDATE(Input!$D$18,Input!$D$29)&lt;EDATE(Tariff!J4,-9),Tariff!$D$48/((Input!$D$27*4-Input!$D$29/3)),0),Tariff!J49)</f>
        <v>19.369565217391305</v>
      </c>
      <c r="K50" s="160">
        <f>MIN(IF(EDATE(Input!$D$18,Input!$D$29)&lt;EDATE(Tariff!K4,-9),Tariff!$D$48/((Input!$D$27*4-Input!$D$29/3)),0),Tariff!K49)</f>
        <v>19.369565217391305</v>
      </c>
      <c r="L50" s="160">
        <f>MIN(IF(EDATE(Input!$D$18,Input!$D$29)&lt;EDATE(Tariff!L4,-9),Tariff!$D$48/((Input!$D$27*4-Input!$D$29/3)),0),Tariff!L49)</f>
        <v>19.369565217391305</v>
      </c>
      <c r="M50" s="160">
        <f>MIN(IF(EDATE(Input!$D$18,Input!$D$29)&lt;EDATE(Tariff!M4,-9),Tariff!$D$48/((Input!$D$27*4-Input!$D$29/3)),0),Tariff!M49)</f>
        <v>19.369565217391305</v>
      </c>
      <c r="N50" s="160">
        <f>MIN(IF(EDATE(Input!$D$18,Input!$D$29)&lt;EDATE(Tariff!N4,-9),Tariff!$D$48/((Input!$D$27*4-Input!$D$29/3)),0),Tariff!N49)</f>
        <v>19.369565217391305</v>
      </c>
      <c r="O50" s="160">
        <f>MIN(IF(EDATE(Input!$D$18,Input!$D$29)&lt;EDATE(Tariff!O4,-9),Tariff!$D$48/((Input!$D$27*4-Input!$D$29/3)),0),Tariff!O49)</f>
        <v>19.369565217391305</v>
      </c>
      <c r="P50" s="160">
        <f>MIN(IF(EDATE(Input!$D$18,Input!$D$29)&lt;EDATE(Tariff!P4,-9),Tariff!$D$48/((Input!$D$27*4-Input!$D$29/3)),0),Tariff!P49)</f>
        <v>19.369565217391305</v>
      </c>
      <c r="Q50" s="160">
        <f>MIN(IF(EDATE(Input!$D$18,Input!$D$29)&lt;EDATE(Tariff!Q4,-9),Tariff!$D$48/((Input!$D$27*4-Input!$D$29/3)),0),Tariff!Q49)</f>
        <v>0</v>
      </c>
      <c r="R50" s="160">
        <f>MIN(IF(EDATE(Input!$D$18,Input!$D$29)&lt;EDATE(Tariff!R4,-9),Tariff!$D$48/((Input!$D$27*4-Input!$D$29/3)),0),Tariff!R49)</f>
        <v>0</v>
      </c>
      <c r="S50" s="160">
        <f>MIN(IF(EDATE(Input!$D$18,Input!$D$29)&lt;EDATE(Tariff!S4,-9),Tariff!$D$48/((Input!$D$27*4-Input!$D$29/3)),0),Tariff!S49)</f>
        <v>0</v>
      </c>
      <c r="T50" s="160">
        <f>MIN(IF(EDATE(Input!$D$18,Input!$D$29)&lt;EDATE(Tariff!T4,-9),Tariff!$D$48/((Input!$D$27*4-Input!$D$29/3)),0),Tariff!T49)</f>
        <v>0</v>
      </c>
      <c r="U50" s="160">
        <f>MIN(IF(EDATE(Input!$D$18,Input!$D$29)&lt;EDATE(Tariff!U4,-9),Tariff!$D$48/((Input!$D$27*4-Input!$D$29/3)),0),Tariff!U49)</f>
        <v>0</v>
      </c>
      <c r="V50" s="160">
        <f>MIN(IF(EDATE(Input!$D$18,Input!$D$29)&lt;EDATE(Tariff!V4,-9),Tariff!$D$48/((Input!$D$27-Input!$D$29)*4),0),Tariff!V49)</f>
        <v>0</v>
      </c>
      <c r="W50" s="160">
        <f>MIN(IF(EDATE(Input!$D$18,Input!$D$29)&lt;EDATE(Tariff!W4,-9),Tariff!$D$48/((Input!$D$27-Input!$D$29)*4),0),Tariff!W49)</f>
        <v>0</v>
      </c>
      <c r="X50" s="160">
        <f>MIN(IF(EDATE(Input!$D$18,Input!$D$29)&lt;EDATE(Tariff!X4,-9),Tariff!$D$48/((Input!$D$27-Input!$D$29)*4),0),Tariff!X49)</f>
        <v>0</v>
      </c>
      <c r="Y50" s="160">
        <f>MIN(IF(EDATE(Input!$D$18,Input!$D$29)&lt;EDATE(Tariff!Y4,-9),Tariff!$D$48/((Input!$D$27-Input!$D$29)*4),0),Tariff!Y49)</f>
        <v>0</v>
      </c>
      <c r="Z50" s="160">
        <f>MIN(IF(EDATE(Input!$D$18,Input!$D$29)&lt;EDATE(Tariff!Z4,-9),Tariff!$D$48/((Input!$D$27-Input!$D$29)*4),0),Tariff!Z49)</f>
        <v>0</v>
      </c>
      <c r="AA50" s="160">
        <f>MIN(IF(EDATE(Input!$D$18,Input!$D$29)&lt;EDATE(Tariff!AA4,-9),Tariff!$D$48/((Input!$D$27-Input!$D$29)*4),0),Tariff!AA49)</f>
        <v>0</v>
      </c>
      <c r="AB50" s="160">
        <f>MIN(IF(EDATE(Input!$D$18,Input!$D$29)&lt;EDATE(Tariff!AB4,-9),Tariff!$D$48/((Input!$D$27-Input!$D$29)*4),0),Tariff!AB49)</f>
        <v>0</v>
      </c>
      <c r="AC50" s="160">
        <f>MIN(IF(EDATE(Input!$D$18,Input!$D$29)&lt;EDATE(Tariff!AC4,-9),Tariff!$D$48/((Input!$D$27-Input!$D$29)*4),0),Tariff!AC49)</f>
        <v>0</v>
      </c>
    </row>
    <row r="51" spans="1:29" s="266" customFormat="1" ht="14.1" customHeight="1">
      <c r="A51" s="282"/>
      <c r="B51" s="278" t="s">
        <v>149</v>
      </c>
      <c r="C51" s="279" t="s">
        <v>116</v>
      </c>
      <c r="D51" s="280"/>
      <c r="E51" s="160">
        <f>E49-E50</f>
        <v>891</v>
      </c>
      <c r="F51" s="160">
        <f t="shared" ref="F51:AC51" si="17">F49-F50</f>
        <v>832.89130434782624</v>
      </c>
      <c r="G51" s="160">
        <f t="shared" si="17"/>
        <v>755.41304347826122</v>
      </c>
      <c r="H51" s="160">
        <f t="shared" si="17"/>
        <v>677.9347826086962</v>
      </c>
      <c r="I51" s="160">
        <f t="shared" si="17"/>
        <v>600.45652173913118</v>
      </c>
      <c r="J51" s="160">
        <f t="shared" si="17"/>
        <v>522.97826086956616</v>
      </c>
      <c r="K51" s="160">
        <f t="shared" si="17"/>
        <v>445.50000000000091</v>
      </c>
      <c r="L51" s="160">
        <f t="shared" si="17"/>
        <v>368.02173913043566</v>
      </c>
      <c r="M51" s="160">
        <f t="shared" si="17"/>
        <v>290.54347826087042</v>
      </c>
      <c r="N51" s="160">
        <f t="shared" si="17"/>
        <v>213.06521739130517</v>
      </c>
      <c r="O51" s="160">
        <f t="shared" si="17"/>
        <v>135.58695652173992</v>
      </c>
      <c r="P51" s="160">
        <f t="shared" si="17"/>
        <v>58.108695652174681</v>
      </c>
      <c r="Q51" s="160">
        <f t="shared" si="17"/>
        <v>0</v>
      </c>
      <c r="R51" s="160">
        <f t="shared" si="17"/>
        <v>0</v>
      </c>
      <c r="S51" s="160">
        <f t="shared" si="17"/>
        <v>0</v>
      </c>
      <c r="T51" s="160">
        <f t="shared" si="17"/>
        <v>0</v>
      </c>
      <c r="U51" s="160">
        <f t="shared" si="17"/>
        <v>0</v>
      </c>
      <c r="V51" s="160">
        <f t="shared" si="17"/>
        <v>0</v>
      </c>
      <c r="W51" s="160">
        <f t="shared" si="17"/>
        <v>0</v>
      </c>
      <c r="X51" s="160">
        <f t="shared" si="17"/>
        <v>0</v>
      </c>
      <c r="Y51" s="160">
        <f t="shared" si="17"/>
        <v>0</v>
      </c>
      <c r="Z51" s="160">
        <f t="shared" si="17"/>
        <v>0</v>
      </c>
      <c r="AA51" s="160">
        <f t="shared" si="17"/>
        <v>0</v>
      </c>
      <c r="AB51" s="160">
        <f t="shared" si="17"/>
        <v>0</v>
      </c>
      <c r="AC51" s="160">
        <f t="shared" si="17"/>
        <v>0</v>
      </c>
    </row>
    <row r="52" spans="1:29" s="266" customFormat="1" ht="14.1" customHeight="1">
      <c r="A52" s="281">
        <f>EOMONTH(A54,-3)</f>
        <v>40451</v>
      </c>
      <c r="B52" s="278" t="s">
        <v>151</v>
      </c>
      <c r="C52" s="279" t="s">
        <v>116</v>
      </c>
      <c r="D52" s="280"/>
      <c r="E52" s="160">
        <f>MIN(IF(EDATE(Input!$D$18,Input!$D$29)&lt;EDATE(Tariff!E4,-6),Tariff!$D$48/((Input!$D$27*4-Input!$D$29/3)),0),Tariff!E51)</f>
        <v>0</v>
      </c>
      <c r="F52" s="160">
        <f>MIN(IF(EDATE(Input!$D$18,Input!$D$29)&lt;EDATE(Tariff!F4,-6),Tariff!$D$48/((Input!$D$27*4-Input!$D$29/3)),0),Tariff!F51)</f>
        <v>19.369565217391305</v>
      </c>
      <c r="G52" s="160">
        <f>MIN(IF(EDATE(Input!$D$18,Input!$D$29)&lt;EDATE(Tariff!G4,-6),Tariff!$D$48/((Input!$D$27*4-Input!$D$29/3)),0),Tariff!G51)</f>
        <v>19.369565217391305</v>
      </c>
      <c r="H52" s="160">
        <f>MIN(IF(EDATE(Input!$D$18,Input!$D$29)&lt;EDATE(Tariff!H4,-6),Tariff!$D$48/((Input!$D$27*4-Input!$D$29/3)),0),Tariff!H51)</f>
        <v>19.369565217391305</v>
      </c>
      <c r="I52" s="160">
        <f>MIN(IF(EDATE(Input!$D$18,Input!$D$29)&lt;EDATE(Tariff!I4,-6),Tariff!$D$48/((Input!$D$27*4-Input!$D$29/3)),0),Tariff!I51)</f>
        <v>19.369565217391305</v>
      </c>
      <c r="J52" s="160">
        <f>MIN(IF(EDATE(Input!$D$18,Input!$D$29)&lt;EDATE(Tariff!J4,-6),Tariff!$D$48/((Input!$D$27*4-Input!$D$29/3)),0),Tariff!J51)</f>
        <v>19.369565217391305</v>
      </c>
      <c r="K52" s="160">
        <f>MIN(IF(EDATE(Input!$D$18,Input!$D$29)&lt;EDATE(Tariff!K4,-6),Tariff!$D$48/((Input!$D$27*4-Input!$D$29/3)),0),Tariff!K51)</f>
        <v>19.369565217391305</v>
      </c>
      <c r="L52" s="160">
        <f>MIN(IF(EDATE(Input!$D$18,Input!$D$29)&lt;EDATE(Tariff!L4,-6),Tariff!$D$48/((Input!$D$27*4-Input!$D$29/3)),0),Tariff!L51)</f>
        <v>19.369565217391305</v>
      </c>
      <c r="M52" s="160">
        <f>MIN(IF(EDATE(Input!$D$18,Input!$D$29)&lt;EDATE(Tariff!M4,-6),Tariff!$D$48/((Input!$D$27*4-Input!$D$29/3)),0),Tariff!M51)</f>
        <v>19.369565217391305</v>
      </c>
      <c r="N52" s="160">
        <f>MIN(IF(EDATE(Input!$D$18,Input!$D$29)&lt;EDATE(Tariff!N4,-6),Tariff!$D$48/((Input!$D$27*4-Input!$D$29/3)),0),Tariff!N51)</f>
        <v>19.369565217391305</v>
      </c>
      <c r="O52" s="160">
        <f>MIN(IF(EDATE(Input!$D$18,Input!$D$29)&lt;EDATE(Tariff!O4,-6),Tariff!$D$48/((Input!$D$27*4-Input!$D$29/3)),0),Tariff!O51)</f>
        <v>19.369565217391305</v>
      </c>
      <c r="P52" s="160">
        <f>MIN(IF(EDATE(Input!$D$18,Input!$D$29)&lt;EDATE(Tariff!P4,-6),Tariff!$D$48/((Input!$D$27*4-Input!$D$29/3)),0),Tariff!P51)</f>
        <v>19.369565217391305</v>
      </c>
      <c r="Q52" s="160">
        <f>MIN(IF(EDATE(Input!$D$18,Input!$D$29)&lt;EDATE(Tariff!Q4,-6),Tariff!$D$48/((Input!$D$27*4-Input!$D$29/3)),0),Tariff!Q51)</f>
        <v>0</v>
      </c>
      <c r="R52" s="160">
        <f>MIN(IF(EDATE(Input!$D$18,Input!$D$29)&lt;EDATE(Tariff!R4,-6),Tariff!$D$48/((Input!$D$27-Input!$D$29)*4),0),Tariff!R51)</f>
        <v>0</v>
      </c>
      <c r="S52" s="160">
        <f>MIN(IF(EDATE(Input!$D$18,Input!$D$29)&lt;EDATE(Tariff!S4,-6),Tariff!$D$48/((Input!$D$27-Input!$D$29)*4),0),Tariff!S51)</f>
        <v>0</v>
      </c>
      <c r="T52" s="160">
        <f>MIN(IF(EDATE(Input!$D$18,Input!$D$29)&lt;EDATE(Tariff!T4,-6),Tariff!$D$48/((Input!$D$27-Input!$D$29)*4),0),Tariff!T51)</f>
        <v>0</v>
      </c>
      <c r="U52" s="160">
        <f>MIN(IF(EDATE(Input!$D$18,Input!$D$29)&lt;EDATE(Tariff!U4,-6),Tariff!$D$48/((Input!$D$27-Input!$D$29)*4),0),Tariff!U51)</f>
        <v>0</v>
      </c>
      <c r="V52" s="160">
        <f>MIN(IF(EDATE(Input!$D$18,Input!$D$29)&lt;EDATE(Tariff!V4,-6),Tariff!$D$48/((Input!$D$27-Input!$D$29)*4),0),Tariff!V51)</f>
        <v>0</v>
      </c>
      <c r="W52" s="160">
        <f>MIN(IF(EDATE(Input!$D$18,Input!$D$29)&lt;EDATE(Tariff!W4,-6),Tariff!$D$48/((Input!$D$27-Input!$D$29)*4),0),Tariff!W51)</f>
        <v>0</v>
      </c>
      <c r="X52" s="160">
        <f>MIN(IF(EDATE(Input!$D$18,Input!$D$29)&lt;EDATE(Tariff!X4,-6),Tariff!$D$48/((Input!$D$27-Input!$D$29)*4),0),Tariff!X51)</f>
        <v>0</v>
      </c>
      <c r="Y52" s="160">
        <f>MIN(IF(EDATE(Input!$D$18,Input!$D$29)&lt;EDATE(Tariff!Y4,-6),Tariff!$D$48/((Input!$D$27-Input!$D$29)*4),0),Tariff!Y51)</f>
        <v>0</v>
      </c>
      <c r="Z52" s="160">
        <f>MIN(IF(EDATE(Input!$D$18,Input!$D$29)&lt;EDATE(Tariff!Z4,-6),Tariff!$D$48/((Input!$D$27-Input!$D$29)*4),0),Tariff!Z51)</f>
        <v>0</v>
      </c>
      <c r="AA52" s="160">
        <f>MIN(IF(EDATE(Input!$D$18,Input!$D$29)&lt;EDATE(Tariff!AA4,-6),Tariff!$D$48/((Input!$D$27-Input!$D$29)*4),0),Tariff!AA51)</f>
        <v>0</v>
      </c>
      <c r="AB52" s="160">
        <f>MIN(IF(EDATE(Input!$D$18,Input!$D$29)&lt;EDATE(Tariff!AB4,-6),Tariff!$D$48/((Input!$D$27-Input!$D$29)*4),0),Tariff!AB51)</f>
        <v>0</v>
      </c>
      <c r="AC52" s="160">
        <f>MIN(IF(EDATE(Input!$D$18,Input!$D$29)&lt;EDATE(Tariff!AC4,-6),Tariff!$D$48/((Input!$D$27-Input!$D$29)*4),0),Tariff!AC51)</f>
        <v>0</v>
      </c>
    </row>
    <row r="53" spans="1:29" s="266" customFormat="1" ht="14.1" customHeight="1">
      <c r="A53" s="282"/>
      <c r="B53" s="278" t="s">
        <v>152</v>
      </c>
      <c r="C53" s="279" t="s">
        <v>116</v>
      </c>
      <c r="D53" s="280"/>
      <c r="E53" s="160">
        <f>E51-E52</f>
        <v>891</v>
      </c>
      <c r="F53" s="160">
        <f t="shared" ref="F53:AC53" si="18">F51-F52</f>
        <v>813.52173913043498</v>
      </c>
      <c r="G53" s="160">
        <f t="shared" si="18"/>
        <v>736.04347826086996</v>
      </c>
      <c r="H53" s="160">
        <f t="shared" si="18"/>
        <v>658.56521739130494</v>
      </c>
      <c r="I53" s="160">
        <f t="shared" si="18"/>
        <v>581.08695652173992</v>
      </c>
      <c r="J53" s="160">
        <f t="shared" si="18"/>
        <v>503.60869565217484</v>
      </c>
      <c r="K53" s="160">
        <f t="shared" si="18"/>
        <v>426.1304347826096</v>
      </c>
      <c r="L53" s="160">
        <f t="shared" si="18"/>
        <v>348.65217391304435</v>
      </c>
      <c r="M53" s="160">
        <f t="shared" si="18"/>
        <v>271.1739130434791</v>
      </c>
      <c r="N53" s="160">
        <f t="shared" si="18"/>
        <v>193.69565217391386</v>
      </c>
      <c r="O53" s="160">
        <f t="shared" si="18"/>
        <v>116.21739130434861</v>
      </c>
      <c r="P53" s="160">
        <f t="shared" si="18"/>
        <v>38.739130434783377</v>
      </c>
      <c r="Q53" s="160">
        <f t="shared" si="18"/>
        <v>0</v>
      </c>
      <c r="R53" s="160">
        <f t="shared" si="18"/>
        <v>0</v>
      </c>
      <c r="S53" s="160">
        <f t="shared" si="18"/>
        <v>0</v>
      </c>
      <c r="T53" s="160">
        <f t="shared" si="18"/>
        <v>0</v>
      </c>
      <c r="U53" s="160">
        <f t="shared" si="18"/>
        <v>0</v>
      </c>
      <c r="V53" s="160">
        <f t="shared" si="18"/>
        <v>0</v>
      </c>
      <c r="W53" s="160">
        <f t="shared" si="18"/>
        <v>0</v>
      </c>
      <c r="X53" s="160">
        <f t="shared" si="18"/>
        <v>0</v>
      </c>
      <c r="Y53" s="160">
        <f t="shared" si="18"/>
        <v>0</v>
      </c>
      <c r="Z53" s="160">
        <f t="shared" si="18"/>
        <v>0</v>
      </c>
      <c r="AA53" s="160">
        <f t="shared" si="18"/>
        <v>0</v>
      </c>
      <c r="AB53" s="160">
        <f t="shared" si="18"/>
        <v>0</v>
      </c>
      <c r="AC53" s="160">
        <f t="shared" si="18"/>
        <v>0</v>
      </c>
    </row>
    <row r="54" spans="1:29" s="266" customFormat="1" ht="14.1" customHeight="1">
      <c r="A54" s="281">
        <f>EOMONTH(E4,-3)</f>
        <v>40543</v>
      </c>
      <c r="B54" s="278" t="s">
        <v>153</v>
      </c>
      <c r="C54" s="279" t="s">
        <v>116</v>
      </c>
      <c r="D54" s="280"/>
      <c r="E54" s="160">
        <f>MIN(IF(EDATE(Input!$D$18,Input!$D$29)&lt;EDATE(Tariff!E4,-3),Tariff!$D$48/((Input!$D$27*4-Input!$D$29/3)),0),Tariff!E53)</f>
        <v>19.369565217391305</v>
      </c>
      <c r="F54" s="160">
        <f>MIN(IF(EDATE(Input!$D$18,Input!$D$29)&lt;EDATE(Tariff!F4,-3),Tariff!$D$48/((Input!$D$27*4-Input!$D$29/3)),0),Tariff!F53)</f>
        <v>19.369565217391305</v>
      </c>
      <c r="G54" s="160">
        <f>MIN(IF(EDATE(Input!$D$18,Input!$D$29)&lt;EDATE(Tariff!G4,-3),Tariff!$D$48/((Input!$D$27*4-Input!$D$29/3)),0),Tariff!G53)</f>
        <v>19.369565217391305</v>
      </c>
      <c r="H54" s="160">
        <f>MIN(IF(EDATE(Input!$D$18,Input!$D$29)&lt;EDATE(Tariff!H4,-3),Tariff!$D$48/((Input!$D$27*4-Input!$D$29/3)),0),Tariff!H53)</f>
        <v>19.369565217391305</v>
      </c>
      <c r="I54" s="160">
        <f>MIN(IF(EDATE(Input!$D$18,Input!$D$29)&lt;EDATE(Tariff!I4,-3),Tariff!$D$48/((Input!$D$27*4-Input!$D$29/3)),0),Tariff!I53)</f>
        <v>19.369565217391305</v>
      </c>
      <c r="J54" s="160">
        <f>MIN(IF(EDATE(Input!$D$18,Input!$D$29)&lt;EDATE(Tariff!J4,-3),Tariff!$D$48/((Input!$D$27*4-Input!$D$29/3)),0),Tariff!J53)</f>
        <v>19.369565217391305</v>
      </c>
      <c r="K54" s="160">
        <f>MIN(IF(EDATE(Input!$D$18,Input!$D$29)&lt;EDATE(Tariff!K4,-3),Tariff!$D$48/((Input!$D$27*4-Input!$D$29/3)),0),Tariff!K53)</f>
        <v>19.369565217391305</v>
      </c>
      <c r="L54" s="160">
        <f>MIN(IF(EDATE(Input!$D$18,Input!$D$29)&lt;EDATE(Tariff!L4,-3),Tariff!$D$48/((Input!$D$27*4-Input!$D$29/3)),0),Tariff!L53)</f>
        <v>19.369565217391305</v>
      </c>
      <c r="M54" s="160">
        <f>MIN(IF(EDATE(Input!$D$18,Input!$D$29)&lt;EDATE(Tariff!M4,-3),Tariff!$D$48/((Input!$D$27*4-Input!$D$29/3)),0),Tariff!M53)</f>
        <v>19.369565217391305</v>
      </c>
      <c r="N54" s="160">
        <f>MIN(IF(EDATE(Input!$D$18,Input!$D$29)&lt;EDATE(Tariff!N4,-3),Tariff!$D$48/((Input!$D$27*4-Input!$D$29/3)),0),Tariff!N53)</f>
        <v>19.369565217391305</v>
      </c>
      <c r="O54" s="160">
        <f>MIN(IF(EDATE(Input!$D$18,Input!$D$29)&lt;EDATE(Tariff!O4,-3),Tariff!$D$48/((Input!$D$27*4-Input!$D$29/3)),0),Tariff!O53)</f>
        <v>19.369565217391305</v>
      </c>
      <c r="P54" s="160">
        <f>MIN(IF(EDATE(Input!$D$18,Input!$D$29)&lt;EDATE(Tariff!P4,-3),Tariff!$D$48/((Input!$D$27*4-Input!$D$29/3)),0),Tariff!P53)</f>
        <v>19.369565217391305</v>
      </c>
      <c r="Q54" s="160">
        <f>MIN(IF(EDATE(Input!$D$18,Input!$D$29)&lt;EDATE(Tariff!Q4,-3),Tariff!$D$48/((Input!$D$27-Input!$D$29)*4),0),Tariff!Q53)</f>
        <v>0</v>
      </c>
      <c r="R54" s="160">
        <f>MIN(IF(EDATE(Input!$D$18,Input!$D$29)&lt;EDATE(Tariff!R4,-3),Tariff!$D$48/((Input!$D$27-Input!$D$29)*4),0),Tariff!R53)</f>
        <v>0</v>
      </c>
      <c r="S54" s="160">
        <f>MIN(IF(EDATE(Input!$D$18,Input!$D$29)&lt;EDATE(Tariff!S4,-3),Tariff!$D$48/((Input!$D$27-Input!$D$29)*4),0),Tariff!S53)</f>
        <v>0</v>
      </c>
      <c r="T54" s="160">
        <f>MIN(IF(EDATE(Input!$D$18,Input!$D$29)&lt;EDATE(Tariff!T4,-3),Tariff!$D$48/((Input!$D$27-Input!$D$29)*4),0),Tariff!T53)</f>
        <v>0</v>
      </c>
      <c r="U54" s="160">
        <f>MIN(IF(EDATE(Input!$D$18,Input!$D$29)&lt;EDATE(Tariff!U4,-3),Tariff!$D$48/((Input!$D$27-Input!$D$29)*4),0),Tariff!U53)</f>
        <v>0</v>
      </c>
      <c r="V54" s="160">
        <f>MIN(IF(EDATE(Input!$D$18,Input!$D$29)&lt;EDATE(Tariff!V4,-3),Tariff!$D$48/((Input!$D$27-Input!$D$29)*4),0),Tariff!V53)</f>
        <v>0</v>
      </c>
      <c r="W54" s="160">
        <f>MIN(IF(EDATE(Input!$D$18,Input!$D$29)&lt;EDATE(Tariff!W4,-3),Tariff!$D$48/((Input!$D$27-Input!$D$29)*4),0),Tariff!W53)</f>
        <v>0</v>
      </c>
      <c r="X54" s="160">
        <f>MIN(IF(EDATE(Input!$D$18,Input!$D$29)&lt;EDATE(Tariff!X4,-3),Tariff!$D$48/((Input!$D$27-Input!$D$29)*4),0),Tariff!X53)</f>
        <v>0</v>
      </c>
      <c r="Y54" s="160">
        <f>MIN(IF(EDATE(Input!$D$18,Input!$D$29)&lt;EDATE(Tariff!Y4,-3),Tariff!$D$48/((Input!$D$27-Input!$D$29)*4),0),Tariff!Y53)</f>
        <v>0</v>
      </c>
      <c r="Z54" s="160">
        <f>MIN(IF(EDATE(Input!$D$18,Input!$D$29)&lt;EDATE(Tariff!Z4,-3),Tariff!$D$48/((Input!$D$27-Input!$D$29)*4),0),Tariff!Z53)</f>
        <v>0</v>
      </c>
      <c r="AA54" s="160">
        <f>MIN(IF(EDATE(Input!$D$18,Input!$D$29)&lt;EDATE(Tariff!AA4,-3),Tariff!$D$48/((Input!$D$27-Input!$D$29)*4),0),Tariff!AA53)</f>
        <v>0</v>
      </c>
      <c r="AB54" s="160">
        <f>MIN(IF(EDATE(Input!$D$18,Input!$D$29)&lt;EDATE(Tariff!AB4,-3),Tariff!$D$48/((Input!$D$27-Input!$D$29)*4),0),Tariff!AB53)</f>
        <v>0</v>
      </c>
      <c r="AC54" s="160">
        <f>MIN(IF(EDATE(Input!$D$18,Input!$D$29)&lt;EDATE(Tariff!AC4,-3),Tariff!$D$48/((Input!$D$27-Input!$D$29)*4),0),Tariff!AC53)</f>
        <v>0</v>
      </c>
    </row>
    <row r="55" spans="1:29" s="266" customFormat="1" ht="14.1" customHeight="1">
      <c r="A55" s="277"/>
      <c r="B55" s="278" t="s">
        <v>154</v>
      </c>
      <c r="C55" s="279" t="s">
        <v>116</v>
      </c>
      <c r="D55" s="280"/>
      <c r="E55" s="160">
        <f t="shared" ref="E55:AC55" si="19">E53-E54</f>
        <v>871.63043478260875</v>
      </c>
      <c r="F55" s="160">
        <f t="shared" si="19"/>
        <v>794.15217391304373</v>
      </c>
      <c r="G55" s="160">
        <f t="shared" si="19"/>
        <v>716.67391304347871</v>
      </c>
      <c r="H55" s="160">
        <f t="shared" si="19"/>
        <v>639.19565217391369</v>
      </c>
      <c r="I55" s="160">
        <f t="shared" si="19"/>
        <v>561.71739130434867</v>
      </c>
      <c r="J55" s="160">
        <f t="shared" si="19"/>
        <v>484.23913043478353</v>
      </c>
      <c r="K55" s="160">
        <f t="shared" si="19"/>
        <v>406.76086956521829</v>
      </c>
      <c r="L55" s="160">
        <f t="shared" si="19"/>
        <v>329.28260869565304</v>
      </c>
      <c r="M55" s="160">
        <f t="shared" si="19"/>
        <v>251.80434782608779</v>
      </c>
      <c r="N55" s="160">
        <f t="shared" si="19"/>
        <v>174.32608695652254</v>
      </c>
      <c r="O55" s="160">
        <f t="shared" si="19"/>
        <v>96.847826086957298</v>
      </c>
      <c r="P55" s="160">
        <f t="shared" si="19"/>
        <v>19.369565217392072</v>
      </c>
      <c r="Q55" s="160">
        <f t="shared" si="19"/>
        <v>0</v>
      </c>
      <c r="R55" s="160">
        <f t="shared" si="19"/>
        <v>0</v>
      </c>
      <c r="S55" s="160">
        <f t="shared" si="19"/>
        <v>0</v>
      </c>
      <c r="T55" s="160">
        <f t="shared" si="19"/>
        <v>0</v>
      </c>
      <c r="U55" s="160">
        <f t="shared" si="19"/>
        <v>0</v>
      </c>
      <c r="V55" s="160">
        <f t="shared" si="19"/>
        <v>0</v>
      </c>
      <c r="W55" s="160">
        <f t="shared" si="19"/>
        <v>0</v>
      </c>
      <c r="X55" s="160">
        <f t="shared" si="19"/>
        <v>0</v>
      </c>
      <c r="Y55" s="160">
        <f t="shared" si="19"/>
        <v>0</v>
      </c>
      <c r="Z55" s="160">
        <f t="shared" si="19"/>
        <v>0</v>
      </c>
      <c r="AA55" s="160">
        <f t="shared" si="19"/>
        <v>0</v>
      </c>
      <c r="AB55" s="160">
        <f t="shared" si="19"/>
        <v>0</v>
      </c>
      <c r="AC55" s="160">
        <f t="shared" si="19"/>
        <v>0</v>
      </c>
    </row>
    <row r="56" spans="1:29" s="266" customFormat="1" ht="14.1" customHeight="1">
      <c r="A56" s="277"/>
      <c r="B56" s="278" t="s">
        <v>155</v>
      </c>
      <c r="C56" s="279" t="s">
        <v>116</v>
      </c>
      <c r="D56" s="280"/>
      <c r="E56" s="160">
        <f>MIN(IF(EDATE(Input!$D$18,Input!$D$29)&lt;EDATE(Tariff!E4,0),Tariff!$D$48/((Input!$D$27*4-Input!$D$29/3)),0),Tariff!E55)</f>
        <v>19.369565217391305</v>
      </c>
      <c r="F56" s="160">
        <f>MIN(IF(EDATE(Input!$D$18,Input!$D$29)&lt;EDATE(Tariff!F4,0),Tariff!$D$48/((Input!$D$27*4-Input!$D$29/3)),0),Tariff!F55)</f>
        <v>19.369565217391305</v>
      </c>
      <c r="G56" s="160">
        <f>MIN(IF(EDATE(Input!$D$18,Input!$D$29)&lt;EDATE(Tariff!G4,0),Tariff!$D$48/((Input!$D$27*4-Input!$D$29/3)),0),Tariff!G55)</f>
        <v>19.369565217391305</v>
      </c>
      <c r="H56" s="160">
        <f>MIN(IF(EDATE(Input!$D$18,Input!$D$29)&lt;EDATE(Tariff!H4,0),Tariff!$D$48/((Input!$D$27*4-Input!$D$29/3)),0),Tariff!H55)</f>
        <v>19.369565217391305</v>
      </c>
      <c r="I56" s="160">
        <f>MIN(IF(EDATE(Input!$D$18,Input!$D$29)&lt;EDATE(Tariff!I4,0),Tariff!$D$48/((Input!$D$27*4-Input!$D$29/3)),0),Tariff!I55)</f>
        <v>19.369565217391305</v>
      </c>
      <c r="J56" s="160">
        <f>MIN(IF(EDATE(Input!$D$18,Input!$D$29)&lt;EDATE(Tariff!J4,0),Tariff!$D$48/((Input!$D$27*4-Input!$D$29/3)),0),Tariff!J55)</f>
        <v>19.369565217391305</v>
      </c>
      <c r="K56" s="160">
        <f>MIN(IF(EDATE(Input!$D$18,Input!$D$29)&lt;EDATE(Tariff!K4,0),Tariff!$D$48/((Input!$D$27*4-Input!$D$29/3)),0),Tariff!K55)</f>
        <v>19.369565217391305</v>
      </c>
      <c r="L56" s="160">
        <f>MIN(IF(EDATE(Input!$D$18,Input!$D$29)&lt;EDATE(Tariff!L4,0),Tariff!$D$48/((Input!$D$27*4-Input!$D$29/3)),0),Tariff!L55)</f>
        <v>19.369565217391305</v>
      </c>
      <c r="M56" s="160">
        <f>MIN(IF(EDATE(Input!$D$18,Input!$D$29)&lt;EDATE(Tariff!M4,0),Tariff!$D$48/((Input!$D$27*4-Input!$D$29/3)),0),Tariff!M55)</f>
        <v>19.369565217391305</v>
      </c>
      <c r="N56" s="160">
        <f>MIN(IF(EDATE(Input!$D$18,Input!$D$29)&lt;EDATE(Tariff!N4,0),Tariff!$D$48/((Input!$D$27*4-Input!$D$29/3)),0),Tariff!N55)</f>
        <v>19.369565217391305</v>
      </c>
      <c r="O56" s="160">
        <f>MIN(IF(EDATE(Input!$D$18,Input!$D$29)&lt;EDATE(Tariff!O4,0),Tariff!$D$48/((Input!$D$27*4-Input!$D$29/3)),0),Tariff!O55)</f>
        <v>19.369565217391305</v>
      </c>
      <c r="P56" s="160">
        <f>MIN(IF(EDATE(Input!$D$18,Input!$D$29)&lt;EDATE(Tariff!P4,0),Tariff!$D$48/((Input!$D$27*4-Input!$D$29/3)),0),Tariff!P55)</f>
        <v>19.369565217391305</v>
      </c>
      <c r="Q56" s="160">
        <f>MIN(IF(EDATE(Input!$D$18,Input!$D$29)&lt;EDATE(Tariff!Q4,0),Tariff!$D$48/((Input!$D$27-Input!$D$29)*4),0),Tariff!Q55)</f>
        <v>0</v>
      </c>
      <c r="R56" s="160">
        <f>MIN(IF(EDATE(Input!$D$18,Input!$D$29)&lt;EDATE(Tariff!R4,0),Tariff!$D$48/((Input!$D$27-Input!$D$29)*4),0),Tariff!R55)</f>
        <v>0</v>
      </c>
      <c r="S56" s="160">
        <f>MIN(IF(EDATE(Input!$D$18,Input!$D$29)&lt;EDATE(Tariff!S4,0),Tariff!$D$48/((Input!$D$27-Input!$D$29)*4),0),Tariff!S55)</f>
        <v>0</v>
      </c>
      <c r="T56" s="160">
        <f>MIN(IF(EDATE(Input!$D$18,Input!$D$29)&lt;EDATE(Tariff!T4,0),Tariff!$D$48/((Input!$D$27-Input!$D$29)*4),0),Tariff!T55)</f>
        <v>0</v>
      </c>
      <c r="U56" s="160">
        <f>MIN(IF(EDATE(Input!$D$18,Input!$D$29)&lt;EDATE(Tariff!U4,0),Tariff!$D$48/((Input!$D$27-Input!$D$29)*4),0),Tariff!U55)</f>
        <v>0</v>
      </c>
      <c r="V56" s="160">
        <f>MIN(IF(EDATE(Input!$D$18,Input!$D$29)&lt;EDATE(Tariff!V4,0),Tariff!$D$48/((Input!$D$27-Input!$D$29)*4),0),Tariff!V55)</f>
        <v>0</v>
      </c>
      <c r="W56" s="160">
        <f>MIN(IF(EDATE(Input!$D$18,Input!$D$29)&lt;EDATE(Tariff!W4,0),Tariff!$D$48/((Input!$D$27-Input!$D$29)*4),0),Tariff!W55)</f>
        <v>0</v>
      </c>
      <c r="X56" s="160">
        <f>MIN(IF(EDATE(Input!$D$18,Input!$D$29)&lt;EDATE(Tariff!X4,0),Tariff!$D$48/((Input!$D$27-Input!$D$29)*4),0),Tariff!X55)</f>
        <v>0</v>
      </c>
      <c r="Y56" s="160">
        <f>MIN(IF(EDATE(Input!$D$18,Input!$D$29)&lt;EDATE(Tariff!Y4,0),Tariff!$D$48/((Input!$D$27-Input!$D$29)*4),0),Tariff!Y55)</f>
        <v>0</v>
      </c>
      <c r="Z56" s="160">
        <f>MIN(IF(EDATE(Input!$D$18,Input!$D$29)&lt;EDATE(Tariff!Z4,0),Tariff!$D$48/((Input!$D$27-Input!$D$29)*4),0),Tariff!Z55)</f>
        <v>0</v>
      </c>
      <c r="AA56" s="160">
        <f>MIN(IF(EDATE(Input!$D$18,Input!$D$29)&lt;EDATE(Tariff!AA4,0),Tariff!$D$48/((Input!$D$27-Input!$D$29)*4),0),Tariff!AA55)</f>
        <v>0</v>
      </c>
      <c r="AB56" s="160">
        <f>MIN(IF(EDATE(Input!$D$18,Input!$D$29)&lt;EDATE(Tariff!AB4,0),Tariff!$D$48/((Input!$D$27-Input!$D$29)*4),0),Tariff!AB55)</f>
        <v>0</v>
      </c>
      <c r="AC56" s="160">
        <f>MIN(IF(EDATE(Input!$D$18,Input!$D$29)&lt;EDATE(Tariff!AC4,0),Tariff!$D$48/((Input!$D$27-Input!$D$29)*4),0),Tariff!AC55)</f>
        <v>0</v>
      </c>
    </row>
    <row r="57" spans="1:29" s="266" customFormat="1" ht="14.1" customHeight="1">
      <c r="A57" s="277"/>
      <c r="B57" s="278" t="s">
        <v>54</v>
      </c>
      <c r="C57" s="279" t="s">
        <v>116</v>
      </c>
      <c r="D57" s="280"/>
      <c r="E57" s="160">
        <f>IF(E55-E56&lt;1,0,E55-E56)</f>
        <v>852.26086956521749</v>
      </c>
      <c r="F57" s="160">
        <f t="shared" ref="F57:AC57" si="20">IF(F55-F56&lt;1,0,F55-F56)</f>
        <v>774.78260869565247</v>
      </c>
      <c r="G57" s="160">
        <f t="shared" si="20"/>
        <v>697.30434782608745</v>
      </c>
      <c r="H57" s="160">
        <f t="shared" si="20"/>
        <v>619.82608695652243</v>
      </c>
      <c r="I57" s="160">
        <f t="shared" si="20"/>
        <v>542.34782608695741</v>
      </c>
      <c r="J57" s="160">
        <f t="shared" si="20"/>
        <v>464.86956521739222</v>
      </c>
      <c r="K57" s="160">
        <f t="shared" si="20"/>
        <v>387.39130434782697</v>
      </c>
      <c r="L57" s="160">
        <f t="shared" si="20"/>
        <v>309.91304347826173</v>
      </c>
      <c r="M57" s="160">
        <f t="shared" si="20"/>
        <v>232.43478260869648</v>
      </c>
      <c r="N57" s="160">
        <f t="shared" si="20"/>
        <v>154.95652173913123</v>
      </c>
      <c r="O57" s="160">
        <f t="shared" si="20"/>
        <v>77.478260869565986</v>
      </c>
      <c r="P57" s="160">
        <f t="shared" si="20"/>
        <v>0</v>
      </c>
      <c r="Q57" s="160">
        <f t="shared" si="20"/>
        <v>0</v>
      </c>
      <c r="R57" s="160">
        <f t="shared" si="20"/>
        <v>0</v>
      </c>
      <c r="S57" s="160">
        <f t="shared" si="20"/>
        <v>0</v>
      </c>
      <c r="T57" s="160">
        <f t="shared" si="20"/>
        <v>0</v>
      </c>
      <c r="U57" s="160">
        <f t="shared" si="20"/>
        <v>0</v>
      </c>
      <c r="V57" s="160">
        <f t="shared" si="20"/>
        <v>0</v>
      </c>
      <c r="W57" s="160">
        <f t="shared" si="20"/>
        <v>0</v>
      </c>
      <c r="X57" s="160">
        <f t="shared" si="20"/>
        <v>0</v>
      </c>
      <c r="Y57" s="160">
        <f t="shared" si="20"/>
        <v>0</v>
      </c>
      <c r="Z57" s="160">
        <f t="shared" si="20"/>
        <v>0</v>
      </c>
      <c r="AA57" s="160">
        <f t="shared" si="20"/>
        <v>0</v>
      </c>
      <c r="AB57" s="160">
        <f t="shared" si="20"/>
        <v>0</v>
      </c>
      <c r="AC57" s="160">
        <f t="shared" si="20"/>
        <v>0</v>
      </c>
    </row>
    <row r="58" spans="1:29" s="266" customFormat="1" ht="14.1" customHeight="1">
      <c r="A58" s="277"/>
      <c r="B58" s="278" t="s">
        <v>159</v>
      </c>
      <c r="C58" s="279" t="s">
        <v>116</v>
      </c>
      <c r="D58" s="283"/>
      <c r="E58" s="284">
        <f>E49*Input!$D$28*MAX(0,MIN(90,$A$50-$E$3))/360+E51*Input!$D$28*MAX(0,MIN(90,$A$52-E3))/360+E53*Input!$D$28*MAX(0,MIN(90,$A$54-$E$3))/360+E55*Input!$D$28*MAX(0,MIN(90,$E$4-$E$3))/360</f>
        <v>115.20048913043479</v>
      </c>
      <c r="F58" s="284">
        <f>(F49+F51+F53+F55)*Input!$D$28/4</f>
        <v>107.016847826087</v>
      </c>
      <c r="G58" s="284">
        <f>(G49+G51+G53+G55)*Input!$D$28/4</f>
        <v>96.944673913043545</v>
      </c>
      <c r="H58" s="284">
        <f>(H49+H51+H53+H55)*Input!$D$28/4</f>
        <v>86.872500000000073</v>
      </c>
      <c r="I58" s="284">
        <f>(I49+I51+I53+I55)*Input!$D$28/4</f>
        <v>76.80032608695663</v>
      </c>
      <c r="J58" s="284">
        <f>(J49+J51+J53+J55)*Input!$D$28/4</f>
        <v>66.728152173913173</v>
      </c>
      <c r="K58" s="284">
        <f>(K49+K51+K53+K55)*Input!$D$28/4</f>
        <v>56.655978260869688</v>
      </c>
      <c r="L58" s="284">
        <f>(L49+L51+L53+L55)*Input!$D$28/4</f>
        <v>46.583804347826209</v>
      </c>
      <c r="M58" s="284">
        <f>(M49+M51+M53+M55)*Input!$D$28/4</f>
        <v>36.511630434782724</v>
      </c>
      <c r="N58" s="284">
        <f>(N49+N51+N53+N55)*Input!$D$28/4</f>
        <v>26.439456521739238</v>
      </c>
      <c r="O58" s="284">
        <f>(O49+O51+O53+O55)*Input!$D$28/4</f>
        <v>16.367282608695756</v>
      </c>
      <c r="P58" s="284">
        <f>(P49+P51+P53+P55)*Input!$D$28/4</f>
        <v>6.2951086956522735</v>
      </c>
      <c r="Q58" s="284">
        <f>(Q49+Q51+Q53+Q55)*Input!$D$28/4</f>
        <v>0</v>
      </c>
      <c r="R58" s="284">
        <f>(R49+R51+R53+R55)*Input!$D$28/4</f>
        <v>0</v>
      </c>
      <c r="S58" s="284">
        <f>(S49+S51+S53+S55)*Input!$D$28/4</f>
        <v>0</v>
      </c>
      <c r="T58" s="284">
        <f>(T49+T51+T53+T55)*Input!$D$28/4</f>
        <v>0</v>
      </c>
      <c r="U58" s="284">
        <f>(U49+U51+U53+U55)*Input!$D$28/4</f>
        <v>0</v>
      </c>
      <c r="V58" s="284">
        <f>(V49+V51+V53+V55)*Input!$D$28/4</f>
        <v>0</v>
      </c>
      <c r="W58" s="284">
        <f>(W49+W51+W53+W55)*Input!$D$28/4</f>
        <v>0</v>
      </c>
      <c r="X58" s="284">
        <f>(X49+X51+X53+X55)*Input!$D$28/4</f>
        <v>0</v>
      </c>
      <c r="Y58" s="284">
        <f>(Y49+Y51+Y53+Y55)*Input!$D$28/4</f>
        <v>0</v>
      </c>
      <c r="Z58" s="284">
        <f>(Z49+Z51+Z53+Z55)*Input!$D$28/4</f>
        <v>0</v>
      </c>
      <c r="AA58" s="284">
        <f>(AA49+AA51+AA53+AA55)*Input!$D$28/4</f>
        <v>0</v>
      </c>
      <c r="AB58" s="284">
        <f>(AB49+AB51+AB53+AB55)*Input!$D$28/4</f>
        <v>0</v>
      </c>
      <c r="AC58" s="284">
        <f>(AC49+AC51+AC53+AC55)*Input!$D$28/4</f>
        <v>0</v>
      </c>
    </row>
    <row r="59" spans="1:29" s="266" customFormat="1" ht="14.1" customHeight="1" thickBot="1">
      <c r="A59" s="277"/>
      <c r="B59" s="278" t="s">
        <v>160</v>
      </c>
      <c r="C59" s="279"/>
      <c r="D59" s="285"/>
      <c r="E59" s="286">
        <f t="shared" ref="E59:R59" si="21">E56+E54+E52+E50</f>
        <v>38.739130434782609</v>
      </c>
      <c r="F59" s="286">
        <f t="shared" si="21"/>
        <v>77.478260869565219</v>
      </c>
      <c r="G59" s="286">
        <f t="shared" si="21"/>
        <v>77.478260869565219</v>
      </c>
      <c r="H59" s="286">
        <f t="shared" si="21"/>
        <v>77.478260869565219</v>
      </c>
      <c r="I59" s="286">
        <f t="shared" si="21"/>
        <v>77.478260869565219</v>
      </c>
      <c r="J59" s="286">
        <f t="shared" si="21"/>
        <v>77.478260869565219</v>
      </c>
      <c r="K59" s="286">
        <f t="shared" si="21"/>
        <v>77.478260869565219</v>
      </c>
      <c r="L59" s="286">
        <f t="shared" si="21"/>
        <v>77.478260869565219</v>
      </c>
      <c r="M59" s="286">
        <f t="shared" si="21"/>
        <v>77.478260869565219</v>
      </c>
      <c r="N59" s="286">
        <f t="shared" si="21"/>
        <v>77.478260869565219</v>
      </c>
      <c r="O59" s="286">
        <f t="shared" si="21"/>
        <v>77.478260869565219</v>
      </c>
      <c r="P59" s="286">
        <f t="shared" si="21"/>
        <v>77.478260869565219</v>
      </c>
      <c r="Q59" s="286">
        <f t="shared" si="21"/>
        <v>0</v>
      </c>
      <c r="R59" s="286">
        <f t="shared" si="21"/>
        <v>0</v>
      </c>
      <c r="S59" s="286">
        <f t="shared" ref="S59:AC59" si="22">S56+S54+S52+S50</f>
        <v>0</v>
      </c>
      <c r="T59" s="286">
        <f t="shared" si="22"/>
        <v>0</v>
      </c>
      <c r="U59" s="286">
        <f t="shared" si="22"/>
        <v>0</v>
      </c>
      <c r="V59" s="286">
        <f t="shared" si="22"/>
        <v>0</v>
      </c>
      <c r="W59" s="286">
        <f t="shared" si="22"/>
        <v>0</v>
      </c>
      <c r="X59" s="286">
        <f t="shared" si="22"/>
        <v>0</v>
      </c>
      <c r="Y59" s="286">
        <f t="shared" si="22"/>
        <v>0</v>
      </c>
      <c r="Z59" s="286">
        <f t="shared" si="22"/>
        <v>0</v>
      </c>
      <c r="AA59" s="286">
        <f t="shared" si="22"/>
        <v>0</v>
      </c>
      <c r="AB59" s="286">
        <f t="shared" si="22"/>
        <v>0</v>
      </c>
      <c r="AC59" s="286">
        <f t="shared" si="22"/>
        <v>0</v>
      </c>
    </row>
    <row r="60" spans="1:29" s="266" customFormat="1" ht="14.1" customHeight="1">
      <c r="A60" s="277"/>
      <c r="B60" s="278" t="s">
        <v>164</v>
      </c>
      <c r="C60" s="279"/>
      <c r="D60" s="280"/>
      <c r="E60" s="275">
        <f>IF(SUM($D$60:D60)&gt;0,0,(SUM($E$59:E59)=$D$48)*1)</f>
        <v>0</v>
      </c>
      <c r="F60" s="275">
        <f>IF(SUM($D$60:E60)&gt;0,0,(SUM($E$59:F59)=$D$48)*1)</f>
        <v>0</v>
      </c>
      <c r="G60" s="275">
        <f>IF(SUM($D$60:F60)&gt;0,0,(SUM($E$59:G59)=$D$48)*1)</f>
        <v>0</v>
      </c>
      <c r="H60" s="275">
        <f>IF(SUM($D$60:G60)&gt;0,0,(SUM($E$59:H59)=$D$48)*1)</f>
        <v>0</v>
      </c>
      <c r="I60" s="275">
        <f>IF(SUM($D$60:H60)&gt;0,0,(SUM($E$59:I59)=$D$48)*1)</f>
        <v>0</v>
      </c>
      <c r="J60" s="275">
        <f>IF(SUM($D$60:I60)&gt;0,0,(SUM($E$59:J59)=$D$48)*1)</f>
        <v>0</v>
      </c>
      <c r="K60" s="275">
        <f>IF(SUM($D$60:J60)&gt;0,0,(SUM($E$59:K59)=$D$48)*1)</f>
        <v>0</v>
      </c>
      <c r="L60" s="275">
        <f>IF(SUM($D$60:K60)&gt;0,0,(SUM($E$59:L59)=$D$48)*1)</f>
        <v>0</v>
      </c>
      <c r="M60" s="275">
        <f>IF(SUM($D$60:L60)&gt;0,0,(SUM($E$59:M59)=$D$48)*1)</f>
        <v>0</v>
      </c>
      <c r="N60" s="275">
        <f>IF(SUM($D$60:M60)&gt;0,0,(SUM($E$59:N59)=$D$48)*1)</f>
        <v>0</v>
      </c>
      <c r="O60" s="275">
        <f>IF(SUM($D$60:N60)&gt;0,0,(SUM($E$59:O59)=$D$48)*1)</f>
        <v>0</v>
      </c>
      <c r="P60" s="275">
        <f>IF(SUM($D$60:O60)&gt;0,0,(SUM($E$59:P59)=$D$48)*1)</f>
        <v>1</v>
      </c>
      <c r="Q60" s="275">
        <f>IF(SUM($D$60:P60)&gt;0,0,(SUM($E$59:Q59)=$D$48)*1)</f>
        <v>0</v>
      </c>
      <c r="R60" s="275">
        <f>IF(SUM($D$60:Q60)&gt;0,0,(SUM($E$59:R59)=$D$48)*1)</f>
        <v>0</v>
      </c>
      <c r="S60" s="275">
        <f>IF(SUM($D$60:R60)&gt;0,0,(SUM($E$59:S59)=$D$48)*1)</f>
        <v>0</v>
      </c>
      <c r="T60" s="275">
        <f>IF(SUM($D$60:S60)&gt;0,0,(SUM($E$59:T59)=$D$48)*1)</f>
        <v>0</v>
      </c>
      <c r="U60" s="275">
        <f>IF(SUM($D$60:T60)&gt;0,0,(SUM($E$59:U59)=$D$48)*1)</f>
        <v>0</v>
      </c>
      <c r="V60" s="275">
        <f>IF(SUM($D$60:U60)&gt;0,0,(SUM($E$59:V59)=$D$48)*1)</f>
        <v>0</v>
      </c>
      <c r="W60" s="275">
        <f>IF(SUM($D$60:V60)&gt;0,0,(SUM($E$59:W59)=$D$48)*1)</f>
        <v>0</v>
      </c>
      <c r="X60" s="275">
        <f>IF(SUM($D$60:W60)&gt;0,0,(SUM($E$59:X59)=$D$48)*1)</f>
        <v>0</v>
      </c>
      <c r="Y60" s="275">
        <f>IF(SUM($D$60:X60)&gt;0,0,(SUM($E$59:Y59)=$D$48)*1)</f>
        <v>0</v>
      </c>
      <c r="Z60" s="275">
        <f>IF(SUM($D$60:Y60)&gt;0,0,(SUM($E$59:Z59)=$D$48)*1)</f>
        <v>0</v>
      </c>
      <c r="AA60" s="275">
        <f>IF(SUM($D$60:Z60)&gt;0,0,(SUM($E$59:AA59)=$D$48)*1)</f>
        <v>0</v>
      </c>
      <c r="AB60" s="275">
        <f>IF(SUM($D$60:AA60)&gt;0,0,(SUM($E$59:AB59)=$D$48)*1)</f>
        <v>0</v>
      </c>
      <c r="AC60" s="275">
        <f>IF(SUM($D$60:AB60)&gt;0,0,(SUM($E$59:AC59)=$D$48)*1)</f>
        <v>0</v>
      </c>
    </row>
    <row r="61" spans="1:29" s="266" customFormat="1" ht="14.1" customHeight="1" thickBot="1">
      <c r="A61" s="277"/>
      <c r="B61" s="287"/>
      <c r="C61" s="285"/>
      <c r="D61" s="285"/>
      <c r="E61" s="288"/>
      <c r="F61" s="285"/>
      <c r="G61" s="285"/>
      <c r="H61" s="285"/>
      <c r="I61" s="285"/>
      <c r="J61" s="285"/>
      <c r="K61" s="285"/>
      <c r="L61" s="285"/>
      <c r="M61" s="285"/>
      <c r="N61" s="285"/>
      <c r="O61" s="285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</row>
    <row r="62" spans="1:29" s="266" customFormat="1" ht="14.1" customHeight="1">
      <c r="B62" s="280"/>
      <c r="C62" s="280"/>
      <c r="D62" s="280"/>
      <c r="E62" s="275"/>
      <c r="F62" s="289"/>
      <c r="G62" s="280"/>
      <c r="H62" s="280"/>
      <c r="I62" s="280"/>
      <c r="J62" s="280"/>
      <c r="K62" s="280"/>
      <c r="L62" s="280"/>
      <c r="M62" s="280"/>
      <c r="N62" s="280"/>
      <c r="O62" s="280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  <c r="AB62" s="275"/>
      <c r="AC62" s="275"/>
    </row>
    <row r="63" spans="1:29" s="266" customFormat="1" ht="14.1" customHeight="1" thickBot="1">
      <c r="B63" s="280"/>
      <c r="C63" s="280"/>
      <c r="D63" s="280"/>
      <c r="E63" s="275"/>
      <c r="F63" s="289"/>
      <c r="G63" s="280"/>
      <c r="H63" s="280"/>
      <c r="I63" s="280"/>
      <c r="J63" s="280"/>
      <c r="K63" s="280"/>
      <c r="L63" s="280"/>
      <c r="M63" s="280"/>
      <c r="N63" s="280"/>
      <c r="O63" s="280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  <c r="AA63" s="275"/>
      <c r="AB63" s="275"/>
      <c r="AC63" s="275"/>
    </row>
    <row r="64" spans="1:29" s="266" customFormat="1" ht="14.1" customHeight="1">
      <c r="B64" s="268" t="s">
        <v>156</v>
      </c>
      <c r="C64" s="269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</row>
    <row r="65" spans="2:29" s="266" customFormat="1" ht="14.1" customHeight="1">
      <c r="B65" s="290" t="s">
        <v>29</v>
      </c>
      <c r="C65" s="279" t="s">
        <v>116</v>
      </c>
      <c r="D65" s="280"/>
      <c r="E65" s="160">
        <f ca="1">(E9*E26/10)*Input!$D$76/MAX(E5,1)</f>
        <v>113.19578107564114</v>
      </c>
      <c r="F65" s="160">
        <f ca="1">(F9*F26/10)*Input!$D$76/MAX(F5,1)</f>
        <v>118.46076413148474</v>
      </c>
      <c r="G65" s="160">
        <f ca="1">(G9*G26/10)*Input!$D$76/MAX(G5,1)</f>
        <v>117.11516270934465</v>
      </c>
      <c r="H65" s="160">
        <f ca="1">(H9*H26/10)*Input!$D$76/MAX(H5,1)</f>
        <v>115.68639973130072</v>
      </c>
      <c r="I65" s="160">
        <f ca="1">(I9*I26/10)*Input!$D$76/MAX(I5,1)</f>
        <v>114.26829897325355</v>
      </c>
      <c r="J65" s="160">
        <f ca="1">(J9*J26/10)*Input!$D$76/MAX(J5,1)</f>
        <v>112.78645158380951</v>
      </c>
      <c r="K65" s="160">
        <f ca="1">(K9*K26/10)*Input!$D$76/MAX(K5,1)</f>
        <v>111.46588305768655</v>
      </c>
      <c r="L65" s="160">
        <f ca="1">(L9*L26/10)*Input!$D$76/MAX(L5,1)</f>
        <v>110.08251547205887</v>
      </c>
      <c r="M65" s="160">
        <f ca="1">(M9*M26/10)*Input!$D$76/MAX(M5,1)</f>
        <v>108.71170693338226</v>
      </c>
      <c r="N65" s="160">
        <f ca="1">(N9*N26/10)*Input!$D$76/MAX(N5,1)</f>
        <v>107.29761260027281</v>
      </c>
      <c r="O65" s="160">
        <f ca="1">(O9*O26/10)*Input!$D$76/MAX(O5,1)</f>
        <v>107.58856226217625</v>
      </c>
      <c r="P65" s="160">
        <f ca="1">(P9*P26/10)*Input!$D$76/MAX(P5,1)</f>
        <v>106.25867602160453</v>
      </c>
      <c r="Q65" s="160">
        <f ca="1">(Q9*Q26/10)*Input!$D$76/MAX(Q5,1)</f>
        <v>96.327081730186123</v>
      </c>
      <c r="R65" s="160">
        <f ca="1">(R9*R26/10)*Input!$D$76/MAX(R5,1)</f>
        <v>96.696271190776329</v>
      </c>
      <c r="S65" s="160">
        <f ca="1">(S9*S26/10)*Input!$D$76/MAX(S5,1)</f>
        <v>97.119029799913676</v>
      </c>
      <c r="T65" s="160">
        <f ca="1">(T9*T26/10)*Input!$D$76/MAX(T5,1)</f>
        <v>97.539785238131699</v>
      </c>
      <c r="U65" s="160">
        <f ca="1">(U9*U26/10)*Input!$D$76/MAX(U5,1)</f>
        <v>97.977991941024129</v>
      </c>
      <c r="V65" s="160">
        <f ca="1">(V9*V26/10)*Input!$D$76/MAX(V5,1)</f>
        <v>98.415154445057539</v>
      </c>
      <c r="W65" s="160">
        <f ca="1">(W9*W26/10)*Input!$D$76/MAX(W5,1)</f>
        <v>98.909732042801423</v>
      </c>
      <c r="X65" s="160">
        <f ca="1">(X9*X26/10)*Input!$D$76/MAX(X5,1)</f>
        <v>99.404832413515251</v>
      </c>
      <c r="Y65" s="160">
        <f ca="1">(Y9*Y26/10)*Input!$D$76/MAX(Y5,1)</f>
        <v>0</v>
      </c>
      <c r="Z65" s="160">
        <f ca="1">(Z9*Z26/10)*Input!$D$76/MAX(Z5,1)</f>
        <v>0</v>
      </c>
      <c r="AA65" s="160">
        <f ca="1">(AA9*AA26/10)*Input!$D$76/MAX(AA5,1)</f>
        <v>0</v>
      </c>
      <c r="AB65" s="160">
        <f ca="1">(AB9*AB26/10)*Input!$D$76/MAX(AB5,1)</f>
        <v>0</v>
      </c>
      <c r="AC65" s="160">
        <f ca="1">(AC9*AC26/10)*Input!$D$76/MAX(AC5,1)</f>
        <v>0</v>
      </c>
    </row>
    <row r="66" spans="2:29" s="266" customFormat="1" ht="14.1" customHeight="1">
      <c r="B66" s="290" t="s">
        <v>30</v>
      </c>
      <c r="C66" s="279" t="s">
        <v>116</v>
      </c>
      <c r="D66" s="280"/>
      <c r="E66" s="275">
        <f>Input!$D$77*Input!$D$10*(E5&gt;=0)</f>
        <v>11.88</v>
      </c>
      <c r="F66" s="275">
        <f>E66*(1+Input!$D$78)*(F5&gt;0)</f>
        <v>12.592800000000002</v>
      </c>
      <c r="G66" s="275">
        <f>F66*(1+Input!$D$78)*(G5&gt;0)</f>
        <v>13.348368000000002</v>
      </c>
      <c r="H66" s="275">
        <f>G66*(1+Input!$D$78)*(H5&gt;0)</f>
        <v>14.149270080000003</v>
      </c>
      <c r="I66" s="275">
        <f>H66*(1+Input!$D$78)*(I5&gt;0)</f>
        <v>14.998226284800003</v>
      </c>
      <c r="J66" s="275">
        <f>I66*(1+Input!$D$78)*(J5&gt;0)</f>
        <v>15.898119861888004</v>
      </c>
      <c r="K66" s="275">
        <f>J66*(1+Input!$D$78)*(K5&gt;0)</f>
        <v>16.852007053601284</v>
      </c>
      <c r="L66" s="275">
        <f>K66*(1+Input!$D$78)*(L5&gt;0)</f>
        <v>17.863127476817361</v>
      </c>
      <c r="M66" s="275">
        <f>L66*(1+Input!$D$78)*(M5&gt;0)</f>
        <v>18.934915125426404</v>
      </c>
      <c r="N66" s="275">
        <f>M66*(1+Input!$D$78)*(N5&gt;0)</f>
        <v>20.071010032951989</v>
      </c>
      <c r="O66" s="275">
        <f>N66*(1+Input!$D$78)*(O5&gt;0)</f>
        <v>21.275270634929111</v>
      </c>
      <c r="P66" s="275">
        <f>O66*(1+Input!$D$78)*(P5&gt;0)</f>
        <v>22.551786873024859</v>
      </c>
      <c r="Q66" s="275">
        <f>P66*(1+Input!$D$78)*(Q5&gt;0)</f>
        <v>23.904894085406351</v>
      </c>
      <c r="R66" s="275">
        <f>Q66*(1+Input!$D$78)*(R5&gt;0)</f>
        <v>25.339187730530732</v>
      </c>
      <c r="S66" s="275">
        <f>R66*(1+Input!$D$78)*(S5&gt;0)</f>
        <v>26.859538994362577</v>
      </c>
      <c r="T66" s="275">
        <f>S66*(1+Input!$D$78)*(T5&gt;0)</f>
        <v>28.471111334024332</v>
      </c>
      <c r="U66" s="275">
        <f>T66*(1+Input!$D$78)*(U5&gt;0)</f>
        <v>30.179378014065794</v>
      </c>
      <c r="V66" s="275">
        <f>U66*(1+Input!$D$78)*(V5&gt;0)</f>
        <v>31.990140694909744</v>
      </c>
      <c r="W66" s="275">
        <f>V66*(1+Input!$D$78)*(W5&gt;0)</f>
        <v>33.909549136604333</v>
      </c>
      <c r="X66" s="275">
        <f>W66*(1+Input!$D$78)*(X5&gt;0)</f>
        <v>35.944122084800597</v>
      </c>
      <c r="Y66" s="275">
        <f>X66*(1+Input!$D$78)*(Y5&gt;0)</f>
        <v>0</v>
      </c>
      <c r="Z66" s="275">
        <f>Y66*(1+Input!$D$78)*(Z5&gt;0)</f>
        <v>0</v>
      </c>
      <c r="AA66" s="275">
        <f>Z66*(1+Input!$D$78)*(AA5&gt;0)</f>
        <v>0</v>
      </c>
      <c r="AB66" s="275">
        <f>AA66*(1+Input!$D$78)*(AB5&gt;0)</f>
        <v>0</v>
      </c>
      <c r="AC66" s="275">
        <f>AB66*(1+Input!$D$78)*(AC5&gt;0)</f>
        <v>0</v>
      </c>
    </row>
    <row r="67" spans="2:29" s="266" customFormat="1" ht="14.1" customHeight="1">
      <c r="B67" s="290" t="s">
        <v>32</v>
      </c>
      <c r="C67" s="279" t="s">
        <v>116</v>
      </c>
      <c r="D67" s="280"/>
      <c r="E67" s="275">
        <f>E35*Input!$D$79/MAX(E5,1)</f>
        <v>35.859539150811436</v>
      </c>
      <c r="F67" s="275">
        <f>F35*Input!$D$79/MAX(F5,1)</f>
        <v>35.859539150811436</v>
      </c>
      <c r="G67" s="275">
        <f>G35*Input!$D$79/MAX(G5,1)</f>
        <v>35.859539150811436</v>
      </c>
      <c r="H67" s="275">
        <f>H35*Input!$D$79/MAX(H5,1)</f>
        <v>35.859539150811436</v>
      </c>
      <c r="I67" s="275">
        <f>I35*Input!$D$79/MAX(I5,1)</f>
        <v>35.859539150811436</v>
      </c>
      <c r="J67" s="275">
        <f>J35*Input!$D$79/MAX(J5,1)</f>
        <v>35.859539150811436</v>
      </c>
      <c r="K67" s="275">
        <f>K35*Input!$D$79/MAX(K5,1)</f>
        <v>35.859539150811436</v>
      </c>
      <c r="L67" s="275">
        <f>L35*Input!$D$79/MAX(L5,1)</f>
        <v>35.859539150811436</v>
      </c>
      <c r="M67" s="275">
        <f>M35*Input!$D$79/MAX(M5,1)</f>
        <v>35.859539150811436</v>
      </c>
      <c r="N67" s="275">
        <f>N35*Input!$D$79/MAX(N5,1)</f>
        <v>35.859539150811436</v>
      </c>
      <c r="O67" s="275">
        <f>O35*Input!$D$79/MAX(O5,1)</f>
        <v>35.859539150811436</v>
      </c>
      <c r="P67" s="275">
        <f>P35*Input!$D$79/MAX(P5,1)</f>
        <v>35.859539150811436</v>
      </c>
      <c r="Q67" s="275">
        <f>Q35*Input!$D$79/MAX(Q5,1)</f>
        <v>35.859539150811436</v>
      </c>
      <c r="R67" s="275">
        <f>R35*Input!$D$79/MAX(R5,1)</f>
        <v>35.859539150811436</v>
      </c>
      <c r="S67" s="275">
        <f>S35*Input!$D$79/MAX(S5,1)</f>
        <v>35.859539150811436</v>
      </c>
      <c r="T67" s="275">
        <f>T35*Input!$D$79/MAX(T5,1)</f>
        <v>35.859539150811436</v>
      </c>
      <c r="U67" s="275">
        <f>U35*Input!$D$79/MAX(U5,1)</f>
        <v>35.859539150811436</v>
      </c>
      <c r="V67" s="275">
        <f>V35*Input!$D$79/MAX(V5,1)</f>
        <v>35.859539150811436</v>
      </c>
      <c r="W67" s="275">
        <f>W35*Input!$D$79/MAX(W5,1)</f>
        <v>35.859539150811436</v>
      </c>
      <c r="X67" s="275">
        <f>X35*Input!$D$79/MAX(X5,1)</f>
        <v>35.859539150811436</v>
      </c>
      <c r="Y67" s="275">
        <f>Y35*Input!$D$79/MAX(Y5,1)</f>
        <v>0</v>
      </c>
      <c r="Z67" s="275">
        <f>Z35*Input!$D$79/MAX(Z5,1)</f>
        <v>0</v>
      </c>
      <c r="AA67" s="275">
        <f>AA35*Input!$D$79/MAX(AA5,1)</f>
        <v>0</v>
      </c>
      <c r="AB67" s="275">
        <f>AB35*Input!$D$79/MAX(AB5,1)</f>
        <v>0</v>
      </c>
      <c r="AC67" s="275">
        <f>AC35*Input!$D$79/MAX(AC5,1)</f>
        <v>0</v>
      </c>
    </row>
    <row r="68" spans="2:29" s="266" customFormat="1" ht="14.1" customHeight="1">
      <c r="B68" s="290" t="s">
        <v>73</v>
      </c>
      <c r="C68" s="279" t="s">
        <v>116</v>
      </c>
      <c r="D68" s="280"/>
      <c r="E68" s="275">
        <f>E43*Input!$D$80/MAX(E5,1)</f>
        <v>0</v>
      </c>
      <c r="F68" s="275">
        <f>F43*Input!$D$80/MAX(F5,1)</f>
        <v>0</v>
      </c>
      <c r="G68" s="275">
        <f>G43*Input!$D$80/MAX(G5,1)</f>
        <v>0</v>
      </c>
      <c r="H68" s="275">
        <f>H43*Input!$D$80/MAX(H5,1)</f>
        <v>0</v>
      </c>
      <c r="I68" s="275">
        <f>I43*Input!$D$80/MAX(I5,1)</f>
        <v>0</v>
      </c>
      <c r="J68" s="275">
        <f>J43*Input!$D$80/MAX(J5,1)</f>
        <v>0</v>
      </c>
      <c r="K68" s="275">
        <f>K43*Input!$D$80/MAX(K5,1)</f>
        <v>0</v>
      </c>
      <c r="L68" s="275">
        <f>L43*Input!$D$80/MAX(L5,1)</f>
        <v>0</v>
      </c>
      <c r="M68" s="275">
        <f>M43*Input!$D$80/MAX(M5,1)</f>
        <v>0</v>
      </c>
      <c r="N68" s="275">
        <f>N43*Input!$D$80/MAX(N5,1)</f>
        <v>0</v>
      </c>
      <c r="O68" s="275">
        <f>O43*Input!$D$80/MAX(O5,1)</f>
        <v>0</v>
      </c>
      <c r="P68" s="275">
        <f>P43*Input!$D$80/MAX(P5,1)</f>
        <v>0</v>
      </c>
      <c r="Q68" s="275">
        <f>Q43*Input!$D$80/MAX(Q5,1)</f>
        <v>0</v>
      </c>
      <c r="R68" s="275">
        <f>R43*Input!$D$80/MAX(R5,1)</f>
        <v>0</v>
      </c>
      <c r="S68" s="275">
        <f>S43*Input!$D$80/MAX(S5,1)</f>
        <v>0</v>
      </c>
      <c r="T68" s="275">
        <f>T43*Input!$D$80/MAX(T5,1)</f>
        <v>0</v>
      </c>
      <c r="U68" s="275">
        <f>U43*Input!$D$80/MAX(U5,1)</f>
        <v>0</v>
      </c>
      <c r="V68" s="275">
        <f>V43*Input!$D$80/MAX(V5,1)</f>
        <v>0</v>
      </c>
      <c r="W68" s="275">
        <f>W43*Input!$D$80/MAX(W5,1)</f>
        <v>0</v>
      </c>
      <c r="X68" s="275">
        <f>X43*Input!$D$80/MAX(X5,1)</f>
        <v>0</v>
      </c>
      <c r="Y68" s="275">
        <f>Y43*Input!$D$80/MAX(Y5,1)</f>
        <v>0</v>
      </c>
      <c r="Z68" s="275">
        <f>Z43*Input!$D$80/MAX(Z5,1)</f>
        <v>0</v>
      </c>
      <c r="AA68" s="275">
        <f>AA43*Input!$D$80/MAX(AA5,1)</f>
        <v>0</v>
      </c>
      <c r="AB68" s="275">
        <f>AB43*Input!$D$80/MAX(AB5,1)</f>
        <v>0</v>
      </c>
      <c r="AC68" s="275">
        <f>AC43*Input!$D$80/MAX(AC5,1)</f>
        <v>0</v>
      </c>
    </row>
    <row r="69" spans="2:29" s="266" customFormat="1" ht="14.1" customHeight="1">
      <c r="B69" s="290" t="s">
        <v>21</v>
      </c>
      <c r="C69" s="279" t="s">
        <v>116</v>
      </c>
      <c r="D69" s="280"/>
      <c r="E69" s="275">
        <f>E19*E9*(Input!$D$81/MAX(E5,1))/10</f>
        <v>2.7340273972602738</v>
      </c>
      <c r="F69" s="275">
        <f>F19*F9*(Input!$D$81/MAX(F5,1))/10</f>
        <v>2.8433884931506843</v>
      </c>
      <c r="G69" s="275">
        <f>G19*G9*(Input!$D$81/MAX(G5,1))/10</f>
        <v>2.9571240328767119</v>
      </c>
      <c r="H69" s="275">
        <f>H19*H9*(Input!$D$81/MAX(H5,1))/10</f>
        <v>3.0754089941917804</v>
      </c>
      <c r="I69" s="275">
        <f>I19*I9*(Input!$D$81/MAX(I5,1))/10</f>
        <v>3.1984253539594532</v>
      </c>
      <c r="J69" s="275">
        <f>J19*J9*(Input!$D$81/MAX(J5,1))/10</f>
        <v>3.3263623681178309</v>
      </c>
      <c r="K69" s="275">
        <f>K19*K9*(Input!$D$81/MAX(K5,1))/10</f>
        <v>3.4594168628425437</v>
      </c>
      <c r="L69" s="275">
        <f>L19*L9*(Input!$D$81/MAX(L5,1))/10</f>
        <v>3.5977935373562451</v>
      </c>
      <c r="M69" s="275">
        <f>M19*M9*(Input!$D$81/MAX(M5,1))/10</f>
        <v>3.7417052788504961</v>
      </c>
      <c r="N69" s="275">
        <f>N19*N9*(Input!$D$81/MAX(N5,1))/10</f>
        <v>3.8913734900045163</v>
      </c>
      <c r="O69" s="275">
        <f>O19*O9*(Input!$D$81/MAX(O5,1))/10</f>
        <v>4.0470284296046959</v>
      </c>
      <c r="P69" s="275">
        <f>P19*P9*(Input!$D$81/MAX(P5,1))/10</f>
        <v>4.2089095667888845</v>
      </c>
      <c r="Q69" s="275">
        <f>Q19*Q9*(Input!$D$81/MAX(Q5,1))/10</f>
        <v>4.3772659494604413</v>
      </c>
      <c r="R69" s="275">
        <f>R19*R9*(Input!$D$81/MAX(R5,1))/10</f>
        <v>4.552356587438859</v>
      </c>
      <c r="S69" s="275">
        <f>S19*S9*(Input!$D$81/MAX(S5,1))/10</f>
        <v>4.7344508509364136</v>
      </c>
      <c r="T69" s="275">
        <f>T19*T9*(Input!$D$81/MAX(T5,1))/10</f>
        <v>4.9238288849738696</v>
      </c>
      <c r="U69" s="275">
        <f>U19*U9*(Input!$D$81/MAX(U5,1))/10</f>
        <v>5.1207820403728244</v>
      </c>
      <c r="V69" s="275">
        <f>V19*V9*(Input!$D$81/MAX(V5,1))/10</f>
        <v>5.3256133219877375</v>
      </c>
      <c r="W69" s="275">
        <f>W19*W9*(Input!$D$81/MAX(W5,1))/10</f>
        <v>5.5386378548672477</v>
      </c>
      <c r="X69" s="275">
        <f>X19*X9*(Input!$D$81/MAX(X5,1))/10</f>
        <v>5.7601833690619362</v>
      </c>
      <c r="Y69" s="275">
        <f>Y19*Y9*(Input!$D$81/MAX(Y5,1))/10</f>
        <v>0</v>
      </c>
      <c r="Z69" s="275">
        <f>Z19*Z9*(Input!$D$81/MAX(Z5,1))/10</f>
        <v>0</v>
      </c>
      <c r="AA69" s="275">
        <f>AA19*AA9*(Input!$D$81/MAX(AA5,1))/10</f>
        <v>0</v>
      </c>
      <c r="AB69" s="275">
        <f>AB19*AB9*(Input!$D$81/MAX(AB5,1))/10</f>
        <v>0</v>
      </c>
      <c r="AC69" s="275">
        <f>AC19*AC9*(Input!$D$81/MAX(AC5,1))/10</f>
        <v>0</v>
      </c>
    </row>
    <row r="70" spans="2:29" s="266" customFormat="1" ht="14.1" customHeight="1">
      <c r="B70" s="290" t="s">
        <v>33</v>
      </c>
      <c r="C70" s="279" t="s">
        <v>116</v>
      </c>
      <c r="D70" s="280"/>
      <c r="E70" s="275">
        <f ca="1">SUM(E65:E69)*Input!$D$82</f>
        <v>18.821974976726978</v>
      </c>
      <c r="F70" s="275">
        <f ca="1">SUM(F65:F69)*Input!$D$82</f>
        <v>19.52199655417639</v>
      </c>
      <c r="G70" s="275">
        <f ca="1">SUM(G65:G69)*Input!$D$82</f>
        <v>19.467222297698772</v>
      </c>
      <c r="H70" s="275">
        <f ca="1">SUM(H65:H69)*Input!$D$82</f>
        <v>19.408621064974955</v>
      </c>
      <c r="I70" s="275">
        <f ca="1">SUM(I65:I69)*Input!$D$82</f>
        <v>19.357316322724813</v>
      </c>
      <c r="J70" s="275">
        <f ca="1">SUM(J65:J69)*Input!$D$82</f>
        <v>19.30510439093208</v>
      </c>
      <c r="K70" s="275">
        <f ca="1">SUM(K65:K69)*Input!$D$82</f>
        <v>19.278237304368311</v>
      </c>
      <c r="L70" s="275">
        <f ca="1">SUM(L65:L69)*Input!$D$82</f>
        <v>19.251342198260051</v>
      </c>
      <c r="M70" s="275">
        <f ca="1">SUM(M65:M69)*Input!$D$82</f>
        <v>19.233504646174122</v>
      </c>
      <c r="N70" s="275">
        <f ca="1">SUM(N65:N69)*Input!$D$82</f>
        <v>19.218746556514688</v>
      </c>
      <c r="O70" s="275">
        <f ca="1">SUM(O65:O69)*Input!$D$82</f>
        <v>19.408596054914973</v>
      </c>
      <c r="P70" s="275">
        <f ca="1">SUM(P65:P69)*Input!$D$82</f>
        <v>19.421074835406415</v>
      </c>
      <c r="Q70" s="275">
        <f ca="1">SUM(Q65:Q69)*Input!$D$82</f>
        <v>18.4539098053244</v>
      </c>
      <c r="R70" s="275">
        <f ca="1">SUM(R65:R69)*Input!$D$82</f>
        <v>18.681445785849093</v>
      </c>
      <c r="S70" s="275">
        <f ca="1">SUM(S65:S69)*Input!$D$82</f>
        <v>18.925844261542775</v>
      </c>
      <c r="T70" s="275">
        <f ca="1">SUM(T65:T69)*Input!$D$82</f>
        <v>19.181340429913252</v>
      </c>
      <c r="U70" s="275">
        <f ca="1">SUM(U65:U69)*Input!$D$82</f>
        <v>19.450834481821534</v>
      </c>
      <c r="V70" s="275">
        <f ca="1">SUM(V65:V69)*Input!$D$82</f>
        <v>19.732901475468143</v>
      </c>
      <c r="W70" s="275">
        <f ca="1">SUM(W65:W69)*Input!$D$82</f>
        <v>20.035007691284711</v>
      </c>
      <c r="X70" s="275">
        <f ca="1">SUM(X65:X69)*Input!$D$82</f>
        <v>20.351397857091758</v>
      </c>
      <c r="Y70" s="275">
        <f ca="1">SUM(Y65:Y69)*Input!$D$82</f>
        <v>0</v>
      </c>
      <c r="Z70" s="275">
        <f ca="1">SUM(Z65:Z69)*Input!$D$82</f>
        <v>0</v>
      </c>
      <c r="AA70" s="275">
        <f ca="1">SUM(AA65:AA69)*Input!$D$82</f>
        <v>0</v>
      </c>
      <c r="AB70" s="275">
        <f ca="1">SUM(AB65:AB69)*Input!$D$82</f>
        <v>0</v>
      </c>
      <c r="AC70" s="275">
        <f ca="1">SUM(AC65:AC69)*Input!$D$82</f>
        <v>0</v>
      </c>
    </row>
    <row r="71" spans="2:29" ht="14.1" customHeight="1" thickBot="1">
      <c r="B71" s="63"/>
      <c r="C71" s="64"/>
      <c r="D71" s="64"/>
      <c r="E71" s="78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</row>
    <row r="72" spans="2:29" ht="14.1" customHeight="1">
      <c r="B72" s="43"/>
      <c r="C72" s="43"/>
      <c r="D72" s="43"/>
      <c r="E72" s="75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</row>
    <row r="73" spans="2:29" ht="14.1" customHeight="1" thickBot="1">
      <c r="B73" s="43"/>
      <c r="C73" s="43"/>
      <c r="D73" s="43"/>
      <c r="E73" s="75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</row>
    <row r="74" spans="2:29" ht="14.1" customHeight="1">
      <c r="B74" s="49" t="s">
        <v>47</v>
      </c>
      <c r="C74" s="76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</row>
    <row r="75" spans="2:29" ht="14.1" customHeight="1">
      <c r="B75" s="77" t="s">
        <v>47</v>
      </c>
      <c r="C75" s="44" t="s">
        <v>157</v>
      </c>
      <c r="D75" s="43"/>
      <c r="E75" s="81">
        <f>(Input!$D$65*Input!$D$10/Input!$D$14)*10</f>
        <v>0.90885245901639333</v>
      </c>
      <c r="F75" s="81">
        <f>E75*(1+Input!$D$66)</f>
        <v>0.94520655737704906</v>
      </c>
      <c r="G75" s="81">
        <f>F75*(1+Input!$D$66)</f>
        <v>0.98301481967213111</v>
      </c>
      <c r="H75" s="81">
        <f>G75*(1+Input!$D$66)</f>
        <v>1.0223354124590165</v>
      </c>
      <c r="I75" s="81">
        <f>H75*(1+Input!$D$66)</f>
        <v>1.0632288289573772</v>
      </c>
      <c r="J75" s="81">
        <f>I75*(1+Input!$D$66)</f>
        <v>1.1057579821156724</v>
      </c>
      <c r="K75" s="81">
        <f>J75*(1+Input!$D$66)</f>
        <v>1.1499883014002994</v>
      </c>
      <c r="L75" s="81">
        <f>K75*(1+Input!$D$66)</f>
        <v>1.1959878334563114</v>
      </c>
      <c r="M75" s="81">
        <f>L75*(1+Input!$D$66)</f>
        <v>1.243827346794564</v>
      </c>
      <c r="N75" s="81">
        <f>M75*(1+Input!$D$66)</f>
        <v>1.2935804406663465</v>
      </c>
      <c r="O75" s="81">
        <f>N75*(1+Input!$D$66)</f>
        <v>1.3453236582930004</v>
      </c>
      <c r="P75" s="81">
        <f>O75*(1+Input!$D$66)</f>
        <v>1.3991366046247204</v>
      </c>
      <c r="Q75" s="81">
        <f>P75*(1+Input!$D$66)</f>
        <v>1.4551020688097094</v>
      </c>
      <c r="R75" s="81">
        <f>Q75*(1+Input!$D$66)</f>
        <v>1.5133061515620978</v>
      </c>
      <c r="S75" s="81">
        <f>R75*(1+Input!$D$66)</f>
        <v>1.5738383976245818</v>
      </c>
      <c r="T75" s="81">
        <f>S75*(1+Input!$D$66)</f>
        <v>1.6367919335295651</v>
      </c>
      <c r="U75" s="81">
        <f>T75*(1+Input!$D$66)</f>
        <v>1.7022636108707478</v>
      </c>
      <c r="V75" s="81">
        <f>U75*(1+Input!$D$66)</f>
        <v>1.7703541553055777</v>
      </c>
      <c r="W75" s="81">
        <f>V75*(1+Input!$D$66)</f>
        <v>1.841168321517801</v>
      </c>
      <c r="X75" s="81">
        <f>W75*(1+Input!$D$66)</f>
        <v>1.914815054378513</v>
      </c>
      <c r="Y75" s="81">
        <f>X75*(1+Input!$D$66)</f>
        <v>1.9914076565536536</v>
      </c>
      <c r="Z75" s="81">
        <f>Y75*(1+Input!$D$66)</f>
        <v>2.0710639628157996</v>
      </c>
      <c r="AA75" s="81">
        <f>Z75*(1+Input!$D$66)</f>
        <v>2.1539065213284316</v>
      </c>
      <c r="AB75" s="81">
        <f>AA75*(1+Input!$D$66)</f>
        <v>2.2400627821815688</v>
      </c>
      <c r="AC75" s="81">
        <f>AB75*(1+Input!$D$66)</f>
        <v>2.3296652934688318</v>
      </c>
    </row>
    <row r="76" spans="2:29" ht="14.1" customHeight="1" thickBot="1">
      <c r="B76" s="63"/>
      <c r="C76" s="64"/>
      <c r="D76" s="64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</row>
    <row r="77" spans="2:29" ht="14.1" customHeight="1"/>
    <row r="78" spans="2:29" ht="14.1" customHeight="1" thickBot="1"/>
    <row r="79" spans="2:29" ht="14.1" customHeight="1">
      <c r="B79" s="49" t="s">
        <v>55</v>
      </c>
      <c r="C79" s="76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</row>
    <row r="80" spans="2:29" ht="14.1" customHeight="1">
      <c r="B80" s="77" t="s">
        <v>56</v>
      </c>
      <c r="C80" s="44" t="s">
        <v>116</v>
      </c>
      <c r="D80" s="59">
        <f>Input!$D$59*Input!$D$10</f>
        <v>1069.2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</row>
    <row r="81" spans="2:29" ht="14.1" customHeight="1">
      <c r="B81" s="77" t="s">
        <v>57</v>
      </c>
      <c r="C81" s="44" t="s">
        <v>116</v>
      </c>
      <c r="D81" s="43"/>
      <c r="E81" s="160">
        <f>IF(OR(E84&lt;Input!$D$26,D84&lt;E84),$D$80*Input!$D$60,E87)*(MIN(E5/365,1))</f>
        <v>38.491200000000006</v>
      </c>
      <c r="F81" s="59">
        <f>IF(OR(F84&lt;Input!$D$26,E84&lt;F84),$D$80*Input!$D$60,F87)*(MIN(F5/365,1))</f>
        <v>38.491200000000006</v>
      </c>
      <c r="G81" s="59">
        <f>IF(OR(G84&lt;Input!$D$26,F84&lt;G84),$D$80*Input!$D$60,G87)*(MIN(G5/365,1))</f>
        <v>38.491200000000006</v>
      </c>
      <c r="H81" s="59">
        <f>IF(OR(H84&lt;Input!$D$26,G84&lt;H84),$D$80*Input!$D$60,H87)*(MIN(H5/365,1))</f>
        <v>38.491200000000006</v>
      </c>
      <c r="I81" s="59">
        <f>IF(OR(I84&lt;Input!$D$26,H84&lt;I84),$D$80*Input!$D$60,I87)*(MIN(I5/365,1))</f>
        <v>38.491200000000006</v>
      </c>
      <c r="J81" s="59">
        <f>IF(OR(J84&lt;Input!$D$26,I84&lt;J84),$D$80*Input!$D$60,J87)*(MIN(J5/365,1))</f>
        <v>38.491200000000006</v>
      </c>
      <c r="K81" s="59">
        <f>IF(OR(K84&lt;Input!$D$26,J84&lt;K84),$D$80*Input!$D$60,K87)*(MIN(K5/365,1))</f>
        <v>38.491200000000006</v>
      </c>
      <c r="L81" s="59">
        <f>IF(OR(L84&lt;Input!$D$26,K84&lt;L84),$D$80*Input!$D$60,L87)*(MIN(L5/365,1))</f>
        <v>38.491200000000006</v>
      </c>
      <c r="M81" s="59">
        <f>IF(OR(M84&lt;Input!$D$26,L84&lt;M84),$D$80*Input!$D$60,M87)*(MIN(M5/365,1))</f>
        <v>38.491200000000006</v>
      </c>
      <c r="N81" s="59">
        <f>IF(OR(N84&lt;Input!$D$26,M84&lt;N84),$D$80*Input!$D$60,N87)*(MIN(N5/365,1))</f>
        <v>38.491200000000006</v>
      </c>
      <c r="O81" s="59">
        <f>IF(OR(O84&lt;Input!$D$26,N84&lt;O84),$D$80*Input!$D$60,O87)*(MIN(O5/365,1))</f>
        <v>38.491200000000006</v>
      </c>
      <c r="P81" s="59">
        <f>IF(OR(P84&lt;Input!$D$26,O84&lt;P84),$D$80*Input!$D$60,P87)*(MIN(P5/365,1))</f>
        <v>38.491200000000006</v>
      </c>
      <c r="Q81" s="59">
        <f ca="1">IF(OR(Q84&lt;Input!$D$26,P84&lt;Q84),$D$80*Input!$D$60,Q87)*(MIN(Q5/365,1))</f>
        <v>22.275000000000034</v>
      </c>
      <c r="R81" s="59">
        <f ca="1">IF(OR(R84&lt;Input!$D$26,Q84&lt;R84),$D$80*Input!$D$60,R87)*(MIN(R5/365,1))</f>
        <v>22.275000000000034</v>
      </c>
      <c r="S81" s="59">
        <f ca="1">IF(OR(S84&lt;Input!$D$26,R84&lt;S84),$D$80*Input!$D$60,S87)*(MIN(S5/365,1))</f>
        <v>22.275000000000034</v>
      </c>
      <c r="T81" s="59">
        <f ca="1">IF(OR(T84&lt;Input!$D$26,S84&lt;T84),$D$80*Input!$D$60,T87)*(MIN(T5/365,1))</f>
        <v>22.275000000000034</v>
      </c>
      <c r="U81" s="59">
        <f ca="1">IF(OR(U84&lt;Input!$D$26,T84&lt;U84),$D$80*Input!$D$60,U87)*(MIN(U5/365,1))</f>
        <v>22.275000000000034</v>
      </c>
      <c r="V81" s="59">
        <f ca="1">IF(OR(V84&lt;Input!$D$26,U84&lt;V84),$D$80*Input!$D$60,V87)*(MIN(V5/365,1))</f>
        <v>22.275000000000034</v>
      </c>
      <c r="W81" s="59">
        <f ca="1">IF(OR(W84&lt;Input!$D$26,V84&lt;W84),$D$80*Input!$D$60,W87)*(MIN(W5/365,1))</f>
        <v>22.275000000000034</v>
      </c>
      <c r="X81" s="59">
        <f ca="1">IF(OR(X84&lt;Input!$D$26,W84&lt;X84),$D$80*Input!$D$60,X87)*(MIN(X5/365,1))</f>
        <v>22.275000000000034</v>
      </c>
      <c r="Y81" s="59">
        <f>IF(OR(Y84&lt;Input!$D$26,X84&lt;Y84),$D$80*Input!$D$60,Y87)*(MIN(Y5/365,1))</f>
        <v>0</v>
      </c>
      <c r="Z81" s="59">
        <f>IF(OR(Z84&lt;Input!$D$26,Y84&lt;Z84),$D$80*Input!$D$60,Z87)*(MIN(Z5/365,1))</f>
        <v>0</v>
      </c>
      <c r="AA81" s="59">
        <f>IF(OR(AA84&lt;Input!$D$26,Z84&lt;AA84),$D$80*Input!$D$60,AA87)*(MIN(AA5/365,1))</f>
        <v>0</v>
      </c>
      <c r="AB81" s="59">
        <f>IF(OR(AB84&lt;Input!$D$26,AA84&lt;AB84),$D$80*Input!$D$60,AB87)*(MIN(AB5/365,1))</f>
        <v>0</v>
      </c>
      <c r="AC81" s="59">
        <f>IF(OR(AC84&lt;Input!$D$26,AB84&lt;AC84),$D$80*Input!$D$60,AC87)*(MIN(AC5/365,1))</f>
        <v>0</v>
      </c>
    </row>
    <row r="82" spans="2:29" ht="14.1" customHeight="1">
      <c r="B82" s="77" t="s">
        <v>59</v>
      </c>
      <c r="C82" s="44" t="s">
        <v>116</v>
      </c>
      <c r="D82" s="43"/>
      <c r="E82" s="59">
        <f>SUM($E$81:E81)</f>
        <v>38.491200000000006</v>
      </c>
      <c r="F82" s="59">
        <f ca="1">SUM($E$81:F81)*(F86&gt;0)</f>
        <v>76.982400000000013</v>
      </c>
      <c r="G82" s="59">
        <f ca="1">SUM($E$81:G81)*(G86&gt;0)</f>
        <v>115.47360000000002</v>
      </c>
      <c r="H82" s="59">
        <f ca="1">SUM($E$81:H81)*(H86&gt;0)</f>
        <v>153.96480000000003</v>
      </c>
      <c r="I82" s="59">
        <f ca="1">SUM($E$81:I81)*(I86&gt;0)</f>
        <v>192.45600000000002</v>
      </c>
      <c r="J82" s="59">
        <f ca="1">SUM($E$81:J81)*(J86&gt;0)</f>
        <v>230.94720000000001</v>
      </c>
      <c r="K82" s="59">
        <f ca="1">SUM($E$81:K81)*(K86&gt;0)</f>
        <v>269.4384</v>
      </c>
      <c r="L82" s="59">
        <f ca="1">SUM($E$81:L81)*(L86&gt;0)</f>
        <v>307.92959999999999</v>
      </c>
      <c r="M82" s="59">
        <f ca="1">SUM($E$81:M81)*(M86&gt;0)</f>
        <v>346.42079999999999</v>
      </c>
      <c r="N82" s="59">
        <f ca="1">SUM($E$81:N81)*(N86&gt;0)</f>
        <v>384.91199999999998</v>
      </c>
      <c r="O82" s="59">
        <f ca="1">SUM($E$81:O81)*(O86&gt;0)</f>
        <v>423.40319999999997</v>
      </c>
      <c r="P82" s="59">
        <f ca="1">SUM($E$81:P81)*(P86&gt;0)</f>
        <v>461.89439999999996</v>
      </c>
      <c r="Q82" s="59">
        <f ca="1">SUM($E$81:Q81)*(Q86&gt;0)</f>
        <v>0</v>
      </c>
      <c r="R82" s="59">
        <f ca="1">SUM($E$81:R81)*(R86&gt;0)</f>
        <v>0</v>
      </c>
      <c r="S82" s="59">
        <f ca="1">SUM($E$81:S81)*(S86&gt;0)</f>
        <v>0</v>
      </c>
      <c r="T82" s="59">
        <f ca="1">SUM($E$81:T81)*(T86&gt;0)</f>
        <v>0</v>
      </c>
      <c r="U82" s="59">
        <f ca="1">SUM($E$81:U81)*(U86&gt;0)</f>
        <v>0</v>
      </c>
      <c r="V82" s="59">
        <f ca="1">SUM($E$81:V81)*(V86&gt;0)</f>
        <v>0</v>
      </c>
      <c r="W82" s="59">
        <f ca="1">SUM($E$81:W81)*(W86&gt;0)</f>
        <v>0</v>
      </c>
      <c r="X82" s="59">
        <f ca="1">SUM($E$81:X81)*(X86&gt;0)</f>
        <v>0</v>
      </c>
      <c r="Y82" s="59">
        <f ca="1">SUM($E$81:Y81)*(Y86&gt;0)</f>
        <v>0</v>
      </c>
      <c r="Z82" s="59">
        <f ca="1">SUM($E$81:Z81)*(Z86&gt;0)</f>
        <v>0</v>
      </c>
      <c r="AA82" s="59">
        <f ca="1">SUM($E$81:AA81)*(AA86&gt;0)</f>
        <v>0</v>
      </c>
      <c r="AB82" s="59">
        <f ca="1">SUM($E$81:AB81)*(AB86&gt;0)</f>
        <v>0</v>
      </c>
      <c r="AC82" s="59">
        <f ca="1">SUM($E$81:AC81)*(AC86&gt;0)</f>
        <v>0</v>
      </c>
    </row>
    <row r="83" spans="2:29" ht="14.1" customHeight="1">
      <c r="B83" s="77" t="s">
        <v>158</v>
      </c>
      <c r="C83" s="44" t="s">
        <v>116</v>
      </c>
      <c r="D83" s="43"/>
      <c r="E83" s="59">
        <f>E59</f>
        <v>38.739130434782609</v>
      </c>
      <c r="F83" s="59">
        <f t="shared" ref="F83:AC83" si="23">F59</f>
        <v>77.478260869565219</v>
      </c>
      <c r="G83" s="59">
        <f t="shared" si="23"/>
        <v>77.478260869565219</v>
      </c>
      <c r="H83" s="59">
        <f t="shared" si="23"/>
        <v>77.478260869565219</v>
      </c>
      <c r="I83" s="59">
        <f t="shared" si="23"/>
        <v>77.478260869565219</v>
      </c>
      <c r="J83" s="59">
        <f t="shared" si="23"/>
        <v>77.478260869565219</v>
      </c>
      <c r="K83" s="59">
        <f t="shared" si="23"/>
        <v>77.478260869565219</v>
      </c>
      <c r="L83" s="59">
        <f t="shared" si="23"/>
        <v>77.478260869565219</v>
      </c>
      <c r="M83" s="59">
        <f t="shared" si="23"/>
        <v>77.478260869565219</v>
      </c>
      <c r="N83" s="59">
        <f t="shared" si="23"/>
        <v>77.478260869565219</v>
      </c>
      <c r="O83" s="59">
        <f t="shared" si="23"/>
        <v>77.478260869565219</v>
      </c>
      <c r="P83" s="59">
        <f t="shared" si="23"/>
        <v>77.478260869565219</v>
      </c>
      <c r="Q83" s="59">
        <f t="shared" si="23"/>
        <v>0</v>
      </c>
      <c r="R83" s="59">
        <f t="shared" si="23"/>
        <v>0</v>
      </c>
      <c r="S83" s="59">
        <f t="shared" si="23"/>
        <v>0</v>
      </c>
      <c r="T83" s="59">
        <f t="shared" si="23"/>
        <v>0</v>
      </c>
      <c r="U83" s="59">
        <f t="shared" si="23"/>
        <v>0</v>
      </c>
      <c r="V83" s="59">
        <f t="shared" si="23"/>
        <v>0</v>
      </c>
      <c r="W83" s="59">
        <f t="shared" si="23"/>
        <v>0</v>
      </c>
      <c r="X83" s="59">
        <f t="shared" si="23"/>
        <v>0</v>
      </c>
      <c r="Y83" s="59">
        <f t="shared" si="23"/>
        <v>0</v>
      </c>
      <c r="Z83" s="59">
        <f t="shared" si="23"/>
        <v>0</v>
      </c>
      <c r="AA83" s="59">
        <f t="shared" si="23"/>
        <v>0</v>
      </c>
      <c r="AB83" s="59">
        <f t="shared" si="23"/>
        <v>0</v>
      </c>
      <c r="AC83" s="59">
        <f t="shared" si="23"/>
        <v>0</v>
      </c>
    </row>
    <row r="84" spans="2:29" ht="14.1" customHeight="1">
      <c r="B84" s="77" t="s">
        <v>58</v>
      </c>
      <c r="C84" s="44" t="s">
        <v>116</v>
      </c>
      <c r="D84" s="43"/>
      <c r="E84" s="59">
        <f>SUM($E$83:E83)</f>
        <v>38.739130434782609</v>
      </c>
      <c r="F84" s="59">
        <f>SUM($E$83:F83)</f>
        <v>116.21739130434783</v>
      </c>
      <c r="G84" s="59">
        <f>SUM($E$83:G83)</f>
        <v>193.69565217391306</v>
      </c>
      <c r="H84" s="59">
        <f>SUM($E$83:H83)</f>
        <v>271.17391304347825</v>
      </c>
      <c r="I84" s="59">
        <f>SUM($E$83:I83)</f>
        <v>348.6521739130435</v>
      </c>
      <c r="J84" s="59">
        <f>SUM($E$83:J83)</f>
        <v>426.13043478260875</v>
      </c>
      <c r="K84" s="59">
        <f>SUM($E$83:K83)</f>
        <v>503.60869565217399</v>
      </c>
      <c r="L84" s="59">
        <f>SUM($E$83:L83)</f>
        <v>581.08695652173924</v>
      </c>
      <c r="M84" s="59">
        <f>SUM($E$83:M83)</f>
        <v>658.56521739130449</v>
      </c>
      <c r="N84" s="59">
        <f>SUM($E$83:N83)</f>
        <v>736.04347826086973</v>
      </c>
      <c r="O84" s="59">
        <f>SUM($E$83:O83)</f>
        <v>813.52173913043498</v>
      </c>
      <c r="P84" s="59">
        <f>SUM($E$83:P83)</f>
        <v>891.00000000000023</v>
      </c>
      <c r="Q84" s="59">
        <f>SUM($E$83:Q83)</f>
        <v>891.00000000000023</v>
      </c>
      <c r="R84" s="59">
        <f>SUM($E$83:R83)</f>
        <v>891.00000000000023</v>
      </c>
      <c r="S84" s="59">
        <f>SUM($E$83:S83)</f>
        <v>891.00000000000023</v>
      </c>
      <c r="T84" s="59">
        <f>SUM($E$83:T83)</f>
        <v>891.00000000000023</v>
      </c>
      <c r="U84" s="59">
        <f>SUM($E$83:U83)</f>
        <v>891.00000000000023</v>
      </c>
      <c r="V84" s="59">
        <f>SUM($E$83:V83)</f>
        <v>891.00000000000023</v>
      </c>
      <c r="W84" s="59">
        <f>SUM($E$83:W83)</f>
        <v>891.00000000000023</v>
      </c>
      <c r="X84" s="59">
        <f>SUM($E$83:X83)</f>
        <v>891.00000000000023</v>
      </c>
      <c r="Y84" s="59">
        <f>SUM($E$83:Y83)</f>
        <v>891.00000000000023</v>
      </c>
      <c r="Z84" s="59">
        <f>SUM($E$83:Z83)</f>
        <v>891.00000000000023</v>
      </c>
      <c r="AA84" s="59">
        <f>SUM($E$83:AA83)</f>
        <v>891.00000000000023</v>
      </c>
      <c r="AB84" s="59">
        <f>SUM($E$83:AB83)</f>
        <v>891.00000000000023</v>
      </c>
      <c r="AC84" s="59">
        <f>SUM($E$83:AC83)</f>
        <v>891.00000000000023</v>
      </c>
    </row>
    <row r="85" spans="2:29" ht="14.1" customHeight="1">
      <c r="B85" s="77" t="s">
        <v>48</v>
      </c>
      <c r="C85" s="44" t="s">
        <v>116</v>
      </c>
      <c r="D85" s="43"/>
      <c r="E85" s="59">
        <f>MAX(MIN(IF(E84&gt;E82,MIN(E83,Input!$D$26/10)-E81,0),Tariff!E84-Tariff!E82),0)</f>
        <v>0.24793043478260302</v>
      </c>
      <c r="F85" s="59">
        <f ca="1">MAX(MIN(IF(F84&gt;F82,MIN(F83,Input!$D$26/10)-F81,0),Tariff!F84-Tariff!F82),0)</f>
        <v>38.987060869565212</v>
      </c>
      <c r="G85" s="59">
        <f ca="1">MAX(MIN(IF(G84&gt;G82,MIN(G83,Input!$D$26/10)-G81,0),Tariff!G84-Tariff!G82),0)</f>
        <v>38.987060869565212</v>
      </c>
      <c r="H85" s="59">
        <f ca="1">MAX(MIN(IF(H84&gt;H82,MIN(H83,Input!$D$26/10)-H81,0),Tariff!H84-Tariff!H82),0)</f>
        <v>38.987060869565212</v>
      </c>
      <c r="I85" s="59">
        <f ca="1">MAX(MIN(IF(I84&gt;I82,MIN(I83,Input!$D$26/10)-I81,0),Tariff!I84-Tariff!I82),0)</f>
        <v>38.987060869565212</v>
      </c>
      <c r="J85" s="59">
        <f ca="1">MAX(MIN(IF(J84&gt;J82,MIN(J83,Input!$D$26/10)-J81,0),Tariff!J84-Tariff!J82),0)</f>
        <v>38.987060869565212</v>
      </c>
      <c r="K85" s="59">
        <f ca="1">MAX(MIN(IF(K84&gt;K82,MIN(K83,Input!$D$26/10)-K81,0),Tariff!K84-Tariff!K82),0)</f>
        <v>38.987060869565212</v>
      </c>
      <c r="L85" s="59">
        <f ca="1">MAX(MIN(IF(L84&gt;L82,MIN(L83,Input!$D$26/10)-L81,0),Tariff!L84-Tariff!L82),0)</f>
        <v>38.987060869565212</v>
      </c>
      <c r="M85" s="59">
        <f ca="1">MAX(MIN(IF(M84&gt;M82,MIN(M83,Input!$D$26/10)-M81,0),Tariff!M84-Tariff!M82),0)</f>
        <v>38.987060869565212</v>
      </c>
      <c r="N85" s="59">
        <f ca="1">MAX(MIN(IF(N84&gt;N82,MIN(N83,Input!$D$26/10)-N81,0),Tariff!N84-Tariff!N82),0)</f>
        <v>38.987060869565212</v>
      </c>
      <c r="O85" s="59">
        <f ca="1">MAX(MIN(IF(O84&gt;O82,MIN(O83,Input!$D$26/10)-O81,0),Tariff!O84-Tariff!O82),0)</f>
        <v>38.987060869565212</v>
      </c>
      <c r="P85" s="59">
        <f ca="1">MAX(MIN(IF(P84&gt;P82,MIN(P83,Input!$D$26/10)-P81,0),Tariff!P84-Tariff!P82),0)</f>
        <v>38.987060869565212</v>
      </c>
      <c r="Q85" s="59">
        <f ca="1">MAX(MIN(IF(Q84&gt;Q82,MIN(Q83,Input!$D$26/10)-Q81,0),Tariff!Q84-Tariff!Q82),0)</f>
        <v>0</v>
      </c>
      <c r="R85" s="59">
        <f ca="1">MAX(MIN(IF(R84&gt;R82,MIN(R83,Input!$D$26/10)-R81,0),Tariff!R84-Tariff!R82),0)</f>
        <v>0</v>
      </c>
      <c r="S85" s="59">
        <f ca="1">MAX(MIN(IF(S84&gt;S82,MIN(S83,Input!$D$26/10)-S81,0),Tariff!S84-Tariff!S82),0)</f>
        <v>0</v>
      </c>
      <c r="T85" s="59">
        <f ca="1">MAX(MIN(IF(T84&gt;T82,MIN(T83,Input!$D$26/10)-T81,0),Tariff!T84-Tariff!T82),0)</f>
        <v>0</v>
      </c>
      <c r="U85" s="59">
        <f ca="1">MAX(MIN(IF(U84&gt;U82,MIN(U83,Input!$D$26/10)-U81,0),Tariff!U84-Tariff!U82),0)</f>
        <v>0</v>
      </c>
      <c r="V85" s="59">
        <f ca="1">MAX(MIN(IF(V84&gt;V82,MIN(V83,Input!$D$26/10)-V81,0),Tariff!V84-Tariff!V82),0)</f>
        <v>0</v>
      </c>
      <c r="W85" s="59">
        <f ca="1">MAX(MIN(IF(W84&gt;W82,MIN(W83,Input!$D$26/10)-W81,0),Tariff!W84-Tariff!W82),0)</f>
        <v>0</v>
      </c>
      <c r="X85" s="59">
        <f ca="1">MAX(MIN(IF(X84&gt;X82,MIN(X83,Input!$D$26/10)-X81,0),Tariff!X84-Tariff!X82),0)</f>
        <v>0</v>
      </c>
      <c r="Y85" s="59">
        <f ca="1">MAX(MIN(IF(Y84&gt;Y82,MIN(Y83,Input!$D$26/10)-Y81,0),Tariff!Y84-Tariff!Y82),0)</f>
        <v>0</v>
      </c>
      <c r="Z85" s="59">
        <f ca="1">MAX(MIN(IF(Z84&gt;Z82,MIN(Z83,Input!$D$26/10)-Z81,0),Tariff!Z84-Tariff!Z82),0)</f>
        <v>0</v>
      </c>
      <c r="AA85" s="59">
        <f ca="1">MAX(MIN(IF(AA84&gt;AA82,MIN(AA83,Input!$D$26/10)-AA81,0),Tariff!AA84-Tariff!AA82),0)</f>
        <v>0</v>
      </c>
      <c r="AB85" s="59">
        <f ca="1">MAX(MIN(IF(AB84&gt;AB82,MIN(AB83,Input!$D$26/10)-AB81,0),Tariff!AB84-Tariff!AB82),0)</f>
        <v>0</v>
      </c>
      <c r="AC85" s="59">
        <f ca="1">MAX(MIN(IF(AC84&gt;AC82,MIN(AC83,Input!$D$26/10)-AC81,0),Tariff!AC84-Tariff!AC82),0)</f>
        <v>0</v>
      </c>
    </row>
    <row r="86" spans="2:29" ht="14.1" customHeight="1">
      <c r="B86" s="77" t="s">
        <v>165</v>
      </c>
      <c r="C86" s="44" t="s">
        <v>116</v>
      </c>
      <c r="D86" s="43"/>
      <c r="E86" s="59">
        <f>IF(E84&lt;Input!$D$26,SUM($E$85:E85),IF(D84&lt;E84,SUM($E$85:E85),0))</f>
        <v>0.24793043478260302</v>
      </c>
      <c r="F86" s="59">
        <f ca="1">IF(F84&lt;Input!$D$26,SUM($E$85:F85),IF(E84&lt;F84,SUM($E$85:F85),0))</f>
        <v>39.234991304347815</v>
      </c>
      <c r="G86" s="59">
        <f ca="1">IF(G84&lt;Input!$D$26,SUM($E$85:G85),IF(F84&lt;G84,SUM($E$85:G85),0))</f>
        <v>78.222052173913028</v>
      </c>
      <c r="H86" s="59">
        <f ca="1">IF(H84&lt;Input!$D$26,SUM($E$85:H85),IF(G84&lt;H84,SUM($E$85:H85),0))</f>
        <v>117.20911304347824</v>
      </c>
      <c r="I86" s="59">
        <f ca="1">IF(I84&lt;Input!$D$26,SUM($E$85:I85),IF(H84&lt;I84,SUM($E$85:I85),0))</f>
        <v>156.19617391304345</v>
      </c>
      <c r="J86" s="59">
        <f ca="1">IF(J84&lt;Input!$D$26,SUM($E$85:J85),IF(I84&lt;J84,SUM($E$85:J85),0))</f>
        <v>195.18323478260868</v>
      </c>
      <c r="K86" s="59">
        <f ca="1">IF(K84&lt;Input!$D$26,SUM($E$85:K85),IF(J84&lt;K84,SUM($E$85:K85),0))</f>
        <v>234.17029565217388</v>
      </c>
      <c r="L86" s="59">
        <f ca="1">IF(L84&lt;Input!$D$26,SUM($E$85:L85),IF(K84&lt;L84,SUM($E$85:L85),0))</f>
        <v>273.15735652173908</v>
      </c>
      <c r="M86" s="59">
        <f ca="1">IF(M84&lt;Input!$D$26,SUM($E$85:M85),IF(L84&lt;M84,SUM($E$85:M85),0))</f>
        <v>312.14441739130427</v>
      </c>
      <c r="N86" s="59">
        <f ca="1">IF(N84&lt;Input!$D$26,SUM($E$85:N85),IF(M84&lt;N84,SUM($E$85:N85),0))</f>
        <v>351.13147826086947</v>
      </c>
      <c r="O86" s="59">
        <f ca="1">IF(O84&lt;Input!$D$26,SUM($E$85:O85),IF(N84&lt;O84,SUM($E$85:O85),0))</f>
        <v>390.11853913043467</v>
      </c>
      <c r="P86" s="59">
        <f ca="1">IF(P84&lt;Input!$D$26,SUM($E$85:P85),IF(O84&lt;P84,SUM($E$85:P85),0))</f>
        <v>429.10559999999987</v>
      </c>
      <c r="Q86" s="59">
        <f>IF(Q84&lt;Input!$D$26,SUM($E$85:Q85),IF(P84&lt;Q84,SUM($E$85:Q85),0))</f>
        <v>0</v>
      </c>
      <c r="R86" s="59">
        <f>IF(R84&lt;Input!$D$26,SUM($E$85:R85),IF(Q84&lt;R84,SUM($E$85:R85),0))</f>
        <v>0</v>
      </c>
      <c r="S86" s="59">
        <f>IF(S84&lt;Input!$D$26,SUM($E$85:S85),IF(R84&lt;S84,SUM($E$85:S85),0))</f>
        <v>0</v>
      </c>
      <c r="T86" s="59">
        <f>IF(T84&lt;Input!$D$26,SUM($E$85:T85),IF(S84&lt;T84,SUM($E$85:T85),0))</f>
        <v>0</v>
      </c>
      <c r="U86" s="59">
        <f>IF(U84&lt;Input!$D$26,SUM($E$85:U85),IF(T84&lt;U84,SUM($E$85:U85),0))</f>
        <v>0</v>
      </c>
      <c r="V86" s="59">
        <f>IF(V84&lt;Input!$D$26,SUM($E$85:V85),IF(U84&lt;V84,SUM($E$85:V85),0))</f>
        <v>0</v>
      </c>
      <c r="W86" s="59">
        <f>IF(W84&lt;Input!$D$26,SUM($E$85:W85),IF(V84&lt;W84,SUM($E$85:W85),0))</f>
        <v>0</v>
      </c>
      <c r="X86" s="59">
        <f>IF(X84&lt;Input!$D$26,SUM($E$85:X85),IF(W84&lt;X84,SUM($E$85:X85),0))</f>
        <v>0</v>
      </c>
      <c r="Y86" s="59">
        <f>IF(Y84&lt;Input!$D$26,SUM($E$85:Y85),IF(X84&lt;Y84,SUM($E$85:Y85),0))</f>
        <v>0</v>
      </c>
      <c r="Z86" s="59">
        <f>IF(Z84&lt;Input!$D$26,SUM($E$85:Z85),IF(Y84&lt;Z84,SUM($E$85:Z85),0))</f>
        <v>0</v>
      </c>
      <c r="AA86" s="59">
        <f>IF(AA84&lt;Input!$D$26,SUM($E$85:AA85),IF(Z84&lt;AA84,SUM($E$85:AA85),0))</f>
        <v>0</v>
      </c>
      <c r="AB86" s="59">
        <f>IF(AB84&lt;Input!$D$26,SUM($E$85:AB85),IF(AA84&lt;AB84,SUM($E$85:AB85),0))</f>
        <v>0</v>
      </c>
      <c r="AC86" s="59">
        <f>IF(AC84&lt;Input!$D$26,SUM($E$85:AC85),IF(AB84&lt;AC84,SUM($E$85:AC85),0))</f>
        <v>0</v>
      </c>
    </row>
    <row r="87" spans="2:29" ht="14.1" customHeight="1">
      <c r="B87" s="77" t="s">
        <v>161</v>
      </c>
      <c r="C87" s="44" t="s">
        <v>116</v>
      </c>
      <c r="D87" s="43"/>
      <c r="E87" s="59">
        <f>IF(E2&gt;Input!$D$15,0,IF(AND(E86=0,D86=0),D87,IF(OR(E86&lt;D86,E86=0),($D$80-MAX($D$82:D82)-SUM(D$85:$E85))/(MAX(Input!$D$15-SUMPRODUCT($E$2:$AC$2,$E$60:$AC$60),1)),0)))</f>
        <v>0</v>
      </c>
      <c r="F87" s="59">
        <f ca="1">IF(F2&gt;Input!$D$15,0,IF(AND(F86=0,E86=0),E87,IF(OR(F86&lt;E86,F86=0),($D$80-MAX($D$82:E82)-SUM($E$85:E85))/(MAX(Input!$D$15-SUMPRODUCT($E$2:$AC$2,$E$60:$AC$60),1)),0)))</f>
        <v>0</v>
      </c>
      <c r="G87" s="59">
        <f ca="1">IF(G2&gt;Input!$D$15,0,IF(AND(G86=0,F86=0),F87,IF(OR(G86&lt;F86,G86=0),($D$80-MAX($D$82:F82)-SUM($E$85:F85))/(MAX(Input!$D$15-SUMPRODUCT($E$2:$AC$2,$E$60:$AC$60),1)),0)))</f>
        <v>0</v>
      </c>
      <c r="H87" s="59">
        <f ca="1">IF(H2&gt;Input!$D$15,0,IF(AND(H86=0,G86=0),G87,IF(OR(H86&lt;G86,H86=0),($D$80-MAX($D$82:G82)-SUM($E$85:G85))/(MAX(Input!$D$15-SUMPRODUCT($E$2:$AC$2,$E$60:$AC$60),1)),0)))</f>
        <v>0</v>
      </c>
      <c r="I87" s="59">
        <f ca="1">IF(I2&gt;Input!$D$15,0,IF(AND(I86=0,H86=0),H87,IF(OR(I86&lt;H86,I86=0),($D$80-MAX($D$82:H82)-SUM($E$85:H85))/(MAX(Input!$D$15-SUMPRODUCT($E$2:$AC$2,$E$60:$AC$60),1)),0)))</f>
        <v>0</v>
      </c>
      <c r="J87" s="59">
        <f ca="1">IF(J2&gt;Input!$D$15,0,IF(AND(J86=0,I86=0),I87,IF(OR(J86&lt;I86,J86=0),($D$80-MAX($D$82:I82)-SUM($E$85:I85))/(MAX(Input!$D$15-SUMPRODUCT($E$2:$AC$2,$E$60:$AC$60),1)),0)))</f>
        <v>0</v>
      </c>
      <c r="K87" s="59">
        <f ca="1">IF(K2&gt;Input!$D$15,0,IF(AND(K86=0,J86=0),J87,IF(OR(K86&lt;J86,K86=0),($D$80-MAX($D$82:J82)-SUM($E$85:J85))/(MAX(Input!$D$15-SUMPRODUCT($E$2:$AC$2,$E$60:$AC$60),1)),0)))</f>
        <v>0</v>
      </c>
      <c r="L87" s="59">
        <f ca="1">IF(L2&gt;Input!$D$15,0,IF(AND(L86=0,K86=0),K87,IF(OR(L86&lt;K86,L86=0),($D$80-MAX($D$82:K82)-SUM($E$85:K85))/(MAX(Input!$D$15-SUMPRODUCT($E$2:$AC$2,$E$60:$AC$60),1)),0)))</f>
        <v>0</v>
      </c>
      <c r="M87" s="59">
        <f ca="1">IF(M2&gt;Input!$D$15,0,IF(AND(M86=0,L86=0),L87,IF(OR(M86&lt;L86,M86=0),($D$80-MAX($D$82:L82)-SUM($E$85:L85))/(MAX(Input!$D$15-SUMPRODUCT($E$2:$AC$2,$E$60:$AC$60),1)),0)))</f>
        <v>0</v>
      </c>
      <c r="N87" s="59">
        <f ca="1">IF(N2&gt;Input!$D$15,0,IF(AND(N86=0,M86=0),M87,IF(OR(N86&lt;M86,N86=0),($D$80-MAX($D$82:M82)-SUM($E$85:M85))/(MAX(Input!$D$15-SUMPRODUCT($E$2:$AC$2,$E$60:$AC$60),1)),0)))</f>
        <v>0</v>
      </c>
      <c r="O87" s="59">
        <f ca="1">IF(O2&gt;Input!$D$15,0,IF(AND(O86=0,N86=0),N87,IF(OR(O86&lt;N86,O86=0),($D$80-MAX($D$82:N82)-SUM($E$85:N85))/(MAX(Input!$D$15-SUMPRODUCT($E$2:$AC$2,$E$60:$AC$60),1)),0)))</f>
        <v>0</v>
      </c>
      <c r="P87" s="59">
        <f ca="1">IF(P2&gt;Input!$D$15,0,IF(AND(P86=0,O86=0),O87,IF(OR(P86&lt;O86,P86=0),($D$80-MAX($D$82:O82)-SUM($E$85:O85))/(MAX(Input!$D$15-SUMPRODUCT($E$2:$AC$2,$E$60:$AC$60),1)),0)))</f>
        <v>0</v>
      </c>
      <c r="Q87" s="59">
        <f ca="1">IF(Q2&gt;Input!$D$15,0,IF(AND(Q86=0,P86=0),P87,IF(OR(Q86&lt;P86,Q86=0),($D$80-MAX($D$82:P82)-SUM($E$85:P85))/(MAX(Input!$D$15-SUMPRODUCT($E$2:$AC$2,$E$60:$AC$60),1)),0)))</f>
        <v>22.275000000000034</v>
      </c>
      <c r="R87" s="59">
        <f ca="1">IF(R2&gt;Input!$D$15,0,IF(AND(R86=0,Q86=0),Q87,IF(OR(R86&lt;Q86,R86=0),($D$80-MAX($D$82:Q82)-SUM($E$85:Q85))/(MAX(Input!$D$15-SUMPRODUCT($E$2:$AC$2,$E$60:$AC$60),1)),0)))</f>
        <v>22.275000000000034</v>
      </c>
      <c r="S87" s="59">
        <f ca="1">IF(S2&gt;Input!$D$15,0,IF(AND(S86=0,R86=0),R87,IF(OR(S86&lt;R86,S86=0),($D$80-MAX($D$82:R82)-SUM($E$85:R85))/(MAX(Input!$D$15-SUMPRODUCT($E$2:$AC$2,$E$60:$AC$60),1)),0)))</f>
        <v>22.275000000000034</v>
      </c>
      <c r="T87" s="59">
        <f ca="1">IF(T2&gt;Input!$D$15,0,IF(AND(T86=0,S86=0),S87,IF(OR(T86&lt;S86,T86=0),($D$80-MAX($D$82:S82)-SUM($E$85:S85))/(MAX(Input!$D$15-SUMPRODUCT($E$2:$AC$2,$E$60:$AC$60),1)),0)))</f>
        <v>22.275000000000034</v>
      </c>
      <c r="U87" s="59">
        <f ca="1">IF(U2&gt;Input!$D$15,0,IF(AND(U86=0,T86=0),T87,IF(OR(U86&lt;T86,U86=0),($D$80-MAX($D$82:T82)-SUM($E$85:T85))/(MAX(Input!$D$15-SUMPRODUCT($E$2:$AC$2,$E$60:$AC$60),1)),0)))</f>
        <v>22.275000000000034</v>
      </c>
      <c r="V87" s="59">
        <f ca="1">IF(V2&gt;Input!$D$15,0,IF(AND(V86=0,U86=0),U87,IF(OR(V86&lt;U86,V86=0),($D$80-MAX($D$82:U82)-SUM($E$85:U85))/(MAX(Input!$D$15-SUMPRODUCT($E$2:$AC$2,$E$60:$AC$60),1)),0)))</f>
        <v>22.275000000000034</v>
      </c>
      <c r="W87" s="59">
        <f ca="1">IF(W2&gt;Input!$D$15,0,IF(AND(W86=0,V86=0),V87,IF(OR(W86&lt;V86,W86=0),($D$80-MAX($D$82:V82)-SUM($E$85:V85))/(MAX(Input!$D$15-SUMPRODUCT($E$2:$AC$2,$E$60:$AC$60),1)),0)))</f>
        <v>22.275000000000034</v>
      </c>
      <c r="X87" s="59">
        <f ca="1">IF(X2&gt;Input!$D$15,0,IF(AND(X86=0,W86=0),W87,IF(OR(X86&lt;W86,X86=0),($D$80-MAX($D$82:W82)-SUM($E$85:W85))/(MAX(Input!$D$15-SUMPRODUCT($E$2:$AC$2,$E$60:$AC$60),1)),0)))</f>
        <v>22.275000000000034</v>
      </c>
      <c r="Y87" s="59">
        <f>IF(Y2&gt;Input!$D$15,0,IF(AND(Y86=0,X86=0),X87,IF(OR(Y86&lt;X86,Y86=0),($D$80-MAX($D$82:X82)-SUM($E$85:X85))/(MAX(Input!$D$15-Tariff!$S$2,1)),0)))</f>
        <v>0</v>
      </c>
      <c r="Z87" s="59">
        <f>IF(Z2&gt;Input!$D$15,0,IF(AND(Z86=0,Y86=0),Y87,IF(OR(Z86&lt;Y86,Z86=0),($D$80-SUM($D$81:Y81)-SUM($E$85:Y85))/(MAX(Input!$D$15-Tariff!$S$2,1)),0)))</f>
        <v>0</v>
      </c>
      <c r="AA87" s="59">
        <f>IF(AA2&gt;Input!$D$15,0,IF(AND(AA86=0,Z86=0),Z87,IF(OR(AA86&lt;Z86,AA86=0),($D$80-SUM($D$81:Z81)-SUM($E$85:Z85))/(MAX(Input!$D$15-Tariff!$S$2,1)),0)))</f>
        <v>0</v>
      </c>
      <c r="AB87" s="59">
        <f>IF(AB2&gt;Input!$D$15,0,IF(AND(AB86=0,AA86=0),AA87,IF(OR(AB86&lt;AA86,AB86=0),($D$80-SUM($D$81:AA81)-SUM($E$85:AA85))/(MAX(Input!$D$15-Tariff!$S$2,1)),0)))</f>
        <v>0</v>
      </c>
      <c r="AC87" s="59">
        <f>IF(AC2&gt;Input!$D$15,0,IF(AND(AC86=0,AB86=0),AB87,IF(OR(AC86&lt;AB86,AC86=0),($D$80-SUM($D$81:AB81)-SUM($E$85:AB85))/(MAX(Input!$D$15-Tariff!$S$2,1)),0)))</f>
        <v>0</v>
      </c>
    </row>
    <row r="88" spans="2:29" ht="14.1" customHeight="1" thickBot="1">
      <c r="B88" s="77" t="s">
        <v>163</v>
      </c>
      <c r="C88" s="44" t="s">
        <v>116</v>
      </c>
      <c r="D88" s="43"/>
      <c r="E88" s="67">
        <f>E81+E85</f>
        <v>38.739130434782609</v>
      </c>
      <c r="F88" s="67">
        <f ca="1">F81+F85</f>
        <v>77.478260869565219</v>
      </c>
      <c r="G88" s="67">
        <f ca="1">G81+G85</f>
        <v>77.478260869565219</v>
      </c>
      <c r="H88" s="67">
        <f ca="1">H81+H85</f>
        <v>77.478260869565219</v>
      </c>
      <c r="I88" s="67">
        <f ca="1">I81+I85</f>
        <v>77.478260869565219</v>
      </c>
      <c r="J88" s="67">
        <f t="shared" ref="J88:AC88" ca="1" si="24">J81+J85</f>
        <v>77.478260869565219</v>
      </c>
      <c r="K88" s="67">
        <f t="shared" ca="1" si="24"/>
        <v>77.478260869565219</v>
      </c>
      <c r="L88" s="67">
        <f t="shared" ca="1" si="24"/>
        <v>77.478260869565219</v>
      </c>
      <c r="M88" s="67">
        <f t="shared" ca="1" si="24"/>
        <v>77.478260869565219</v>
      </c>
      <c r="N88" s="67">
        <f t="shared" ca="1" si="24"/>
        <v>77.478260869565219</v>
      </c>
      <c r="O88" s="67">
        <f t="shared" ca="1" si="24"/>
        <v>77.478260869565219</v>
      </c>
      <c r="P88" s="67">
        <f t="shared" ca="1" si="24"/>
        <v>77.478260869565219</v>
      </c>
      <c r="Q88" s="67">
        <f t="shared" ca="1" si="24"/>
        <v>22.275000000000034</v>
      </c>
      <c r="R88" s="67">
        <f t="shared" ca="1" si="24"/>
        <v>22.275000000000034</v>
      </c>
      <c r="S88" s="67">
        <f t="shared" ca="1" si="24"/>
        <v>22.275000000000034</v>
      </c>
      <c r="T88" s="67">
        <f t="shared" ca="1" si="24"/>
        <v>22.275000000000034</v>
      </c>
      <c r="U88" s="67">
        <f t="shared" ca="1" si="24"/>
        <v>22.275000000000034</v>
      </c>
      <c r="V88" s="67">
        <f t="shared" ca="1" si="24"/>
        <v>22.275000000000034</v>
      </c>
      <c r="W88" s="67">
        <f t="shared" ca="1" si="24"/>
        <v>22.275000000000034</v>
      </c>
      <c r="X88" s="67">
        <f t="shared" ca="1" si="24"/>
        <v>22.275000000000034</v>
      </c>
      <c r="Y88" s="67">
        <f t="shared" ca="1" si="24"/>
        <v>0</v>
      </c>
      <c r="Z88" s="67">
        <f t="shared" ca="1" si="24"/>
        <v>0</v>
      </c>
      <c r="AA88" s="67">
        <f t="shared" ca="1" si="24"/>
        <v>0</v>
      </c>
      <c r="AB88" s="67">
        <f t="shared" ca="1" si="24"/>
        <v>0</v>
      </c>
      <c r="AC88" s="67">
        <f t="shared" ca="1" si="24"/>
        <v>0</v>
      </c>
    </row>
    <row r="89" spans="2:29" ht="14.1" customHeight="1" thickBot="1">
      <c r="B89" s="63"/>
      <c r="C89" s="71"/>
      <c r="D89" s="64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</row>
    <row r="90" spans="2:29" ht="14.1" customHeight="1"/>
  </sheetData>
  <mergeCells count="2">
    <mergeCell ref="D2:D5"/>
    <mergeCell ref="C2:C5"/>
  </mergeCells>
  <phoneticPr fontId="0" type="noConversion"/>
  <pageMargins left="0.5" right="0.5" top="0.5" bottom="0.5" header="0.5" footer="0.5"/>
  <pageSetup paperSize="8" orientation="landscape" r:id="rId1"/>
  <headerFooter alignWithMargins="0"/>
  <ignoredErrors>
    <ignoredError sqref="E52:AC5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A28" sqref="A28"/>
    </sheetView>
  </sheetViews>
  <sheetFormatPr baseColWidth="10" defaultColWidth="9.140625" defaultRowHeight="12.75"/>
  <cols>
    <col min="1" max="1" width="29.28515625" customWidth="1"/>
    <col min="2" max="2" width="12" bestFit="1" customWidth="1"/>
    <col min="11" max="11" width="9.85546875" customWidth="1"/>
    <col min="12" max="12" width="16.7109375" customWidth="1"/>
  </cols>
  <sheetData>
    <row r="1" spans="1:12">
      <c r="D1" s="355" t="s">
        <v>94</v>
      </c>
      <c r="E1" s="355"/>
      <c r="F1" s="355"/>
      <c r="G1" s="355"/>
    </row>
    <row r="3" spans="1:12" ht="13.5" thickBot="1"/>
    <row r="4" spans="1:12">
      <c r="A4" s="5" t="s">
        <v>89</v>
      </c>
      <c r="B4" s="6" t="s">
        <v>75</v>
      </c>
      <c r="C4" s="6" t="s">
        <v>76</v>
      </c>
      <c r="D4" s="6" t="s">
        <v>77</v>
      </c>
      <c r="E4" s="6" t="s">
        <v>78</v>
      </c>
      <c r="F4" s="6" t="s">
        <v>79</v>
      </c>
      <c r="G4" s="6" t="s">
        <v>80</v>
      </c>
      <c r="H4" s="6" t="s">
        <v>81</v>
      </c>
      <c r="I4" s="6" t="s">
        <v>82</v>
      </c>
      <c r="J4" s="6" t="s">
        <v>83</v>
      </c>
      <c r="K4" s="7" t="s">
        <v>50</v>
      </c>
    </row>
    <row r="5" spans="1:12">
      <c r="A5" s="2" t="s">
        <v>84</v>
      </c>
      <c r="B5" s="1">
        <v>557.14</v>
      </c>
      <c r="C5" s="1">
        <v>2045.5</v>
      </c>
      <c r="D5" s="1">
        <v>903.34</v>
      </c>
      <c r="E5" s="1">
        <v>1149.19</v>
      </c>
      <c r="F5" s="1">
        <v>4.91</v>
      </c>
      <c r="G5" s="1">
        <v>632.94000000000005</v>
      </c>
      <c r="H5" s="1">
        <v>1064.29</v>
      </c>
      <c r="I5" s="1">
        <v>151.69</v>
      </c>
      <c r="J5" s="1">
        <v>445.71</v>
      </c>
      <c r="K5" s="8">
        <v>7014.7</v>
      </c>
    </row>
    <row r="6" spans="1:12">
      <c r="A6" s="2" t="s">
        <v>85</v>
      </c>
      <c r="B6" s="1">
        <v>2997</v>
      </c>
      <c r="C6" s="1">
        <v>15294</v>
      </c>
      <c r="D6" s="1">
        <v>5933</v>
      </c>
      <c r="E6" s="1">
        <v>5507</v>
      </c>
      <c r="F6" s="1">
        <v>284</v>
      </c>
      <c r="G6" s="1">
        <v>3922</v>
      </c>
      <c r="H6" s="1">
        <v>5294</v>
      </c>
      <c r="I6" s="1">
        <v>3740</v>
      </c>
      <c r="J6" s="1">
        <v>3713</v>
      </c>
      <c r="K6" s="8">
        <v>46684</v>
      </c>
    </row>
    <row r="7" spans="1:12" ht="13.5" thickBot="1">
      <c r="A7" s="3" t="s">
        <v>86</v>
      </c>
      <c r="B7" s="9">
        <v>1.859</v>
      </c>
      <c r="C7" s="9">
        <v>1.3373999999999999</v>
      </c>
      <c r="D7" s="9">
        <v>1.5226</v>
      </c>
      <c r="E7" s="9">
        <v>2.0868000000000002</v>
      </c>
      <c r="F7" s="9">
        <v>2.2854999999999999</v>
      </c>
      <c r="G7" s="9">
        <v>1.6137999999999999</v>
      </c>
      <c r="H7" s="9">
        <v>2.0104000000000002</v>
      </c>
      <c r="I7" s="9">
        <v>0.40560000000000002</v>
      </c>
      <c r="J7" s="9">
        <v>1.2003999999999999</v>
      </c>
      <c r="K7" s="10">
        <v>1.5025999999999999</v>
      </c>
    </row>
    <row r="8" spans="1:12" ht="13.5" thickBot="1"/>
    <row r="9" spans="1:12" ht="13.5" thickBot="1">
      <c r="A9" s="18" t="s">
        <v>89</v>
      </c>
      <c r="B9" s="19" t="s">
        <v>75</v>
      </c>
      <c r="C9" s="19" t="s">
        <v>76</v>
      </c>
      <c r="D9" s="19" t="s">
        <v>77</v>
      </c>
      <c r="E9" s="19" t="s">
        <v>78</v>
      </c>
      <c r="F9" s="19" t="s">
        <v>79</v>
      </c>
      <c r="G9" s="19" t="s">
        <v>80</v>
      </c>
      <c r="H9" s="19" t="s">
        <v>81</v>
      </c>
      <c r="I9" s="19" t="s">
        <v>82</v>
      </c>
      <c r="J9" s="19" t="s">
        <v>83</v>
      </c>
      <c r="K9" s="19" t="s">
        <v>60</v>
      </c>
      <c r="L9" s="20" t="s">
        <v>50</v>
      </c>
    </row>
    <row r="10" spans="1:12">
      <c r="A10" s="2" t="s">
        <v>87</v>
      </c>
      <c r="B10" s="15">
        <v>557.14</v>
      </c>
      <c r="C10" s="11">
        <v>2045.5</v>
      </c>
      <c r="D10" s="11">
        <v>903.34</v>
      </c>
      <c r="E10" s="11">
        <v>1149.19</v>
      </c>
      <c r="F10" s="11">
        <v>4.91</v>
      </c>
      <c r="G10" s="11">
        <v>632.94000000000005</v>
      </c>
      <c r="H10" s="11">
        <v>1064.29</v>
      </c>
      <c r="I10" s="11">
        <v>151.69</v>
      </c>
      <c r="J10" s="11">
        <v>445.71</v>
      </c>
      <c r="K10" s="12">
        <f ca="1">Tariff!E26*Tariff!E9/10</f>
        <v>688.60766821015022</v>
      </c>
      <c r="L10" s="13">
        <f ca="1">SUM(B10:K10)</f>
        <v>7643.3176682101503</v>
      </c>
    </row>
    <row r="11" spans="1:12">
      <c r="A11" s="2" t="s">
        <v>85</v>
      </c>
      <c r="B11" s="16">
        <v>2997</v>
      </c>
      <c r="C11" s="1">
        <v>15294</v>
      </c>
      <c r="D11" s="1">
        <v>5933</v>
      </c>
      <c r="E11" s="1">
        <v>5507</v>
      </c>
      <c r="F11" s="1">
        <v>284</v>
      </c>
      <c r="G11" s="1">
        <v>3922</v>
      </c>
      <c r="H11" s="1">
        <v>5294</v>
      </c>
      <c r="I11" s="1">
        <v>3740</v>
      </c>
      <c r="J11" s="1">
        <v>3713</v>
      </c>
      <c r="K11" s="1">
        <f>Tariff!E9</f>
        <v>2539.2787199999998</v>
      </c>
      <c r="L11" s="8">
        <f>SUM(B11:K11)</f>
        <v>49223.278720000002</v>
      </c>
    </row>
    <row r="12" spans="1:12" ht="13.5" thickBot="1">
      <c r="A12" s="3" t="s">
        <v>86</v>
      </c>
      <c r="B12" s="17">
        <v>1.859</v>
      </c>
      <c r="C12" s="9">
        <v>1.3373999999999999</v>
      </c>
      <c r="D12" s="9">
        <v>1.5226</v>
      </c>
      <c r="E12" s="9">
        <v>2.0868000000000002</v>
      </c>
      <c r="F12" s="9">
        <v>2.2854999999999999</v>
      </c>
      <c r="G12" s="9">
        <v>1.6137999999999999</v>
      </c>
      <c r="H12" s="9">
        <v>2.0104000000000002</v>
      </c>
      <c r="I12" s="9">
        <v>0.40560000000000002</v>
      </c>
      <c r="J12" s="9">
        <v>1.2003999999999999</v>
      </c>
      <c r="K12" s="14">
        <f ca="1">K10/K11*10</f>
        <v>2.711823884422385</v>
      </c>
      <c r="L12" s="10">
        <f ca="1">L10/L11*10</f>
        <v>1.5527851591699395</v>
      </c>
    </row>
    <row r="13" spans="1:12">
      <c r="A13" t="s">
        <v>88</v>
      </c>
    </row>
    <row r="14" spans="1:12">
      <c r="I14" s="357" t="s">
        <v>50</v>
      </c>
      <c r="J14" s="357"/>
    </row>
    <row r="15" spans="1:12" ht="38.25" customHeight="1">
      <c r="I15" s="358">
        <v>7027.7055976081583</v>
      </c>
      <c r="J15" s="358"/>
      <c r="L15" s="4">
        <f ca="1">L12-K7</f>
        <v>5.0185159169939597E-2</v>
      </c>
    </row>
    <row r="16" spans="1:12">
      <c r="I16" s="358">
        <v>46954.815999999999</v>
      </c>
      <c r="J16" s="358"/>
    </row>
    <row r="17" spans="9:11">
      <c r="I17" s="358">
        <v>1.4966953757433867</v>
      </c>
      <c r="J17" s="358"/>
    </row>
    <row r="18" spans="9:11">
      <c r="K18">
        <v>-5.9046242566132001E-3</v>
      </c>
    </row>
    <row r="20" spans="9:11" ht="50.25" customHeight="1">
      <c r="I20" s="356" t="s">
        <v>93</v>
      </c>
      <c r="J20" s="356"/>
      <c r="K20" s="356"/>
    </row>
  </sheetData>
  <mergeCells count="6">
    <mergeCell ref="D1:G1"/>
    <mergeCell ref="I20:K20"/>
    <mergeCell ref="I14:J14"/>
    <mergeCell ref="I15:J15"/>
    <mergeCell ref="I16:J16"/>
    <mergeCell ref="I17:J17"/>
  </mergeCells>
  <phoneticPr fontId="0" type="noConversion"/>
  <pageMargins left="0.5" right="0.5" top="0.75" bottom="0.75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3:W60"/>
  <sheetViews>
    <sheetView topLeftCell="A58" workbookViewId="0">
      <selection activeCell="B36" sqref="B36"/>
    </sheetView>
  </sheetViews>
  <sheetFormatPr baseColWidth="10" defaultColWidth="9.140625" defaultRowHeight="12.75"/>
  <cols>
    <col min="2" max="2" width="39.42578125" customWidth="1"/>
    <col min="3" max="3" width="18" customWidth="1"/>
    <col min="4" max="4" width="9.28515625" bestFit="1" customWidth="1"/>
    <col min="5" max="5" width="9.85546875" bestFit="1" customWidth="1"/>
    <col min="6" max="6" width="12.7109375" customWidth="1"/>
    <col min="7" max="7" width="11.85546875" customWidth="1"/>
    <col min="8" max="8" width="12.7109375" customWidth="1"/>
    <col min="9" max="23" width="9.28515625" bestFit="1" customWidth="1"/>
  </cols>
  <sheetData>
    <row r="3" spans="2:23">
      <c r="B3" s="302" t="s">
        <v>235</v>
      </c>
    </row>
    <row r="4" spans="2:23">
      <c r="B4" s="162" t="s">
        <v>236</v>
      </c>
    </row>
    <row r="6" spans="2:23">
      <c r="B6" s="195" t="s">
        <v>191</v>
      </c>
      <c r="C6" s="169"/>
      <c r="D6" s="198">
        <v>1</v>
      </c>
      <c r="E6" s="189">
        <f t="shared" ref="E6:W6" si="0">D6+1</f>
        <v>2</v>
      </c>
      <c r="F6" s="189">
        <f t="shared" si="0"/>
        <v>3</v>
      </c>
      <c r="G6" s="189">
        <f t="shared" si="0"/>
        <v>4</v>
      </c>
      <c r="H6" s="189">
        <f t="shared" si="0"/>
        <v>5</v>
      </c>
      <c r="I6" s="189">
        <f t="shared" si="0"/>
        <v>6</v>
      </c>
      <c r="J6" s="189">
        <f t="shared" si="0"/>
        <v>7</v>
      </c>
      <c r="K6" s="189">
        <f t="shared" si="0"/>
        <v>8</v>
      </c>
      <c r="L6" s="189">
        <f t="shared" si="0"/>
        <v>9</v>
      </c>
      <c r="M6" s="189">
        <f t="shared" si="0"/>
        <v>10</v>
      </c>
      <c r="N6" s="189">
        <f t="shared" si="0"/>
        <v>11</v>
      </c>
      <c r="O6" s="189">
        <f t="shared" si="0"/>
        <v>12</v>
      </c>
      <c r="P6" s="189">
        <f t="shared" si="0"/>
        <v>13</v>
      </c>
      <c r="Q6" s="189">
        <f t="shared" si="0"/>
        <v>14</v>
      </c>
      <c r="R6" s="189">
        <f t="shared" si="0"/>
        <v>15</v>
      </c>
      <c r="S6" s="189">
        <f t="shared" si="0"/>
        <v>16</v>
      </c>
      <c r="T6" s="189">
        <f t="shared" si="0"/>
        <v>17</v>
      </c>
      <c r="U6" s="189">
        <f t="shared" si="0"/>
        <v>18</v>
      </c>
      <c r="V6" s="189">
        <f t="shared" si="0"/>
        <v>19</v>
      </c>
      <c r="W6" s="190">
        <f t="shared" si="0"/>
        <v>20</v>
      </c>
    </row>
    <row r="7" spans="2:23">
      <c r="B7" s="196" t="s">
        <v>192</v>
      </c>
      <c r="C7" s="165"/>
      <c r="D7" s="199">
        <f>Input!D18</f>
        <v>40269</v>
      </c>
      <c r="E7" s="188">
        <f>D8+1</f>
        <v>40634</v>
      </c>
      <c r="F7" s="188">
        <f>E8+1</f>
        <v>41000</v>
      </c>
      <c r="G7" s="188">
        <f t="shared" ref="G7:W7" si="1">F8+1</f>
        <v>41365</v>
      </c>
      <c r="H7" s="188">
        <f t="shared" si="1"/>
        <v>41730</v>
      </c>
      <c r="I7" s="188">
        <f t="shared" si="1"/>
        <v>42095</v>
      </c>
      <c r="J7" s="188">
        <f t="shared" si="1"/>
        <v>42461</v>
      </c>
      <c r="K7" s="188">
        <f t="shared" si="1"/>
        <v>42826</v>
      </c>
      <c r="L7" s="188">
        <f t="shared" si="1"/>
        <v>43191</v>
      </c>
      <c r="M7" s="188">
        <f t="shared" si="1"/>
        <v>43556</v>
      </c>
      <c r="N7" s="188">
        <f t="shared" si="1"/>
        <v>43922</v>
      </c>
      <c r="O7" s="188">
        <f t="shared" si="1"/>
        <v>44287</v>
      </c>
      <c r="P7" s="188">
        <f t="shared" si="1"/>
        <v>44652</v>
      </c>
      <c r="Q7" s="188">
        <f t="shared" si="1"/>
        <v>45017</v>
      </c>
      <c r="R7" s="188">
        <f t="shared" si="1"/>
        <v>45383</v>
      </c>
      <c r="S7" s="188">
        <f t="shared" si="1"/>
        <v>45748</v>
      </c>
      <c r="T7" s="188">
        <f t="shared" si="1"/>
        <v>46113</v>
      </c>
      <c r="U7" s="188">
        <f t="shared" si="1"/>
        <v>46478</v>
      </c>
      <c r="V7" s="188">
        <f t="shared" si="1"/>
        <v>46844</v>
      </c>
      <c r="W7" s="191">
        <f t="shared" si="1"/>
        <v>47209</v>
      </c>
    </row>
    <row r="8" spans="2:23">
      <c r="B8" s="196" t="s">
        <v>193</v>
      </c>
      <c r="C8" s="165"/>
      <c r="D8" s="199">
        <f>DATE(IF(AND(MONTH(D7)&gt;=4,MONTH(D7)&lt;=12),YEAR(D7)+1,YEAR(D7)),3,31)</f>
        <v>40633</v>
      </c>
      <c r="E8" s="188">
        <f>DATE(IF(AND(MONTH(E7)&gt;=4,MONTH(E7)&lt;=12),YEAR(E7)+1,YEAR(E7)),3,31)</f>
        <v>40999</v>
      </c>
      <c r="F8" s="188">
        <f>DATE(IF(AND(MONTH(F7)&gt;=4,MONTH(F7)&lt;=12),YEAR(F7)+1,YEAR(F7)),3,31)</f>
        <v>41364</v>
      </c>
      <c r="G8" s="188">
        <f t="shared" ref="G8:W8" si="2">DATE(IF(AND(MONTH(G7)&gt;=4,MONTH(G7)&lt;=12),YEAR(G7)+1,YEAR(G7)),3,31)</f>
        <v>41729</v>
      </c>
      <c r="H8" s="188">
        <f t="shared" si="2"/>
        <v>42094</v>
      </c>
      <c r="I8" s="188">
        <f t="shared" si="2"/>
        <v>42460</v>
      </c>
      <c r="J8" s="188">
        <f t="shared" si="2"/>
        <v>42825</v>
      </c>
      <c r="K8" s="188">
        <f t="shared" si="2"/>
        <v>43190</v>
      </c>
      <c r="L8" s="188">
        <f t="shared" si="2"/>
        <v>43555</v>
      </c>
      <c r="M8" s="188">
        <f t="shared" si="2"/>
        <v>43921</v>
      </c>
      <c r="N8" s="188">
        <f t="shared" si="2"/>
        <v>44286</v>
      </c>
      <c r="O8" s="188">
        <f t="shared" si="2"/>
        <v>44651</v>
      </c>
      <c r="P8" s="188">
        <f t="shared" si="2"/>
        <v>45016</v>
      </c>
      <c r="Q8" s="188">
        <f t="shared" si="2"/>
        <v>45382</v>
      </c>
      <c r="R8" s="188">
        <f t="shared" si="2"/>
        <v>45747</v>
      </c>
      <c r="S8" s="188">
        <f t="shared" si="2"/>
        <v>46112</v>
      </c>
      <c r="T8" s="188">
        <f t="shared" si="2"/>
        <v>46477</v>
      </c>
      <c r="U8" s="188">
        <f t="shared" si="2"/>
        <v>46843</v>
      </c>
      <c r="V8" s="188">
        <f t="shared" si="2"/>
        <v>47208</v>
      </c>
      <c r="W8" s="191">
        <f t="shared" si="2"/>
        <v>47573</v>
      </c>
    </row>
    <row r="9" spans="2:23">
      <c r="B9" s="197" t="s">
        <v>194</v>
      </c>
      <c r="C9" s="192"/>
      <c r="D9" s="200">
        <f>D8-D7+1</f>
        <v>365</v>
      </c>
      <c r="E9" s="193">
        <f t="shared" ref="E9:W9" si="3">E8-E7+1</f>
        <v>366</v>
      </c>
      <c r="F9" s="193">
        <f t="shared" si="3"/>
        <v>365</v>
      </c>
      <c r="G9" s="193">
        <f t="shared" si="3"/>
        <v>365</v>
      </c>
      <c r="H9" s="193">
        <f t="shared" si="3"/>
        <v>365</v>
      </c>
      <c r="I9" s="193">
        <f t="shared" si="3"/>
        <v>366</v>
      </c>
      <c r="J9" s="193">
        <f t="shared" si="3"/>
        <v>365</v>
      </c>
      <c r="K9" s="193">
        <f t="shared" si="3"/>
        <v>365</v>
      </c>
      <c r="L9" s="193">
        <f t="shared" si="3"/>
        <v>365</v>
      </c>
      <c r="M9" s="193">
        <f t="shared" si="3"/>
        <v>366</v>
      </c>
      <c r="N9" s="193">
        <f t="shared" si="3"/>
        <v>365</v>
      </c>
      <c r="O9" s="193">
        <f t="shared" si="3"/>
        <v>365</v>
      </c>
      <c r="P9" s="193">
        <f t="shared" si="3"/>
        <v>365</v>
      </c>
      <c r="Q9" s="193">
        <f t="shared" si="3"/>
        <v>366</v>
      </c>
      <c r="R9" s="193">
        <f t="shared" si="3"/>
        <v>365</v>
      </c>
      <c r="S9" s="193">
        <f t="shared" si="3"/>
        <v>365</v>
      </c>
      <c r="T9" s="193">
        <f t="shared" si="3"/>
        <v>365</v>
      </c>
      <c r="U9" s="193">
        <f t="shared" si="3"/>
        <v>366</v>
      </c>
      <c r="V9" s="193">
        <f t="shared" si="3"/>
        <v>365</v>
      </c>
      <c r="W9" s="194">
        <f t="shared" si="3"/>
        <v>365</v>
      </c>
    </row>
    <row r="12" spans="2:23">
      <c r="B12" s="168" t="s">
        <v>195</v>
      </c>
      <c r="C12" s="177"/>
      <c r="D12" s="169">
        <f>Tariff!E7</f>
        <v>2564.9279999999999</v>
      </c>
      <c r="E12" s="169">
        <f>Tariff!F7</f>
        <v>2571.9552000000003</v>
      </c>
      <c r="F12" s="169">
        <f>Tariff!G7</f>
        <v>2564.9279999999999</v>
      </c>
      <c r="G12" s="169">
        <f>Tariff!H7</f>
        <v>2564.9279999999999</v>
      </c>
      <c r="H12" s="169">
        <f>Tariff!I7</f>
        <v>2564.9279999999999</v>
      </c>
      <c r="I12" s="169">
        <f>Tariff!J7</f>
        <v>2571.9552000000003</v>
      </c>
      <c r="J12" s="169">
        <f>Tariff!K7</f>
        <v>2564.9279999999999</v>
      </c>
      <c r="K12" s="169">
        <f>Tariff!L7</f>
        <v>2564.9279999999999</v>
      </c>
      <c r="L12" s="169">
        <f>Tariff!M7</f>
        <v>2564.9279999999999</v>
      </c>
      <c r="M12" s="169">
        <f>Tariff!N7</f>
        <v>2571.9552000000003</v>
      </c>
      <c r="N12" s="169">
        <f>Tariff!O7</f>
        <v>2564.9279999999999</v>
      </c>
      <c r="O12" s="169">
        <f>Tariff!P7</f>
        <v>2564.9279999999999</v>
      </c>
      <c r="P12" s="169">
        <f>Tariff!Q7</f>
        <v>2564.9279999999999</v>
      </c>
      <c r="Q12" s="169">
        <f>Tariff!R7</f>
        <v>2571.9552000000003</v>
      </c>
      <c r="R12" s="169">
        <f>Tariff!S7</f>
        <v>2564.9279999999999</v>
      </c>
      <c r="S12" s="169">
        <f>Tariff!T7</f>
        <v>2564.9279999999999</v>
      </c>
      <c r="T12" s="169">
        <f>Tariff!U7</f>
        <v>2564.9279999999999</v>
      </c>
      <c r="U12" s="169">
        <f>Tariff!V7</f>
        <v>2571.9552000000003</v>
      </c>
      <c r="V12" s="169">
        <f>Tariff!W7</f>
        <v>2564.9279999999999</v>
      </c>
      <c r="W12" s="170">
        <f>Tariff!X7</f>
        <v>2564.9279999999999</v>
      </c>
    </row>
    <row r="13" spans="2:23">
      <c r="B13" s="171" t="s">
        <v>196</v>
      </c>
      <c r="C13" s="178"/>
      <c r="D13" s="166">
        <f>Tariff!E8</f>
        <v>25.649280000000001</v>
      </c>
      <c r="E13" s="166">
        <f>Tariff!F8</f>
        <v>77.158656000000008</v>
      </c>
      <c r="F13" s="166">
        <f>Tariff!G8</f>
        <v>76.947839999999999</v>
      </c>
      <c r="G13" s="166">
        <f>Tariff!H8</f>
        <v>76.947839999999999</v>
      </c>
      <c r="H13" s="166">
        <f>Tariff!I8</f>
        <v>76.947839999999999</v>
      </c>
      <c r="I13" s="166">
        <f>Tariff!J8</f>
        <v>77.158656000000008</v>
      </c>
      <c r="J13" s="166">
        <f>Tariff!K8</f>
        <v>76.947839999999999</v>
      </c>
      <c r="K13" s="166">
        <f>Tariff!L8</f>
        <v>76.947839999999999</v>
      </c>
      <c r="L13" s="166">
        <f>Tariff!M8</f>
        <v>76.947839999999999</v>
      </c>
      <c r="M13" s="166">
        <f>Tariff!N8</f>
        <v>77.158656000000008</v>
      </c>
      <c r="N13" s="166">
        <f>Tariff!O8</f>
        <v>76.947839999999999</v>
      </c>
      <c r="O13" s="166">
        <f>Tariff!P8</f>
        <v>76.947839999999999</v>
      </c>
      <c r="P13" s="166">
        <f>Tariff!Q8</f>
        <v>76.947839999999999</v>
      </c>
      <c r="Q13" s="166">
        <f>Tariff!R8</f>
        <v>77.158656000000008</v>
      </c>
      <c r="R13" s="166">
        <f>Tariff!S8</f>
        <v>76.947839999999999</v>
      </c>
      <c r="S13" s="166">
        <f>Tariff!T8</f>
        <v>76.947839999999999</v>
      </c>
      <c r="T13" s="166">
        <f>Tariff!U8</f>
        <v>76.947839999999999</v>
      </c>
      <c r="U13" s="166">
        <f>Tariff!V8</f>
        <v>77.158656000000008</v>
      </c>
      <c r="V13" s="166">
        <f>Tariff!W8</f>
        <v>76.947839999999999</v>
      </c>
      <c r="W13" s="172">
        <f>Tariff!X8</f>
        <v>76.947839999999999</v>
      </c>
    </row>
    <row r="14" spans="2:23">
      <c r="B14" s="176" t="s">
        <v>197</v>
      </c>
      <c r="C14" s="179"/>
      <c r="D14" s="174">
        <f>Tariff!E9</f>
        <v>2539.2787199999998</v>
      </c>
      <c r="E14" s="174">
        <f>Tariff!F9</f>
        <v>2494.7965440000003</v>
      </c>
      <c r="F14" s="174">
        <f>Tariff!G9</f>
        <v>2487.9801600000001</v>
      </c>
      <c r="G14" s="174">
        <f>Tariff!H9</f>
        <v>2487.9801600000001</v>
      </c>
      <c r="H14" s="174">
        <f>Tariff!I9</f>
        <v>2487.9801600000001</v>
      </c>
      <c r="I14" s="174">
        <f>Tariff!J9</f>
        <v>2494.7965440000003</v>
      </c>
      <c r="J14" s="174">
        <f>Tariff!K9</f>
        <v>2487.9801600000001</v>
      </c>
      <c r="K14" s="174">
        <f>Tariff!L9</f>
        <v>2487.9801600000001</v>
      </c>
      <c r="L14" s="174">
        <f>Tariff!M9</f>
        <v>2487.9801600000001</v>
      </c>
      <c r="M14" s="174">
        <f>Tariff!N9</f>
        <v>2494.7965440000003</v>
      </c>
      <c r="N14" s="174">
        <f>Tariff!O9</f>
        <v>2487.9801600000001</v>
      </c>
      <c r="O14" s="174">
        <f>Tariff!P9</f>
        <v>2487.9801600000001</v>
      </c>
      <c r="P14" s="174">
        <f>Tariff!Q9</f>
        <v>2487.9801600000001</v>
      </c>
      <c r="Q14" s="174">
        <f>Tariff!R9</f>
        <v>2494.7965440000003</v>
      </c>
      <c r="R14" s="174">
        <f>Tariff!S9</f>
        <v>2487.9801600000001</v>
      </c>
      <c r="S14" s="174">
        <f>Tariff!T9</f>
        <v>2487.9801600000001</v>
      </c>
      <c r="T14" s="174">
        <f>Tariff!U9</f>
        <v>2487.9801600000001</v>
      </c>
      <c r="U14" s="174">
        <f>Tariff!V9</f>
        <v>2494.7965440000003</v>
      </c>
      <c r="V14" s="174">
        <f>Tariff!W9</f>
        <v>2487.9801600000001</v>
      </c>
      <c r="W14" s="175">
        <f>Tariff!X9</f>
        <v>2487.9801600000001</v>
      </c>
    </row>
    <row r="17" spans="2:23">
      <c r="B17" s="177" t="s">
        <v>201</v>
      </c>
      <c r="C17" s="181"/>
      <c r="D17" s="186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2"/>
    </row>
    <row r="18" spans="2:23">
      <c r="B18" s="178" t="s">
        <v>198</v>
      </c>
      <c r="C18" s="165"/>
      <c r="D18" s="187">
        <f ca="1">Tariff!E26</f>
        <v>2.7118238844223854</v>
      </c>
      <c r="E18" s="183">
        <f ca="1">Tariff!F26</f>
        <v>2.8964713092133287</v>
      </c>
      <c r="F18" s="183">
        <f ca="1">Tariff!G26</f>
        <v>2.8635701546290195</v>
      </c>
      <c r="G18" s="183">
        <f ca="1">Tariff!H26</f>
        <v>2.8286356258513976</v>
      </c>
      <c r="H18" s="183">
        <f ca="1">Tariff!I26</f>
        <v>2.793961797859724</v>
      </c>
      <c r="I18" s="183">
        <f ca="1">Tariff!J26</f>
        <v>2.7577293078903589</v>
      </c>
      <c r="J18" s="183">
        <f ca="1">Tariff!K26</f>
        <v>2.7254402299343892</v>
      </c>
      <c r="K18" s="183">
        <f ca="1">Tariff!L26</f>
        <v>2.6916156589783986</v>
      </c>
      <c r="L18" s="183">
        <f ca="1">Tariff!M26</f>
        <v>2.6580981679187055</v>
      </c>
      <c r="M18" s="183">
        <f ca="1">Tariff!N26</f>
        <v>2.62352230058911</v>
      </c>
      <c r="N18" s="183">
        <f ca="1">Tariff!O26</f>
        <v>2.6306362792495319</v>
      </c>
      <c r="O18" s="183">
        <f ca="1">Tariff!P26</f>
        <v>2.5981193748670983</v>
      </c>
      <c r="P18" s="183">
        <f ca="1">Tariff!Q26</f>
        <v>2.3552830388806862</v>
      </c>
      <c r="Q18" s="183">
        <f ca="1">Tariff!R26</f>
        <v>2.3643100503819503</v>
      </c>
      <c r="R18" s="183">
        <f ca="1">Tariff!S26</f>
        <v>2.3746468753304217</v>
      </c>
      <c r="S18" s="183">
        <f ca="1">Tariff!T26</f>
        <v>2.3849347209637761</v>
      </c>
      <c r="T18" s="183">
        <f ca="1">Tariff!U26</f>
        <v>2.3956492655789372</v>
      </c>
      <c r="U18" s="183">
        <f ca="1">Tariff!V26</f>
        <v>2.4063382786009297</v>
      </c>
      <c r="V18" s="183">
        <f ca="1">Tariff!W26</f>
        <v>2.4184311418586315</v>
      </c>
      <c r="W18" s="184">
        <f ca="1">Tariff!X26</f>
        <v>2.4305367873815809</v>
      </c>
    </row>
    <row r="19" spans="2:23">
      <c r="B19" s="164" t="s">
        <v>199</v>
      </c>
      <c r="C19" s="185"/>
      <c r="D19" s="205">
        <f ca="1">D14*D18</f>
        <v>6886.0766821015022</v>
      </c>
      <c r="E19" s="206">
        <f t="shared" ref="E19:W19" ca="1" si="4">E14*E18</f>
        <v>7226.1066120205687</v>
      </c>
      <c r="F19" s="206">
        <f t="shared" ca="1" si="4"/>
        <v>7124.5057314851329</v>
      </c>
      <c r="G19" s="206">
        <f t="shared" ca="1" si="4"/>
        <v>7037.5893169874607</v>
      </c>
      <c r="H19" s="206">
        <f t="shared" ca="1" si="4"/>
        <v>6951.3215208729243</v>
      </c>
      <c r="I19" s="206">
        <f t="shared" ca="1" si="4"/>
        <v>6879.9735466123802</v>
      </c>
      <c r="J19" s="206">
        <f t="shared" ca="1" si="4"/>
        <v>6780.8412193425984</v>
      </c>
      <c r="K19" s="206">
        <f t="shared" ca="1" si="4"/>
        <v>6696.6863578835819</v>
      </c>
      <c r="L19" s="206">
        <f t="shared" ca="1" si="4"/>
        <v>6613.295505114088</v>
      </c>
      <c r="M19" s="206">
        <f t="shared" ca="1" si="4"/>
        <v>6545.1543686166415</v>
      </c>
      <c r="N19" s="206">
        <f t="shared" ca="1" si="4"/>
        <v>6544.9708709490551</v>
      </c>
      <c r="O19" s="206">
        <f t="shared" ca="1" si="4"/>
        <v>6464.0694579809433</v>
      </c>
      <c r="P19" s="206">
        <f t="shared" ca="1" si="4"/>
        <v>5859.8974719196558</v>
      </c>
      <c r="Q19" s="206">
        <f t="shared" ca="1" si="4"/>
        <v>5898.4725426373561</v>
      </c>
      <c r="R19" s="206">
        <f t="shared" ca="1" si="4"/>
        <v>5908.0743128280828</v>
      </c>
      <c r="S19" s="206">
        <f t="shared" ca="1" si="4"/>
        <v>5933.6702686530116</v>
      </c>
      <c r="T19" s="206">
        <f t="shared" ca="1" si="4"/>
        <v>5960.3278430789669</v>
      </c>
      <c r="U19" s="206">
        <f t="shared" ca="1" si="4"/>
        <v>6003.3244211485089</v>
      </c>
      <c r="V19" s="206">
        <f t="shared" ca="1" si="4"/>
        <v>6017.0086992704209</v>
      </c>
      <c r="W19" s="207">
        <f t="shared" ca="1" si="4"/>
        <v>6047.1273051555117</v>
      </c>
    </row>
    <row r="22" spans="2:23">
      <c r="B22" s="177" t="s">
        <v>200</v>
      </c>
      <c r="C22" s="181"/>
      <c r="D22" s="186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2"/>
    </row>
    <row r="23" spans="2:23">
      <c r="B23" s="178" t="s">
        <v>202</v>
      </c>
      <c r="C23" s="202"/>
      <c r="D23" s="204">
        <f>Tariff!E58*10</f>
        <v>1152.0048913043479</v>
      </c>
      <c r="E23" s="167">
        <f>Tariff!F58*10</f>
        <v>1070.16847826087</v>
      </c>
      <c r="F23" s="167">
        <f>Tariff!G58*10</f>
        <v>969.44673913043539</v>
      </c>
      <c r="G23" s="167">
        <f>Tariff!H58*10</f>
        <v>868.7250000000007</v>
      </c>
      <c r="H23" s="167">
        <f>Tariff!I58*10</f>
        <v>768.00326086956625</v>
      </c>
      <c r="I23" s="167">
        <f>Tariff!J58*10</f>
        <v>667.28152173913168</v>
      </c>
      <c r="J23" s="167">
        <f>Tariff!K58*10</f>
        <v>566.55978260869688</v>
      </c>
      <c r="K23" s="167">
        <f>Tariff!L58*10</f>
        <v>465.83804347826208</v>
      </c>
      <c r="L23" s="167">
        <f>Tariff!M58*10</f>
        <v>365.11630434782722</v>
      </c>
      <c r="M23" s="167">
        <f>Tariff!N58*10</f>
        <v>264.39456521739237</v>
      </c>
      <c r="N23" s="167">
        <f>Tariff!O58*10</f>
        <v>163.67282608695757</v>
      </c>
      <c r="O23" s="167">
        <f>Tariff!P58*10</f>
        <v>62.951086956522737</v>
      </c>
      <c r="P23" s="167">
        <f>Tariff!Q58*10</f>
        <v>0</v>
      </c>
      <c r="Q23" s="167">
        <f>Tariff!R58*10</f>
        <v>0</v>
      </c>
      <c r="R23" s="167">
        <f>Tariff!S58*10</f>
        <v>0</v>
      </c>
      <c r="S23" s="167">
        <f>Tariff!T58*10</f>
        <v>0</v>
      </c>
      <c r="T23" s="167">
        <f>Tariff!U58*10</f>
        <v>0</v>
      </c>
      <c r="U23" s="167">
        <f>Tariff!V58*10</f>
        <v>0</v>
      </c>
      <c r="V23" s="167">
        <f>Tariff!W58*10</f>
        <v>0</v>
      </c>
      <c r="W23" s="203">
        <f>Tariff!X58*10</f>
        <v>0</v>
      </c>
    </row>
    <row r="24" spans="2:23">
      <c r="B24" s="178" t="s">
        <v>203</v>
      </c>
      <c r="C24" s="202"/>
      <c r="D24" s="187">
        <f ca="1">Tariff!E70*10</f>
        <v>188.21974976726978</v>
      </c>
      <c r="E24" s="183">
        <f ca="1">Tariff!F70*10</f>
        <v>195.21996554176388</v>
      </c>
      <c r="F24" s="183">
        <f ca="1">Tariff!G70*10</f>
        <v>194.67222297698771</v>
      </c>
      <c r="G24" s="183">
        <f ca="1">Tariff!H70*10</f>
        <v>194.08621064974955</v>
      </c>
      <c r="H24" s="183">
        <f ca="1">Tariff!I70*10</f>
        <v>193.57316322724813</v>
      </c>
      <c r="I24" s="183">
        <f ca="1">Tariff!J70*10</f>
        <v>193.05104390932081</v>
      </c>
      <c r="J24" s="183">
        <f ca="1">Tariff!K70*10</f>
        <v>192.78237304368309</v>
      </c>
      <c r="K24" s="183">
        <f ca="1">Tariff!L70*10</f>
        <v>192.51342198260051</v>
      </c>
      <c r="L24" s="183">
        <f ca="1">Tariff!M70*10</f>
        <v>192.33504646174123</v>
      </c>
      <c r="M24" s="183">
        <f ca="1">Tariff!N70*10</f>
        <v>192.18746556514688</v>
      </c>
      <c r="N24" s="183">
        <f ca="1">Tariff!O70*10</f>
        <v>194.08596054914972</v>
      </c>
      <c r="O24" s="183">
        <f ca="1">Tariff!P70*10</f>
        <v>194.21074835406415</v>
      </c>
      <c r="P24" s="183">
        <f ca="1">Tariff!Q70*10</f>
        <v>184.539098053244</v>
      </c>
      <c r="Q24" s="183">
        <f ca="1">Tariff!R70*10</f>
        <v>186.81445785849093</v>
      </c>
      <c r="R24" s="183">
        <f ca="1">Tariff!S70*10</f>
        <v>189.25844261542775</v>
      </c>
      <c r="S24" s="183">
        <f ca="1">Tariff!T70*10</f>
        <v>191.81340429913251</v>
      </c>
      <c r="T24" s="183">
        <f ca="1">Tariff!U70*10</f>
        <v>194.50834481821533</v>
      </c>
      <c r="U24" s="183">
        <f ca="1">Tariff!V70*10</f>
        <v>197.32901475468142</v>
      </c>
      <c r="V24" s="183">
        <f ca="1">Tariff!W70*10</f>
        <v>200.3500769128471</v>
      </c>
      <c r="W24" s="184">
        <f ca="1">Tariff!X70*10</f>
        <v>203.51397857091757</v>
      </c>
    </row>
    <row r="25" spans="2:23">
      <c r="B25" s="178" t="s">
        <v>204</v>
      </c>
      <c r="C25" s="202"/>
      <c r="D25" s="204">
        <f>Input!$D$65*Input!$D$10*10</f>
        <v>332.64</v>
      </c>
      <c r="E25" s="167">
        <f>D25*(1+Input!$D$66)</f>
        <v>345.94560000000001</v>
      </c>
      <c r="F25" s="167">
        <f>E25*(1+Input!$D$66)</f>
        <v>359.78342400000002</v>
      </c>
      <c r="G25" s="167">
        <f>F25*(1+Input!$D$66)</f>
        <v>374.17476096000001</v>
      </c>
      <c r="H25" s="167">
        <f>G25*(1+Input!$D$66)</f>
        <v>389.1417513984</v>
      </c>
      <c r="I25" s="167">
        <f>H25*(1+Input!$D$66)</f>
        <v>404.70742145433604</v>
      </c>
      <c r="J25" s="167">
        <f>I25*(1+Input!$D$66)</f>
        <v>420.89571831250947</v>
      </c>
      <c r="K25" s="167">
        <f>J25*(1+Input!$D$66)</f>
        <v>437.73154704500985</v>
      </c>
      <c r="L25" s="167">
        <f>K25*(1+Input!$D$66)</f>
        <v>455.24080892681025</v>
      </c>
      <c r="M25" s="167">
        <f>L25*(1+Input!$D$66)</f>
        <v>473.4504412838827</v>
      </c>
      <c r="N25" s="167">
        <f>M25*(1+Input!$D$66)</f>
        <v>492.38845893523802</v>
      </c>
      <c r="O25" s="167">
        <f>N25*(1+Input!$D$66)</f>
        <v>512.08399729264761</v>
      </c>
      <c r="P25" s="167">
        <f>O25*(1+Input!$D$66)</f>
        <v>532.56735718435357</v>
      </c>
      <c r="Q25" s="167">
        <f>P25*(1+Input!$D$66)</f>
        <v>553.87005147172772</v>
      </c>
      <c r="R25" s="167">
        <f>Q25*(1+Input!$D$66)</f>
        <v>576.02485353059683</v>
      </c>
      <c r="S25" s="167">
        <f>R25*(1+Input!$D$66)</f>
        <v>599.06584767182073</v>
      </c>
      <c r="T25" s="167">
        <f>S25*(1+Input!$D$66)</f>
        <v>623.02848157869357</v>
      </c>
      <c r="U25" s="167">
        <f>T25*(1+Input!$D$66)</f>
        <v>647.94962084184135</v>
      </c>
      <c r="V25" s="167">
        <f>U25*(1+Input!$D$66)</f>
        <v>673.86760567551505</v>
      </c>
      <c r="W25" s="203">
        <f>V25*(1+Input!$D$66)</f>
        <v>700.82230990253572</v>
      </c>
    </row>
    <row r="26" spans="2:23">
      <c r="B26" s="178" t="s">
        <v>205</v>
      </c>
      <c r="C26" s="202"/>
      <c r="D26" s="204">
        <f>Tariff!E35*10</f>
        <v>4362.910596682058</v>
      </c>
      <c r="E26" s="167">
        <f>Tariff!F35*10</f>
        <v>4374.8637763989955</v>
      </c>
      <c r="F26" s="167">
        <f>Tariff!G35*10</f>
        <v>4362.910596682058</v>
      </c>
      <c r="G26" s="167">
        <f>Tariff!H35*10</f>
        <v>4362.910596682058</v>
      </c>
      <c r="H26" s="167">
        <f>Tariff!I35*10</f>
        <v>4362.910596682058</v>
      </c>
      <c r="I26" s="167">
        <f>Tariff!J35*10</f>
        <v>4374.8637763989955</v>
      </c>
      <c r="J26" s="167">
        <f>Tariff!K35*10</f>
        <v>4362.910596682058</v>
      </c>
      <c r="K26" s="167">
        <f>Tariff!L35*10</f>
        <v>4362.910596682058</v>
      </c>
      <c r="L26" s="167">
        <f>Tariff!M35*10</f>
        <v>4362.910596682058</v>
      </c>
      <c r="M26" s="167">
        <f>Tariff!N35*10</f>
        <v>4374.8637763989955</v>
      </c>
      <c r="N26" s="167">
        <f>Tariff!O35*10</f>
        <v>4362.910596682058</v>
      </c>
      <c r="O26" s="167">
        <f>Tariff!P35*10</f>
        <v>4362.910596682058</v>
      </c>
      <c r="P26" s="167">
        <f>Tariff!Q35*10</f>
        <v>4362.910596682058</v>
      </c>
      <c r="Q26" s="167">
        <f>Tariff!R35*10</f>
        <v>4374.8637763989955</v>
      </c>
      <c r="R26" s="167">
        <f>Tariff!S35*10</f>
        <v>4362.910596682058</v>
      </c>
      <c r="S26" s="167">
        <f>Tariff!T35*10</f>
        <v>4362.910596682058</v>
      </c>
      <c r="T26" s="167">
        <f>Tariff!U35*10</f>
        <v>4362.910596682058</v>
      </c>
      <c r="U26" s="167">
        <f>Tariff!V35*10</f>
        <v>4374.8637763989955</v>
      </c>
      <c r="V26" s="167">
        <f>Tariff!W35*10</f>
        <v>4362.910596682058</v>
      </c>
      <c r="W26" s="203">
        <f>Tariff!X35*10</f>
        <v>4362.910596682058</v>
      </c>
    </row>
    <row r="27" spans="2:23">
      <c r="B27" s="178" t="s">
        <v>206</v>
      </c>
      <c r="C27" s="202"/>
      <c r="D27" s="204">
        <f>Tariff!E88*10</f>
        <v>387.39130434782612</v>
      </c>
      <c r="E27" s="167">
        <f ca="1">Tariff!F88*10</f>
        <v>774.78260869565224</v>
      </c>
      <c r="F27" s="167">
        <f ca="1">Tariff!G88*10</f>
        <v>774.78260869565224</v>
      </c>
      <c r="G27" s="167">
        <f ca="1">Tariff!H88*10</f>
        <v>774.78260869565224</v>
      </c>
      <c r="H27" s="167">
        <f ca="1">Tariff!I88*10</f>
        <v>774.78260869565224</v>
      </c>
      <c r="I27" s="167">
        <f ca="1">Tariff!J88*10</f>
        <v>774.78260869565224</v>
      </c>
      <c r="J27" s="167">
        <f ca="1">Tariff!K88*10</f>
        <v>774.78260869565224</v>
      </c>
      <c r="K27" s="167">
        <f ca="1">Tariff!L88*10</f>
        <v>774.78260869565224</v>
      </c>
      <c r="L27" s="167">
        <f ca="1">Tariff!M88*10</f>
        <v>774.78260869565224</v>
      </c>
      <c r="M27" s="167">
        <f ca="1">Tariff!N88*10</f>
        <v>774.78260869565224</v>
      </c>
      <c r="N27" s="167">
        <f ca="1">Tariff!O88*10</f>
        <v>774.78260869565224</v>
      </c>
      <c r="O27" s="167">
        <f ca="1">Tariff!P88*10</f>
        <v>774.78260869565224</v>
      </c>
      <c r="P27" s="167">
        <f ca="1">Tariff!Q88*10</f>
        <v>222.75000000000034</v>
      </c>
      <c r="Q27" s="167">
        <f ca="1">Tariff!R88*10</f>
        <v>222.75000000000034</v>
      </c>
      <c r="R27" s="167">
        <f ca="1">Tariff!S88*10</f>
        <v>222.75000000000034</v>
      </c>
      <c r="S27" s="167">
        <f ca="1">Tariff!T88*10</f>
        <v>222.75000000000034</v>
      </c>
      <c r="T27" s="167">
        <f ca="1">Tariff!U88*10</f>
        <v>222.75000000000034</v>
      </c>
      <c r="U27" s="167">
        <f ca="1">Tariff!V88*10</f>
        <v>222.75000000000034</v>
      </c>
      <c r="V27" s="167">
        <f ca="1">Tariff!W88*10</f>
        <v>222.75000000000034</v>
      </c>
      <c r="W27" s="203">
        <f ca="1">Tariff!X88*10</f>
        <v>222.75000000000034</v>
      </c>
    </row>
    <row r="28" spans="2:23">
      <c r="B28" s="178"/>
      <c r="C28" s="202"/>
      <c r="D28" s="204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203"/>
    </row>
    <row r="29" spans="2:23">
      <c r="B29" s="164" t="s">
        <v>207</v>
      </c>
      <c r="C29" s="185"/>
      <c r="D29" s="173">
        <f t="shared" ref="D29:W29" ca="1" si="5">SUM(D23:D27)</f>
        <v>6423.1665421015023</v>
      </c>
      <c r="E29" s="174">
        <f t="shared" ca="1" si="5"/>
        <v>6760.9804288972809</v>
      </c>
      <c r="F29" s="174">
        <f t="shared" ca="1" si="5"/>
        <v>6661.5955914851329</v>
      </c>
      <c r="G29" s="174">
        <f t="shared" ca="1" si="5"/>
        <v>6574.6791769874599</v>
      </c>
      <c r="H29" s="174">
        <f t="shared" ca="1" si="5"/>
        <v>6488.4113808729244</v>
      </c>
      <c r="I29" s="174">
        <f t="shared" ca="1" si="5"/>
        <v>6414.686372197436</v>
      </c>
      <c r="J29" s="174">
        <f t="shared" ca="1" si="5"/>
        <v>6317.9310793425993</v>
      </c>
      <c r="K29" s="174">
        <f t="shared" ca="1" si="5"/>
        <v>6233.7762178835819</v>
      </c>
      <c r="L29" s="174">
        <f t="shared" ca="1" si="5"/>
        <v>6150.3853651140889</v>
      </c>
      <c r="M29" s="174">
        <f t="shared" ca="1" si="5"/>
        <v>6079.6788571610696</v>
      </c>
      <c r="N29" s="174">
        <f t="shared" ca="1" si="5"/>
        <v>5987.8404509490556</v>
      </c>
      <c r="O29" s="174">
        <f t="shared" ca="1" si="5"/>
        <v>5906.9390379809447</v>
      </c>
      <c r="P29" s="174">
        <f t="shared" ca="1" si="5"/>
        <v>5302.7670519196554</v>
      </c>
      <c r="Q29" s="174">
        <f t="shared" ca="1" si="5"/>
        <v>5338.2982857292136</v>
      </c>
      <c r="R29" s="174">
        <f t="shared" ca="1" si="5"/>
        <v>5350.9438928280824</v>
      </c>
      <c r="S29" s="174">
        <f t="shared" ca="1" si="5"/>
        <v>5376.5398486530112</v>
      </c>
      <c r="T29" s="174">
        <f t="shared" ca="1" si="5"/>
        <v>5403.1974230789674</v>
      </c>
      <c r="U29" s="174">
        <f t="shared" ca="1" si="5"/>
        <v>5442.8924119955182</v>
      </c>
      <c r="V29" s="174">
        <f t="shared" ca="1" si="5"/>
        <v>5459.8782792704205</v>
      </c>
      <c r="W29" s="175">
        <f t="shared" ca="1" si="5"/>
        <v>5489.9968851555113</v>
      </c>
    </row>
    <row r="31" spans="2:23"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</row>
    <row r="32" spans="2:23">
      <c r="B32" s="211" t="s">
        <v>208</v>
      </c>
      <c r="C32" s="169"/>
      <c r="D32" s="210">
        <f t="shared" ref="D32:W32" ca="1" si="6">D19-D29</f>
        <v>462.91013999999996</v>
      </c>
      <c r="E32" s="208">
        <f t="shared" ca="1" si="6"/>
        <v>465.12618312328777</v>
      </c>
      <c r="F32" s="208">
        <f t="shared" ca="1" si="6"/>
        <v>462.91013999999996</v>
      </c>
      <c r="G32" s="208">
        <f t="shared" ca="1" si="6"/>
        <v>462.91014000000087</v>
      </c>
      <c r="H32" s="208">
        <f t="shared" ca="1" si="6"/>
        <v>462.91013999999996</v>
      </c>
      <c r="I32" s="208">
        <f t="shared" ca="1" si="6"/>
        <v>465.28717441494427</v>
      </c>
      <c r="J32" s="208">
        <f t="shared" ca="1" si="6"/>
        <v>462.91013999999905</v>
      </c>
      <c r="K32" s="208">
        <f t="shared" ca="1" si="6"/>
        <v>462.91013999999996</v>
      </c>
      <c r="L32" s="208">
        <f t="shared" ca="1" si="6"/>
        <v>462.91013999999905</v>
      </c>
      <c r="M32" s="208">
        <f t="shared" ca="1" si="6"/>
        <v>465.4755114555719</v>
      </c>
      <c r="N32" s="208">
        <f t="shared" ca="1" si="6"/>
        <v>557.1304199999995</v>
      </c>
      <c r="O32" s="208">
        <f t="shared" ca="1" si="6"/>
        <v>557.13041999999859</v>
      </c>
      <c r="P32" s="208">
        <f t="shared" ca="1" si="6"/>
        <v>557.13042000000041</v>
      </c>
      <c r="Q32" s="208">
        <f t="shared" ca="1" si="6"/>
        <v>560.17425690814252</v>
      </c>
      <c r="R32" s="208">
        <f t="shared" ca="1" si="6"/>
        <v>557.13042000000041</v>
      </c>
      <c r="S32" s="208">
        <f t="shared" ca="1" si="6"/>
        <v>557.13042000000041</v>
      </c>
      <c r="T32" s="208">
        <f t="shared" ca="1" si="6"/>
        <v>557.1304199999995</v>
      </c>
      <c r="U32" s="208">
        <f t="shared" ca="1" si="6"/>
        <v>560.43200915299076</v>
      </c>
      <c r="V32" s="208">
        <f t="shared" ca="1" si="6"/>
        <v>557.13042000000041</v>
      </c>
      <c r="W32" s="209">
        <f t="shared" ca="1" si="6"/>
        <v>557.13042000000041</v>
      </c>
    </row>
    <row r="33" spans="2:23">
      <c r="B33" s="178" t="s">
        <v>209</v>
      </c>
      <c r="C33" s="202"/>
      <c r="D33" s="231">
        <f>Tariff!E23*Tariff!E9</f>
        <v>47.110140000000008</v>
      </c>
      <c r="E33" s="230">
        <f>Tariff!F23*Tariff!F9</f>
        <v>47.239208876712333</v>
      </c>
      <c r="F33" s="230">
        <f>Tariff!G23*Tariff!G9</f>
        <v>47.110140000000008</v>
      </c>
      <c r="G33" s="230">
        <f>Tariff!H23*Tariff!H9</f>
        <v>47.110140000000008</v>
      </c>
      <c r="H33" s="230">
        <f>Tariff!I23*Tariff!I9</f>
        <v>47.110140000000008</v>
      </c>
      <c r="I33" s="230">
        <f>Tariff!J23*Tariff!J9</f>
        <v>47.239208876712333</v>
      </c>
      <c r="J33" s="230">
        <f>Tariff!K23*Tariff!K9</f>
        <v>47.110140000000008</v>
      </c>
      <c r="K33" s="230">
        <f>Tariff!L23*Tariff!L9</f>
        <v>47.110140000000008</v>
      </c>
      <c r="L33" s="230">
        <f>Tariff!M23*Tariff!M9</f>
        <v>47.110140000000008</v>
      </c>
      <c r="M33" s="230">
        <f>Tariff!N23*Tariff!N9</f>
        <v>47.239208876712333</v>
      </c>
      <c r="N33" s="230">
        <f>Tariff!O23*Tariff!O9</f>
        <v>141.33042000000003</v>
      </c>
      <c r="O33" s="230">
        <f>Tariff!P23*Tariff!P9</f>
        <v>141.33042000000003</v>
      </c>
      <c r="P33" s="230">
        <f>Tariff!Q23*Tariff!Q9</f>
        <v>141.33042000000003</v>
      </c>
      <c r="Q33" s="230">
        <f>Tariff!R23*Tariff!R9</f>
        <v>141.71762663013698</v>
      </c>
      <c r="R33" s="230">
        <f>Tariff!S23*Tariff!S9</f>
        <v>141.33042000000003</v>
      </c>
      <c r="S33" s="230">
        <f>Tariff!T23*Tariff!T9</f>
        <v>141.33042000000003</v>
      </c>
      <c r="T33" s="230">
        <f>Tariff!U23*Tariff!U9</f>
        <v>141.33042000000003</v>
      </c>
      <c r="U33" s="230">
        <f>Tariff!V23*Tariff!V9</f>
        <v>141.71762663013698</v>
      </c>
      <c r="V33" s="230">
        <f>Tariff!W23*Tariff!W9</f>
        <v>141.33042000000003</v>
      </c>
      <c r="W33" s="232">
        <f>Tariff!X23*Tariff!X9</f>
        <v>141.33042000000003</v>
      </c>
    </row>
    <row r="34" spans="2:23">
      <c r="B34" s="161" t="s">
        <v>210</v>
      </c>
      <c r="C34" s="185"/>
      <c r="D34" s="231">
        <f t="shared" ref="D34:W34" ca="1" si="7">D32-D33</f>
        <v>415.79999999999995</v>
      </c>
      <c r="E34" s="230">
        <f t="shared" ca="1" si="7"/>
        <v>417.88697424657545</v>
      </c>
      <c r="F34" s="230">
        <f t="shared" ca="1" si="7"/>
        <v>415.79999999999995</v>
      </c>
      <c r="G34" s="230">
        <f t="shared" ca="1" si="7"/>
        <v>415.80000000000086</v>
      </c>
      <c r="H34" s="230">
        <f t="shared" ca="1" si="7"/>
        <v>415.79999999999995</v>
      </c>
      <c r="I34" s="230">
        <f t="shared" ca="1" si="7"/>
        <v>418.04796553823195</v>
      </c>
      <c r="J34" s="230">
        <f t="shared" ca="1" si="7"/>
        <v>415.79999999999905</v>
      </c>
      <c r="K34" s="230">
        <f t="shared" ca="1" si="7"/>
        <v>415.79999999999995</v>
      </c>
      <c r="L34" s="230">
        <f t="shared" ca="1" si="7"/>
        <v>415.79999999999905</v>
      </c>
      <c r="M34" s="230">
        <f t="shared" ca="1" si="7"/>
        <v>418.23630257885958</v>
      </c>
      <c r="N34" s="230">
        <f t="shared" ca="1" si="7"/>
        <v>415.7999999999995</v>
      </c>
      <c r="O34" s="230">
        <f t="shared" ca="1" si="7"/>
        <v>415.79999999999859</v>
      </c>
      <c r="P34" s="230">
        <f t="shared" ca="1" si="7"/>
        <v>415.80000000000041</v>
      </c>
      <c r="Q34" s="230">
        <f t="shared" ca="1" si="7"/>
        <v>418.45663027800555</v>
      </c>
      <c r="R34" s="230">
        <f t="shared" ca="1" si="7"/>
        <v>415.80000000000041</v>
      </c>
      <c r="S34" s="230">
        <f t="shared" ca="1" si="7"/>
        <v>415.80000000000041</v>
      </c>
      <c r="T34" s="230">
        <f t="shared" ca="1" si="7"/>
        <v>415.7999999999995</v>
      </c>
      <c r="U34" s="230">
        <f t="shared" ca="1" si="7"/>
        <v>418.71438252285378</v>
      </c>
      <c r="V34" s="230">
        <f t="shared" ca="1" si="7"/>
        <v>415.80000000000041</v>
      </c>
      <c r="W34" s="232">
        <f t="shared" ca="1" si="7"/>
        <v>415.80000000000041</v>
      </c>
    </row>
    <row r="38" spans="2:23">
      <c r="B38" s="195" t="s">
        <v>215</v>
      </c>
      <c r="C38" s="295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1"/>
      <c r="U38" s="181"/>
      <c r="V38" s="181"/>
      <c r="W38" s="182"/>
    </row>
    <row r="39" spans="2:23">
      <c r="B39" s="195"/>
      <c r="C39" s="295"/>
      <c r="D39" s="189">
        <v>1</v>
      </c>
      <c r="E39" s="189">
        <f t="shared" ref="E39:W39" si="8">D39+1</f>
        <v>2</v>
      </c>
      <c r="F39" s="189">
        <f t="shared" si="8"/>
        <v>3</v>
      </c>
      <c r="G39" s="189">
        <f t="shared" si="8"/>
        <v>4</v>
      </c>
      <c r="H39" s="189">
        <f t="shared" si="8"/>
        <v>5</v>
      </c>
      <c r="I39" s="189">
        <f t="shared" si="8"/>
        <v>6</v>
      </c>
      <c r="J39" s="189">
        <f t="shared" si="8"/>
        <v>7</v>
      </c>
      <c r="K39" s="189">
        <f t="shared" si="8"/>
        <v>8</v>
      </c>
      <c r="L39" s="189">
        <f t="shared" si="8"/>
        <v>9</v>
      </c>
      <c r="M39" s="189">
        <f t="shared" si="8"/>
        <v>10</v>
      </c>
      <c r="N39" s="189">
        <f t="shared" si="8"/>
        <v>11</v>
      </c>
      <c r="O39" s="189">
        <f t="shared" si="8"/>
        <v>12</v>
      </c>
      <c r="P39" s="189">
        <f t="shared" si="8"/>
        <v>13</v>
      </c>
      <c r="Q39" s="189">
        <f t="shared" si="8"/>
        <v>14</v>
      </c>
      <c r="R39" s="189">
        <f t="shared" si="8"/>
        <v>15</v>
      </c>
      <c r="S39" s="189">
        <f t="shared" si="8"/>
        <v>16</v>
      </c>
      <c r="T39" s="189">
        <f t="shared" si="8"/>
        <v>17</v>
      </c>
      <c r="U39" s="189">
        <f t="shared" si="8"/>
        <v>18</v>
      </c>
      <c r="V39" s="189">
        <f t="shared" si="8"/>
        <v>19</v>
      </c>
      <c r="W39" s="190">
        <f t="shared" si="8"/>
        <v>20</v>
      </c>
    </row>
    <row r="40" spans="2:23">
      <c r="B40" s="197" t="s">
        <v>216</v>
      </c>
      <c r="C40" s="223"/>
      <c r="D40" s="227">
        <f t="shared" ref="D40:W40" si="9">D8</f>
        <v>40633</v>
      </c>
      <c r="E40" s="227">
        <f t="shared" si="9"/>
        <v>40999</v>
      </c>
      <c r="F40" s="227">
        <f t="shared" si="9"/>
        <v>41364</v>
      </c>
      <c r="G40" s="227">
        <f t="shared" si="9"/>
        <v>41729</v>
      </c>
      <c r="H40" s="227">
        <f t="shared" si="9"/>
        <v>42094</v>
      </c>
      <c r="I40" s="227">
        <f t="shared" si="9"/>
        <v>42460</v>
      </c>
      <c r="J40" s="227">
        <f t="shared" si="9"/>
        <v>42825</v>
      </c>
      <c r="K40" s="227">
        <f t="shared" si="9"/>
        <v>43190</v>
      </c>
      <c r="L40" s="227">
        <f t="shared" si="9"/>
        <v>43555</v>
      </c>
      <c r="M40" s="227">
        <f t="shared" si="9"/>
        <v>43921</v>
      </c>
      <c r="N40" s="227">
        <f t="shared" si="9"/>
        <v>44286</v>
      </c>
      <c r="O40" s="227">
        <f t="shared" si="9"/>
        <v>44651</v>
      </c>
      <c r="P40" s="227">
        <f t="shared" si="9"/>
        <v>45016</v>
      </c>
      <c r="Q40" s="227">
        <f t="shared" si="9"/>
        <v>45382</v>
      </c>
      <c r="R40" s="227">
        <f t="shared" si="9"/>
        <v>45747</v>
      </c>
      <c r="S40" s="227">
        <f t="shared" si="9"/>
        <v>46112</v>
      </c>
      <c r="T40" s="227">
        <f t="shared" si="9"/>
        <v>46477</v>
      </c>
      <c r="U40" s="227">
        <f t="shared" si="9"/>
        <v>46843</v>
      </c>
      <c r="V40" s="227">
        <f t="shared" si="9"/>
        <v>47208</v>
      </c>
      <c r="W40" s="228">
        <f t="shared" si="9"/>
        <v>47573</v>
      </c>
    </row>
    <row r="41" spans="2:23">
      <c r="B41" s="195" t="s">
        <v>208</v>
      </c>
      <c r="C41" s="295"/>
      <c r="D41" s="208">
        <f t="shared" ref="D41:W41" ca="1" si="10">D32</f>
        <v>462.91013999999996</v>
      </c>
      <c r="E41" s="208">
        <f t="shared" ca="1" si="10"/>
        <v>465.12618312328777</v>
      </c>
      <c r="F41" s="208">
        <f t="shared" ca="1" si="10"/>
        <v>462.91013999999996</v>
      </c>
      <c r="G41" s="208">
        <f t="shared" ca="1" si="10"/>
        <v>462.91014000000087</v>
      </c>
      <c r="H41" s="208">
        <f t="shared" ca="1" si="10"/>
        <v>462.91013999999996</v>
      </c>
      <c r="I41" s="208">
        <f t="shared" ca="1" si="10"/>
        <v>465.28717441494427</v>
      </c>
      <c r="J41" s="208">
        <f t="shared" ca="1" si="10"/>
        <v>462.91013999999905</v>
      </c>
      <c r="K41" s="208">
        <f t="shared" ca="1" si="10"/>
        <v>462.91013999999996</v>
      </c>
      <c r="L41" s="208">
        <f t="shared" ca="1" si="10"/>
        <v>462.91013999999905</v>
      </c>
      <c r="M41" s="208">
        <f t="shared" ca="1" si="10"/>
        <v>465.4755114555719</v>
      </c>
      <c r="N41" s="208">
        <f t="shared" ca="1" si="10"/>
        <v>557.1304199999995</v>
      </c>
      <c r="O41" s="208">
        <f t="shared" ca="1" si="10"/>
        <v>557.13041999999859</v>
      </c>
      <c r="P41" s="208">
        <f t="shared" ca="1" si="10"/>
        <v>557.13042000000041</v>
      </c>
      <c r="Q41" s="208">
        <f t="shared" ca="1" si="10"/>
        <v>560.17425690814252</v>
      </c>
      <c r="R41" s="208">
        <f t="shared" ca="1" si="10"/>
        <v>557.13042000000041</v>
      </c>
      <c r="S41" s="208">
        <f t="shared" ca="1" si="10"/>
        <v>557.13042000000041</v>
      </c>
      <c r="T41" s="208">
        <f t="shared" ca="1" si="10"/>
        <v>557.1304199999995</v>
      </c>
      <c r="U41" s="208">
        <f t="shared" ca="1" si="10"/>
        <v>560.43200915299076</v>
      </c>
      <c r="V41" s="208">
        <f t="shared" ca="1" si="10"/>
        <v>557.13042000000041</v>
      </c>
      <c r="W41" s="209">
        <f t="shared" ca="1" si="10"/>
        <v>557.13042000000041</v>
      </c>
    </row>
    <row r="42" spans="2:23">
      <c r="B42" s="178" t="s">
        <v>217</v>
      </c>
      <c r="C42" s="221"/>
      <c r="D42" s="167">
        <f t="shared" ref="D42:W42" si="11">D27</f>
        <v>387.39130434782612</v>
      </c>
      <c r="E42" s="167">
        <f t="shared" ca="1" si="11"/>
        <v>774.78260869565224</v>
      </c>
      <c r="F42" s="167">
        <f t="shared" ca="1" si="11"/>
        <v>774.78260869565224</v>
      </c>
      <c r="G42" s="167">
        <f t="shared" ca="1" si="11"/>
        <v>774.78260869565224</v>
      </c>
      <c r="H42" s="167">
        <f t="shared" ca="1" si="11"/>
        <v>774.78260869565224</v>
      </c>
      <c r="I42" s="167">
        <f t="shared" ca="1" si="11"/>
        <v>774.78260869565224</v>
      </c>
      <c r="J42" s="167">
        <f t="shared" ca="1" si="11"/>
        <v>774.78260869565224</v>
      </c>
      <c r="K42" s="167">
        <f t="shared" ca="1" si="11"/>
        <v>774.78260869565224</v>
      </c>
      <c r="L42" s="167">
        <f t="shared" ca="1" si="11"/>
        <v>774.78260869565224</v>
      </c>
      <c r="M42" s="167">
        <f t="shared" ca="1" si="11"/>
        <v>774.78260869565224</v>
      </c>
      <c r="N42" s="167">
        <f t="shared" ca="1" si="11"/>
        <v>774.78260869565224</v>
      </c>
      <c r="O42" s="167">
        <f t="shared" ca="1" si="11"/>
        <v>774.78260869565224</v>
      </c>
      <c r="P42" s="167">
        <f t="shared" ca="1" si="11"/>
        <v>222.75000000000034</v>
      </c>
      <c r="Q42" s="167">
        <f t="shared" ca="1" si="11"/>
        <v>222.75000000000034</v>
      </c>
      <c r="R42" s="167">
        <f t="shared" ca="1" si="11"/>
        <v>222.75000000000034</v>
      </c>
      <c r="S42" s="167">
        <f t="shared" ca="1" si="11"/>
        <v>222.75000000000034</v>
      </c>
      <c r="T42" s="167">
        <f t="shared" ca="1" si="11"/>
        <v>222.75000000000034</v>
      </c>
      <c r="U42" s="167">
        <f t="shared" ca="1" si="11"/>
        <v>222.75000000000034</v>
      </c>
      <c r="V42" s="167">
        <f t="shared" ca="1" si="11"/>
        <v>222.75000000000034</v>
      </c>
      <c r="W42" s="203">
        <f t="shared" ca="1" si="11"/>
        <v>222.75000000000034</v>
      </c>
    </row>
    <row r="43" spans="2:23">
      <c r="B43" s="178" t="s">
        <v>218</v>
      </c>
      <c r="C43" s="221"/>
      <c r="D43" s="183">
        <f t="shared" ref="D43:W43" ca="1" si="12">D41+D42</f>
        <v>850.30144434782608</v>
      </c>
      <c r="E43" s="183">
        <f t="shared" ca="1" si="12"/>
        <v>1239.90879181894</v>
      </c>
      <c r="F43" s="183">
        <f t="shared" ca="1" si="12"/>
        <v>1237.6927486956522</v>
      </c>
      <c r="G43" s="183">
        <f t="shared" ca="1" si="12"/>
        <v>1237.6927486956531</v>
      </c>
      <c r="H43" s="183">
        <f t="shared" ca="1" si="12"/>
        <v>1237.6927486956522</v>
      </c>
      <c r="I43" s="183">
        <f t="shared" ca="1" si="12"/>
        <v>1240.0697831105965</v>
      </c>
      <c r="J43" s="183">
        <f t="shared" ca="1" si="12"/>
        <v>1237.6927486956513</v>
      </c>
      <c r="K43" s="183">
        <f t="shared" ca="1" si="12"/>
        <v>1237.6927486956522</v>
      </c>
      <c r="L43" s="183">
        <f t="shared" ca="1" si="12"/>
        <v>1237.6927486956513</v>
      </c>
      <c r="M43" s="183">
        <f t="shared" ca="1" si="12"/>
        <v>1240.2581201512241</v>
      </c>
      <c r="N43" s="183">
        <f t="shared" ca="1" si="12"/>
        <v>1331.9130286956517</v>
      </c>
      <c r="O43" s="183">
        <f t="shared" ca="1" si="12"/>
        <v>1331.9130286956508</v>
      </c>
      <c r="P43" s="183">
        <f t="shared" ca="1" si="12"/>
        <v>779.88042000000075</v>
      </c>
      <c r="Q43" s="183">
        <f t="shared" ca="1" si="12"/>
        <v>782.92425690814287</v>
      </c>
      <c r="R43" s="183">
        <f t="shared" ca="1" si="12"/>
        <v>779.88042000000075</v>
      </c>
      <c r="S43" s="183">
        <f t="shared" ca="1" si="12"/>
        <v>779.88042000000075</v>
      </c>
      <c r="T43" s="183">
        <f t="shared" ca="1" si="12"/>
        <v>779.88041999999984</v>
      </c>
      <c r="U43" s="183">
        <f t="shared" ca="1" si="12"/>
        <v>783.1820091529911</v>
      </c>
      <c r="V43" s="183">
        <f t="shared" ca="1" si="12"/>
        <v>779.88042000000075</v>
      </c>
      <c r="W43" s="184">
        <f t="shared" ca="1" si="12"/>
        <v>779.88042000000075</v>
      </c>
    </row>
    <row r="44" spans="2:23">
      <c r="B44" s="178" t="s">
        <v>219</v>
      </c>
      <c r="C44" s="221"/>
      <c r="D44" s="167">
        <f t="shared" ref="D44:W44" si="13">D60</f>
        <v>1782</v>
      </c>
      <c r="E44" s="167">
        <f t="shared" si="13"/>
        <v>1514.7</v>
      </c>
      <c r="F44" s="167">
        <f t="shared" si="13"/>
        <v>1287.4949999999999</v>
      </c>
      <c r="G44" s="167">
        <f t="shared" si="13"/>
        <v>1094.37075</v>
      </c>
      <c r="H44" s="167">
        <f t="shared" si="13"/>
        <v>930.21513749999997</v>
      </c>
      <c r="I44" s="167">
        <f t="shared" si="13"/>
        <v>790.68286687499995</v>
      </c>
      <c r="J44" s="167">
        <f t="shared" si="13"/>
        <v>672.08043684375002</v>
      </c>
      <c r="K44" s="167">
        <f t="shared" si="13"/>
        <v>571.26837131718753</v>
      </c>
      <c r="L44" s="167">
        <f t="shared" si="13"/>
        <v>485.57811561960943</v>
      </c>
      <c r="M44" s="167">
        <f t="shared" si="13"/>
        <v>412.74139827666795</v>
      </c>
      <c r="N44" s="167">
        <f t="shared" si="13"/>
        <v>350.83018853516768</v>
      </c>
      <c r="O44" s="167">
        <f t="shared" si="13"/>
        <v>298.20566025489239</v>
      </c>
      <c r="P44" s="167">
        <f t="shared" si="13"/>
        <v>253.47481121665851</v>
      </c>
      <c r="Q44" s="167">
        <f t="shared" si="13"/>
        <v>215.45358953415979</v>
      </c>
      <c r="R44" s="167">
        <f t="shared" si="13"/>
        <v>32.903674026905719</v>
      </c>
      <c r="S44" s="167">
        <f t="shared" si="13"/>
        <v>0</v>
      </c>
      <c r="T44" s="167">
        <f t="shared" si="13"/>
        <v>0</v>
      </c>
      <c r="U44" s="167">
        <f t="shared" si="13"/>
        <v>0</v>
      </c>
      <c r="V44" s="167">
        <f t="shared" si="13"/>
        <v>0</v>
      </c>
      <c r="W44" s="203">
        <f t="shared" si="13"/>
        <v>0</v>
      </c>
    </row>
    <row r="45" spans="2:23">
      <c r="B45" s="178" t="s">
        <v>223</v>
      </c>
      <c r="C45" s="221"/>
      <c r="D45" s="183">
        <f t="shared" ref="D45:W45" ca="1" si="14">D43-D44</f>
        <v>-931.69855565217392</v>
      </c>
      <c r="E45" s="183">
        <f t="shared" ca="1" si="14"/>
        <v>-274.79120818106003</v>
      </c>
      <c r="F45" s="183">
        <f t="shared" ca="1" si="14"/>
        <v>-49.802251304347692</v>
      </c>
      <c r="G45" s="183">
        <f t="shared" ca="1" si="14"/>
        <v>143.32199869565306</v>
      </c>
      <c r="H45" s="183">
        <f t="shared" ca="1" si="14"/>
        <v>307.47761119565223</v>
      </c>
      <c r="I45" s="183">
        <f t="shared" ca="1" si="14"/>
        <v>449.38691623559657</v>
      </c>
      <c r="J45" s="183">
        <f t="shared" ca="1" si="14"/>
        <v>565.61231185190127</v>
      </c>
      <c r="K45" s="183">
        <f t="shared" ca="1" si="14"/>
        <v>666.42437737846467</v>
      </c>
      <c r="L45" s="183">
        <f t="shared" ca="1" si="14"/>
        <v>752.11463307604186</v>
      </c>
      <c r="M45" s="183">
        <f t="shared" ca="1" si="14"/>
        <v>827.5167218745562</v>
      </c>
      <c r="N45" s="183">
        <f t="shared" ca="1" si="14"/>
        <v>981.08284016048401</v>
      </c>
      <c r="O45" s="183">
        <f t="shared" ca="1" si="14"/>
        <v>1033.7073684407585</v>
      </c>
      <c r="P45" s="183">
        <f t="shared" ca="1" si="14"/>
        <v>526.40560878334225</v>
      </c>
      <c r="Q45" s="183">
        <f t="shared" ca="1" si="14"/>
        <v>567.47066737398313</v>
      </c>
      <c r="R45" s="183">
        <f t="shared" ca="1" si="14"/>
        <v>746.97674597309503</v>
      </c>
      <c r="S45" s="183">
        <f t="shared" ca="1" si="14"/>
        <v>779.88042000000075</v>
      </c>
      <c r="T45" s="183">
        <f t="shared" ca="1" si="14"/>
        <v>779.88041999999984</v>
      </c>
      <c r="U45" s="183">
        <f t="shared" ca="1" si="14"/>
        <v>783.1820091529911</v>
      </c>
      <c r="V45" s="183">
        <f t="shared" ca="1" si="14"/>
        <v>779.88042000000075</v>
      </c>
      <c r="W45" s="184">
        <f t="shared" ca="1" si="14"/>
        <v>779.88042000000075</v>
      </c>
    </row>
    <row r="46" spans="2:23">
      <c r="B46" s="178" t="s">
        <v>224</v>
      </c>
      <c r="C46" s="221"/>
      <c r="D46" s="202"/>
      <c r="E46" s="183">
        <f t="shared" ref="E46:K46" ca="1" si="15">MIN(D47,0)</f>
        <v>-931.69855565217392</v>
      </c>
      <c r="F46" s="183">
        <f t="shared" ca="1" si="15"/>
        <v>-1206.4897638332341</v>
      </c>
      <c r="G46" s="183">
        <f t="shared" ca="1" si="15"/>
        <v>-1256.2920151375818</v>
      </c>
      <c r="H46" s="183">
        <f t="shared" ca="1" si="15"/>
        <v>-1112.9700164419287</v>
      </c>
      <c r="I46" s="183">
        <f t="shared" ca="1" si="15"/>
        <v>-805.49240524627646</v>
      </c>
      <c r="J46" s="183">
        <f t="shared" ca="1" si="15"/>
        <v>-356.10548901067989</v>
      </c>
      <c r="K46" s="183">
        <f t="shared" ca="1" si="15"/>
        <v>0</v>
      </c>
      <c r="L46" s="183">
        <f t="shared" ref="L46:W46" ca="1" si="16">MIN(K47,0)</f>
        <v>0</v>
      </c>
      <c r="M46" s="183">
        <f t="shared" ca="1" si="16"/>
        <v>0</v>
      </c>
      <c r="N46" s="183">
        <f t="shared" ca="1" si="16"/>
        <v>0</v>
      </c>
      <c r="O46" s="183">
        <f t="shared" ca="1" si="16"/>
        <v>0</v>
      </c>
      <c r="P46" s="183">
        <f t="shared" ca="1" si="16"/>
        <v>0</v>
      </c>
      <c r="Q46" s="183">
        <f t="shared" ca="1" si="16"/>
        <v>0</v>
      </c>
      <c r="R46" s="183">
        <f t="shared" ca="1" si="16"/>
        <v>0</v>
      </c>
      <c r="S46" s="183">
        <f t="shared" ca="1" si="16"/>
        <v>0</v>
      </c>
      <c r="T46" s="183">
        <f t="shared" ca="1" si="16"/>
        <v>0</v>
      </c>
      <c r="U46" s="183">
        <f t="shared" ca="1" si="16"/>
        <v>0</v>
      </c>
      <c r="V46" s="183">
        <f t="shared" ca="1" si="16"/>
        <v>0</v>
      </c>
      <c r="W46" s="184">
        <f t="shared" ca="1" si="16"/>
        <v>0</v>
      </c>
    </row>
    <row r="47" spans="2:23">
      <c r="B47" s="179" t="s">
        <v>225</v>
      </c>
      <c r="C47" s="223"/>
      <c r="D47" s="293">
        <f t="shared" ref="D47:W47" ca="1" si="17">D45+D46</f>
        <v>-931.69855565217392</v>
      </c>
      <c r="E47" s="293">
        <f t="shared" ca="1" si="17"/>
        <v>-1206.4897638332341</v>
      </c>
      <c r="F47" s="293">
        <f t="shared" ca="1" si="17"/>
        <v>-1256.2920151375818</v>
      </c>
      <c r="G47" s="293">
        <f t="shared" ca="1" si="17"/>
        <v>-1112.9700164419287</v>
      </c>
      <c r="H47" s="293">
        <f t="shared" ca="1" si="17"/>
        <v>-805.49240524627646</v>
      </c>
      <c r="I47" s="293">
        <f t="shared" ca="1" si="17"/>
        <v>-356.10548901067989</v>
      </c>
      <c r="J47" s="293">
        <f t="shared" ca="1" si="17"/>
        <v>209.50682284122138</v>
      </c>
      <c r="K47" s="293">
        <f t="shared" ca="1" si="17"/>
        <v>666.42437737846467</v>
      </c>
      <c r="L47" s="293">
        <f t="shared" ca="1" si="17"/>
        <v>752.11463307604186</v>
      </c>
      <c r="M47" s="293">
        <f t="shared" ca="1" si="17"/>
        <v>827.5167218745562</v>
      </c>
      <c r="N47" s="293">
        <f t="shared" ca="1" si="17"/>
        <v>981.08284016048401</v>
      </c>
      <c r="O47" s="293">
        <f t="shared" ca="1" si="17"/>
        <v>1033.7073684407585</v>
      </c>
      <c r="P47" s="293">
        <f t="shared" ca="1" si="17"/>
        <v>526.40560878334225</v>
      </c>
      <c r="Q47" s="293">
        <f t="shared" ca="1" si="17"/>
        <v>567.47066737398313</v>
      </c>
      <c r="R47" s="293">
        <f t="shared" ca="1" si="17"/>
        <v>746.97674597309503</v>
      </c>
      <c r="S47" s="293">
        <f t="shared" ca="1" si="17"/>
        <v>779.88042000000075</v>
      </c>
      <c r="T47" s="293">
        <f t="shared" ca="1" si="17"/>
        <v>779.88041999999984</v>
      </c>
      <c r="U47" s="293">
        <f t="shared" ca="1" si="17"/>
        <v>783.1820091529911</v>
      </c>
      <c r="V47" s="293">
        <f t="shared" ca="1" si="17"/>
        <v>779.88042000000075</v>
      </c>
      <c r="W47" s="294">
        <f t="shared" ca="1" si="17"/>
        <v>779.88042000000075</v>
      </c>
    </row>
    <row r="48" spans="2:23">
      <c r="B48" s="163"/>
    </row>
    <row r="49" spans="2:23">
      <c r="B49" s="163"/>
    </row>
    <row r="50" spans="2:23">
      <c r="B50" s="296" t="s">
        <v>226</v>
      </c>
      <c r="C50" s="295"/>
      <c r="D50" s="189">
        <f ca="1">IF(AND(D39&lt;=15,D47&gt;0,SUM($C$50:C50)&lt;10),(1),(0))</f>
        <v>0</v>
      </c>
      <c r="E50" s="189">
        <f ca="1">IF(AND(E39&lt;=15,E47&gt;0,SUM($C$50:D50)&lt;10),(1),(0))</f>
        <v>0</v>
      </c>
      <c r="F50" s="189">
        <f ca="1">IF(AND(F39&lt;=15,F47&gt;0,SUM($C$50:E50)&lt;10),(1),(0))</f>
        <v>0</v>
      </c>
      <c r="G50" s="189">
        <f ca="1">IF(AND(G39&lt;=15,G47&gt;0,SUM($C$50:F50)&lt;10),(1),(0))</f>
        <v>0</v>
      </c>
      <c r="H50" s="189">
        <f ca="1">IF(AND(H39&lt;=15,H47&gt;0,SUM($C$50:G50)&lt;10),(1),(0))</f>
        <v>0</v>
      </c>
      <c r="I50" s="189">
        <f ca="1">IF(AND(I39&lt;=15,I47&gt;0,SUM($C$50:H50)&lt;10),(1),(0))</f>
        <v>0</v>
      </c>
      <c r="J50" s="189">
        <f ca="1">IF(AND(J39&lt;=15,J47&gt;0,SUM($C$50:I50)&lt;10),(1),(0))</f>
        <v>1</v>
      </c>
      <c r="K50" s="189">
        <f ca="1">IF(AND(K39&lt;=15,K47&gt;0,SUM($C$50:J50)&lt;10),(1),(0))</f>
        <v>1</v>
      </c>
      <c r="L50" s="189">
        <f ca="1">IF(AND(L39&lt;=15,L47&gt;0,SUM($C$50:K50)&lt;10),(1),(0))</f>
        <v>1</v>
      </c>
      <c r="M50" s="189">
        <f ca="1">IF(AND(M39&lt;=15,M47&gt;0,SUM($C$50:L50)&lt;10),(1),(0))</f>
        <v>1</v>
      </c>
      <c r="N50" s="189">
        <f ca="1">IF(AND(N39&lt;=15,N47&gt;0,SUM($C$50:M50)&lt;10),(1),(0))</f>
        <v>1</v>
      </c>
      <c r="O50" s="189">
        <f ca="1">IF(AND(O39&lt;=15,O47&gt;0,SUM($C$50:N50)&lt;10),(1),(0))</f>
        <v>1</v>
      </c>
      <c r="P50" s="189">
        <f ca="1">IF(AND(P39&lt;=15,P47&gt;0,SUM($C$50:O50)&lt;10),(1),(0))</f>
        <v>1</v>
      </c>
      <c r="Q50" s="189">
        <f ca="1">IF(AND(Q39&lt;=15,Q47&gt;0,SUM($C$50:P50)&lt;10),(1),(0))</f>
        <v>1</v>
      </c>
      <c r="R50" s="189">
        <f ca="1">IF(AND(R39&lt;=15,R47&gt;0,SUM($C$50:Q50)&lt;10),(1),(0))</f>
        <v>1</v>
      </c>
      <c r="S50" s="189">
        <f ca="1">IF(AND(S39&lt;=15,S47&gt;0,SUM($C$50:R50)&lt;10),(1),(0))</f>
        <v>0</v>
      </c>
      <c r="T50" s="189">
        <f ca="1">IF(AND(T39&lt;=15,T47&gt;0,SUM($C$50:S50)&lt;10),(1),(0))</f>
        <v>0</v>
      </c>
      <c r="U50" s="189">
        <f ca="1">IF(AND(U39&lt;=15,U47&gt;0,SUM($C$50:T50)&lt;10),(1),(0))</f>
        <v>0</v>
      </c>
      <c r="V50" s="189">
        <f ca="1">IF(AND(V39&lt;=15,V47&gt;0,SUM($C$50:U50)&lt;10),(1),(0))</f>
        <v>0</v>
      </c>
      <c r="W50" s="190">
        <f ca="1">IF(AND(W39&lt;=15,W47&gt;0,SUM($C$50:V50)&lt;10),(1),(0))</f>
        <v>0</v>
      </c>
    </row>
    <row r="51" spans="2:23">
      <c r="B51" s="229" t="s">
        <v>227</v>
      </c>
      <c r="C51" s="221"/>
      <c r="D51" s="297">
        <f t="shared" ref="D51:W51" ca="1" si="18">D47*D50</f>
        <v>0</v>
      </c>
      <c r="E51" s="297">
        <f t="shared" ca="1" si="18"/>
        <v>0</v>
      </c>
      <c r="F51" s="297">
        <f t="shared" ca="1" si="18"/>
        <v>0</v>
      </c>
      <c r="G51" s="297">
        <f t="shared" ca="1" si="18"/>
        <v>0</v>
      </c>
      <c r="H51" s="297">
        <f t="shared" ca="1" si="18"/>
        <v>0</v>
      </c>
      <c r="I51" s="297">
        <f t="shared" ca="1" si="18"/>
        <v>0</v>
      </c>
      <c r="J51" s="297">
        <f t="shared" ca="1" si="18"/>
        <v>209.50682284122138</v>
      </c>
      <c r="K51" s="297">
        <f t="shared" ca="1" si="18"/>
        <v>666.42437737846467</v>
      </c>
      <c r="L51" s="297">
        <f t="shared" ca="1" si="18"/>
        <v>752.11463307604186</v>
      </c>
      <c r="M51" s="297">
        <f t="shared" ca="1" si="18"/>
        <v>827.5167218745562</v>
      </c>
      <c r="N51" s="297">
        <f t="shared" ca="1" si="18"/>
        <v>981.08284016048401</v>
      </c>
      <c r="O51" s="297">
        <f t="shared" ca="1" si="18"/>
        <v>1033.7073684407585</v>
      </c>
      <c r="P51" s="297">
        <f t="shared" ca="1" si="18"/>
        <v>526.40560878334225</v>
      </c>
      <c r="Q51" s="297">
        <f t="shared" ca="1" si="18"/>
        <v>567.47066737398313</v>
      </c>
      <c r="R51" s="297">
        <f t="shared" ca="1" si="18"/>
        <v>746.97674597309503</v>
      </c>
      <c r="S51" s="297">
        <f t="shared" ca="1" si="18"/>
        <v>0</v>
      </c>
      <c r="T51" s="297">
        <f t="shared" ca="1" si="18"/>
        <v>0</v>
      </c>
      <c r="U51" s="297">
        <f t="shared" ca="1" si="18"/>
        <v>0</v>
      </c>
      <c r="V51" s="297">
        <f t="shared" ca="1" si="18"/>
        <v>0</v>
      </c>
      <c r="W51" s="298">
        <f t="shared" ca="1" si="18"/>
        <v>0</v>
      </c>
    </row>
    <row r="52" spans="2:23">
      <c r="B52" s="229" t="s">
        <v>223</v>
      </c>
      <c r="C52" s="221"/>
      <c r="D52" s="183">
        <f t="shared" ref="D52:W52" ca="1" si="19">MAX(D47-D51,0)</f>
        <v>0</v>
      </c>
      <c r="E52" s="183">
        <f t="shared" ca="1" si="19"/>
        <v>0</v>
      </c>
      <c r="F52" s="183">
        <f t="shared" ca="1" si="19"/>
        <v>0</v>
      </c>
      <c r="G52" s="183">
        <f t="shared" ca="1" si="19"/>
        <v>0</v>
      </c>
      <c r="H52" s="183">
        <f t="shared" ca="1" si="19"/>
        <v>0</v>
      </c>
      <c r="I52" s="183">
        <f t="shared" ca="1" si="19"/>
        <v>0</v>
      </c>
      <c r="J52" s="183">
        <f t="shared" ca="1" si="19"/>
        <v>0</v>
      </c>
      <c r="K52" s="183">
        <f t="shared" ca="1" si="19"/>
        <v>0</v>
      </c>
      <c r="L52" s="183">
        <f t="shared" ca="1" si="19"/>
        <v>0</v>
      </c>
      <c r="M52" s="183">
        <f t="shared" ca="1" si="19"/>
        <v>0</v>
      </c>
      <c r="N52" s="183">
        <f t="shared" ca="1" si="19"/>
        <v>0</v>
      </c>
      <c r="O52" s="183">
        <f t="shared" ca="1" si="19"/>
        <v>0</v>
      </c>
      <c r="P52" s="183">
        <f t="shared" ca="1" si="19"/>
        <v>0</v>
      </c>
      <c r="Q52" s="183">
        <f t="shared" ca="1" si="19"/>
        <v>0</v>
      </c>
      <c r="R52" s="183">
        <f t="shared" ca="1" si="19"/>
        <v>0</v>
      </c>
      <c r="S52" s="183">
        <f t="shared" ca="1" si="19"/>
        <v>779.88042000000075</v>
      </c>
      <c r="T52" s="183">
        <f t="shared" ca="1" si="19"/>
        <v>779.88041999999984</v>
      </c>
      <c r="U52" s="183">
        <f t="shared" ca="1" si="19"/>
        <v>783.1820091529911</v>
      </c>
      <c r="V52" s="183">
        <f t="shared" ca="1" si="19"/>
        <v>779.88042000000075</v>
      </c>
      <c r="W52" s="184">
        <f t="shared" ca="1" si="19"/>
        <v>779.88042000000075</v>
      </c>
    </row>
    <row r="53" spans="2:23">
      <c r="B53" s="229" t="s">
        <v>228</v>
      </c>
      <c r="C53" s="221"/>
      <c r="D53" s="183">
        <f ca="1">D52*Input!$D$70</f>
        <v>0</v>
      </c>
      <c r="E53" s="183">
        <f ca="1">E52*Input!$D$70</f>
        <v>0</v>
      </c>
      <c r="F53" s="183">
        <f ca="1">F52*Input!$D$70</f>
        <v>0</v>
      </c>
      <c r="G53" s="183">
        <f ca="1">G52*Input!$D$70</f>
        <v>0</v>
      </c>
      <c r="H53" s="183">
        <f ca="1">H52*Input!$D$70</f>
        <v>0</v>
      </c>
      <c r="I53" s="183">
        <f ca="1">I52*Input!$D$70</f>
        <v>0</v>
      </c>
      <c r="J53" s="183">
        <f ca="1">J52*Input!$D$70</f>
        <v>0</v>
      </c>
      <c r="K53" s="183">
        <f ca="1">K52*Input!$D$70</f>
        <v>0</v>
      </c>
      <c r="L53" s="183">
        <f ca="1">L52*Input!$D$70</f>
        <v>0</v>
      </c>
      <c r="M53" s="183">
        <f ca="1">M52*Input!$D$70</f>
        <v>0</v>
      </c>
      <c r="N53" s="183">
        <f ca="1">N52*Input!$D$70</f>
        <v>0</v>
      </c>
      <c r="O53" s="183">
        <f ca="1">O52*Input!$D$70</f>
        <v>0</v>
      </c>
      <c r="P53" s="183">
        <f ca="1">P52*Input!$D$70</f>
        <v>0</v>
      </c>
      <c r="Q53" s="183">
        <f ca="1">Q52*Input!$D$70</f>
        <v>0</v>
      </c>
      <c r="R53" s="183">
        <f ca="1">R52*Input!$D$70</f>
        <v>0</v>
      </c>
      <c r="S53" s="183">
        <f ca="1">S52*Input!$D$70</f>
        <v>265.08135475800026</v>
      </c>
      <c r="T53" s="183">
        <f ca="1">T52*Input!$D$70</f>
        <v>265.08135475799992</v>
      </c>
      <c r="U53" s="183">
        <f ca="1">U52*Input!$D$70</f>
        <v>266.20356491110164</v>
      </c>
      <c r="V53" s="183">
        <f ca="1">V52*Input!$D$70</f>
        <v>265.08135475800026</v>
      </c>
      <c r="W53" s="184">
        <f ca="1">W52*Input!$D$70</f>
        <v>265.08135475800026</v>
      </c>
    </row>
    <row r="54" spans="2:23">
      <c r="B54" s="229" t="s">
        <v>229</v>
      </c>
      <c r="C54" s="221"/>
      <c r="D54" s="183">
        <f ca="1">D41*Input!$D$71</f>
        <v>52.447718861999995</v>
      </c>
      <c r="E54" s="183">
        <f ca="1">E41*Input!$D$71</f>
        <v>52.698796547868504</v>
      </c>
      <c r="F54" s="183">
        <f ca="1">F41*Input!$D$71</f>
        <v>52.447718861999995</v>
      </c>
      <c r="G54" s="183">
        <f ca="1">G41*Input!$D$71</f>
        <v>52.447718862000094</v>
      </c>
      <c r="H54" s="183">
        <f ca="1">H41*Input!$D$71</f>
        <v>52.447718861999995</v>
      </c>
      <c r="I54" s="183">
        <f ca="1">I41*Input!$D$71</f>
        <v>52.717036861213188</v>
      </c>
      <c r="J54" s="183">
        <f ca="1">J41*Input!$D$71</f>
        <v>52.447718861999888</v>
      </c>
      <c r="K54" s="183">
        <f ca="1">K41*Input!$D$71</f>
        <v>52.447718861999995</v>
      </c>
      <c r="L54" s="183">
        <f ca="1">L41*Input!$D$71</f>
        <v>52.447718861999888</v>
      </c>
      <c r="M54" s="183">
        <f ca="1">M41*Input!$D$71</f>
        <v>52.738375447916297</v>
      </c>
      <c r="N54" s="183">
        <f ca="1">N41*Input!$D$71</f>
        <v>63.12287658599994</v>
      </c>
      <c r="O54" s="183">
        <f ca="1">O41*Input!$D$71</f>
        <v>63.12287658599984</v>
      </c>
      <c r="P54" s="183">
        <f ca="1">P41*Input!$D$71</f>
        <v>63.122876586000046</v>
      </c>
      <c r="Q54" s="183">
        <f ca="1">Q41*Input!$D$71</f>
        <v>63.467743307692544</v>
      </c>
      <c r="R54" s="183">
        <f ca="1">R41*Input!$D$71</f>
        <v>63.122876586000046</v>
      </c>
      <c r="S54" s="183">
        <f ca="1">S41*Input!$D$71</f>
        <v>63.122876586000046</v>
      </c>
      <c r="T54" s="183">
        <f ca="1">T41*Input!$D$71</f>
        <v>63.12287658599994</v>
      </c>
      <c r="U54" s="183">
        <f ca="1">U41*Input!$D$71</f>
        <v>63.496946637033851</v>
      </c>
      <c r="V54" s="183">
        <f ca="1">V41*Input!$D$71</f>
        <v>63.122876586000046</v>
      </c>
      <c r="W54" s="184">
        <f ca="1">W41*Input!$D$71</f>
        <v>63.122876586000046</v>
      </c>
    </row>
    <row r="55" spans="2:23">
      <c r="B55" s="223"/>
      <c r="C55" s="223"/>
      <c r="D55" s="293">
        <f t="shared" ref="D55:W55" ca="1" si="20">MAX(D53,D54)</f>
        <v>52.447718861999995</v>
      </c>
      <c r="E55" s="293">
        <f t="shared" ca="1" si="20"/>
        <v>52.698796547868504</v>
      </c>
      <c r="F55" s="293">
        <f t="shared" ca="1" si="20"/>
        <v>52.447718861999995</v>
      </c>
      <c r="G55" s="293">
        <f t="shared" ca="1" si="20"/>
        <v>52.447718862000094</v>
      </c>
      <c r="H55" s="293">
        <f t="shared" ca="1" si="20"/>
        <v>52.447718861999995</v>
      </c>
      <c r="I55" s="293">
        <f t="shared" ca="1" si="20"/>
        <v>52.717036861213188</v>
      </c>
      <c r="J55" s="293">
        <f t="shared" ca="1" si="20"/>
        <v>52.447718861999888</v>
      </c>
      <c r="K55" s="293">
        <f t="shared" ca="1" si="20"/>
        <v>52.447718861999995</v>
      </c>
      <c r="L55" s="293">
        <f t="shared" ca="1" si="20"/>
        <v>52.447718861999888</v>
      </c>
      <c r="M55" s="293">
        <f t="shared" ca="1" si="20"/>
        <v>52.738375447916297</v>
      </c>
      <c r="N55" s="293">
        <f t="shared" ca="1" si="20"/>
        <v>63.12287658599994</v>
      </c>
      <c r="O55" s="293">
        <f t="shared" ca="1" si="20"/>
        <v>63.12287658599984</v>
      </c>
      <c r="P55" s="293">
        <f t="shared" ca="1" si="20"/>
        <v>63.122876586000046</v>
      </c>
      <c r="Q55" s="293">
        <f t="shared" ca="1" si="20"/>
        <v>63.467743307692544</v>
      </c>
      <c r="R55" s="293">
        <f t="shared" ca="1" si="20"/>
        <v>63.122876586000046</v>
      </c>
      <c r="S55" s="293">
        <f t="shared" ca="1" si="20"/>
        <v>265.08135475800026</v>
      </c>
      <c r="T55" s="293">
        <f t="shared" ca="1" si="20"/>
        <v>265.08135475799992</v>
      </c>
      <c r="U55" s="293">
        <f t="shared" ca="1" si="20"/>
        <v>266.20356491110164</v>
      </c>
      <c r="V55" s="293">
        <f t="shared" ca="1" si="20"/>
        <v>265.08135475800026</v>
      </c>
      <c r="W55" s="294">
        <f t="shared" ca="1" si="20"/>
        <v>265.08135475800026</v>
      </c>
    </row>
    <row r="56" spans="2:23"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</row>
    <row r="58" spans="2:23">
      <c r="B58" s="292" t="s">
        <v>220</v>
      </c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70"/>
    </row>
    <row r="59" spans="2:23">
      <c r="B59" s="299" t="s">
        <v>221</v>
      </c>
      <c r="C59" s="165"/>
      <c r="D59" s="165">
        <f>Input!D10*10</f>
        <v>11880</v>
      </c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300"/>
    </row>
    <row r="60" spans="2:23">
      <c r="B60" s="301" t="s">
        <v>222</v>
      </c>
      <c r="C60" s="192"/>
      <c r="D60" s="230">
        <f>IF((D40-Input!$D$18)&gt;180,'P&amp;L '!$D$59*Input!$D$73,'P&amp;L '!D59*Input!D73/2)</f>
        <v>1782</v>
      </c>
      <c r="E60" s="230">
        <f>MIN(($D$59-SUM($D$60:D60))*Input!$D$73,'P&amp;L '!$D$59*90%-SUM($D$60:D60))</f>
        <v>1514.7</v>
      </c>
      <c r="F60" s="230">
        <f>MIN(($D$59-SUM($D$60:E60))*Input!$D$73,'P&amp;L '!$D$59*90%-SUM($D$60:E60))</f>
        <v>1287.4949999999999</v>
      </c>
      <c r="G60" s="230">
        <f>MIN(($D$59-SUM($D$60:F60))*Input!$D$73,'P&amp;L '!$D$59*90%-SUM($D$60:F60))</f>
        <v>1094.37075</v>
      </c>
      <c r="H60" s="230">
        <f>MIN(($D$59-SUM($D$60:G60))*Input!$D$73,'P&amp;L '!$D$59*90%-SUM($D$60:G60))</f>
        <v>930.21513749999997</v>
      </c>
      <c r="I60" s="230">
        <f>MIN(($D$59-SUM($D$60:H60))*Input!$D$73,'P&amp;L '!$D$59*90%-SUM($D$60:H60))</f>
        <v>790.68286687499995</v>
      </c>
      <c r="J60" s="230">
        <f>MIN(($D$59-SUM($D$60:I60))*Input!$D$73,'P&amp;L '!$D$59*90%-SUM($D$60:I60))</f>
        <v>672.08043684375002</v>
      </c>
      <c r="K60" s="230">
        <f>MIN(($D$59-SUM($D$60:J60))*Input!$D$73,'P&amp;L '!$D$59*90%-SUM($D$60:J60))</f>
        <v>571.26837131718753</v>
      </c>
      <c r="L60" s="230">
        <f>MIN(($D$59-SUM($D$60:K60))*Input!$D$73,'P&amp;L '!$D$59*90%-SUM($D$60:K60))</f>
        <v>485.57811561960943</v>
      </c>
      <c r="M60" s="230">
        <f>MIN(($D$59-SUM($D$60:L60))*Input!$D$73,'P&amp;L '!$D$59*90%-SUM($D$60:L60))</f>
        <v>412.74139827666795</v>
      </c>
      <c r="N60" s="230">
        <f>MIN(($D$59-SUM($D$60:M60))*Input!$D$73,'P&amp;L '!$D$59*90%-SUM($D$60:M60))</f>
        <v>350.83018853516768</v>
      </c>
      <c r="O60" s="230">
        <f>MIN(($D$59-SUM($D$60:N60))*Input!$D$73,'P&amp;L '!$D$59*90%-SUM($D$60:N60))</f>
        <v>298.20566025489239</v>
      </c>
      <c r="P60" s="230">
        <f>MIN(($D$59-SUM($D$60:O60))*Input!$D$73,'P&amp;L '!$D$59*90%-SUM($D$60:O60))</f>
        <v>253.47481121665851</v>
      </c>
      <c r="Q60" s="230">
        <f>MIN(($D$59-SUM($D$60:P60))*Input!$D$73,'P&amp;L '!$D$59*90%-SUM($D$60:P60))</f>
        <v>215.45358953415979</v>
      </c>
      <c r="R60" s="230">
        <f>MIN(($D$59-SUM($D$60:Q60))*Input!$D$73,'P&amp;L '!$D$59*90%-SUM($D$60:Q60))</f>
        <v>32.903674026905719</v>
      </c>
      <c r="S60" s="230">
        <f>MIN(($D$59-SUM($D$60:R60))*Input!$D$73,'P&amp;L '!$D$59*90%-SUM($D$60:R60))</f>
        <v>0</v>
      </c>
      <c r="T60" s="230">
        <f>MIN(($D$59-SUM($D$60:S60))*Input!$D$73,'P&amp;L '!$D$59*90%-SUM($D$60:S60))</f>
        <v>0</v>
      </c>
      <c r="U60" s="230">
        <f>MIN(($D$59-SUM($D$60:T60))*Input!$D$73,'P&amp;L '!$D$59*90%-SUM($D$60:T60))</f>
        <v>0</v>
      </c>
      <c r="V60" s="230">
        <f>MIN(($D$59-SUM($D$60:U60))*Input!$D$73,'P&amp;L '!$D$59*90%-SUM($D$60:U60))</f>
        <v>0</v>
      </c>
      <c r="W60" s="232">
        <f>MIN(($D$59-SUM($D$60:V60))*Input!$D$73,'P&amp;L '!$D$59*90%-SUM($D$60:V60))</f>
        <v>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7:Y17"/>
  <sheetViews>
    <sheetView workbookViewId="0">
      <selection activeCell="G27" sqref="G27"/>
    </sheetView>
  </sheetViews>
  <sheetFormatPr baseColWidth="10" defaultColWidth="9.140625" defaultRowHeight="12.75"/>
  <cols>
    <col min="2" max="2" width="30" customWidth="1"/>
    <col min="3" max="3" width="17.85546875" customWidth="1"/>
    <col min="4" max="6" width="9.85546875" bestFit="1" customWidth="1"/>
    <col min="7" max="25" width="9.28515625" bestFit="1" customWidth="1"/>
  </cols>
  <sheetData>
    <row r="7" spans="1:25">
      <c r="A7" s="162"/>
      <c r="B7" s="195" t="str">
        <f>'P&amp;L '!B6</f>
        <v>Year Count</v>
      </c>
      <c r="C7" s="195"/>
      <c r="D7" s="219"/>
      <c r="E7" s="181"/>
      <c r="F7" s="189">
        <v>1</v>
      </c>
      <c r="G7" s="189">
        <f t="shared" ref="G7:Q7" si="0">F7+1</f>
        <v>2</v>
      </c>
      <c r="H7" s="189">
        <f t="shared" si="0"/>
        <v>3</v>
      </c>
      <c r="I7" s="189">
        <f t="shared" si="0"/>
        <v>4</v>
      </c>
      <c r="J7" s="189">
        <f t="shared" si="0"/>
        <v>5</v>
      </c>
      <c r="K7" s="189">
        <f t="shared" si="0"/>
        <v>6</v>
      </c>
      <c r="L7" s="189">
        <f t="shared" si="0"/>
        <v>7</v>
      </c>
      <c r="M7" s="189">
        <f t="shared" si="0"/>
        <v>8</v>
      </c>
      <c r="N7" s="189">
        <f t="shared" si="0"/>
        <v>9</v>
      </c>
      <c r="O7" s="189">
        <f t="shared" si="0"/>
        <v>10</v>
      </c>
      <c r="P7" s="189">
        <f t="shared" si="0"/>
        <v>11</v>
      </c>
      <c r="Q7" s="189">
        <f t="shared" si="0"/>
        <v>12</v>
      </c>
      <c r="R7" s="189">
        <f>Q7+1</f>
        <v>13</v>
      </c>
      <c r="S7" s="189">
        <f>R7+1</f>
        <v>14</v>
      </c>
      <c r="T7" s="189">
        <f t="shared" ref="T7:Y7" si="1">S7+1</f>
        <v>15</v>
      </c>
      <c r="U7" s="189">
        <f t="shared" si="1"/>
        <v>16</v>
      </c>
      <c r="V7" s="189">
        <f t="shared" si="1"/>
        <v>17</v>
      </c>
      <c r="W7" s="189">
        <f t="shared" si="1"/>
        <v>18</v>
      </c>
      <c r="X7" s="189">
        <f t="shared" si="1"/>
        <v>19</v>
      </c>
      <c r="Y7" s="190">
        <f t="shared" si="1"/>
        <v>20</v>
      </c>
    </row>
    <row r="8" spans="1:25">
      <c r="A8" s="162"/>
      <c r="B8" s="196" t="str">
        <f>'P&amp;L '!B7</f>
        <v>Year Beginning</v>
      </c>
      <c r="C8" s="196"/>
      <c r="D8" s="220">
        <v>39479</v>
      </c>
      <c r="E8" s="212">
        <f>D9+1</f>
        <v>39539</v>
      </c>
      <c r="F8" s="212">
        <f>'P&amp;L '!D7</f>
        <v>40269</v>
      </c>
      <c r="G8" s="212">
        <f>'P&amp;L '!E7</f>
        <v>40634</v>
      </c>
      <c r="H8" s="212">
        <f>'P&amp;L '!F7</f>
        <v>41000</v>
      </c>
      <c r="I8" s="212">
        <f>'P&amp;L '!G7</f>
        <v>41365</v>
      </c>
      <c r="J8" s="212">
        <f>'P&amp;L '!H7</f>
        <v>41730</v>
      </c>
      <c r="K8" s="212">
        <f>'P&amp;L '!I7</f>
        <v>42095</v>
      </c>
      <c r="L8" s="212">
        <f>'P&amp;L '!J7</f>
        <v>42461</v>
      </c>
      <c r="M8" s="212">
        <f>'P&amp;L '!K7</f>
        <v>42826</v>
      </c>
      <c r="N8" s="212">
        <f>'P&amp;L '!L7</f>
        <v>43191</v>
      </c>
      <c r="O8" s="212">
        <f>'P&amp;L '!M7</f>
        <v>43556</v>
      </c>
      <c r="P8" s="212">
        <f>'P&amp;L '!N7</f>
        <v>43922</v>
      </c>
      <c r="Q8" s="212">
        <f>'P&amp;L '!O7</f>
        <v>44287</v>
      </c>
      <c r="R8" s="212">
        <f>'P&amp;L '!P7</f>
        <v>44652</v>
      </c>
      <c r="S8" s="212">
        <f>'P&amp;L '!Q7</f>
        <v>45017</v>
      </c>
      <c r="T8" s="212">
        <f>'P&amp;L '!R7</f>
        <v>45383</v>
      </c>
      <c r="U8" s="212">
        <f>'P&amp;L '!S7</f>
        <v>45748</v>
      </c>
      <c r="V8" s="212">
        <f>'P&amp;L '!T7</f>
        <v>46113</v>
      </c>
      <c r="W8" s="212">
        <f>'P&amp;L '!U7</f>
        <v>46478</v>
      </c>
      <c r="X8" s="212">
        <f>'P&amp;L '!V7</f>
        <v>46844</v>
      </c>
      <c r="Y8" s="213">
        <f>'P&amp;L '!W7</f>
        <v>47209</v>
      </c>
    </row>
    <row r="9" spans="1:25">
      <c r="A9" s="162"/>
      <c r="B9" s="196" t="str">
        <f>'P&amp;L '!B8</f>
        <v>Year Ending</v>
      </c>
      <c r="C9" s="196"/>
      <c r="D9" s="220">
        <f>DATE(IF(AND(MONTH(D8)&gt;=4,MONTH(D8)&lt;=12),YEAR(D8)+1,YEAR(D8)),3,31)</f>
        <v>39538</v>
      </c>
      <c r="E9" s="212">
        <f>DATE(IF(AND(MONTH(E8)&gt;=4,MONTH(E8)&lt;=12),YEAR(E8)+1,YEAR(E8)),3,31)</f>
        <v>39903</v>
      </c>
      <c r="F9" s="212">
        <f>'P&amp;L '!D8</f>
        <v>40633</v>
      </c>
      <c r="G9" s="212">
        <f>'P&amp;L '!E8</f>
        <v>40999</v>
      </c>
      <c r="H9" s="212">
        <f>'P&amp;L '!F8</f>
        <v>41364</v>
      </c>
      <c r="I9" s="212">
        <f>'P&amp;L '!G8</f>
        <v>41729</v>
      </c>
      <c r="J9" s="212">
        <f>'P&amp;L '!H8</f>
        <v>42094</v>
      </c>
      <c r="K9" s="212">
        <f>'P&amp;L '!I8</f>
        <v>42460</v>
      </c>
      <c r="L9" s="212">
        <f>'P&amp;L '!J8</f>
        <v>42825</v>
      </c>
      <c r="M9" s="212">
        <f>'P&amp;L '!K8</f>
        <v>43190</v>
      </c>
      <c r="N9" s="212">
        <f>'P&amp;L '!L8</f>
        <v>43555</v>
      </c>
      <c r="O9" s="212">
        <f>'P&amp;L '!M8</f>
        <v>43921</v>
      </c>
      <c r="P9" s="212">
        <f>'P&amp;L '!N8</f>
        <v>44286</v>
      </c>
      <c r="Q9" s="212">
        <f>'P&amp;L '!O8</f>
        <v>44651</v>
      </c>
      <c r="R9" s="212">
        <f>'P&amp;L '!P8</f>
        <v>45016</v>
      </c>
      <c r="S9" s="212">
        <f>'P&amp;L '!Q8</f>
        <v>45382</v>
      </c>
      <c r="T9" s="212">
        <f>'P&amp;L '!R8</f>
        <v>45747</v>
      </c>
      <c r="U9" s="212">
        <f>'P&amp;L '!S8</f>
        <v>46112</v>
      </c>
      <c r="V9" s="212">
        <f>'P&amp;L '!T8</f>
        <v>46477</v>
      </c>
      <c r="W9" s="212">
        <f>'P&amp;L '!U8</f>
        <v>46843</v>
      </c>
      <c r="X9" s="212">
        <f>'P&amp;L '!V8</f>
        <v>47208</v>
      </c>
      <c r="Y9" s="213">
        <f>'P&amp;L '!W8</f>
        <v>47573</v>
      </c>
    </row>
    <row r="10" spans="1:25">
      <c r="A10" s="162"/>
      <c r="B10" s="197" t="str">
        <f>'P&amp;L '!B9</f>
        <v>Days of operation</v>
      </c>
      <c r="C10" s="197"/>
      <c r="D10" s="218"/>
      <c r="E10" s="185"/>
      <c r="F10" s="193">
        <f>F9-F8+1</f>
        <v>365</v>
      </c>
      <c r="G10" s="193">
        <f t="shared" ref="G10:Y10" si="2">G9-G8+1</f>
        <v>366</v>
      </c>
      <c r="H10" s="193">
        <f t="shared" si="2"/>
        <v>365</v>
      </c>
      <c r="I10" s="193">
        <f t="shared" si="2"/>
        <v>365</v>
      </c>
      <c r="J10" s="193">
        <f t="shared" si="2"/>
        <v>365</v>
      </c>
      <c r="K10" s="193">
        <f t="shared" si="2"/>
        <v>366</v>
      </c>
      <c r="L10" s="193">
        <f t="shared" si="2"/>
        <v>365</v>
      </c>
      <c r="M10" s="193">
        <f t="shared" si="2"/>
        <v>365</v>
      </c>
      <c r="N10" s="193">
        <f t="shared" si="2"/>
        <v>365</v>
      </c>
      <c r="O10" s="193">
        <f t="shared" si="2"/>
        <v>366</v>
      </c>
      <c r="P10" s="193">
        <f t="shared" si="2"/>
        <v>365</v>
      </c>
      <c r="Q10" s="193">
        <f t="shared" si="2"/>
        <v>365</v>
      </c>
      <c r="R10" s="193">
        <f t="shared" si="2"/>
        <v>365</v>
      </c>
      <c r="S10" s="193">
        <f t="shared" si="2"/>
        <v>366</v>
      </c>
      <c r="T10" s="193">
        <f t="shared" si="2"/>
        <v>365</v>
      </c>
      <c r="U10" s="193">
        <f t="shared" si="2"/>
        <v>365</v>
      </c>
      <c r="V10" s="193">
        <f t="shared" si="2"/>
        <v>365</v>
      </c>
      <c r="W10" s="193">
        <f t="shared" si="2"/>
        <v>366</v>
      </c>
      <c r="X10" s="193">
        <f t="shared" si="2"/>
        <v>365</v>
      </c>
      <c r="Y10" s="194">
        <f t="shared" si="2"/>
        <v>365</v>
      </c>
    </row>
    <row r="11" spans="1:25">
      <c r="B11" s="221"/>
      <c r="C11" s="221"/>
      <c r="D11" s="216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17"/>
    </row>
    <row r="12" spans="1:25">
      <c r="B12" s="196" t="s">
        <v>211</v>
      </c>
      <c r="C12" s="221"/>
      <c r="D12" s="187">
        <f>-Input!$D$10*10*60%</f>
        <v>-7128</v>
      </c>
      <c r="E12" s="183">
        <f>-(Input!$D$10*10+D12)</f>
        <v>-4752</v>
      </c>
      <c r="F12" s="183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17"/>
    </row>
    <row r="13" spans="1:25">
      <c r="B13" s="196" t="s">
        <v>212</v>
      </c>
      <c r="C13" s="221"/>
      <c r="D13" s="225">
        <v>0</v>
      </c>
      <c r="E13" s="226">
        <v>0</v>
      </c>
      <c r="F13" s="167">
        <f ca="1">'P&amp;L '!D34</f>
        <v>415.79999999999995</v>
      </c>
      <c r="G13" s="167">
        <f ca="1">'P&amp;L '!E34</f>
        <v>417.88697424657545</v>
      </c>
      <c r="H13" s="167">
        <f ca="1">'P&amp;L '!F34</f>
        <v>415.79999999999995</v>
      </c>
      <c r="I13" s="167">
        <f ca="1">'P&amp;L '!G34</f>
        <v>415.80000000000086</v>
      </c>
      <c r="J13" s="167">
        <f ca="1">'P&amp;L '!H34</f>
        <v>415.79999999999995</v>
      </c>
      <c r="K13" s="167">
        <f ca="1">'P&amp;L '!I34</f>
        <v>418.04796553823195</v>
      </c>
      <c r="L13" s="167">
        <f ca="1">'P&amp;L '!J34</f>
        <v>415.79999999999905</v>
      </c>
      <c r="M13" s="167">
        <f ca="1">'P&amp;L '!K34</f>
        <v>415.79999999999995</v>
      </c>
      <c r="N13" s="167">
        <f ca="1">'P&amp;L '!L34</f>
        <v>415.79999999999905</v>
      </c>
      <c r="O13" s="167">
        <f ca="1">'P&amp;L '!M34</f>
        <v>418.23630257885958</v>
      </c>
      <c r="P13" s="167">
        <f ca="1">'P&amp;L '!N34</f>
        <v>415.7999999999995</v>
      </c>
      <c r="Q13" s="167">
        <f ca="1">'P&amp;L '!O34</f>
        <v>415.79999999999859</v>
      </c>
      <c r="R13" s="167">
        <f ca="1">'P&amp;L '!P34</f>
        <v>415.80000000000041</v>
      </c>
      <c r="S13" s="167">
        <f ca="1">'P&amp;L '!Q34</f>
        <v>418.45663027800555</v>
      </c>
      <c r="T13" s="167">
        <f ca="1">'P&amp;L '!R34</f>
        <v>415.80000000000041</v>
      </c>
      <c r="U13" s="167">
        <f ca="1">'P&amp;L '!S34</f>
        <v>415.80000000000041</v>
      </c>
      <c r="V13" s="167">
        <f ca="1">'P&amp;L '!T34</f>
        <v>415.7999999999995</v>
      </c>
      <c r="W13" s="167">
        <f ca="1">'P&amp;L '!U34</f>
        <v>418.71438252285378</v>
      </c>
      <c r="X13" s="167">
        <f ca="1">'P&amp;L '!V34</f>
        <v>415.80000000000041</v>
      </c>
      <c r="Y13" s="203">
        <f ca="1">'P&amp;L '!W34</f>
        <v>415.80000000000041</v>
      </c>
    </row>
    <row r="14" spans="1:25">
      <c r="B14" s="222" t="s">
        <v>213</v>
      </c>
      <c r="C14" s="221"/>
      <c r="D14" s="216"/>
      <c r="E14" s="202"/>
      <c r="F14" s="167">
        <f>'P&amp;L '!D23</f>
        <v>1152.0048913043479</v>
      </c>
      <c r="G14" s="167">
        <f>'P&amp;L '!E23</f>
        <v>1070.16847826087</v>
      </c>
      <c r="H14" s="167">
        <f>'P&amp;L '!F23</f>
        <v>969.44673913043539</v>
      </c>
      <c r="I14" s="167">
        <f>'P&amp;L '!G23</f>
        <v>868.7250000000007</v>
      </c>
      <c r="J14" s="167">
        <f>'P&amp;L '!H23</f>
        <v>768.00326086956625</v>
      </c>
      <c r="K14" s="167">
        <f>'P&amp;L '!I23</f>
        <v>667.28152173913168</v>
      </c>
      <c r="L14" s="167">
        <f>'P&amp;L '!J23</f>
        <v>566.55978260869688</v>
      </c>
      <c r="M14" s="167">
        <f>'P&amp;L '!K23</f>
        <v>465.83804347826208</v>
      </c>
      <c r="N14" s="167">
        <f>'P&amp;L '!L23</f>
        <v>365.11630434782722</v>
      </c>
      <c r="O14" s="167">
        <f>'P&amp;L '!M23</f>
        <v>264.39456521739237</v>
      </c>
      <c r="P14" s="167">
        <f>'P&amp;L '!N23</f>
        <v>163.67282608695757</v>
      </c>
      <c r="Q14" s="167">
        <f>'P&amp;L '!O23</f>
        <v>62.951086956522737</v>
      </c>
      <c r="R14" s="167">
        <f>'P&amp;L '!P23</f>
        <v>0</v>
      </c>
      <c r="S14" s="167">
        <f>'P&amp;L '!Q23</f>
        <v>0</v>
      </c>
      <c r="T14" s="167">
        <f>'P&amp;L '!R23</f>
        <v>0</v>
      </c>
      <c r="U14" s="167">
        <f>'P&amp;L '!S23</f>
        <v>0</v>
      </c>
      <c r="V14" s="167">
        <f>'P&amp;L '!T23</f>
        <v>0</v>
      </c>
      <c r="W14" s="167">
        <f>'P&amp;L '!U23</f>
        <v>0</v>
      </c>
      <c r="X14" s="167">
        <f>'P&amp;L '!V23</f>
        <v>0</v>
      </c>
      <c r="Y14" s="203">
        <f>'P&amp;L '!W23</f>
        <v>0</v>
      </c>
    </row>
    <row r="15" spans="1:25">
      <c r="B15" s="196" t="s">
        <v>214</v>
      </c>
      <c r="C15" s="221"/>
      <c r="D15" s="216"/>
      <c r="E15" s="202"/>
      <c r="F15" s="167">
        <f>'P&amp;L '!D27</f>
        <v>387.39130434782612</v>
      </c>
      <c r="G15" s="167">
        <f ca="1">'P&amp;L '!E27</f>
        <v>774.78260869565224</v>
      </c>
      <c r="H15" s="167">
        <f ca="1">'P&amp;L '!F27</f>
        <v>774.78260869565224</v>
      </c>
      <c r="I15" s="167">
        <f ca="1">'P&amp;L '!G27</f>
        <v>774.78260869565224</v>
      </c>
      <c r="J15" s="167">
        <f ca="1">'P&amp;L '!H27</f>
        <v>774.78260869565224</v>
      </c>
      <c r="K15" s="167">
        <f ca="1">'P&amp;L '!I27</f>
        <v>774.78260869565224</v>
      </c>
      <c r="L15" s="167">
        <f ca="1">'P&amp;L '!J27</f>
        <v>774.78260869565224</v>
      </c>
      <c r="M15" s="167">
        <f ca="1">'P&amp;L '!K27</f>
        <v>774.78260869565224</v>
      </c>
      <c r="N15" s="167">
        <f ca="1">'P&amp;L '!L27</f>
        <v>774.78260869565224</v>
      </c>
      <c r="O15" s="167">
        <f ca="1">'P&amp;L '!M27</f>
        <v>774.78260869565224</v>
      </c>
      <c r="P15" s="167">
        <f ca="1">'P&amp;L '!N27</f>
        <v>774.78260869565224</v>
      </c>
      <c r="Q15" s="167">
        <f ca="1">'P&amp;L '!O27</f>
        <v>774.78260869565224</v>
      </c>
      <c r="R15" s="167">
        <f ca="1">'P&amp;L '!P27</f>
        <v>222.75000000000034</v>
      </c>
      <c r="S15" s="167">
        <f ca="1">'P&amp;L '!Q27</f>
        <v>222.75000000000034</v>
      </c>
      <c r="T15" s="167">
        <f ca="1">'P&amp;L '!R27</f>
        <v>222.75000000000034</v>
      </c>
      <c r="U15" s="167">
        <f ca="1">'P&amp;L '!S27</f>
        <v>222.75000000000034</v>
      </c>
      <c r="V15" s="167">
        <f ca="1">'P&amp;L '!T27</f>
        <v>222.75000000000034</v>
      </c>
      <c r="W15" s="167">
        <f ca="1">'P&amp;L '!U27</f>
        <v>222.75000000000034</v>
      </c>
      <c r="X15" s="167">
        <f ca="1">'P&amp;L '!V27</f>
        <v>222.75000000000034</v>
      </c>
      <c r="Y15" s="203">
        <f ca="1">'P&amp;L '!W27 +Input!$D$10*10*10%</f>
        <v>1410.7500000000005</v>
      </c>
    </row>
    <row r="16" spans="1:25">
      <c r="B16" s="178" t="s">
        <v>50</v>
      </c>
      <c r="C16" s="221"/>
      <c r="D16" s="187">
        <f t="shared" ref="D16:Y16" si="3">SUM(D12:D15)</f>
        <v>-7128</v>
      </c>
      <c r="E16" s="183">
        <f t="shared" si="3"/>
        <v>-4752</v>
      </c>
      <c r="F16" s="183">
        <f t="shared" ca="1" si="3"/>
        <v>1955.1961956521741</v>
      </c>
      <c r="G16" s="183">
        <f t="shared" ca="1" si="3"/>
        <v>2262.8380612030978</v>
      </c>
      <c r="H16" s="183">
        <f t="shared" ca="1" si="3"/>
        <v>2160.0293478260874</v>
      </c>
      <c r="I16" s="183">
        <f t="shared" ca="1" si="3"/>
        <v>2059.3076086956535</v>
      </c>
      <c r="J16" s="183">
        <f t="shared" ca="1" si="3"/>
        <v>1958.5858695652184</v>
      </c>
      <c r="K16" s="183">
        <f t="shared" ca="1" si="3"/>
        <v>1860.1120959730158</v>
      </c>
      <c r="L16" s="183">
        <f t="shared" ca="1" si="3"/>
        <v>1757.1423913043482</v>
      </c>
      <c r="M16" s="183">
        <f t="shared" ca="1" si="3"/>
        <v>1656.4206521739143</v>
      </c>
      <c r="N16" s="183">
        <f t="shared" ca="1" si="3"/>
        <v>1555.6989130434786</v>
      </c>
      <c r="O16" s="183">
        <f t="shared" ca="1" si="3"/>
        <v>1457.4134764919042</v>
      </c>
      <c r="P16" s="183">
        <f t="shared" ca="1" si="3"/>
        <v>1354.2554347826094</v>
      </c>
      <c r="Q16" s="183">
        <f t="shared" ca="1" si="3"/>
        <v>1253.5336956521735</v>
      </c>
      <c r="R16" s="183">
        <f t="shared" ca="1" si="3"/>
        <v>638.55000000000075</v>
      </c>
      <c r="S16" s="183">
        <f t="shared" ca="1" si="3"/>
        <v>641.20663027800583</v>
      </c>
      <c r="T16" s="183">
        <f t="shared" ca="1" si="3"/>
        <v>638.55000000000075</v>
      </c>
      <c r="U16" s="183">
        <f t="shared" ca="1" si="3"/>
        <v>638.55000000000075</v>
      </c>
      <c r="V16" s="183">
        <f t="shared" ca="1" si="3"/>
        <v>638.54999999999984</v>
      </c>
      <c r="W16" s="183">
        <f t="shared" ca="1" si="3"/>
        <v>641.46438252285407</v>
      </c>
      <c r="X16" s="183">
        <f t="shared" ca="1" si="3"/>
        <v>638.55000000000075</v>
      </c>
      <c r="Y16" s="184">
        <f t="shared" ca="1" si="3"/>
        <v>1826.5500000000009</v>
      </c>
    </row>
    <row r="17" spans="2:25">
      <c r="B17" s="215" t="s">
        <v>230</v>
      </c>
      <c r="C17" s="223"/>
      <c r="D17" s="224">
        <f ca="1">IRR(D16:Y16,0.12)</f>
        <v>0.11798856337717337</v>
      </c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214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4:G23"/>
  <sheetViews>
    <sheetView tabSelected="1" workbookViewId="0">
      <selection activeCell="N12" sqref="N12"/>
    </sheetView>
  </sheetViews>
  <sheetFormatPr baseColWidth="10" defaultColWidth="9.140625" defaultRowHeight="12.75"/>
  <sheetData>
    <row r="4" spans="3:7">
      <c r="C4" s="365" t="s">
        <v>238</v>
      </c>
      <c r="D4" s="365"/>
      <c r="E4" s="365"/>
      <c r="F4" s="365"/>
      <c r="G4" s="365"/>
    </row>
    <row r="5" spans="3:7">
      <c r="C5" s="303" t="s">
        <v>239</v>
      </c>
      <c r="D5" s="303" t="s">
        <v>37</v>
      </c>
      <c r="E5" s="303" t="s">
        <v>168</v>
      </c>
      <c r="F5" s="303" t="s">
        <v>240</v>
      </c>
      <c r="G5" s="303" t="s">
        <v>241</v>
      </c>
    </row>
    <row r="6" spans="3:7">
      <c r="C6" s="359" t="s">
        <v>99</v>
      </c>
      <c r="D6" s="362" t="s">
        <v>242</v>
      </c>
      <c r="E6" s="304">
        <v>1069.2</v>
      </c>
      <c r="F6" s="305" t="s">
        <v>98</v>
      </c>
      <c r="G6" s="306">
        <v>12.09</v>
      </c>
    </row>
    <row r="7" spans="3:7">
      <c r="C7" s="360"/>
      <c r="D7" s="363"/>
      <c r="E7" s="307">
        <v>1188</v>
      </c>
      <c r="F7" s="305" t="s">
        <v>100</v>
      </c>
      <c r="G7" s="306">
        <v>11.8</v>
      </c>
    </row>
    <row r="8" spans="3:7">
      <c r="C8" s="361"/>
      <c r="D8" s="364"/>
      <c r="E8" s="305"/>
      <c r="F8" s="305" t="s">
        <v>101</v>
      </c>
      <c r="G8" s="306">
        <v>11.8</v>
      </c>
    </row>
    <row r="9" spans="3:7">
      <c r="C9" s="305"/>
      <c r="D9" s="305"/>
      <c r="E9" s="305"/>
      <c r="F9" s="305"/>
      <c r="G9" s="312"/>
    </row>
    <row r="10" spans="3:7">
      <c r="C10" s="359" t="s">
        <v>15</v>
      </c>
      <c r="D10" s="362" t="s">
        <v>243</v>
      </c>
      <c r="E10" s="303">
        <v>1665</v>
      </c>
      <c r="F10" s="305" t="s">
        <v>98</v>
      </c>
      <c r="G10" s="306">
        <v>11.8</v>
      </c>
    </row>
    <row r="11" spans="3:7">
      <c r="C11" s="360"/>
      <c r="D11" s="363"/>
      <c r="E11" s="307">
        <v>1850</v>
      </c>
      <c r="F11" s="305" t="s">
        <v>100</v>
      </c>
      <c r="G11" s="306">
        <v>11.8</v>
      </c>
    </row>
    <row r="12" spans="3:7">
      <c r="C12" s="361"/>
      <c r="D12" s="364"/>
      <c r="E12" s="303">
        <v>2035</v>
      </c>
      <c r="F12" s="305" t="s">
        <v>101</v>
      </c>
      <c r="G12" s="306">
        <v>11.8</v>
      </c>
    </row>
    <row r="13" spans="3:7">
      <c r="C13" s="305"/>
      <c r="D13" s="305"/>
      <c r="E13" s="305"/>
      <c r="F13" s="305"/>
      <c r="G13" s="312"/>
    </row>
    <row r="14" spans="3:7">
      <c r="C14" s="359" t="s">
        <v>102</v>
      </c>
      <c r="D14" s="362" t="s">
        <v>244</v>
      </c>
      <c r="E14" s="303">
        <v>7.08</v>
      </c>
      <c r="F14" s="305" t="s">
        <v>98</v>
      </c>
      <c r="G14" s="306">
        <v>11.8</v>
      </c>
    </row>
    <row r="15" spans="3:7">
      <c r="C15" s="360"/>
      <c r="D15" s="363"/>
      <c r="E15" s="307">
        <v>7.86</v>
      </c>
      <c r="F15" s="305" t="s">
        <v>100</v>
      </c>
      <c r="G15" s="306">
        <v>11.8</v>
      </c>
    </row>
    <row r="16" spans="3:7">
      <c r="C16" s="361"/>
      <c r="D16" s="364"/>
      <c r="E16" s="303">
        <v>8.65</v>
      </c>
      <c r="F16" s="305" t="s">
        <v>101</v>
      </c>
      <c r="G16" s="306">
        <v>11.8</v>
      </c>
    </row>
    <row r="17" spans="3:7">
      <c r="C17" s="305"/>
      <c r="D17" s="305"/>
      <c r="E17" s="305"/>
      <c r="F17" s="305"/>
      <c r="G17" s="312"/>
    </row>
    <row r="18" spans="3:7">
      <c r="C18" s="359" t="s">
        <v>13</v>
      </c>
      <c r="D18" s="362" t="s">
        <v>5</v>
      </c>
      <c r="E18" s="309">
        <v>0.72</v>
      </c>
      <c r="F18" s="305" t="s">
        <v>98</v>
      </c>
      <c r="G18" s="306">
        <v>11.8</v>
      </c>
    </row>
    <row r="19" spans="3:7">
      <c r="C19" s="360"/>
      <c r="D19" s="363"/>
      <c r="E19" s="310">
        <v>0.8</v>
      </c>
      <c r="F19" s="305" t="s">
        <v>100</v>
      </c>
      <c r="G19" s="306">
        <v>11.8</v>
      </c>
    </row>
    <row r="20" spans="3:7">
      <c r="C20" s="361"/>
      <c r="D20" s="364"/>
      <c r="E20" s="309">
        <v>0.88</v>
      </c>
      <c r="F20" s="305" t="s">
        <v>101</v>
      </c>
      <c r="G20" s="306">
        <v>11.8</v>
      </c>
    </row>
    <row r="21" spans="3:7" ht="38.25" customHeight="1">
      <c r="C21" s="359" t="s">
        <v>246</v>
      </c>
      <c r="D21" s="359" t="s">
        <v>245</v>
      </c>
      <c r="E21" s="304">
        <v>2.52</v>
      </c>
      <c r="F21" s="311">
        <v>-0.1</v>
      </c>
      <c r="G21" s="306">
        <v>11.8</v>
      </c>
    </row>
    <row r="22" spans="3:7">
      <c r="C22" s="360"/>
      <c r="D22" s="360"/>
      <c r="E22" s="308">
        <v>2.8</v>
      </c>
      <c r="F22" s="305" t="s">
        <v>100</v>
      </c>
      <c r="G22" s="306">
        <v>11.8</v>
      </c>
    </row>
    <row r="23" spans="3:7">
      <c r="C23" s="361"/>
      <c r="D23" s="361"/>
      <c r="E23" s="304">
        <v>2.52</v>
      </c>
      <c r="F23" s="305" t="s">
        <v>101</v>
      </c>
      <c r="G23" s="306">
        <v>11.8</v>
      </c>
    </row>
  </sheetData>
  <mergeCells count="11">
    <mergeCell ref="C18:C20"/>
    <mergeCell ref="D18:D20"/>
    <mergeCell ref="D21:D23"/>
    <mergeCell ref="C21:C23"/>
    <mergeCell ref="C4:G4"/>
    <mergeCell ref="C6:C8"/>
    <mergeCell ref="D6:D8"/>
    <mergeCell ref="C10:C12"/>
    <mergeCell ref="D10:D12"/>
    <mergeCell ref="C14:C16"/>
    <mergeCell ref="D14:D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NG prices</vt:lpstr>
      <vt:lpstr>Input</vt:lpstr>
      <vt:lpstr>Tariff</vt:lpstr>
      <vt:lpstr>pool cost</vt:lpstr>
      <vt:lpstr>P&amp;L </vt:lpstr>
      <vt:lpstr>Cash Flow</vt:lpstr>
      <vt:lpstr>Sensitivity</vt:lpstr>
      <vt:lpstr>Input!Druckbereich</vt:lpstr>
    </vt:vector>
  </TitlesOfParts>
  <Company>Crisil House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afzalm</dc:creator>
  <cp:lastModifiedBy>Lubanga David</cp:lastModifiedBy>
  <cp:lastPrinted>2009-07-23T04:10:33Z</cp:lastPrinted>
  <dcterms:created xsi:type="dcterms:W3CDTF">2005-09-20T04:28:43Z</dcterms:created>
  <dcterms:modified xsi:type="dcterms:W3CDTF">2012-08-31T14:01:17Z</dcterms:modified>
</cp:coreProperties>
</file>