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20.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120" windowWidth="12120" windowHeight="9120" tabRatio="584" activeTab="1"/>
  </bookViews>
  <sheets>
    <sheet name="Assumption" sheetId="1" r:id="rId1"/>
    <sheet name="Sensitivity Analysis" sheetId="10" r:id="rId2"/>
    <sheet name="Sheet1" sheetId="6" state="hidden" r:id="rId3"/>
    <sheet name="Fuel Pricing" sheetId="31" r:id="rId4"/>
    <sheet name="Workings" sheetId="9" r:id="rId5"/>
    <sheet name="CER Revenu Flow" sheetId="30" r:id="rId6"/>
    <sheet name="Fuel Pricing_Gas" sheetId="12" state="hidden"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a" localSheetId="3">'[1]Top Sheet'!#REF!</definedName>
    <definedName name="\a" localSheetId="4">'[1]Top Sheet'!#REF!</definedName>
    <definedName name="\a">'[1]Top Sheet'!#REF!</definedName>
    <definedName name="\b" localSheetId="3">#REF!</definedName>
    <definedName name="\b" localSheetId="4">#REF!</definedName>
    <definedName name="\b">#REF!</definedName>
    <definedName name="\c" localSheetId="3">#REF!</definedName>
    <definedName name="\c" localSheetId="4">#REF!</definedName>
    <definedName name="\c">#REF!</definedName>
    <definedName name="_2500_T_PRESS" localSheetId="3">'[2]COST SHEET'!#REF!</definedName>
    <definedName name="_2500_T_PRESS" localSheetId="4">'[2]COST SHEET'!#REF!</definedName>
    <definedName name="_2500_T_PRESS">'[2]COST SHEET'!#REF!</definedName>
    <definedName name="_3150_T_PRESS" localSheetId="3">'[2]COST SHEET'!#REF!</definedName>
    <definedName name="_3150_T_PRESS" localSheetId="4">'[2]COST SHEET'!#REF!</definedName>
    <definedName name="_3150_T_PRESS">'[2]COST SHEET'!#REF!</definedName>
    <definedName name="_800_T_PRESS" localSheetId="3">'[2]COST SHEET'!#REF!</definedName>
    <definedName name="_800_T_PRESS" localSheetId="4">'[2]COST SHEET'!#REF!</definedName>
    <definedName name="_800_T_PRESS">'[2]COST SHEET'!#REF!</definedName>
    <definedName name="_kedar" localSheetId="3" hidden="1">#REF!</definedName>
    <definedName name="_kedar" localSheetId="4" hidden="1">#REF!</definedName>
    <definedName name="_kedar" hidden="1">#REF!</definedName>
    <definedName name="_Key2" localSheetId="3" hidden="1">'[2]COST SHEET'!#REF!</definedName>
    <definedName name="_Key2" localSheetId="4" hidden="1">'[2]COST SHEET'!#REF!</definedName>
    <definedName name="_Key2" hidden="1">'[2]COST SHEET'!#REF!</definedName>
    <definedName name="_Order1" hidden="1">0</definedName>
    <definedName name="_Order2" hidden="1">255</definedName>
    <definedName name="_Sort" localSheetId="3" hidden="1">'[2]#REF'!$M$10:$M$64</definedName>
    <definedName name="_Sort" hidden="1">'[2]#REF'!$M$10:$M$64</definedName>
    <definedName name="a">'[3]Break up of RMcost'!$D$5</definedName>
    <definedName name="aBasicTax">[4]Input!#REF!</definedName>
    <definedName name="AC">[5]Details!$D$187</definedName>
    <definedName name="aCashSpread">[4]Input!#REF!</definedName>
    <definedName name="AccCapital">#REF!</definedName>
    <definedName name="accdep">'[4]AHD-Oprn'!#REF!</definedName>
    <definedName name="AccDepreciation">#REF!</definedName>
    <definedName name="accrExpPct">[4]Input!#REF!</definedName>
    <definedName name="ActDSR">#REF!</definedName>
    <definedName name="Actual_heatrate">[4]Input!$H$146</definedName>
    <definedName name="ActualAux">[4]Input!#REF!</definedName>
    <definedName name="ActualHeatRate">[4]Input!#REF!</definedName>
    <definedName name="ActualPLF">[4]Input!#REF!</definedName>
    <definedName name="addblock">'[4]AHD-Oprn'!#REF!</definedName>
    <definedName name="addcwip">'[4]AHD-Oprn'!#REF!</definedName>
    <definedName name="AddDSR">#REF!</definedName>
    <definedName name="addgrossblock">'[4]AHD-Oprn'!#REF!</definedName>
    <definedName name="aDividendTax">[4]Input!#REF!</definedName>
    <definedName name="Admin_Incr">#REF!</definedName>
    <definedName name="Admin_Incr_I">#REF!</definedName>
    <definedName name="AdminCost">[4]Input!$H$57</definedName>
    <definedName name="AdminCostInflation">[4]Input!$H$58</definedName>
    <definedName name="aForeignDebt">[4]Input!#REF!</definedName>
    <definedName name="aForeignDebtSpread">[4]Input!#REF!</definedName>
    <definedName name="afTaxHol">[4]Input!#REF!</definedName>
    <definedName name="Ahd_aux_stationC">[4]Input!$H$45</definedName>
    <definedName name="Ahd_aux_stationD">[4]Input!$H$46</definedName>
    <definedName name="Ahd_aux_stationE">[4]Input!$H$47</definedName>
    <definedName name="Ahd_aux_stationF">[4]Input!$H$48</definedName>
    <definedName name="Ahd1stYrTariffGrowthRate">[4]Input!#REF!</definedName>
    <definedName name="AhdATnCLoss">[4]Input!$H$50</definedName>
    <definedName name="AhdAuxConsumption">[4]Input!$H$44</definedName>
    <definedName name="AhdAuxConsumptionV">[4]Input!#REF!</definedName>
    <definedName name="AhdAuxConsumptionVatva">[4]Input!#REF!</definedName>
    <definedName name="AhdBaseTariff">[4]Input!$H$34</definedName>
    <definedName name="AhdOtherIncome">[4]Input!$H$36</definedName>
    <definedName name="AhdSalesGrowthRate">[4]Input!$H$35</definedName>
    <definedName name="AhdTariffGrowthRate">[4]Input!#REF!</definedName>
    <definedName name="aiaccdep">[6]Input!$H$256</definedName>
    <definedName name="aiBSCash">[4]Input!#REF!</definedName>
    <definedName name="aiCommDiv">[4]Input!#REF!</definedName>
    <definedName name="aiCommStock">[4]Input!#REF!</definedName>
    <definedName name="aicwip">[6]Input!$H$258</definedName>
    <definedName name="aiDeferredTax">[4]Input!#REF!</definedName>
    <definedName name="aiDollar">[4]Input!#REF!</definedName>
    <definedName name="aiGoodwill">[4]Input!#REF!</definedName>
    <definedName name="aigrossblock">[6]Input!$H$255</definedName>
    <definedName name="aiLibor">[4]Input!#REF!</definedName>
    <definedName name="aiNetPPnE">[4]Input!#REF!</definedName>
    <definedName name="aiOtherAssets">[4]Input!#REF!</definedName>
    <definedName name="aiPrefDiv">[4]Input!#REF!</definedName>
    <definedName name="aiPrefStock">[4]Input!#REF!</definedName>
    <definedName name="aiRetainedEarnings">[4]Input!#REF!</definedName>
    <definedName name="aiRevolver">[4]Input!#REF!</definedName>
    <definedName name="aiTaxHol">[4]Input!#REF!</definedName>
    <definedName name="aiTaxPayable">[4]Input!#REF!</definedName>
    <definedName name="aiWorkingCap">[4]Input!#REF!</definedName>
    <definedName name="Allocation_TPLD">[4]Input!$H$144</definedName>
    <definedName name="ALLOY__ROD" localSheetId="3">'[2]COST SHEET'!#REF!</definedName>
    <definedName name="ALLOY__ROD" localSheetId="4">'[2]COST SHEET'!#REF!</definedName>
    <definedName name="ALLOY__ROD">'[2]COST SHEET'!#REF!</definedName>
    <definedName name="ALLOY_INGO" localSheetId="3">'[2]COST SHEET'!#REF!</definedName>
    <definedName name="ALLOY_INGO" localSheetId="4">'[2]COST SHEET'!#REF!</definedName>
    <definedName name="ALLOY_INGO">'[2]COST SHEET'!#REF!</definedName>
    <definedName name="aLTDebt">[4]Input!#REF!</definedName>
    <definedName name="aLTDebtSpread">[4]Input!#REF!</definedName>
    <definedName name="ALUMINA_HYDRATE" localSheetId="3">'[2]COST SHEET'!#REF!</definedName>
    <definedName name="ALUMINA_HYDRATE" localSheetId="4">'[2]COST SHEET'!#REF!</definedName>
    <definedName name="ALUMINA_HYDRATE">'[2]COST SHEET'!#REF!</definedName>
    <definedName name="aMinApTax">[4]Input!#REF!</definedName>
    <definedName name="aMinOpCash">[4]Input!#REF!</definedName>
    <definedName name="ANODE_PASTE" localSheetId="3">'[2]COST SHEET'!#REF!</definedName>
    <definedName name="ANODE_PASTE" localSheetId="4">'[2]COST SHEET'!#REF!</definedName>
    <definedName name="ANODE_PASTE">'[2]COST SHEET'!#REF!</definedName>
    <definedName name="anscount" hidden="1">1</definedName>
    <definedName name="apDays">[4]Input!#REF!</definedName>
    <definedName name="aPrimeRate">[4]Input!#REF!</definedName>
    <definedName name="arDays">[4]Input!#REF!</definedName>
    <definedName name="aRevolverSpread">[4]Input!#REF!</definedName>
    <definedName name="asLibor">[4]Input!#REF!</definedName>
    <definedName name="aSurTax">[4]Input!#REF!</definedName>
    <definedName name="Auxiliary">[4]Input!$H$155</definedName>
    <definedName name="Auxiliary_I">[4]Input!$J$155</definedName>
    <definedName name="Availability">[4]Input!#REF!</definedName>
    <definedName name="Availability_I">[4]Input!#REF!</definedName>
    <definedName name="b">[7]Variables!$A$5</definedName>
    <definedName name="baseYear">[4]Input!#REF!</definedName>
    <definedName name="best" localSheetId="3">'[2]Top Sheet'!#REF!</definedName>
    <definedName name="best" localSheetId="4">'[2]Top Sheet'!#REF!</definedName>
    <definedName name="best">'[2]Top Sheet'!#REF!</definedName>
    <definedName name="Bhivsalesgrowth_9_10">[4]Input!$H$110</definedName>
    <definedName name="BhiwBaseSal">[4]Input!$H$115</definedName>
    <definedName name="BhiwBaseSales">[4]Input!#REF!</definedName>
    <definedName name="BhiwBaseTariff">[4]Input!#REF!</definedName>
    <definedName name="BhiwBaseTnD">[4]Input!#REF!</definedName>
    <definedName name="BhiwSalesGrowthRate">[4]Input!$H$112</definedName>
    <definedName name="Bhiwsalesgrwth_11_12">[4]Input!$H$111</definedName>
    <definedName name="BhiwSalIncr">[4]Input!$H$116</definedName>
    <definedName name="BhiwTariffGRate">[4]Input!#REF!</definedName>
    <definedName name="BILLET" localSheetId="3">'[2]COST SHEET'!#REF!</definedName>
    <definedName name="BILLET" localSheetId="4">'[2]COST SHEET'!#REF!</definedName>
    <definedName name="BILLET">'[2]COST SHEET'!#REF!</definedName>
    <definedName name="BookDepreciation">#REF!</definedName>
    <definedName name="BSAccrExp">#REF!</definedName>
    <definedName name="BSAcctsPay">#REF!</definedName>
    <definedName name="BSAcctsRec">#REF!</definedName>
    <definedName name="BSCash">#REF!</definedName>
    <definedName name="BSCheck">#REF!</definedName>
    <definedName name="BSCommStock">#REF!</definedName>
    <definedName name="BSDeferredTax">#REF!</definedName>
    <definedName name="BSDivOwing">#REF!</definedName>
    <definedName name="BSEquityInt">#REF!</definedName>
    <definedName name="BSGoodwill">#REF!</definedName>
    <definedName name="BSInventories">#REF!</definedName>
    <definedName name="BSLiabsEquity">#REF!</definedName>
    <definedName name="BSLtDebt">#REF!</definedName>
    <definedName name="BSNetPPnE">#REF!</definedName>
    <definedName name="BSOtherAssets">#REF!</definedName>
    <definedName name="BSOtherCurAssets">#REF!</definedName>
    <definedName name="BSOtherCurLiabs">#REF!</definedName>
    <definedName name="BSOtherLtLiabs">#REF!</definedName>
    <definedName name="BSPrefStock">#REF!</definedName>
    <definedName name="BSRetEarnings">#REF!</definedName>
    <definedName name="BSStDebt">#REF!</definedName>
    <definedName name="BSTaxOwing">#REF!</definedName>
    <definedName name="BSTotalAssets">#REF!</definedName>
    <definedName name="BSTotalCurAssets">#REF!</definedName>
    <definedName name="BSTotalCurLiabs">#REF!</definedName>
    <definedName name="BSTotalEquity">#REF!</definedName>
    <definedName name="BSTotalLtLiabs">#REF!</definedName>
    <definedName name="BU">'[8]Report Setup Sheet'!$B$50</definedName>
    <definedName name="BulkSupplyTariff">[4]Input!#REF!</definedName>
    <definedName name="BulkTariffInflation">[4]Input!#REF!</definedName>
    <definedName name="C.R.P" localSheetId="3">'[2]COST SHEET'!#REF!</definedName>
    <definedName name="C.R.P" localSheetId="4">'[2]COST SHEET'!#REF!</definedName>
    <definedName name="C.R.P">'[2]COST SHEET'!#REF!</definedName>
    <definedName name="Calc1CashAvail">#REF!</definedName>
    <definedName name="Calc1CashEOY">#REF!</definedName>
    <definedName name="Calc1CashInt">#REF!</definedName>
    <definedName name="Calc1RevolverEOY">#REF!</definedName>
    <definedName name="Calc1RevolverInt">#REF!</definedName>
    <definedName name="Calc1RevolverIntOne">#REF!</definedName>
    <definedName name="Calc1RevolverIntTwo">#REF!</definedName>
    <definedName name="Calc1TxToRevolver">#REF!</definedName>
    <definedName name="Calc2CashAvail">#REF!</definedName>
    <definedName name="Calc2CashEOY">#REF!</definedName>
    <definedName name="Calc2CashInt">#REF!</definedName>
    <definedName name="Calc2CashIntOne">#REF!</definedName>
    <definedName name="Calc2CashIntTwo">#REF!</definedName>
    <definedName name="Calc2RevolverEOY">#REF!</definedName>
    <definedName name="Calc2RevolverInt">#REF!</definedName>
    <definedName name="Calc2TxToRevolver">#REF!</definedName>
    <definedName name="CalcBookIncome">#REF!</definedName>
    <definedName name="CalcBookIncomeExInt">#REF!</definedName>
    <definedName name="CalcCashAvail">#REF!</definedName>
    <definedName name="CalcCashBOY">#REF!</definedName>
    <definedName name="CalcCashEOY">#REF!</definedName>
    <definedName name="CalcCashExInt">#REF!</definedName>
    <definedName name="CalcCashExTaxInt">#REF!</definedName>
    <definedName name="CalcCashFinance">#REF!</definedName>
    <definedName name="CalcCashInt">#REF!</definedName>
    <definedName name="CalcCashInvest">#REF!</definedName>
    <definedName name="CalcCashMin">#REF!</definedName>
    <definedName name="CalcCashOps">#REF!</definedName>
    <definedName name="CalcCashTotal">#REF!</definedName>
    <definedName name="CALCINED_ALUMIN" localSheetId="3">'[2]COST SHEET'!#REF!</definedName>
    <definedName name="CALCINED_ALUMIN" localSheetId="4">'[2]COST SHEET'!#REF!</definedName>
    <definedName name="CALCINED_ALUMIN">'[2]COST SHEET'!#REF!</definedName>
    <definedName name="CalcMAT">#REF!</definedName>
    <definedName name="CalcMATExInt">#REF!</definedName>
    <definedName name="CalcRevolverBOY">#REF!</definedName>
    <definedName name="CalcRevolverEOY">#REF!</definedName>
    <definedName name="CalcRevolverInt">#REF!</definedName>
    <definedName name="CalcTaxableIncome">#REF!</definedName>
    <definedName name="CalcTaxableIncomeExInt">#REF!</definedName>
    <definedName name="CalcTaxCharge">#REF!</definedName>
    <definedName name="CalcTaxDeferred">#REF!</definedName>
    <definedName name="CalcTaxExInt">#REF!</definedName>
    <definedName name="CalcTaxIncome">#REF!</definedName>
    <definedName name="CalcTaxIncomeExInt">#REF!</definedName>
    <definedName name="CalcTaxOwing">#REF!</definedName>
    <definedName name="CalcTaxPaid">#REF!</definedName>
    <definedName name="CalcTaxPaidExInt">#REF!</definedName>
    <definedName name="CalcTxToRevolver">#REF!</definedName>
    <definedName name="capcwip">'[4]AHD-Oprn'!#REF!</definedName>
    <definedName name="CapDegradation">[4]Input!#REF!</definedName>
    <definedName name="capex__debt">[4]Input!$H$38</definedName>
    <definedName name="capitalexp">[6]Input!$H$402:$Q$402</definedName>
    <definedName name="CashFlowDSR">#REF!</definedName>
    <definedName name="cbaccdep">'[4]AHD-Oprn'!#REF!</definedName>
    <definedName name="cbcwip">'[4]AHD-Oprn'!#REF!</definedName>
    <definedName name="cbgrossblock">'[4]AHD-Oprn'!#REF!</definedName>
    <definedName name="cbtaxgrossblock">'[4]AHD-Oprn'!#REF!</definedName>
    <definedName name="CCR" localSheetId="3">[9]REFNCOMPARE!#REF!</definedName>
    <definedName name="CCR" localSheetId="4">[9]REFNCOMPARE!#REF!</definedName>
    <definedName name="CCR">[9]REFNCOMPARE!#REF!</definedName>
    <definedName name="CCRFIN" localSheetId="3">[9]REFNCOMPARE!#REF!</definedName>
    <definedName name="CCRFIN" localSheetId="4">[9]REFNCOMPARE!#REF!</definedName>
    <definedName name="CCRFIN">[9]REFNCOMPARE!#REF!</definedName>
    <definedName name="CELL_REL_CONTRACT" localSheetId="3">'[2]cell rel'!#REF!</definedName>
    <definedName name="CELL_REL_CONTRACT" localSheetId="4">'[2]cell rel'!#REF!</definedName>
    <definedName name="CELL_REL_CONTRACT">'[2]cell rel'!#REF!</definedName>
    <definedName name="CELL_RELINING_MATERIAL" localSheetId="3">'[2]cell rel'!#REF!</definedName>
    <definedName name="CELL_RELINING_MATERIAL" localSheetId="4">'[2]cell rel'!#REF!</definedName>
    <definedName name="CELL_RELINING_MATERIAL">'[2]cell rel'!#REF!</definedName>
    <definedName name="CFAssetProceeds">#REF!</definedName>
    <definedName name="CFCommDividends">#REF!</definedName>
    <definedName name="CFCommStockIssued">#REF!</definedName>
    <definedName name="CFEBITDA">#REF!</definedName>
    <definedName name="CFFinancing">#REF!</definedName>
    <definedName name="CFFree">#REF!</definedName>
    <definedName name="CFIntPaid">#REF!</definedName>
    <definedName name="CFInvestments">#REF!</definedName>
    <definedName name="CFLtLiabs">#REF!</definedName>
    <definedName name="CFOperations">#REF!</definedName>
    <definedName name="CFOtherAssets">#REF!</definedName>
    <definedName name="CFOtherInvestments">#REF!</definedName>
    <definedName name="CFPostIntInc">#REF!</definedName>
    <definedName name="CFPPnE">#REF!</definedName>
    <definedName name="CFPrefDividends">#REF!</definedName>
    <definedName name="CFPrefStockIssued">#REF!</definedName>
    <definedName name="CFRevolver">#REF!</definedName>
    <definedName name="CFTaxPaid">#REF!</definedName>
    <definedName name="CFTotal">#REF!</definedName>
    <definedName name="CFWorkingCapital">#REF!</definedName>
    <definedName name="CheckCashInt">#REF!</definedName>
    <definedName name="CheckRevolverInt">#REF!</definedName>
    <definedName name="CheckTxToRevolver">#REF!</definedName>
    <definedName name="CoalPriceInflation">[4]Input!#REF!</definedName>
    <definedName name="CoalTransitLoss">[4]Input!#REF!</definedName>
    <definedName name="CombinedCoalGCV">#REF!</definedName>
    <definedName name="Comm_redn">#REF!</definedName>
    <definedName name="Comm_redn_I">#REF!</definedName>
    <definedName name="commMaxDiv">[4]Input!#REF!</definedName>
    <definedName name="COMPARATIVE" localSheetId="3">'[2]#REF'!$C$10</definedName>
    <definedName name="COMPARATIVE">'[2]#REF'!$C$10</definedName>
    <definedName name="con" localSheetId="3">#REF!</definedName>
    <definedName name="con" localSheetId="4">#REF!</definedName>
    <definedName name="con">#REF!</definedName>
    <definedName name="CONBUDGET" localSheetId="3">'[2]#REF'!$I$38</definedName>
    <definedName name="CONBUDGET">'[2]#REF'!$I$38</definedName>
    <definedName name="contangoforoct">[10]CONTANGO!$I$38</definedName>
    <definedName name="CONTRACT_SUMMARY" localSheetId="3">'[2]Contract Details'!#REF!</definedName>
    <definedName name="CONTRACT_SUMMARY" localSheetId="4">'[2]Contract Details'!#REF!</definedName>
    <definedName name="CONTRACT_SUMMARY">'[2]Contract Details'!#REF!</definedName>
    <definedName name="COST_ALUMINA" localSheetId="3">'[2]#REF'!$A$1:$F$22</definedName>
    <definedName name="COST_ALUMINA">'[2]#REF'!$A$1:$F$22</definedName>
    <definedName name="COUNT" localSheetId="3">'[2]#REF'!$A$5:$O$48</definedName>
    <definedName name="COUNT">'[2]#REF'!$A$5:$O$48</definedName>
    <definedName name="CPI">[4]Input!#REF!</definedName>
    <definedName name="CPI_I">[4]Input!#REF!</definedName>
    <definedName name="Creditors">#REF!</definedName>
    <definedName name="Creditors_I">#REF!</definedName>
    <definedName name="crore">10000000</definedName>
    <definedName name="CRP" localSheetId="3">'[2]COST SHEET'!#REF!</definedName>
    <definedName name="CRP" localSheetId="4">'[2]COST SHEET'!#REF!</definedName>
    <definedName name="CRP">'[2]COST SHEET'!#REF!</definedName>
    <definedName name="d" localSheetId="3">'[2]#REF'!$C$51:$N$51</definedName>
    <definedName name="d">'[2]#REF'!$C$51:$N$51</definedName>
    <definedName name="_xlnm.Database" localSheetId="3">'[2]COST SHEET'!#REF!</definedName>
    <definedName name="_xlnm.Database" localSheetId="6">'[2]COST SHEET'!#REF!</definedName>
    <definedName name="_xlnm.Database" localSheetId="4">'[2]COST SHEET'!#REF!</definedName>
    <definedName name="_xlnm.Database">'[2]COST SHEET'!#REF!</definedName>
    <definedName name="Days">[4]Input!#REF!</definedName>
    <definedName name="DebtDolForeignBOY">#REF!</definedName>
    <definedName name="DebtDolForeignEOY">#REF!</definedName>
    <definedName name="DebtDolForeignNew">#REF!</definedName>
    <definedName name="DebtDolForeignPayment">#REF!</definedName>
    <definedName name="DebtForeignBOY">#REF!</definedName>
    <definedName name="DebtForeignEOY">#REF!</definedName>
    <definedName name="DebtForeignInflBOY">#REF!</definedName>
    <definedName name="DebtForeignInterest">#REF!</definedName>
    <definedName name="DebtForeignNew">#REF!</definedName>
    <definedName name="DebtForeignPayment">#REF!</definedName>
    <definedName name="DebtLongBOY">#REF!</definedName>
    <definedName name="DebtLongEOY">#REF!</definedName>
    <definedName name="DebtLongInterest">#REF!</definedName>
    <definedName name="DebtLongNew">#REF!</definedName>
    <definedName name="DebtLongPayment">#REF!</definedName>
    <definedName name="DebtLongTotal">#REF!</definedName>
    <definedName name="DebtServiceReq">#REF!</definedName>
    <definedName name="Delay_quarter">[4]Input!#REF!</definedName>
    <definedName name="Delay_quarter_I">[4]Input!#REF!</definedName>
    <definedName name="DelDSR">#REF!</definedName>
    <definedName name="dep">'[4]AHD-Oprn'!#REF!</definedName>
    <definedName name="DepApr" localSheetId="3">'[11]Monthly Break Up'!#REF!</definedName>
    <definedName name="DepApr" localSheetId="4">'[11]Monthly Break Up'!#REF!</definedName>
    <definedName name="DepApr">'[11]Monthly Break Up'!#REF!</definedName>
    <definedName name="DepAug" localSheetId="3">'[11]Monthly Break Up'!#REF!</definedName>
    <definedName name="DepAug" localSheetId="4">'[11]Monthly Break Up'!#REF!</definedName>
    <definedName name="DepAug">'[11]Monthly Break Up'!#REF!</definedName>
    <definedName name="DepDec" localSheetId="3">'[11]Monthly Break Up'!#REF!</definedName>
    <definedName name="DepDec" localSheetId="4">'[11]Monthly Break Up'!#REF!</definedName>
    <definedName name="DepDec">'[11]Monthly Break Up'!#REF!</definedName>
    <definedName name="DepFeb" localSheetId="3">'[11]Monthly Break Up'!#REF!</definedName>
    <definedName name="DepFeb" localSheetId="4">'[11]Monthly Break Up'!#REF!</definedName>
    <definedName name="DepFeb">'[11]Monthly Break Up'!#REF!</definedName>
    <definedName name="DepJan" localSheetId="3">'[11]Monthly Break Up'!#REF!</definedName>
    <definedName name="DepJan" localSheetId="4">'[11]Monthly Break Up'!#REF!</definedName>
    <definedName name="DepJan">'[11]Monthly Break Up'!#REF!</definedName>
    <definedName name="DepJuly" localSheetId="3">'[11]Monthly Break Up'!#REF!</definedName>
    <definedName name="DepJuly" localSheetId="4">'[11]Monthly Break Up'!#REF!</definedName>
    <definedName name="DepJuly">'[11]Monthly Break Up'!#REF!</definedName>
    <definedName name="DepJune" localSheetId="3">'[11]Monthly Break Up'!#REF!</definedName>
    <definedName name="DepJune" localSheetId="4">'[11]Monthly Break Up'!#REF!</definedName>
    <definedName name="DepJune">'[11]Monthly Break Up'!#REF!</definedName>
    <definedName name="DepMar" localSheetId="3">'[11]Monthly Break Up'!#REF!</definedName>
    <definedName name="DepMar" localSheetId="4">'[11]Monthly Break Up'!#REF!</definedName>
    <definedName name="DepMar">'[11]Monthly Break Up'!#REF!</definedName>
    <definedName name="DepMay" localSheetId="3">'[11]Monthly Break Up'!#REF!</definedName>
    <definedName name="DepMay" localSheetId="4">'[11]Monthly Break Up'!#REF!</definedName>
    <definedName name="DepMay">'[11]Monthly Break Up'!#REF!</definedName>
    <definedName name="DepNov" localSheetId="3">'[11]Monthly Break Up'!#REF!</definedName>
    <definedName name="DepNov" localSheetId="4">'[11]Monthly Break Up'!#REF!</definedName>
    <definedName name="DepNov">'[11]Monthly Break Up'!#REF!</definedName>
    <definedName name="DepOct" localSheetId="3">'[11]Monthly Break Up'!#REF!</definedName>
    <definedName name="DepOct" localSheetId="4">'[11]Monthly Break Up'!#REF!</definedName>
    <definedName name="DepOct">'[11]Monthly Break Up'!#REF!</definedName>
    <definedName name="deprate">[6]Input!$G$405:$Q$405</definedName>
    <definedName name="DepRateXRate">[4]Input!#REF!</definedName>
    <definedName name="DepreciableAssets">#REF!</definedName>
    <definedName name="Depreciation" localSheetId="3">'[11]Monthly Break Up'!#REF!</definedName>
    <definedName name="Depreciation" localSheetId="4">'[11]Monthly Break Up'!#REF!</definedName>
    <definedName name="Depreciation">'[11]Monthly Break Up'!#REF!</definedName>
    <definedName name="DepreciationAprActual" localSheetId="3">'[11]Monthly Break Up'!#REF!</definedName>
    <definedName name="DepreciationAprActual" localSheetId="4">'[11]Monthly Break Up'!#REF!</definedName>
    <definedName name="DepreciationAprActual">'[11]Monthly Break Up'!#REF!</definedName>
    <definedName name="DepriciationAprActual" localSheetId="3">'[11]Monthly Break Up'!#REF!</definedName>
    <definedName name="DepriciationAprActual" localSheetId="4">'[11]Monthly Break Up'!#REF!</definedName>
    <definedName name="DepriciationAprActual">'[11]Monthly Break Up'!#REF!</definedName>
    <definedName name="DepriciationAugProj" localSheetId="3">'[11]Monthly Break Up'!#REF!</definedName>
    <definedName name="DepriciationAugProj" localSheetId="4">'[11]Monthly Break Up'!#REF!</definedName>
    <definedName name="DepriciationAugProj">'[11]Monthly Break Up'!#REF!</definedName>
    <definedName name="DepriciationDecProj" localSheetId="3">'[11]Monthly Break Up'!#REF!</definedName>
    <definedName name="DepriciationDecProj" localSheetId="4">'[11]Monthly Break Up'!#REF!</definedName>
    <definedName name="DepriciationDecProj">'[11]Monthly Break Up'!#REF!</definedName>
    <definedName name="DepriciationFebProj" localSheetId="3">'[11]Monthly Break Up'!#REF!</definedName>
    <definedName name="DepriciationFebProj" localSheetId="4">'[11]Monthly Break Up'!#REF!</definedName>
    <definedName name="DepriciationFebProj">'[11]Monthly Break Up'!#REF!</definedName>
    <definedName name="DepriciationJanProj" localSheetId="3">'[11]Monthly Break Up'!#REF!</definedName>
    <definedName name="DepriciationJanProj" localSheetId="4">'[11]Monthly Break Up'!#REF!</definedName>
    <definedName name="DepriciationJanProj">'[11]Monthly Break Up'!#REF!</definedName>
    <definedName name="DepriciationJulyProj" localSheetId="3">'[11]Monthly Break Up'!#REF!</definedName>
    <definedName name="DepriciationJulyProj" localSheetId="4">'[11]Monthly Break Up'!#REF!</definedName>
    <definedName name="DepriciationJulyProj">'[11]Monthly Break Up'!#REF!</definedName>
    <definedName name="DepriciationJuneProj" localSheetId="3">'[11]Monthly Break Up'!#REF!</definedName>
    <definedName name="DepriciationJuneProj" localSheetId="4">'[11]Monthly Break Up'!#REF!</definedName>
    <definedName name="DepriciationJuneProj">'[11]Monthly Break Up'!#REF!</definedName>
    <definedName name="DepriciationMarProj" localSheetId="3">'[11]Monthly Break Up'!#REF!</definedName>
    <definedName name="DepriciationMarProj" localSheetId="4">'[11]Monthly Break Up'!#REF!</definedName>
    <definedName name="DepriciationMarProj">'[11]Monthly Break Up'!#REF!</definedName>
    <definedName name="DepriciationMayActual" localSheetId="3">'[11]Monthly Break Up'!#REF!</definedName>
    <definedName name="DepriciationMayActual" localSheetId="4">'[11]Monthly Break Up'!#REF!</definedName>
    <definedName name="DepriciationMayActual">'[11]Monthly Break Up'!#REF!</definedName>
    <definedName name="DepriciationNovProj" localSheetId="3">'[11]Monthly Break Up'!#REF!</definedName>
    <definedName name="DepriciationNovProj" localSheetId="4">'[11]Monthly Break Up'!#REF!</definedName>
    <definedName name="DepriciationNovProj">'[11]Monthly Break Up'!#REF!</definedName>
    <definedName name="DepriciationOctProj" localSheetId="3">'[11]Monthly Break Up'!#REF!</definedName>
    <definedName name="DepriciationOctProj" localSheetId="4">'[11]Monthly Break Up'!#REF!</definedName>
    <definedName name="DepriciationOctProj">'[11]Monthly Break Up'!#REF!</definedName>
    <definedName name="DepriciationSepProj" localSheetId="3">'[11]Monthly Break Up'!#REF!</definedName>
    <definedName name="DepriciationSepProj" localSheetId="4">'[11]Monthly Break Up'!#REF!</definedName>
    <definedName name="DepriciationSepProj">'[11]Monthly Break Up'!#REF!</definedName>
    <definedName name="DepSep" localSheetId="3">'[11]Monthly Break Up'!#REF!</definedName>
    <definedName name="DepSep" localSheetId="4">'[11]Monthly Break Up'!#REF!</definedName>
    <definedName name="DepSep">'[11]Monthly Break Up'!#REF!</definedName>
    <definedName name="DepSept" localSheetId="3">'[11]Monthly Break Up'!#REF!</definedName>
    <definedName name="DepSept" localSheetId="4">'[11]Monthly Break Up'!#REF!</definedName>
    <definedName name="DepSept">'[11]Monthly Break Up'!#REF!</definedName>
    <definedName name="discountRate">[4]Input!#REF!</definedName>
    <definedName name="Dollar">#REF!</definedName>
    <definedName name="DSCR_Avg">[4]Input!$H$6</definedName>
    <definedName name="DSCR_min">[4]Input!$H$7</definedName>
    <definedName name="ee" localSheetId="3">'[2]#REF'!$C$436</definedName>
    <definedName name="ee">'[2]#REF'!$C$436</definedName>
    <definedName name="EmpCost">[4]Input!$H$53</definedName>
    <definedName name="EmpCostInflation">[4]Input!$H$54</definedName>
    <definedName name="ex" localSheetId="3">#REF!</definedName>
    <definedName name="ex" localSheetId="4">#REF!</definedName>
    <definedName name="ex">#REF!</definedName>
    <definedName name="exchange_rate">[4]Input!$H$28</definedName>
    <definedName name="exchange_rate_escalation">[4]Input!$H$29</definedName>
    <definedName name="ExchangeRate">[4]Input!#REF!</definedName>
    <definedName name="ExistingCapital">#REF!</definedName>
    <definedName name="_xlnm.Extract" localSheetId="3">'[2]COST SHEET'!#REF!</definedName>
    <definedName name="_xlnm.Extract" localSheetId="6">'[2]COST SHEET'!#REF!</definedName>
    <definedName name="_xlnm.Extract" localSheetId="4">'[2]COST SHEET'!#REF!</definedName>
    <definedName name="_xlnm.Extract">'[2]COST SHEET'!#REF!</definedName>
    <definedName name="EXTRUSION" localSheetId="3">'[2]COST SHEET'!#REF!</definedName>
    <definedName name="EXTRUSION" localSheetId="4">'[2]COST SHEET'!#REF!</definedName>
    <definedName name="EXTRUSION">'[2]COST SHEET'!#REF!</definedName>
    <definedName name="fgdsfdsf" localSheetId="3" hidden="1">[2]GROUPING!$F$440:$F$1029</definedName>
    <definedName name="fgdsfdsf" hidden="1">[2]GROUPING!$F$440:$F$1029</definedName>
    <definedName name="firstYear">[4]Input!#REF!</definedName>
    <definedName name="G">[5]Details!$D$205</definedName>
    <definedName name="G42." localSheetId="3">#REF!</definedName>
    <definedName name="G42.">#REF!</definedName>
    <definedName name="Gas_price">[4]Input!$H$143</definedName>
    <definedName name="GasPrice">[4]Input!#REF!</definedName>
    <definedName name="GCV_Impoted_Coal">[4]Input!$H$72</definedName>
    <definedName name="GCV_Indiancoal">[4]Input!$H$71</definedName>
    <definedName name="GEB_Inc">#REF!</definedName>
    <definedName name="GEB_Inc_I">#REF!</definedName>
    <definedName name="Goodwill">#REF!</definedName>
    <definedName name="GoodwillAcc">#REF!</definedName>
    <definedName name="GoodwillAmort">#REF!</definedName>
    <definedName name="GoodwillAmortAcc">#REF!</definedName>
    <definedName name="GoodwillNet">#REF!</definedName>
    <definedName name="GoodwillReversed">#REF!</definedName>
    <definedName name="GoodwillSchedule">#REF!</definedName>
    <definedName name="grossblock">'[4]AHD-Oprn'!#REF!</definedName>
    <definedName name="growthrate">[12]Input!$H$33</definedName>
    <definedName name="H.R.C." localSheetId="3">'[2]COST SHEET'!#REF!</definedName>
    <definedName name="H.R.C." localSheetId="4">'[2]COST SHEET'!#REF!</definedName>
    <definedName name="H.R.C.">'[2]COST SHEET'!#REF!</definedName>
    <definedName name="H.R.P" localSheetId="3">'[2]COST SHEET'!#REF!</definedName>
    <definedName name="H.R.P" localSheetId="4">'[2]COST SHEET'!#REF!</definedName>
    <definedName name="H.R.P">'[2]COST SHEET'!#REF!</definedName>
    <definedName name="HardCost_Inc_I">[4]Input!$J$155</definedName>
    <definedName name="HearRate">[4]Input!$H$151</definedName>
    <definedName name="HearRate_I">[4]Input!$J$151</definedName>
    <definedName name="HOTMETAL" localSheetId="3">'[2]COST SHEET'!#REF!</definedName>
    <definedName name="HOTMETAL" localSheetId="4">'[2]COST SHEET'!#REF!</definedName>
    <definedName name="HOTMETAL">'[2]COST SHEET'!#REF!</definedName>
    <definedName name="Hours">[4]Input!#REF!</definedName>
    <definedName name="IDReference" hidden="1">"A1"</definedName>
    <definedName name="IdxDiscount">#REF!</definedName>
    <definedName name="IdxDollar">#REF!</definedName>
    <definedName name="IdxInflation">#REF!</definedName>
    <definedName name="IdxRupeeDep">#REF!</definedName>
    <definedName name="ImportedCoalGCV">[4]Input!#REF!</definedName>
    <definedName name="ImportedCoalPRice">[4]Input!#REF!</definedName>
    <definedName name="IndexColumn">[4]Input!$J$23:$J$156</definedName>
    <definedName name="IndianCoalGCV">[4]Input!#REF!</definedName>
    <definedName name="IndianCoalPrice">[4]Input!#REF!</definedName>
    <definedName name="inflationDollar">[4]Input!#REF!</definedName>
    <definedName name="inflationRate">#REF!</definedName>
    <definedName name="inr" localSheetId="3">[2]assumption!$D$64</definedName>
    <definedName name="inr">[2]assumption!$D$64</definedName>
    <definedName name="Int_newloan_abad">[4]Input!$H$39</definedName>
    <definedName name="InterestCash">#REF!</definedName>
    <definedName name="InterestDebtLong">#REF!</definedName>
    <definedName name="InterestExST">#REF!</definedName>
    <definedName name="InterestonSecDep">[4]Input!#REF!</definedName>
    <definedName name="InterestonWC">[4]Input!#REF!</definedName>
    <definedName name="InterestOther">#REF!</definedName>
    <definedName name="InterestRate">[4]Input!$H$117</definedName>
    <definedName name="InterestRevolver">#REF!</definedName>
    <definedName name="InterestTotal">#REF!</definedName>
    <definedName name="InterestTotalPaid">#REF!</definedName>
    <definedName name="InterestTotalRecd">#REF!</definedName>
    <definedName name="invDays">[4]Input!#REF!</definedName>
    <definedName name="ISCommDiv">#REF!</definedName>
    <definedName name="ISCommDivCashAv">#REF!</definedName>
    <definedName name="ISCommDivPerm">#REF!</definedName>
    <definedName name="ISDepreciation">#REF!</definedName>
    <definedName name="ISDSR">#REF!</definedName>
    <definedName name="ISEBIT">#REF!</definedName>
    <definedName name="ISEBITDA">#REF!</definedName>
    <definedName name="ISEBT">#REF!</definedName>
    <definedName name="ISEBTDepTax">#REF!</definedName>
    <definedName name="ISExtraItems">#REF!</definedName>
    <definedName name="ISFxdCost">#REF!</definedName>
    <definedName name="ISGoodwillAmort">#REF!</definedName>
    <definedName name="ISGrossProfit">#REF!</definedName>
    <definedName name="ISIntExpense">#REF!</definedName>
    <definedName name="ISIntIncome">#REF!</definedName>
    <definedName name="ISIntOther">#REF!</definedName>
    <definedName name="ISMinorityInt">#REF!</definedName>
    <definedName name="ISNetIncome">#REF!</definedName>
    <definedName name="ISOpEx">#REF!</definedName>
    <definedName name="ISPrefDiv">#REF!</definedName>
    <definedName name="ISPrefDivPayable">#REF!</definedName>
    <definedName name="ISRetained">#REF!</definedName>
    <definedName name="ISRevenue">#REF!</definedName>
    <definedName name="ISStatRes">#REF!</definedName>
    <definedName name="ISTaxes">#REF!</definedName>
    <definedName name="jdjfkhdj" localSheetId="3">#REF!</definedName>
    <definedName name="jdjfkhdj" localSheetId="4">#REF!</definedName>
    <definedName name="jdjfkhdj">#REF!</definedName>
    <definedName name="k" localSheetId="3">#REF!</definedName>
    <definedName name="k">#REF!</definedName>
    <definedName name="Kcal_scm">[4]Input!$G$63</definedName>
    <definedName name="kedar" localSheetId="3">'[2]#REF'!$C$10</definedName>
    <definedName name="kedar">'[2]#REF'!$C$10</definedName>
    <definedName name="Kedar1" localSheetId="3">'[2]OTHER RM'!$B$4:$H$26</definedName>
    <definedName name="Kedar1">'[2]OTHER RM'!$B$4:$H$26</definedName>
    <definedName name="L_Advances">[13]Input!$H$29</definedName>
    <definedName name="lakh">100000</definedName>
    <definedName name="last">[4]Input!#REF!</definedName>
    <definedName name="lastname" localSheetId="3">'[2]#REF'!#REF!</definedName>
    <definedName name="lastname" localSheetId="4">'[2]#REF'!#REF!</definedName>
    <definedName name="lastname">'[2]#REF'!#REF!</definedName>
    <definedName name="Lev_Traiff">[4]Input!$H$9</definedName>
    <definedName name="Levelized_Tariff" localSheetId="3">[14]Assumption!#REF!</definedName>
    <definedName name="Levelized_Tariff">[15]Assumption!#REF!</definedName>
    <definedName name="LiborRate">#REF!</definedName>
    <definedName name="lifeGoodwill">[4]Input!#REF!</definedName>
    <definedName name="LLR">[4]Input!$H$8</definedName>
    <definedName name="MAINT_CONSUMPTION" localSheetId="3">'[2]#REF'!$B$2:$L$48</definedName>
    <definedName name="MAINT_CONSUMPTION">'[2]#REF'!$B$2:$L$48</definedName>
    <definedName name="Man_Incr">#REF!</definedName>
    <definedName name="Man_Incr_I">#REF!</definedName>
    <definedName name="mar">[16]margin.!$I$17</definedName>
    <definedName name="may" localSheetId="3">#REF!</definedName>
    <definedName name="may" localSheetId="4">#REF!</definedName>
    <definedName name="may">#REF!</definedName>
    <definedName name="mb_inputLocation" hidden="1">[4]Input!#REF!</definedName>
    <definedName name="MGMETALS" localSheetId="3">[2]BREAKUP!#REF!</definedName>
    <definedName name="MGMETALS" localSheetId="4">[2]BREAKUP!#REF!</definedName>
    <definedName name="MGMETALS">[2]BREAKUP!#REF!</definedName>
    <definedName name="MHM">[5]Details!$D$156</definedName>
    <definedName name="million">1000000</definedName>
    <definedName name="MinDSR">#REF!</definedName>
    <definedName name="minReserve">[4]Input!#REF!</definedName>
    <definedName name="misgroup" localSheetId="3" hidden="1">[2]GROUPING!$B$440:$B$1029</definedName>
    <definedName name="misgroup" hidden="1">[2]GROUPING!$B$440:$B$1029</definedName>
    <definedName name="ModelStartFY">[4]Input!$H$27</definedName>
    <definedName name="moratoriun_abad">[4]Input!$H$40</definedName>
    <definedName name="MU_Inc">#REF!</definedName>
    <definedName name="MU_Inc_I">#REF!</definedName>
    <definedName name="N" localSheetId="3">[2]BREAKUP!#REF!</definedName>
    <definedName name="N" localSheetId="4">[2]BREAKUP!#REF!</definedName>
    <definedName name="N">[2]BREAKUP!#REF!</definedName>
    <definedName name="NetPPnE">#REF!</definedName>
    <definedName name="NetProfit" localSheetId="3">'[2]#REF'!$G$56</definedName>
    <definedName name="NetProfit">'[2]#REF'!$G$56</definedName>
    <definedName name="Norm_heatrate">[4]Input!$H$145</definedName>
    <definedName name="NormAux">[4]Input!#REF!</definedName>
    <definedName name="NormHeatRate">[4]Input!#REF!</definedName>
    <definedName name="NormOnMExp">[4]Input!#REF!</definedName>
    <definedName name="NormOnMExpEsc">[4]Input!#REF!</definedName>
    <definedName name="NormPLF">[4]Input!#REF!</definedName>
    <definedName name="NTP">[4]Input!#REF!</definedName>
    <definedName name="NumberofPhases">[4]Input!#REF!</definedName>
    <definedName name="obaccdep">'[4]AHD-Oprn'!#REF!</definedName>
    <definedName name="obcwip">'[4]AHD-Oprn'!#REF!</definedName>
    <definedName name="obgrossblock">'[4]AHD-Oprn'!#REF!</definedName>
    <definedName name="om" localSheetId="3">'[2]#REF'!$C$327</definedName>
    <definedName name="om">'[2]#REF'!$C$327</definedName>
    <definedName name="OM_Incr">[4]Input!$H$154</definedName>
    <definedName name="OM_Incr_I">[4]Input!$J$154</definedName>
    <definedName name="one">1</definedName>
    <definedName name="Oper_Maintenence_Expenses">[4]Input!$H$152</definedName>
    <definedName name="Oper_Maintenence_Expenses_I">[4]Input!$J$152</definedName>
    <definedName name="OTHER_RM_SUM" localSheetId="3">'[2]rawmat break up'!#REF!</definedName>
    <definedName name="OTHER_RM_SUM" localSheetId="4">'[2]rawmat break up'!#REF!</definedName>
    <definedName name="OTHER_RM_SUM">'[2]rawmat break up'!#REF!</definedName>
    <definedName name="p" localSheetId="3">'[1]Top Sheet'!#REF!</definedName>
    <definedName name="p">'[1]Top Sheet'!#REF!</definedName>
    <definedName name="PATMonthActual" localSheetId="3">#REF!</definedName>
    <definedName name="PATMonthActual" localSheetId="4">#REF!</definedName>
    <definedName name="PATMonthActual">#REF!</definedName>
    <definedName name="PATYearActual" localSheetId="3">#REF!</definedName>
    <definedName name="PATYearActual" localSheetId="4">#REF!</definedName>
    <definedName name="PATYearActual">#REF!</definedName>
    <definedName name="Payables">[4]Input!#REF!</definedName>
    <definedName name="pDiscountRate">[4]Input!#REF!</definedName>
    <definedName name="pDSRCov">[4]Input!#REF!</definedName>
    <definedName name="pfTaxHol">[4]Input!#REF!</definedName>
    <definedName name="phase">#REF!</definedName>
    <definedName name="Phase1Time">[4]Input!#REF!</definedName>
    <definedName name="Phase2Time">[4]Input!#REF!</definedName>
    <definedName name="Phase3Time">[4]Input!#REF!</definedName>
    <definedName name="PIG_CASTING" localSheetId="3">'[2]COST SHEET'!#REF!</definedName>
    <definedName name="PIG_CASTING" localSheetId="4">'[2]COST SHEET'!#REF!</definedName>
    <definedName name="PIG_CASTING">'[2]COST SHEET'!#REF!</definedName>
    <definedName name="piTaxHol">[4]Input!#REF!</definedName>
    <definedName name="pLength">[4]Input!#REF!</definedName>
    <definedName name="PLF">[4]Input!$H$25</definedName>
    <definedName name="PLF_I">[4]Input!$J$25</definedName>
    <definedName name="pLoanLifeForeignDebt">[4]Input!#REF!</definedName>
    <definedName name="pLoanLifeLTDebt">[4]Input!#REF!</definedName>
    <definedName name="pLossCarFor">[4]Input!#REF!</definedName>
    <definedName name="pMorForeignDebt">[4]Input!#REF!</definedName>
    <definedName name="pMorLTDebt">[4]Input!#REF!</definedName>
    <definedName name="post" localSheetId="3" hidden="1">#REF!</definedName>
    <definedName name="post" localSheetId="4" hidden="1">#REF!</definedName>
    <definedName name="post" hidden="1">#REF!</definedName>
    <definedName name="power" localSheetId="3">#REF!</definedName>
    <definedName name="power" localSheetId="4">#REF!</definedName>
    <definedName name="power">#REF!</definedName>
    <definedName name="prefDivRate">[4]Input!#REF!</definedName>
    <definedName name="Price_Imported_Coal">[4]Input!$H$74</definedName>
    <definedName name="Price_IndianCoal">[4]Input!$H$73</definedName>
    <definedName name="print" localSheetId="3">#REF!</definedName>
    <definedName name="print" localSheetId="4">#REF!</definedName>
    <definedName name="print">#REF!</definedName>
    <definedName name="_xlnm.Print_Area" localSheetId="0">Assumption!$A$1:$E$81</definedName>
    <definedName name="_xlnm.Print_Area" localSheetId="4">Workings!$A$1:$AC$34</definedName>
    <definedName name="Print_Area_MI" localSheetId="3">#REF!</definedName>
    <definedName name="Print_Area_MI" localSheetId="4">#REF!</definedName>
    <definedName name="Print_Area_MI">#REF!</definedName>
    <definedName name="PRINT_TITLES_MI" localSheetId="3">'[1]Top Sheet'!#REF!</definedName>
    <definedName name="PRINT_TITLES_MI" localSheetId="4">'[1]Top Sheet'!#REF!</definedName>
    <definedName name="PRINT_TITLES_MI">'[1]Top Sheet'!#REF!</definedName>
    <definedName name="production" localSheetId="3">#REF!</definedName>
    <definedName name="production" localSheetId="4">#REF!</definedName>
    <definedName name="production">#REF!</definedName>
    <definedName name="PROFITLOSS" localSheetId="3">#REF!</definedName>
    <definedName name="PROFITLOSS" localSheetId="4">#REF!</definedName>
    <definedName name="PROFITLOSS">#REF!</definedName>
    <definedName name="Project_to_date" localSheetId="3">'[2]#REF'!$H$9:$J$32</definedName>
    <definedName name="Project_to_date">'[2]#REF'!$H$9:$J$32</definedName>
    <definedName name="PROPERZI" localSheetId="3">'[2]COST SHEET'!#REF!</definedName>
    <definedName name="PROPERZI" localSheetId="4">'[2]COST SHEET'!#REF!</definedName>
    <definedName name="PROPERZI">'[2]COST SHEET'!#REF!</definedName>
    <definedName name="psLibor">[4]Input!#REF!</definedName>
    <definedName name="pStartTaxHol">[4]Input!#REF!</definedName>
    <definedName name="RateCash">#REF!</definedName>
    <definedName name="RateDebtForeign">#REF!</definedName>
    <definedName name="RateDebtLong">#REF!</definedName>
    <definedName name="RatePrime">#REF!</definedName>
    <definedName name="RateRevolver">#REF!</definedName>
    <definedName name="Ratio_importedcoal">[4]Input!$H$69</definedName>
    <definedName name="Ratio_Indiancoal">[4]Input!$H$70</definedName>
    <definedName name="rcop" localSheetId="3">#REF!</definedName>
    <definedName name="rcop" localSheetId="4">#REF!</definedName>
    <definedName name="rcop">#REF!</definedName>
    <definedName name="RCOP1" localSheetId="3">'[2]#REF'!$K$31</definedName>
    <definedName name="RCOP1">'[2]#REF'!$K$31</definedName>
    <definedName name="rcu">'[17]lot no 86'!$K$31</definedName>
    <definedName name="RD_InputTable">[4]Input!$A$23:$T$156</definedName>
    <definedName name="RD_OutputTable">[4]Input!$D$5:$J$12</definedName>
    <definedName name="Re">[18]margin.!$L$4</definedName>
    <definedName name="REAL" localSheetId="3">'[2]#REF'!$Q$86</definedName>
    <definedName name="REAL">'[2]#REF'!$Q$86</definedName>
    <definedName name="reali" localSheetId="3">#REF!</definedName>
    <definedName name="reali" localSheetId="4">#REF!</definedName>
    <definedName name="reali">#REF!</definedName>
    <definedName name="reayment_abad">[4]Input!$H$41</definedName>
    <definedName name="rebate">[4]Input!$H$150</definedName>
    <definedName name="rebate_I">[4]Input!$J$150</definedName>
    <definedName name="RebateforPayment">[4]Input!$H$37</definedName>
    <definedName name="Receivables">[4]Input!#REF!</definedName>
    <definedName name="Receivables_I">#REF!</definedName>
    <definedName name="Receivables_months">[4]Input!$H$24</definedName>
    <definedName name="Receivables_months_I">[4]Input!$J$24</definedName>
    <definedName name="RepandMaintCost">[4]Input!$H$55</definedName>
    <definedName name="RepandMaintCostInflation">[4]Input!$H$56</definedName>
    <definedName name="ReqDSR">#REF!</definedName>
    <definedName name="reqDSRCov">[4]Input!#REF!</definedName>
    <definedName name="res" localSheetId="3">'[2]Break up of RMcost'!$D$5</definedName>
    <definedName name="res">'[2]Break up of RMcost'!$D$5</definedName>
    <definedName name="resd" localSheetId="3">'[2]Top Sheet'!#REF!</definedName>
    <definedName name="resd" localSheetId="4">'[2]Top Sheet'!#REF!</definedName>
    <definedName name="resd">'[2]Top Sheet'!#REF!</definedName>
    <definedName name="Restriction">[4]Input!#REF!</definedName>
    <definedName name="Return_on_Equity">[4]Input!$H$153</definedName>
    <definedName name="Return_on_Equity_I">[4]Input!$J$153</definedName>
    <definedName name="RevenueDataEntry" localSheetId="3">'[2]Sales &amp;Sale Cost'!#REF!</definedName>
    <definedName name="RevenueDataEntry" localSheetId="4">'[2]Sales &amp;Sale Cost'!#REF!</definedName>
    <definedName name="RevenueDataEntry">'[2]Sales &amp;Sale Cost'!#REF!</definedName>
    <definedName name="rg" localSheetId="3">#REF!</definedName>
    <definedName name="rg" localSheetId="4">#REF!</definedName>
    <definedName name="rg">#REF!</definedName>
    <definedName name="rm" localSheetId="3">'[2]#REF'!$C$387</definedName>
    <definedName name="rm">'[2]#REF'!$C$387</definedName>
    <definedName name="RM_Incr">#REF!</definedName>
    <definedName name="RM_Incr_I">#REF!</definedName>
    <definedName name="RM_VARIANCE" localSheetId="3">'[2]#REF'!$B$6:$Q$22</definedName>
    <definedName name="RM_VARIANCE">'[2]#REF'!$B$6:$Q$22</definedName>
    <definedName name="roe">[4]Input!$H$30</definedName>
    <definedName name="ROE_Sugen">[4]Input!#REF!</definedName>
    <definedName name="ROLLED_PRODUCTS" localSheetId="3">'[2]COST SHEET'!#REF!</definedName>
    <definedName name="ROLLED_PRODUCTS" localSheetId="4">'[2]COST SHEET'!#REF!</definedName>
    <definedName name="ROLLED_PRODUCTS">'[2]COST SHEET'!#REF!</definedName>
    <definedName name="rpd">'[17]lot no 86'!$K$29</definedName>
    <definedName name="rpt">'[17]lot no 86'!$K$28</definedName>
    <definedName name="rs" localSheetId="3">#REF!</definedName>
    <definedName name="rs" localSheetId="4">#REF!</definedName>
    <definedName name="rs">#REF!</definedName>
    <definedName name="SL">[5]Details!$D$195</definedName>
    <definedName name="SLAB_CASTING" localSheetId="3">'[2]COST SHEET'!#REF!</definedName>
    <definedName name="SLAB_CASTING" localSheetId="4">'[2]COST SHEET'!#REF!</definedName>
    <definedName name="SLAB_CASTING">'[2]COST SHEET'!#REF!</definedName>
    <definedName name="SourceofCoalRatio">[4]Input!#REF!</definedName>
    <definedName name="Srt1stYrGrowthRate">[4]Input!#REF!</definedName>
    <definedName name="SrtATCLoss">[4]Input!$H$106</definedName>
    <definedName name="SrtBaseTariff">[4]Input!$H$96</definedName>
    <definedName name="SrtGrowthRate">[4]Input!#REF!</definedName>
    <definedName name="SrtOtherIncome">[4]Input!$H$98</definedName>
    <definedName name="SrtSalesGrowthRate">[4]Input!$H$97</definedName>
    <definedName name="StationC_cap">[4]Input!$H$83</definedName>
    <definedName name="StationC_heatrate">[4]Input!$H$77</definedName>
    <definedName name="StationC_PLF">[4]Input!$H$89</definedName>
    <definedName name="StationCCap">[4]Input!#REF!</definedName>
    <definedName name="StationCHeatRate">[4]Input!#REF!</definedName>
    <definedName name="StationCPLF">[4]Input!#REF!</definedName>
    <definedName name="StationD_cap">[4]Input!$H$84</definedName>
    <definedName name="StationD_Heatrate">[4]Input!$H$78</definedName>
    <definedName name="StationD_PLF">[4]Input!$H$90</definedName>
    <definedName name="StationDCap">[4]Input!#REF!</definedName>
    <definedName name="StationDHeatRate">[4]Input!#REF!</definedName>
    <definedName name="StationDPLF">[4]Input!#REF!</definedName>
    <definedName name="StationE_cap">[4]Input!$H$85</definedName>
    <definedName name="StationE_heatrate">[4]Input!$H$79</definedName>
    <definedName name="StationE_PLF">[4]Input!$H$91</definedName>
    <definedName name="StationECap">[4]Input!#REF!</definedName>
    <definedName name="StationEHeatRate">[4]Input!#REF!</definedName>
    <definedName name="StationEPLF">[4]Input!#REF!</definedName>
    <definedName name="StationF_cap">[4]Input!$H$86</definedName>
    <definedName name="StationF_heatrate">[4]Input!$H$80</definedName>
    <definedName name="StationF_PLF">[4]Input!$H$92</definedName>
    <definedName name="StationFCap">[4]Input!#REF!</definedName>
    <definedName name="StationFHeatRate">[4]Input!#REF!</definedName>
    <definedName name="StationFPLF">[4]Input!#REF!</definedName>
    <definedName name="STEAM" localSheetId="3">#REF!</definedName>
    <definedName name="STEAM" localSheetId="4">#REF!</definedName>
    <definedName name="STEAM">#REF!</definedName>
    <definedName name="STEAM_PLANT" localSheetId="3">'[2]COST SHEET'!#REF!</definedName>
    <definedName name="STEAM_PLANT" localSheetId="4">'[2]COST SHEET'!#REF!</definedName>
    <definedName name="STEAM_PLANT">'[2]COST SHEET'!#REF!</definedName>
    <definedName name="StockMovementEntry" localSheetId="3">'[2]Stock Cal'!$A$100:$D$103</definedName>
    <definedName name="StockMovementEntry">'[2]Stock Cal'!$A$100:$D$103</definedName>
    <definedName name="STORES" localSheetId="3">'[2]#REF'!$A$1:$L$61</definedName>
    <definedName name="STORES">'[2]#REF'!$A$1:$L$61</definedName>
    <definedName name="STORES_DETAILS" localSheetId="3">'[2]#REF'!$A$4:$J$76</definedName>
    <definedName name="STORES_DETAILS">'[2]#REF'!$A$4:$J$76</definedName>
    <definedName name="STORES_SUMMARY" localSheetId="3">'[2]#REF'!$B$78:$D$86</definedName>
    <definedName name="STORES_SUMMARY">'[2]#REF'!$B$78:$D$86</definedName>
    <definedName name="Sugen_aux">[4]Input!$H$142</definedName>
    <definedName name="Sugen_cap">[4]Input!$H$140</definedName>
    <definedName name="Sugen_int">[4]Input!$H$147</definedName>
    <definedName name="Sugen_PLF">[4]Input!$H$141</definedName>
    <definedName name="SugenCapacity">[4]Input!#REF!</definedName>
    <definedName name="SugenGasPrice">[4]Input!#REF!</definedName>
    <definedName name="Surat_admin">[4]Input!$H$103</definedName>
    <definedName name="Surat_Employeecost">[4]Input!$H$99</definedName>
    <definedName name="Surat_escalation_Admin">[4]Input!$H$104</definedName>
    <definedName name="Surat_escalation_employee">[4]Input!$H$100</definedName>
    <definedName name="Surat_escalation_R_M">[4]Input!$H$102</definedName>
    <definedName name="Surat_R_M">[4]Input!$H$101</definedName>
    <definedName name="Tariff_Incr">#REF!</definedName>
    <definedName name="Tariff_Incr_I">#REF!</definedName>
    <definedName name="TaxAmtHol">#REF!</definedName>
    <definedName name="taxCapAp">[4]Input!#REF!</definedName>
    <definedName name="taxCorpIDFC">[4]Input!#REF!</definedName>
    <definedName name="taxdep">'[4]AHD-Oprn'!#REF!</definedName>
    <definedName name="TaxDepreciation">#REF!</definedName>
    <definedName name="taxPaidThisYear">[4]Input!#REF!</definedName>
    <definedName name="taxRate">[4]Input!#REF!</definedName>
    <definedName name="TB" localSheetId="3">'[2]#REF'!$A$1:$C$68</definedName>
    <definedName name="TB">'[2]#REF'!$A$1:$C$68</definedName>
    <definedName name="Tech_redn">#REF!</definedName>
    <definedName name="Tech_redn_I">#REF!</definedName>
    <definedName name="thousand">1000</definedName>
    <definedName name="timeHorizon">[4]Input!#REF!</definedName>
    <definedName name="tonnes_railed_wmt" localSheetId="3">'[2]#REF'!$C$51:$N$51</definedName>
    <definedName name="tonnes_railed_wmt">'[2]#REF'!$C$51:$N$51</definedName>
    <definedName name="TotalCapEx">#REF!</definedName>
    <definedName name="Transmission_Majoration_factor_I">[4]Input!$J$154</definedName>
    <definedName name="Unit">[4]Input!#REF!</definedName>
    <definedName name="Variance_analysis" localSheetId="3">'[2]#REF'!$A$73:$F$127</definedName>
    <definedName name="Variance_analysis">'[2]#REF'!$A$73:$F$127</definedName>
    <definedName name="Vatva_aux">[4]Input!$H$49</definedName>
    <definedName name="Vatva_capacity">[4]Input!$H$64</definedName>
    <definedName name="Vatva_GCV">[4]Input!$H$63</definedName>
    <definedName name="Vatva_Heat_rate">[4]Input!$H$62</definedName>
    <definedName name="Vatva_PLF">[4]Input!$H$65</definedName>
    <definedName name="VatvaBasePLF">[4]Input!#REF!</definedName>
    <definedName name="VatvaCapacity">[4]Input!#REF!</definedName>
    <definedName name="VatvaGCV">[4]Input!#REF!</definedName>
    <definedName name="VatvaHeatRate">[4]Input!#REF!</definedName>
    <definedName name="VatvaStablePLF">[4]Input!#REF!</definedName>
    <definedName name="VectorAssetsSales">#REF!</definedName>
    <definedName name="VectorCapEx">#REF!</definedName>
    <definedName name="VectorEquityInterests">#REF!</definedName>
    <definedName name="VectorExtraItems">#REF!</definedName>
    <definedName name="VectorFxdCost">#REF!</definedName>
    <definedName name="VectorMinorityInt">#REF!</definedName>
    <definedName name="VectorOpEx">#REF!</definedName>
    <definedName name="VectorOtherAssets">#REF!</definedName>
    <definedName name="VectorOtherCurAssets">#REF!</definedName>
    <definedName name="VectorOtherCurLiabs">#REF!</definedName>
    <definedName name="VectorOtherExpenses">#REF!</definedName>
    <definedName name="VectorOtherInterest">#REF!</definedName>
    <definedName name="VectorOtherInvestments">#REF!</definedName>
    <definedName name="VectorOtherLtLiabs">#REF!</definedName>
    <definedName name="VectorRevenue">#REF!</definedName>
    <definedName name="WCAccrued">#REF!</definedName>
    <definedName name="wcDaysPerYear">[4]Input!#REF!</definedName>
    <definedName name="WCInventory">#REF!</definedName>
    <definedName name="WCPayable">#REF!</definedName>
    <definedName name="WCReceivable">#REF!</definedName>
    <definedName name="WCTotal">#REF!</definedName>
    <definedName name="WdrDSR">#REF!</definedName>
    <definedName name="WPI">[4]Input!#REF!</definedName>
    <definedName name="WPI_I">[4]Input!#REF!</definedName>
    <definedName name="X" localSheetId="3">'[2]#REF'!$E$511:$E$539</definedName>
    <definedName name="X">'[2]#REF'!$E$511:$E$539</definedName>
    <definedName name="yForeignDebt">[4]Input!#REF!</definedName>
    <definedName name="yLTDebt">[4]Input!#REF!</definedName>
    <definedName name="yyyyyyyyyyyyyyyyy">[19]Input!$H$92</definedName>
    <definedName name="z">[20]DETAILS!$C$5</definedName>
    <definedName name="Z_6D27EB6A_3939_4201_8E4B_897AA8118F21_.wvu.Cols" localSheetId="0" hidden="1">Assumption!#REF!</definedName>
    <definedName name="Z_6D27EB6A_3939_4201_8E4B_897AA8118F21_.wvu.PrintArea" localSheetId="0" hidden="1">Assumption!$A$1:$E$81</definedName>
    <definedName name="zero">0</definedName>
  </definedNames>
  <calcPr calcId="125725" iterate="1" iterateCount="32000"/>
  <customWorkbookViews>
    <customWorkbookView name="901604 - Personal View" guid="{6D27EB6A-3939-4201-8E4B-897AA8118F21}" mergeInterval="0" personalView="1" maximized="1" xWindow="1" yWindow="1" windowWidth="1360" windowHeight="520" tabRatio="599" activeSheetId="1"/>
  </customWorkbookViews>
</workbook>
</file>

<file path=xl/calcChain.xml><?xml version="1.0" encoding="utf-8"?>
<calcChain xmlns="http://schemas.openxmlformats.org/spreadsheetml/2006/main">
  <c r="D57" i="1"/>
  <c r="D61" s="1"/>
  <c r="F13" i="9"/>
  <c r="G13"/>
  <c r="H13"/>
  <c r="I13"/>
  <c r="J13"/>
  <c r="K13"/>
  <c r="L13"/>
  <c r="M13"/>
  <c r="N13"/>
  <c r="O13"/>
  <c r="E13"/>
  <c r="F5" i="31"/>
  <c r="F8"/>
  <c r="F9" s="1"/>
  <c r="B9"/>
  <c r="C9" s="1"/>
  <c r="B8"/>
  <c r="C8" s="1"/>
  <c r="C5"/>
  <c r="C4"/>
  <c r="B5"/>
  <c r="B4"/>
  <c r="D46" i="1"/>
  <c r="D48" s="1"/>
  <c r="D42"/>
  <c r="D43" s="1"/>
  <c r="B7" i="31" l="1"/>
  <c r="B6"/>
  <c r="F6"/>
  <c r="F7" s="1"/>
  <c r="B10"/>
  <c r="B11" s="1"/>
  <c r="F10"/>
  <c r="F11" l="1"/>
  <c r="F14" s="1"/>
  <c r="C10"/>
  <c r="C11" s="1"/>
  <c r="C6"/>
  <c r="C7"/>
  <c r="B12"/>
  <c r="C12" l="1"/>
  <c r="C14" s="1"/>
  <c r="B15" s="1"/>
  <c r="D44" i="1" s="1"/>
  <c r="D10" l="1"/>
  <c r="A213" i="9" l="1"/>
  <c r="B213"/>
  <c r="A214"/>
  <c r="A215"/>
  <c r="C220"/>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B221"/>
  <c r="C221" s="1"/>
  <c r="C237"/>
  <c r="D237" s="1"/>
  <c r="E237" s="1"/>
  <c r="F237" s="1"/>
  <c r="G237" s="1"/>
  <c r="H237" s="1"/>
  <c r="I237" s="1"/>
  <c r="J237" s="1"/>
  <c r="K237" s="1"/>
  <c r="L237" s="1"/>
  <c r="M237" s="1"/>
  <c r="N237" s="1"/>
  <c r="O237" s="1"/>
  <c r="P237" s="1"/>
  <c r="Q237" s="1"/>
  <c r="R237" s="1"/>
  <c r="S237" s="1"/>
  <c r="T237" s="1"/>
  <c r="U237" s="1"/>
  <c r="V237" s="1"/>
  <c r="W237" s="1"/>
  <c r="X237" s="1"/>
  <c r="Y237" s="1"/>
  <c r="Z237" s="1"/>
  <c r="B238"/>
  <c r="C238"/>
  <c r="C239" s="1"/>
  <c r="C230" s="1"/>
  <c r="D238"/>
  <c r="E238"/>
  <c r="E239" s="1"/>
  <c r="E230" s="1"/>
  <c r="F238"/>
  <c r="G238"/>
  <c r="G239" s="1"/>
  <c r="G230" s="1"/>
  <c r="H238"/>
  <c r="I238"/>
  <c r="I239" s="1"/>
  <c r="I230" s="1"/>
  <c r="J238"/>
  <c r="K238"/>
  <c r="K239" s="1"/>
  <c r="K230" s="1"/>
  <c r="L238"/>
  <c r="M238"/>
  <c r="M239" s="1"/>
  <c r="M230" s="1"/>
  <c r="N238"/>
  <c r="O238"/>
  <c r="O239" s="1"/>
  <c r="O230" s="1"/>
  <c r="P238"/>
  <c r="Q238"/>
  <c r="Q239" s="1"/>
  <c r="Q230" s="1"/>
  <c r="R238"/>
  <c r="S238"/>
  <c r="S239" s="1"/>
  <c r="S230" s="1"/>
  <c r="T238"/>
  <c r="U238"/>
  <c r="U239" s="1"/>
  <c r="U230" s="1"/>
  <c r="V238"/>
  <c r="W238"/>
  <c r="W239" s="1"/>
  <c r="W230" s="1"/>
  <c r="X238"/>
  <c r="Y238"/>
  <c r="Y239" s="1"/>
  <c r="Y230" s="1"/>
  <c r="Z238"/>
  <c r="B239"/>
  <c r="B230" s="1"/>
  <c r="D239"/>
  <c r="D230" s="1"/>
  <c r="F239"/>
  <c r="F230" s="1"/>
  <c r="H239"/>
  <c r="H230" s="1"/>
  <c r="J239"/>
  <c r="J230" s="1"/>
  <c r="L239"/>
  <c r="L230" s="1"/>
  <c r="N239"/>
  <c r="N230" s="1"/>
  <c r="P239"/>
  <c r="P230" s="1"/>
  <c r="R239"/>
  <c r="R230" s="1"/>
  <c r="T239"/>
  <c r="T230" s="1"/>
  <c r="V239"/>
  <c r="V230" s="1"/>
  <c r="X239"/>
  <c r="X230" s="1"/>
  <c r="Z239"/>
  <c r="Z230" s="1"/>
  <c r="B240"/>
  <c r="C240"/>
  <c r="D240"/>
  <c r="E240"/>
  <c r="F240"/>
  <c r="G240"/>
  <c r="H240"/>
  <c r="I240"/>
  <c r="J240"/>
  <c r="K240"/>
  <c r="L240"/>
  <c r="M240"/>
  <c r="N240"/>
  <c r="O240"/>
  <c r="P240"/>
  <c r="Q240"/>
  <c r="R240"/>
  <c r="S240"/>
  <c r="T240"/>
  <c r="U240"/>
  <c r="V240"/>
  <c r="W240"/>
  <c r="X240"/>
  <c r="Y240"/>
  <c r="Z240"/>
  <c r="B245"/>
  <c r="A187"/>
  <c r="G187"/>
  <c r="A188"/>
  <c r="G188"/>
  <c r="A189"/>
  <c r="G189"/>
  <c r="A190"/>
  <c r="G190"/>
  <c r="A191"/>
  <c r="G191"/>
  <c r="A192"/>
  <c r="G192"/>
  <c r="A193"/>
  <c r="G193"/>
  <c r="A194"/>
  <c r="G194"/>
  <c r="A195"/>
  <c r="G195"/>
  <c r="A196"/>
  <c r="G196"/>
  <c r="A197"/>
  <c r="G197"/>
  <c r="A198"/>
  <c r="A199" s="1"/>
  <c r="A200" s="1"/>
  <c r="A201" s="1"/>
  <c r="A202" s="1"/>
  <c r="A203" s="1"/>
  <c r="G198"/>
  <c r="Q198"/>
  <c r="G199"/>
  <c r="G200" s="1"/>
  <c r="G201" s="1"/>
  <c r="G202" s="1"/>
  <c r="G203" s="1"/>
  <c r="Q199"/>
  <c r="Q200"/>
  <c r="Q201"/>
  <c r="Q202"/>
  <c r="Q203"/>
  <c r="A136"/>
  <c r="A137"/>
  <c r="A138"/>
  <c r="A139"/>
  <c r="B172"/>
  <c r="B142" s="1"/>
  <c r="C117"/>
  <c r="D117" s="1"/>
  <c r="E117" s="1"/>
  <c r="F117" s="1"/>
  <c r="G117" s="1"/>
  <c r="H117" s="1"/>
  <c r="I117" s="1"/>
  <c r="J117" s="1"/>
  <c r="K117" s="1"/>
  <c r="L117" s="1"/>
  <c r="M117" s="1"/>
  <c r="N117" s="1"/>
  <c r="O117" s="1"/>
  <c r="P117" s="1"/>
  <c r="Q117" s="1"/>
  <c r="R117" s="1"/>
  <c r="S117" s="1"/>
  <c r="T117" s="1"/>
  <c r="U117" s="1"/>
  <c r="V117" s="1"/>
  <c r="W117" s="1"/>
  <c r="X117" s="1"/>
  <c r="Y117" s="1"/>
  <c r="Z117" s="1"/>
  <c r="C122"/>
  <c r="D122" s="1"/>
  <c r="C55"/>
  <c r="D55" s="1"/>
  <c r="D213" s="1"/>
  <c r="B57"/>
  <c r="C57"/>
  <c r="C214" s="1"/>
  <c r="D57"/>
  <c r="D214" s="1"/>
  <c r="E57"/>
  <c r="E214" s="1"/>
  <c r="F57"/>
  <c r="F214" s="1"/>
  <c r="G57"/>
  <c r="G214" s="1"/>
  <c r="H57"/>
  <c r="H214" s="1"/>
  <c r="I57"/>
  <c r="I214" s="1"/>
  <c r="J57"/>
  <c r="J214" s="1"/>
  <c r="K57"/>
  <c r="K214" s="1"/>
  <c r="L57"/>
  <c r="L214" s="1"/>
  <c r="M57"/>
  <c r="M214" s="1"/>
  <c r="N57"/>
  <c r="N214" s="1"/>
  <c r="O57"/>
  <c r="O214" s="1"/>
  <c r="P57"/>
  <c r="P214" s="1"/>
  <c r="Q57"/>
  <c r="Q214" s="1"/>
  <c r="R57"/>
  <c r="R214" s="1"/>
  <c r="S57"/>
  <c r="S214" s="1"/>
  <c r="T57"/>
  <c r="T214" s="1"/>
  <c r="U57"/>
  <c r="U214" s="1"/>
  <c r="V57"/>
  <c r="V214" s="1"/>
  <c r="W57"/>
  <c r="W214" s="1"/>
  <c r="X57"/>
  <c r="X214" s="1"/>
  <c r="Y57"/>
  <c r="Y214" s="1"/>
  <c r="Z57"/>
  <c r="Z214" s="1"/>
  <c r="B58"/>
  <c r="A75"/>
  <c r="C222" l="1"/>
  <c r="C223" s="1"/>
  <c r="C245"/>
  <c r="B246"/>
  <c r="C213"/>
  <c r="B214"/>
  <c r="C58"/>
  <c r="C215" s="1"/>
  <c r="C226" s="1"/>
  <c r="B215"/>
  <c r="B226" s="1"/>
  <c r="D221"/>
  <c r="D222"/>
  <c r="F186"/>
  <c r="B70"/>
  <c r="B75" s="1"/>
  <c r="B79" s="1"/>
  <c r="Y56"/>
  <c r="W56"/>
  <c r="U56"/>
  <c r="S56"/>
  <c r="Q56"/>
  <c r="O56"/>
  <c r="M56"/>
  <c r="K56"/>
  <c r="I56"/>
  <c r="G56"/>
  <c r="E56"/>
  <c r="C56"/>
  <c r="Z56"/>
  <c r="X56"/>
  <c r="V56"/>
  <c r="T56"/>
  <c r="R56"/>
  <c r="P56"/>
  <c r="N56"/>
  <c r="L56"/>
  <c r="J56"/>
  <c r="H56"/>
  <c r="F56"/>
  <c r="D56"/>
  <c r="E122"/>
  <c r="E55"/>
  <c r="E213" s="1"/>
  <c r="C70" l="1"/>
  <c r="C75" s="1"/>
  <c r="C79" s="1"/>
  <c r="D58"/>
  <c r="D215" s="1"/>
  <c r="D226" s="1"/>
  <c r="D245"/>
  <c r="C246"/>
  <c r="D223"/>
  <c r="E221"/>
  <c r="E222"/>
  <c r="F122"/>
  <c r="F55"/>
  <c r="F213" s="1"/>
  <c r="C5" i="30"/>
  <c r="D5"/>
  <c r="E5"/>
  <c r="F5"/>
  <c r="G5"/>
  <c r="H5"/>
  <c r="I5"/>
  <c r="J5"/>
  <c r="K5"/>
  <c r="L5"/>
  <c r="B5"/>
  <c r="D73" i="1"/>
  <c r="B3" i="30"/>
  <c r="C3" s="1"/>
  <c r="D3" s="1"/>
  <c r="E3" s="1"/>
  <c r="F3" s="1"/>
  <c r="G3" s="1"/>
  <c r="H3" s="1"/>
  <c r="I3" s="1"/>
  <c r="J3" s="1"/>
  <c r="K3" s="1"/>
  <c r="L3" s="1"/>
  <c r="D70" i="9" l="1"/>
  <c r="D75" s="1"/>
  <c r="D79" s="1"/>
  <c r="E58"/>
  <c r="E215" s="1"/>
  <c r="E226" s="1"/>
  <c r="B228"/>
  <c r="D228"/>
  <c r="F228"/>
  <c r="H228"/>
  <c r="J228"/>
  <c r="L228"/>
  <c r="N228"/>
  <c r="P228"/>
  <c r="R228"/>
  <c r="T228"/>
  <c r="V228"/>
  <c r="X228"/>
  <c r="Z228"/>
  <c r="C228"/>
  <c r="E228"/>
  <c r="G228"/>
  <c r="I228"/>
  <c r="K228"/>
  <c r="M228"/>
  <c r="O228"/>
  <c r="Q228"/>
  <c r="S228"/>
  <c r="U228"/>
  <c r="W228"/>
  <c r="Y228"/>
  <c r="F221"/>
  <c r="F222"/>
  <c r="E223"/>
  <c r="B227" s="1"/>
  <c r="E245"/>
  <c r="D246"/>
  <c r="G122"/>
  <c r="G55"/>
  <c r="G213" s="1"/>
  <c r="F58"/>
  <c r="F215" s="1"/>
  <c r="F226" s="1"/>
  <c r="E70"/>
  <c r="E75" s="1"/>
  <c r="E79" s="1"/>
  <c r="C3" i="10"/>
  <c r="B229" i="9" l="1"/>
  <c r="B231" s="1"/>
  <c r="F245"/>
  <c r="E246"/>
  <c r="F223"/>
  <c r="C227" s="1"/>
  <c r="C229" s="1"/>
  <c r="C231" s="1"/>
  <c r="G221"/>
  <c r="G222"/>
  <c r="H122"/>
  <c r="G58"/>
  <c r="G215" s="1"/>
  <c r="G226" s="1"/>
  <c r="F70"/>
  <c r="F75" s="1"/>
  <c r="F79" s="1"/>
  <c r="H55"/>
  <c r="H213" s="1"/>
  <c r="D66" i="1"/>
  <c r="B216" i="9" s="1"/>
  <c r="C216" l="1"/>
  <c r="G245"/>
  <c r="F246"/>
  <c r="H221"/>
  <c r="H222"/>
  <c r="G223"/>
  <c r="D227" s="1"/>
  <c r="D229" s="1"/>
  <c r="D231" s="1"/>
  <c r="I122"/>
  <c r="H58"/>
  <c r="H215" s="1"/>
  <c r="H226" s="1"/>
  <c r="G70"/>
  <c r="G75" s="1"/>
  <c r="G79" s="1"/>
  <c r="I55"/>
  <c r="I213" s="1"/>
  <c r="D18" i="12"/>
  <c r="Q48" i="9"/>
  <c r="R48"/>
  <c r="S48"/>
  <c r="T48"/>
  <c r="U48"/>
  <c r="V48"/>
  <c r="W48"/>
  <c r="X48"/>
  <c r="Y48"/>
  <c r="Z48"/>
  <c r="AA48"/>
  <c r="AB48"/>
  <c r="AC48"/>
  <c r="D216" l="1"/>
  <c r="H223"/>
  <c r="E227" s="1"/>
  <c r="E229" s="1"/>
  <c r="E231" s="1"/>
  <c r="I221"/>
  <c r="I222"/>
  <c r="H245"/>
  <c r="G246"/>
  <c r="J122"/>
  <c r="I58"/>
  <c r="I215" s="1"/>
  <c r="I226" s="1"/>
  <c r="H70"/>
  <c r="H75" s="1"/>
  <c r="H79" s="1"/>
  <c r="J55"/>
  <c r="J213" s="1"/>
  <c r="D9" i="12"/>
  <c r="E9" s="1"/>
  <c r="H8"/>
  <c r="D8"/>
  <c r="D10" s="1"/>
  <c r="H5"/>
  <c r="H6" s="1"/>
  <c r="E5"/>
  <c r="D4"/>
  <c r="D6" s="1"/>
  <c r="E216" i="9" l="1"/>
  <c r="I245"/>
  <c r="H246"/>
  <c r="J221"/>
  <c r="J222"/>
  <c r="I223"/>
  <c r="F227" s="1"/>
  <c r="F229" s="1"/>
  <c r="F231" s="1"/>
  <c r="K122"/>
  <c r="K55"/>
  <c r="K213" s="1"/>
  <c r="J58"/>
  <c r="J215" s="1"/>
  <c r="J226" s="1"/>
  <c r="I70"/>
  <c r="I75" s="1"/>
  <c r="I79" s="1"/>
  <c r="E4" i="12"/>
  <c r="H9"/>
  <c r="H10" s="1"/>
  <c r="E8"/>
  <c r="E10" s="1"/>
  <c r="E11" s="1"/>
  <c r="D7"/>
  <c r="E6"/>
  <c r="E7" s="1"/>
  <c r="H7"/>
  <c r="D11"/>
  <c r="F216" i="9" l="1"/>
  <c r="J223"/>
  <c r="G227" s="1"/>
  <c r="G229" s="1"/>
  <c r="G231" s="1"/>
  <c r="K221"/>
  <c r="K222"/>
  <c r="J245"/>
  <c r="I246"/>
  <c r="L122"/>
  <c r="L55"/>
  <c r="L213" s="1"/>
  <c r="K58"/>
  <c r="K215" s="1"/>
  <c r="K226" s="1"/>
  <c r="J70"/>
  <c r="J75" s="1"/>
  <c r="J79" s="1"/>
  <c r="H11" i="12"/>
  <c r="H14" s="1"/>
  <c r="E12"/>
  <c r="E14" s="1"/>
  <c r="D12"/>
  <c r="G216" i="9" l="1"/>
  <c r="K245"/>
  <c r="J246"/>
  <c r="L221"/>
  <c r="L222"/>
  <c r="K223"/>
  <c r="H227" s="1"/>
  <c r="H229" s="1"/>
  <c r="H231" s="1"/>
  <c r="M122"/>
  <c r="L58"/>
  <c r="L215" s="1"/>
  <c r="L226" s="1"/>
  <c r="K70"/>
  <c r="K75" s="1"/>
  <c r="K79" s="1"/>
  <c r="M55"/>
  <c r="M213" s="1"/>
  <c r="D15" i="12"/>
  <c r="D72" i="1"/>
  <c r="D56"/>
  <c r="B249" i="9" s="1"/>
  <c r="H216" l="1"/>
  <c r="C249"/>
  <c r="B253"/>
  <c r="L223"/>
  <c r="I227" s="1"/>
  <c r="I229" s="1"/>
  <c r="I231" s="1"/>
  <c r="M221"/>
  <c r="M222"/>
  <c r="L245"/>
  <c r="K246"/>
  <c r="B107"/>
  <c r="D107"/>
  <c r="F107"/>
  <c r="H107"/>
  <c r="J107"/>
  <c r="L107"/>
  <c r="N107"/>
  <c r="P107"/>
  <c r="R107"/>
  <c r="T107"/>
  <c r="V107"/>
  <c r="X107"/>
  <c r="Z107"/>
  <c r="C107"/>
  <c r="E107"/>
  <c r="G107"/>
  <c r="I107"/>
  <c r="K107"/>
  <c r="M107"/>
  <c r="O107"/>
  <c r="Q107"/>
  <c r="S107"/>
  <c r="U107"/>
  <c r="W107"/>
  <c r="Y107"/>
  <c r="N122"/>
  <c r="N55"/>
  <c r="N213" s="1"/>
  <c r="M58"/>
  <c r="M215" s="1"/>
  <c r="M226" s="1"/>
  <c r="L70"/>
  <c r="L75" s="1"/>
  <c r="L79" s="1"/>
  <c r="D63" i="1"/>
  <c r="B250" i="9" s="1"/>
  <c r="C250" s="1"/>
  <c r="D250" s="1"/>
  <c r="E250" s="1"/>
  <c r="F250" s="1"/>
  <c r="G250" s="1"/>
  <c r="H250" s="1"/>
  <c r="I250" s="1"/>
  <c r="J250" s="1"/>
  <c r="K250" s="1"/>
  <c r="L250" s="1"/>
  <c r="M250" s="1"/>
  <c r="I216" l="1"/>
  <c r="D249"/>
  <c r="C253"/>
  <c r="B254"/>
  <c r="B232" s="1"/>
  <c r="B233" s="1"/>
  <c r="B257"/>
  <c r="B258" s="1"/>
  <c r="N250"/>
  <c r="M245"/>
  <c r="L246"/>
  <c r="N221"/>
  <c r="N222"/>
  <c r="M223"/>
  <c r="J227" s="1"/>
  <c r="J229" s="1"/>
  <c r="J231" s="1"/>
  <c r="O122"/>
  <c r="N58"/>
  <c r="N215" s="1"/>
  <c r="N226" s="1"/>
  <c r="M70"/>
  <c r="M75" s="1"/>
  <c r="M79" s="1"/>
  <c r="O55"/>
  <c r="O213" s="1"/>
  <c r="J216" l="1"/>
  <c r="E249"/>
  <c r="D253"/>
  <c r="B261"/>
  <c r="B262" s="1"/>
  <c r="B234" s="1"/>
  <c r="C257"/>
  <c r="C258" s="1"/>
  <c r="C254"/>
  <c r="C232" s="1"/>
  <c r="C233" s="1"/>
  <c r="C261"/>
  <c r="C262" s="1"/>
  <c r="N223"/>
  <c r="K227" s="1"/>
  <c r="K229" s="1"/>
  <c r="K231" s="1"/>
  <c r="O221"/>
  <c r="O222"/>
  <c r="M246"/>
  <c r="N245"/>
  <c r="O250"/>
  <c r="P122"/>
  <c r="P55"/>
  <c r="P213" s="1"/>
  <c r="O58"/>
  <c r="O215" s="1"/>
  <c r="O226" s="1"/>
  <c r="N70"/>
  <c r="N75" s="1"/>
  <c r="N79" s="1"/>
  <c r="A36" i="1"/>
  <c r="E5" i="9"/>
  <c r="K216" l="1"/>
  <c r="C234"/>
  <c r="F249"/>
  <c r="E253"/>
  <c r="D254"/>
  <c r="D232" s="1"/>
  <c r="D233" s="1"/>
  <c r="D257"/>
  <c r="D258" s="1"/>
  <c r="P250"/>
  <c r="O245"/>
  <c r="N246"/>
  <c r="P221"/>
  <c r="P222"/>
  <c r="O223"/>
  <c r="L227" s="1"/>
  <c r="L229" s="1"/>
  <c r="L231" s="1"/>
  <c r="Q122"/>
  <c r="P58"/>
  <c r="P215" s="1"/>
  <c r="P226" s="1"/>
  <c r="O70"/>
  <c r="O75" s="1"/>
  <c r="O79" s="1"/>
  <c r="Q55"/>
  <c r="Q213" s="1"/>
  <c r="D6" i="1"/>
  <c r="B101" i="9" l="1"/>
  <c r="C101"/>
  <c r="D101"/>
  <c r="E101"/>
  <c r="F101"/>
  <c r="G101"/>
  <c r="H101"/>
  <c r="I101"/>
  <c r="J101"/>
  <c r="J128" s="1"/>
  <c r="L216"/>
  <c r="K101"/>
  <c r="D261"/>
  <c r="D262" s="1"/>
  <c r="G249"/>
  <c r="F253"/>
  <c r="E257"/>
  <c r="E258" s="1"/>
  <c r="E254"/>
  <c r="E232" s="1"/>
  <c r="E233" s="1"/>
  <c r="E261"/>
  <c r="E262" s="1"/>
  <c r="D234"/>
  <c r="P223"/>
  <c r="M227" s="1"/>
  <c r="M229" s="1"/>
  <c r="M231" s="1"/>
  <c r="Q221"/>
  <c r="Q222"/>
  <c r="P245"/>
  <c r="O246"/>
  <c r="Q250"/>
  <c r="R122"/>
  <c r="R55"/>
  <c r="R213" s="1"/>
  <c r="Q58"/>
  <c r="Q215" s="1"/>
  <c r="Q226" s="1"/>
  <c r="P70"/>
  <c r="P75" s="1"/>
  <c r="P79" s="1"/>
  <c r="J130" l="1"/>
  <c r="H130"/>
  <c r="H128"/>
  <c r="F130"/>
  <c r="F128"/>
  <c r="D130"/>
  <c r="D128"/>
  <c r="B130"/>
  <c r="B128"/>
  <c r="I130"/>
  <c r="I128"/>
  <c r="G130"/>
  <c r="G128"/>
  <c r="E130"/>
  <c r="E128"/>
  <c r="C130"/>
  <c r="C128"/>
  <c r="M216"/>
  <c r="L101"/>
  <c r="K128"/>
  <c r="K130"/>
  <c r="H249"/>
  <c r="G253"/>
  <c r="E234"/>
  <c r="F257"/>
  <c r="F258" s="1"/>
  <c r="F254"/>
  <c r="F232" s="1"/>
  <c r="F233" s="1"/>
  <c r="Q245"/>
  <c r="P246"/>
  <c r="R250"/>
  <c r="R221"/>
  <c r="R222"/>
  <c r="Q223"/>
  <c r="N227" s="1"/>
  <c r="N229" s="1"/>
  <c r="N231" s="1"/>
  <c r="S122"/>
  <c r="R58"/>
  <c r="R215" s="1"/>
  <c r="R226" s="1"/>
  <c r="Q70"/>
  <c r="Q75" s="1"/>
  <c r="Q79" s="1"/>
  <c r="S55"/>
  <c r="S213" s="1"/>
  <c r="D31" i="1"/>
  <c r="F261" i="9" l="1"/>
  <c r="F262" s="1"/>
  <c r="F234" s="1"/>
  <c r="N216"/>
  <c r="M101"/>
  <c r="L128"/>
  <c r="L130"/>
  <c r="I249"/>
  <c r="H253"/>
  <c r="G257"/>
  <c r="G258" s="1"/>
  <c r="G254"/>
  <c r="G232" s="1"/>
  <c r="G233" s="1"/>
  <c r="R223"/>
  <c r="O227" s="1"/>
  <c r="O229" s="1"/>
  <c r="O231" s="1"/>
  <c r="S221"/>
  <c r="S222"/>
  <c r="S250"/>
  <c r="R245"/>
  <c r="Q246"/>
  <c r="T122"/>
  <c r="T55"/>
  <c r="T213" s="1"/>
  <c r="S58"/>
  <c r="S215" s="1"/>
  <c r="S226" s="1"/>
  <c r="R70"/>
  <c r="R75" s="1"/>
  <c r="R79" s="1"/>
  <c r="F5"/>
  <c r="O216" l="1"/>
  <c r="N101"/>
  <c r="M128"/>
  <c r="M130"/>
  <c r="J249"/>
  <c r="I253"/>
  <c r="G261"/>
  <c r="G262" s="1"/>
  <c r="G234" s="1"/>
  <c r="H257"/>
  <c r="H258" s="1"/>
  <c r="H254"/>
  <c r="H232" s="1"/>
  <c r="H233" s="1"/>
  <c r="S245"/>
  <c r="R246"/>
  <c r="T250"/>
  <c r="T221"/>
  <c r="T222"/>
  <c r="S223"/>
  <c r="P227" s="1"/>
  <c r="P229" s="1"/>
  <c r="P231" s="1"/>
  <c r="U122"/>
  <c r="T58"/>
  <c r="T215" s="1"/>
  <c r="T226" s="1"/>
  <c r="S70"/>
  <c r="S75" s="1"/>
  <c r="S79" s="1"/>
  <c r="U55"/>
  <c r="U213" s="1"/>
  <c r="G5"/>
  <c r="E6"/>
  <c r="H261" l="1"/>
  <c r="H262" s="1"/>
  <c r="H234" s="1"/>
  <c r="P216"/>
  <c r="O101"/>
  <c r="N128"/>
  <c r="N130"/>
  <c r="K249"/>
  <c r="J253"/>
  <c r="I254"/>
  <c r="I232" s="1"/>
  <c r="I233" s="1"/>
  <c r="I257"/>
  <c r="I258" s="1"/>
  <c r="T223"/>
  <c r="Q227" s="1"/>
  <c r="Q229" s="1"/>
  <c r="Q231" s="1"/>
  <c r="U221"/>
  <c r="U222"/>
  <c r="U250"/>
  <c r="T245"/>
  <c r="S246"/>
  <c r="B93"/>
  <c r="B136" s="1"/>
  <c r="V122"/>
  <c r="V55"/>
  <c r="V213" s="1"/>
  <c r="U58"/>
  <c r="U215" s="1"/>
  <c r="U226" s="1"/>
  <c r="T70"/>
  <c r="T75" s="1"/>
  <c r="T79" s="1"/>
  <c r="H5"/>
  <c r="F6"/>
  <c r="Q216" l="1"/>
  <c r="P101"/>
  <c r="O128"/>
  <c r="O130"/>
  <c r="I261"/>
  <c r="I262" s="1"/>
  <c r="I234" s="1"/>
  <c r="L249"/>
  <c r="K253"/>
  <c r="J257"/>
  <c r="J258" s="1"/>
  <c r="J254"/>
  <c r="J232" s="1"/>
  <c r="J233" s="1"/>
  <c r="U245"/>
  <c r="T246"/>
  <c r="V250"/>
  <c r="V221"/>
  <c r="V222"/>
  <c r="U223"/>
  <c r="R227" s="1"/>
  <c r="R229" s="1"/>
  <c r="R231" s="1"/>
  <c r="B158"/>
  <c r="B169"/>
  <c r="W122"/>
  <c r="C93"/>
  <c r="C136" s="1"/>
  <c r="V58"/>
  <c r="V215" s="1"/>
  <c r="V226" s="1"/>
  <c r="U70"/>
  <c r="U75" s="1"/>
  <c r="U79" s="1"/>
  <c r="W55"/>
  <c r="W213" s="1"/>
  <c r="I5"/>
  <c r="G6"/>
  <c r="J261" l="1"/>
  <c r="J262" s="1"/>
  <c r="J234" s="1"/>
  <c r="R216"/>
  <c r="Q101"/>
  <c r="P128"/>
  <c r="P130"/>
  <c r="M249"/>
  <c r="L253"/>
  <c r="K257"/>
  <c r="K258" s="1"/>
  <c r="K254"/>
  <c r="K232" s="1"/>
  <c r="K233" s="1"/>
  <c r="V223"/>
  <c r="S227" s="1"/>
  <c r="S229" s="1"/>
  <c r="S231" s="1"/>
  <c r="W221"/>
  <c r="W222"/>
  <c r="W250"/>
  <c r="V245"/>
  <c r="U246"/>
  <c r="C158"/>
  <c r="C169"/>
  <c r="X122"/>
  <c r="D93"/>
  <c r="D136" s="1"/>
  <c r="X55"/>
  <c r="X213" s="1"/>
  <c r="W58"/>
  <c r="W215" s="1"/>
  <c r="W226" s="1"/>
  <c r="V70"/>
  <c r="V75" s="1"/>
  <c r="V79" s="1"/>
  <c r="J5"/>
  <c r="H6"/>
  <c r="K261" l="1"/>
  <c r="K262" s="1"/>
  <c r="K234" s="1"/>
  <c r="S216"/>
  <c r="R101"/>
  <c r="Q128"/>
  <c r="Q130"/>
  <c r="N249"/>
  <c r="M253"/>
  <c r="L254"/>
  <c r="L232" s="1"/>
  <c r="L233" s="1"/>
  <c r="L257"/>
  <c r="L258" s="1"/>
  <c r="W245"/>
  <c r="V246"/>
  <c r="X250"/>
  <c r="X221"/>
  <c r="X222"/>
  <c r="W223"/>
  <c r="T227" s="1"/>
  <c r="T229" s="1"/>
  <c r="T231" s="1"/>
  <c r="D158"/>
  <c r="D169"/>
  <c r="Y122"/>
  <c r="E93"/>
  <c r="E136" s="1"/>
  <c r="X58"/>
  <c r="X215" s="1"/>
  <c r="X226" s="1"/>
  <c r="W70"/>
  <c r="W75" s="1"/>
  <c r="W79" s="1"/>
  <c r="Y55"/>
  <c r="Y213" s="1"/>
  <c r="K5"/>
  <c r="I6"/>
  <c r="T216" l="1"/>
  <c r="S101"/>
  <c r="R128"/>
  <c r="R130"/>
  <c r="O249"/>
  <c r="N253"/>
  <c r="L261"/>
  <c r="L262" s="1"/>
  <c r="L234" s="1"/>
  <c r="M254"/>
  <c r="M232" s="1"/>
  <c r="M233" s="1"/>
  <c r="M257"/>
  <c r="M258" s="1"/>
  <c r="X223"/>
  <c r="U227" s="1"/>
  <c r="U229" s="1"/>
  <c r="U231" s="1"/>
  <c r="Y221"/>
  <c r="Y222"/>
  <c r="Y250"/>
  <c r="X245"/>
  <c r="W246"/>
  <c r="E158"/>
  <c r="E169"/>
  <c r="F93"/>
  <c r="F136" s="1"/>
  <c r="Z122"/>
  <c r="Z55"/>
  <c r="Y58"/>
  <c r="Y215" s="1"/>
  <c r="Y226" s="1"/>
  <c r="X70"/>
  <c r="X75" s="1"/>
  <c r="X79" s="1"/>
  <c r="L5"/>
  <c r="J6"/>
  <c r="U216" l="1"/>
  <c r="T101"/>
  <c r="S128"/>
  <c r="S130"/>
  <c r="M261"/>
  <c r="M262" s="1"/>
  <c r="M234" s="1"/>
  <c r="P249"/>
  <c r="O253"/>
  <c r="N257"/>
  <c r="N258" s="1"/>
  <c r="N254"/>
  <c r="N232" s="1"/>
  <c r="N233" s="1"/>
  <c r="Y245"/>
  <c r="X246"/>
  <c r="Z250"/>
  <c r="Z213"/>
  <c r="Z221"/>
  <c r="Z222"/>
  <c r="Y223"/>
  <c r="V227" s="1"/>
  <c r="V229" s="1"/>
  <c r="V231" s="1"/>
  <c r="F158"/>
  <c r="F169"/>
  <c r="G93"/>
  <c r="G136" s="1"/>
  <c r="Z58"/>
  <c r="Y70"/>
  <c r="Y75" s="1"/>
  <c r="Y79" s="1"/>
  <c r="M5"/>
  <c r="K6"/>
  <c r="N261" l="1"/>
  <c r="N262" s="1"/>
  <c r="N234" s="1"/>
  <c r="V216"/>
  <c r="U101"/>
  <c r="T128"/>
  <c r="T130"/>
  <c r="Q249"/>
  <c r="P253"/>
  <c r="O257"/>
  <c r="O258" s="1"/>
  <c r="O254"/>
  <c r="O232" s="1"/>
  <c r="O233" s="1"/>
  <c r="Z70"/>
  <c r="Z75" s="1"/>
  <c r="Z79" s="1"/>
  <c r="Z215"/>
  <c r="Z226" s="1"/>
  <c r="Z223"/>
  <c r="W227" s="1"/>
  <c r="W229" s="1"/>
  <c r="W231" s="1"/>
  <c r="AA221"/>
  <c r="AA222"/>
  <c r="Y246"/>
  <c r="Z245"/>
  <c r="G158"/>
  <c r="G169"/>
  <c r="H93"/>
  <c r="H136" s="1"/>
  <c r="N5"/>
  <c r="L6"/>
  <c r="O261" l="1"/>
  <c r="O262" s="1"/>
  <c r="O234" s="1"/>
  <c r="W216"/>
  <c r="V101"/>
  <c r="U128"/>
  <c r="U130"/>
  <c r="R249"/>
  <c r="Q253"/>
  <c r="P254"/>
  <c r="P232" s="1"/>
  <c r="P233" s="1"/>
  <c r="P257"/>
  <c r="P258" s="1"/>
  <c r="Z246"/>
  <c r="AB221"/>
  <c r="AB222"/>
  <c r="AA223"/>
  <c r="X227" s="1"/>
  <c r="X229" s="1"/>
  <c r="X231" s="1"/>
  <c r="H158"/>
  <c r="H169"/>
  <c r="I93"/>
  <c r="I136" s="1"/>
  <c r="O5"/>
  <c r="M6"/>
  <c r="X216" l="1"/>
  <c r="W101"/>
  <c r="V128"/>
  <c r="V130"/>
  <c r="S249"/>
  <c r="R253"/>
  <c r="P261"/>
  <c r="P262" s="1"/>
  <c r="P234" s="1"/>
  <c r="Q254"/>
  <c r="Q232" s="1"/>
  <c r="Q233" s="1"/>
  <c r="Q257"/>
  <c r="Q258" s="1"/>
  <c r="AB223"/>
  <c r="Y227" s="1"/>
  <c r="Y229" s="1"/>
  <c r="Y231" s="1"/>
  <c r="AC221"/>
  <c r="AC222"/>
  <c r="I158"/>
  <c r="I169"/>
  <c r="J93"/>
  <c r="J136" s="1"/>
  <c r="P5"/>
  <c r="N6"/>
  <c r="Y216" l="1"/>
  <c r="X101"/>
  <c r="W128"/>
  <c r="W130"/>
  <c r="T249"/>
  <c r="S253"/>
  <c r="Q261"/>
  <c r="Q262" s="1"/>
  <c r="Q234" s="1"/>
  <c r="R254"/>
  <c r="R232" s="1"/>
  <c r="R233" s="1"/>
  <c r="R257"/>
  <c r="R258" s="1"/>
  <c r="AD221"/>
  <c r="AD222"/>
  <c r="AC223"/>
  <c r="Z227" s="1"/>
  <c r="Z229" s="1"/>
  <c r="Z231" s="1"/>
  <c r="J158"/>
  <c r="J169"/>
  <c r="K93"/>
  <c r="K136" s="1"/>
  <c r="Q5"/>
  <c r="O6"/>
  <c r="R261" l="1"/>
  <c r="R262" s="1"/>
  <c r="R234" s="1"/>
  <c r="AD223"/>
  <c r="Z216"/>
  <c r="Z101" s="1"/>
  <c r="Y101"/>
  <c r="X128"/>
  <c r="X130"/>
  <c r="U249"/>
  <c r="T253"/>
  <c r="S257"/>
  <c r="S258" s="1"/>
  <c r="S254"/>
  <c r="S232" s="1"/>
  <c r="S233" s="1"/>
  <c r="K158"/>
  <c r="K169"/>
  <c r="L93"/>
  <c r="L136" s="1"/>
  <c r="R5"/>
  <c r="P6"/>
  <c r="Z128" l="1"/>
  <c r="Z130"/>
  <c r="Y128"/>
  <c r="Y130"/>
  <c r="S261"/>
  <c r="S262" s="1"/>
  <c r="S234" s="1"/>
  <c r="V249"/>
  <c r="U253"/>
  <c r="T257"/>
  <c r="T258" s="1"/>
  <c r="T254"/>
  <c r="T232" s="1"/>
  <c r="T233" s="1"/>
  <c r="L158"/>
  <c r="L169"/>
  <c r="M93"/>
  <c r="M136" s="1"/>
  <c r="S5"/>
  <c r="Q6"/>
  <c r="T261" l="1"/>
  <c r="T262" s="1"/>
  <c r="T234" s="1"/>
  <c r="W249"/>
  <c r="V253"/>
  <c r="U257"/>
  <c r="U258" s="1"/>
  <c r="U254"/>
  <c r="U232" s="1"/>
  <c r="U233" s="1"/>
  <c r="M158"/>
  <c r="M169"/>
  <c r="N93"/>
  <c r="N136" s="1"/>
  <c r="T5"/>
  <c r="R6"/>
  <c r="U261" l="1"/>
  <c r="U262" s="1"/>
  <c r="U234" s="1"/>
  <c r="X249"/>
  <c r="W253"/>
  <c r="V254"/>
  <c r="V232" s="1"/>
  <c r="V233" s="1"/>
  <c r="V257"/>
  <c r="V258" s="1"/>
  <c r="N158"/>
  <c r="N169"/>
  <c r="O93"/>
  <c r="O136" s="1"/>
  <c r="U5"/>
  <c r="S6"/>
  <c r="Y249" l="1"/>
  <c r="X253"/>
  <c r="V261"/>
  <c r="V262" s="1"/>
  <c r="V234" s="1"/>
  <c r="W254"/>
  <c r="W232" s="1"/>
  <c r="W233" s="1"/>
  <c r="W257"/>
  <c r="W258" s="1"/>
  <c r="O158"/>
  <c r="O169"/>
  <c r="P93"/>
  <c r="P136" s="1"/>
  <c r="V5"/>
  <c r="T6"/>
  <c r="Z249" l="1"/>
  <c r="Z253" s="1"/>
  <c r="Y253"/>
  <c r="W261"/>
  <c r="W262" s="1"/>
  <c r="W234" s="1"/>
  <c r="X257"/>
  <c r="X258" s="1"/>
  <c r="X254"/>
  <c r="X232" s="1"/>
  <c r="X233" s="1"/>
  <c r="P158"/>
  <c r="P169"/>
  <c r="Q93"/>
  <c r="Q136" s="1"/>
  <c r="W5"/>
  <c r="U6"/>
  <c r="X261" l="1"/>
  <c r="X262" s="1"/>
  <c r="X234" s="1"/>
  <c r="Z257"/>
  <c r="Z258" s="1"/>
  <c r="Z254"/>
  <c r="Z232" s="1"/>
  <c r="Z233" s="1"/>
  <c r="Y257"/>
  <c r="Y258" s="1"/>
  <c r="Y254"/>
  <c r="Y232" s="1"/>
  <c r="Y233" s="1"/>
  <c r="Q158"/>
  <c r="Q169"/>
  <c r="R93"/>
  <c r="R136" s="1"/>
  <c r="X5"/>
  <c r="V6"/>
  <c r="Y261" l="1"/>
  <c r="Y262" s="1"/>
  <c r="Z261"/>
  <c r="Z262" s="1"/>
  <c r="Z234" s="1"/>
  <c r="Y234"/>
  <c r="R158"/>
  <c r="R169"/>
  <c r="S93"/>
  <c r="S136" s="1"/>
  <c r="Y5"/>
  <c r="W6"/>
  <c r="S158" l="1"/>
  <c r="S169"/>
  <c r="T93"/>
  <c r="T136" s="1"/>
  <c r="Z5"/>
  <c r="X6"/>
  <c r="T158" l="1"/>
  <c r="T169"/>
  <c r="U93"/>
  <c r="U136" s="1"/>
  <c r="AA5"/>
  <c r="Y6"/>
  <c r="U158" l="1"/>
  <c r="U169"/>
  <c r="V93"/>
  <c r="V136" s="1"/>
  <c r="AB5"/>
  <c r="Z6"/>
  <c r="V158" l="1"/>
  <c r="V169"/>
  <c r="W93"/>
  <c r="W136" s="1"/>
  <c r="AC5"/>
  <c r="AA6"/>
  <c r="W158" l="1"/>
  <c r="W169"/>
  <c r="X93"/>
  <c r="X136" s="1"/>
  <c r="AB6"/>
  <c r="X158" l="1"/>
  <c r="X169"/>
  <c r="Y93"/>
  <c r="Y136" s="1"/>
  <c r="AC6"/>
  <c r="Y158" l="1"/>
  <c r="Y169"/>
  <c r="Z93"/>
  <c r="Z136" s="1"/>
  <c r="Z158" l="1"/>
  <c r="Z169"/>
  <c r="F7"/>
  <c r="J7"/>
  <c r="N7"/>
  <c r="R7"/>
  <c r="M7"/>
  <c r="U7"/>
  <c r="AC7"/>
  <c r="V7"/>
  <c r="Z7"/>
  <c r="G7"/>
  <c r="W7"/>
  <c r="S7"/>
  <c r="H7"/>
  <c r="L7"/>
  <c r="P7"/>
  <c r="I7"/>
  <c r="Q7"/>
  <c r="Y7"/>
  <c r="T7"/>
  <c r="X7"/>
  <c r="AB7"/>
  <c r="O7"/>
  <c r="K7"/>
  <c r="AA7"/>
  <c r="F8" l="1"/>
  <c r="H19"/>
  <c r="H37" s="1"/>
  <c r="P19"/>
  <c r="P37" s="1"/>
  <c r="Q19"/>
  <c r="Q37" s="1"/>
  <c r="T19"/>
  <c r="T37" s="1"/>
  <c r="AB19"/>
  <c r="AB37" s="1"/>
  <c r="K19"/>
  <c r="K37" s="1"/>
  <c r="F19"/>
  <c r="F37" s="1"/>
  <c r="N19"/>
  <c r="N37" s="1"/>
  <c r="M19"/>
  <c r="M37" s="1"/>
  <c r="AC19"/>
  <c r="AC37" s="1"/>
  <c r="Z19"/>
  <c r="Z37" s="1"/>
  <c r="W19"/>
  <c r="W37" s="1"/>
  <c r="L19"/>
  <c r="L37" s="1"/>
  <c r="I19"/>
  <c r="I37" s="1"/>
  <c r="Y19"/>
  <c r="Y37" s="1"/>
  <c r="X19"/>
  <c r="X37" s="1"/>
  <c r="O19"/>
  <c r="O37" s="1"/>
  <c r="AA19"/>
  <c r="AA37" s="1"/>
  <c r="J19"/>
  <c r="J37" s="1"/>
  <c r="R19"/>
  <c r="R37" s="1"/>
  <c r="U19"/>
  <c r="U37" s="1"/>
  <c r="V19"/>
  <c r="V37" s="1"/>
  <c r="G19"/>
  <c r="G37" s="1"/>
  <c r="S19"/>
  <c r="S37" s="1"/>
  <c r="S39" l="1"/>
  <c r="U39"/>
  <c r="Y39"/>
  <c r="G39"/>
  <c r="V39"/>
  <c r="R39"/>
  <c r="J39"/>
  <c r="AA39"/>
  <c r="O39"/>
  <c r="X39"/>
  <c r="I39"/>
  <c r="L39"/>
  <c r="W39"/>
  <c r="Z39"/>
  <c r="AC39"/>
  <c r="M39"/>
  <c r="N39"/>
  <c r="F39"/>
  <c r="K39"/>
  <c r="AB39"/>
  <c r="T39"/>
  <c r="Q39"/>
  <c r="P39"/>
  <c r="H39"/>
  <c r="H8" l="1"/>
  <c r="I8" l="1"/>
  <c r="G8"/>
  <c r="C129" l="1"/>
  <c r="C95"/>
  <c r="C96" s="1"/>
  <c r="C123" s="1"/>
  <c r="F20"/>
  <c r="F38"/>
  <c r="J8"/>
  <c r="D95" l="1"/>
  <c r="D96" s="1"/>
  <c r="D123" s="1"/>
  <c r="D129"/>
  <c r="F21"/>
  <c r="G20"/>
  <c r="G38"/>
  <c r="K8"/>
  <c r="L8"/>
  <c r="E129" l="1"/>
  <c r="E95"/>
  <c r="E96" s="1"/>
  <c r="E123" s="1"/>
  <c r="G21"/>
  <c r="H20"/>
  <c r="H38"/>
  <c r="F95" l="1"/>
  <c r="F96" s="1"/>
  <c r="F123" s="1"/>
  <c r="F129"/>
  <c r="H21"/>
  <c r="I20"/>
  <c r="I38"/>
  <c r="M8"/>
  <c r="N8"/>
  <c r="G129" l="1"/>
  <c r="G95"/>
  <c r="G96" s="1"/>
  <c r="G123" s="1"/>
  <c r="I21"/>
  <c r="J20"/>
  <c r="J21" s="1"/>
  <c r="J38"/>
  <c r="O8"/>
  <c r="H95" l="1"/>
  <c r="H96" s="1"/>
  <c r="H123" s="1"/>
  <c r="H129"/>
  <c r="K20"/>
  <c r="K38"/>
  <c r="P8"/>
  <c r="I129" l="1"/>
  <c r="I95"/>
  <c r="I96" s="1"/>
  <c r="I123" s="1"/>
  <c r="K21"/>
  <c r="L20"/>
  <c r="L38"/>
  <c r="Q8"/>
  <c r="J95" l="1"/>
  <c r="J96" s="1"/>
  <c r="J123" s="1"/>
  <c r="J129"/>
  <c r="L21"/>
  <c r="M20"/>
  <c r="R8"/>
  <c r="M38"/>
  <c r="K129" l="1"/>
  <c r="K95"/>
  <c r="K96" s="1"/>
  <c r="K123" s="1"/>
  <c r="M21"/>
  <c r="N20"/>
  <c r="N38"/>
  <c r="S8"/>
  <c r="L95" l="1"/>
  <c r="L96" s="1"/>
  <c r="L123" s="1"/>
  <c r="L129"/>
  <c r="N21"/>
  <c r="O20"/>
  <c r="O38"/>
  <c r="T8"/>
  <c r="U8"/>
  <c r="M129" l="1"/>
  <c r="M95"/>
  <c r="M96" s="1"/>
  <c r="M123" s="1"/>
  <c r="R95"/>
  <c r="R96" s="1"/>
  <c r="R123" s="1"/>
  <c r="R129"/>
  <c r="O21"/>
  <c r="P20"/>
  <c r="P38"/>
  <c r="U20"/>
  <c r="U38"/>
  <c r="V8"/>
  <c r="N95" l="1"/>
  <c r="N96" s="1"/>
  <c r="N123" s="1"/>
  <c r="N129"/>
  <c r="S129"/>
  <c r="S95"/>
  <c r="S96" s="1"/>
  <c r="S123" s="1"/>
  <c r="V38"/>
  <c r="Q20"/>
  <c r="Q21" s="1"/>
  <c r="U21"/>
  <c r="P21"/>
  <c r="Q38"/>
  <c r="V20"/>
  <c r="T20" l="1"/>
  <c r="Q129"/>
  <c r="Q95"/>
  <c r="Q96" s="1"/>
  <c r="Q123" s="1"/>
  <c r="O129"/>
  <c r="O95"/>
  <c r="O96" s="1"/>
  <c r="O123" s="1"/>
  <c r="W20"/>
  <c r="W21" s="1"/>
  <c r="T95"/>
  <c r="T129"/>
  <c r="W38"/>
  <c r="R20"/>
  <c r="R38"/>
  <c r="T38"/>
  <c r="T21"/>
  <c r="V21"/>
  <c r="W8"/>
  <c r="U129" l="1"/>
  <c r="U95"/>
  <c r="T96"/>
  <c r="T123" s="1"/>
  <c r="P95"/>
  <c r="P96" s="1"/>
  <c r="P123" s="1"/>
  <c r="P129"/>
  <c r="R21"/>
  <c r="X20"/>
  <c r="X21" s="1"/>
  <c r="S20"/>
  <c r="S38"/>
  <c r="X38"/>
  <c r="X8"/>
  <c r="Y8"/>
  <c r="V95" l="1"/>
  <c r="V96" s="1"/>
  <c r="V123" s="1"/>
  <c r="V129"/>
  <c r="U96"/>
  <c r="U123" s="1"/>
  <c r="S21"/>
  <c r="Y38"/>
  <c r="Y20"/>
  <c r="Z8"/>
  <c r="W129" l="1"/>
  <c r="W95"/>
  <c r="W96" s="1"/>
  <c r="W123" s="1"/>
  <c r="Z38"/>
  <c r="Z20"/>
  <c r="Y21"/>
  <c r="AA8"/>
  <c r="X95" l="1"/>
  <c r="X96" s="1"/>
  <c r="X123" s="1"/>
  <c r="X129"/>
  <c r="AA20"/>
  <c r="AA38"/>
  <c r="AB8"/>
  <c r="Z21"/>
  <c r="Y129" l="1"/>
  <c r="Y95"/>
  <c r="AB20"/>
  <c r="AB21" s="1"/>
  <c r="AB38"/>
  <c r="AA21"/>
  <c r="Z95" l="1"/>
  <c r="Z129"/>
  <c r="Y96"/>
  <c r="Y123" s="1"/>
  <c r="AC38"/>
  <c r="AC20"/>
  <c r="AC8"/>
  <c r="Z96" l="1"/>
  <c r="Z123" s="1"/>
  <c r="AC21"/>
  <c r="E7" l="1"/>
  <c r="E19" l="1"/>
  <c r="E39" l="1"/>
  <c r="E37"/>
  <c r="B95" l="1"/>
  <c r="B129"/>
  <c r="E20"/>
  <c r="E38"/>
  <c r="E8"/>
  <c r="B96" l="1"/>
  <c r="B123" s="1"/>
  <c r="B124" s="1"/>
  <c r="E21"/>
  <c r="C3" i="6"/>
  <c r="B88" i="1"/>
  <c r="D9" l="1"/>
  <c r="D11" l="1"/>
  <c r="Z103" i="9" l="1"/>
  <c r="B65"/>
  <c r="C207"/>
  <c r="B71"/>
  <c r="AC50"/>
  <c r="C87" i="1"/>
  <c r="C85"/>
  <c r="C86"/>
  <c r="C88"/>
  <c r="D19"/>
  <c r="I187" i="9" l="1"/>
  <c r="M187"/>
  <c r="I188"/>
  <c r="M188"/>
  <c r="I189"/>
  <c r="M189"/>
  <c r="I190"/>
  <c r="M190"/>
  <c r="I191"/>
  <c r="M191"/>
  <c r="I192"/>
  <c r="M192"/>
  <c r="I193"/>
  <c r="M193"/>
  <c r="I194"/>
  <c r="M194"/>
  <c r="I195"/>
  <c r="M195"/>
  <c r="I196"/>
  <c r="M196"/>
  <c r="I197"/>
  <c r="M197"/>
  <c r="K187"/>
  <c r="O187"/>
  <c r="K188"/>
  <c r="O188"/>
  <c r="K189"/>
  <c r="O189"/>
  <c r="K190"/>
  <c r="O190"/>
  <c r="K191"/>
  <c r="O191"/>
  <c r="K192"/>
  <c r="O192"/>
  <c r="K193"/>
  <c r="O193"/>
  <c r="K194"/>
  <c r="O194"/>
  <c r="K195"/>
  <c r="O195"/>
  <c r="K196"/>
  <c r="O196"/>
  <c r="K197"/>
  <c r="O197"/>
  <c r="C208"/>
  <c r="C209"/>
  <c r="B84"/>
  <c r="C71"/>
  <c r="B76"/>
  <c r="B72"/>
  <c r="B66"/>
  <c r="B139" s="1"/>
  <c r="D20" i="1"/>
  <c r="B67" i="9" l="1"/>
  <c r="C65" s="1"/>
  <c r="C66" s="1"/>
  <c r="B77"/>
  <c r="B61" s="1"/>
  <c r="B186"/>
  <c r="H186"/>
  <c r="B60"/>
  <c r="B80"/>
  <c r="B81" s="1"/>
  <c r="B82" s="1"/>
  <c r="B83" s="1"/>
  <c r="C72"/>
  <c r="D71"/>
  <c r="C76"/>
  <c r="C77" s="1"/>
  <c r="C61" s="1"/>
  <c r="C139" l="1"/>
  <c r="C67"/>
  <c r="D65" s="1"/>
  <c r="C187"/>
  <c r="C188" s="1"/>
  <c r="C189" s="1"/>
  <c r="C190" s="1"/>
  <c r="C191" s="1"/>
  <c r="C192" s="1"/>
  <c r="C193" s="1"/>
  <c r="C194" s="1"/>
  <c r="C195" s="1"/>
  <c r="C196" s="1"/>
  <c r="C197" s="1"/>
  <c r="C100"/>
  <c r="C80"/>
  <c r="C81" s="1"/>
  <c r="C82" s="1"/>
  <c r="C83" s="1"/>
  <c r="C60"/>
  <c r="C186"/>
  <c r="D186" s="1"/>
  <c r="B62"/>
  <c r="C62" s="1"/>
  <c r="B100"/>
  <c r="D76"/>
  <c r="D72"/>
  <c r="E71"/>
  <c r="J186"/>
  <c r="L186" s="1"/>
  <c r="N186" s="1"/>
  <c r="P186" s="1"/>
  <c r="H187" s="1"/>
  <c r="D66"/>
  <c r="D139" s="1"/>
  <c r="E27"/>
  <c r="B138" s="1"/>
  <c r="E47" l="1"/>
  <c r="D67"/>
  <c r="E65" s="1"/>
  <c r="Q186"/>
  <c r="E25" s="1"/>
  <c r="E48" s="1"/>
  <c r="B187"/>
  <c r="E186"/>
  <c r="B99" s="1"/>
  <c r="E66"/>
  <c r="E139" s="1"/>
  <c r="E76"/>
  <c r="E72"/>
  <c r="F71"/>
  <c r="D77"/>
  <c r="D61" s="1"/>
  <c r="D100" s="1"/>
  <c r="J187"/>
  <c r="L187" s="1"/>
  <c r="N187" s="1"/>
  <c r="P187" s="1"/>
  <c r="H188" s="1"/>
  <c r="D60"/>
  <c r="D80"/>
  <c r="D81" s="1"/>
  <c r="D82" s="1"/>
  <c r="D83" s="1"/>
  <c r="F27"/>
  <c r="C138" s="1"/>
  <c r="E67" l="1"/>
  <c r="F65" s="1"/>
  <c r="F66" s="1"/>
  <c r="F139" s="1"/>
  <c r="Q187"/>
  <c r="F25" s="1"/>
  <c r="F48" s="1"/>
  <c r="D62"/>
  <c r="J188"/>
  <c r="L188" s="1"/>
  <c r="N188" s="1"/>
  <c r="P188" s="1"/>
  <c r="H189" s="1"/>
  <c r="G71"/>
  <c r="F76"/>
  <c r="F72"/>
  <c r="E77"/>
  <c r="E61" s="1"/>
  <c r="E100" s="1"/>
  <c r="D187"/>
  <c r="B188" s="1"/>
  <c r="E80"/>
  <c r="E81" s="1"/>
  <c r="E82" s="1"/>
  <c r="E83" s="1"/>
  <c r="E60"/>
  <c r="F47"/>
  <c r="E62" l="1"/>
  <c r="Q188"/>
  <c r="G25" s="1"/>
  <c r="G48" s="1"/>
  <c r="F60"/>
  <c r="F80"/>
  <c r="F81" s="1"/>
  <c r="F82" s="1"/>
  <c r="F83" s="1"/>
  <c r="G76"/>
  <c r="H71"/>
  <c r="G72"/>
  <c r="J189"/>
  <c r="L189" s="1"/>
  <c r="N189" s="1"/>
  <c r="P189" s="1"/>
  <c r="H190" s="1"/>
  <c r="F67"/>
  <c r="G65" s="1"/>
  <c r="E187"/>
  <c r="C99" s="1"/>
  <c r="D188"/>
  <c r="B189" s="1"/>
  <c r="F77"/>
  <c r="F61" s="1"/>
  <c r="F100" s="1"/>
  <c r="G27"/>
  <c r="D138" s="1"/>
  <c r="Q189" l="1"/>
  <c r="H25" s="1"/>
  <c r="H48" s="1"/>
  <c r="F62"/>
  <c r="D189"/>
  <c r="B190" s="1"/>
  <c r="G60"/>
  <c r="G80"/>
  <c r="G81" s="1"/>
  <c r="G82" s="1"/>
  <c r="G83" s="1"/>
  <c r="G77"/>
  <c r="G61" s="1"/>
  <c r="G100" s="1"/>
  <c r="G66"/>
  <c r="G139" s="1"/>
  <c r="J190"/>
  <c r="L190" s="1"/>
  <c r="N190" s="1"/>
  <c r="P190" s="1"/>
  <c r="H191" s="1"/>
  <c r="H76"/>
  <c r="I71"/>
  <c r="H72"/>
  <c r="G62"/>
  <c r="E188"/>
  <c r="D99" s="1"/>
  <c r="G47"/>
  <c r="E189" l="1"/>
  <c r="E99" s="1"/>
  <c r="Q190"/>
  <c r="I25" s="1"/>
  <c r="I48" s="1"/>
  <c r="G67"/>
  <c r="H65" s="1"/>
  <c r="H66" s="1"/>
  <c r="H139" s="1"/>
  <c r="H80"/>
  <c r="H81" s="1"/>
  <c r="H82" s="1"/>
  <c r="H60"/>
  <c r="H77"/>
  <c r="H61" s="1"/>
  <c r="H100" s="1"/>
  <c r="J191"/>
  <c r="L191" s="1"/>
  <c r="N191" s="1"/>
  <c r="P191" s="1"/>
  <c r="H192" s="1"/>
  <c r="D190"/>
  <c r="B191" s="1"/>
  <c r="I72"/>
  <c r="J71"/>
  <c r="I76"/>
  <c r="I77" s="1"/>
  <c r="I61" s="1"/>
  <c r="I100" s="1"/>
  <c r="H62"/>
  <c r="H27"/>
  <c r="E138" s="1"/>
  <c r="I62" l="1"/>
  <c r="E190"/>
  <c r="F99" s="1"/>
  <c r="Q191"/>
  <c r="J25" s="1"/>
  <c r="J48" s="1"/>
  <c r="H67"/>
  <c r="I65" s="1"/>
  <c r="I66" s="1"/>
  <c r="I139" s="1"/>
  <c r="I80"/>
  <c r="I81" s="1"/>
  <c r="I82" s="1"/>
  <c r="I83" s="1"/>
  <c r="I60"/>
  <c r="D191"/>
  <c r="B192" s="1"/>
  <c r="J192"/>
  <c r="L192" s="1"/>
  <c r="N192" s="1"/>
  <c r="P192" s="1"/>
  <c r="H193" s="1"/>
  <c r="H83"/>
  <c r="K71"/>
  <c r="J72"/>
  <c r="J76"/>
  <c r="J77" s="1"/>
  <c r="J61" s="1"/>
  <c r="J100" s="1"/>
  <c r="H47"/>
  <c r="I67" l="1"/>
  <c r="J65" s="1"/>
  <c r="J66" s="1"/>
  <c r="J139" s="1"/>
  <c r="E191"/>
  <c r="G99" s="1"/>
  <c r="J80"/>
  <c r="J81" s="1"/>
  <c r="J82" s="1"/>
  <c r="J83" s="1"/>
  <c r="J60"/>
  <c r="J193"/>
  <c r="L193" s="1"/>
  <c r="N193" s="1"/>
  <c r="P193" s="1"/>
  <c r="H194" s="1"/>
  <c r="J62"/>
  <c r="K72"/>
  <c r="L71"/>
  <c r="K76"/>
  <c r="K77" s="1"/>
  <c r="K61" s="1"/>
  <c r="K100" s="1"/>
  <c r="D192"/>
  <c r="B193" s="1"/>
  <c r="Q192"/>
  <c r="K25" s="1"/>
  <c r="K48" s="1"/>
  <c r="I27"/>
  <c r="F138" s="1"/>
  <c r="Q193" l="1"/>
  <c r="L25" s="1"/>
  <c r="L48" s="1"/>
  <c r="E192"/>
  <c r="H99" s="1"/>
  <c r="K80"/>
  <c r="K81" s="1"/>
  <c r="K82" s="1"/>
  <c r="K83" s="1"/>
  <c r="K60"/>
  <c r="D193"/>
  <c r="B194" s="1"/>
  <c r="L76"/>
  <c r="L77" s="1"/>
  <c r="L61" s="1"/>
  <c r="L100" s="1"/>
  <c r="L72"/>
  <c r="M71"/>
  <c r="J194"/>
  <c r="L194" s="1"/>
  <c r="N194" s="1"/>
  <c r="P194" s="1"/>
  <c r="H195" s="1"/>
  <c r="J67"/>
  <c r="K65" s="1"/>
  <c r="K62"/>
  <c r="I47"/>
  <c r="L62" l="1"/>
  <c r="E193"/>
  <c r="I99" s="1"/>
  <c r="Q194"/>
  <c r="M25" s="1"/>
  <c r="M48" s="1"/>
  <c r="K66"/>
  <c r="K139" s="1"/>
  <c r="J195"/>
  <c r="L195" s="1"/>
  <c r="N195" s="1"/>
  <c r="P195" s="1"/>
  <c r="H196" s="1"/>
  <c r="L80"/>
  <c r="L81" s="1"/>
  <c r="L82" s="1"/>
  <c r="L83" s="1"/>
  <c r="L60"/>
  <c r="M76"/>
  <c r="M72"/>
  <c r="N71"/>
  <c r="D194"/>
  <c r="B195" s="1"/>
  <c r="J27"/>
  <c r="G138" s="1"/>
  <c r="E194" l="1"/>
  <c r="J99" s="1"/>
  <c r="Q195"/>
  <c r="N25" s="1"/>
  <c r="N48" s="1"/>
  <c r="K67"/>
  <c r="L65" s="1"/>
  <c r="L66" s="1"/>
  <c r="L139" s="1"/>
  <c r="D195"/>
  <c r="B196" s="1"/>
  <c r="M60"/>
  <c r="M80"/>
  <c r="M81" s="1"/>
  <c r="M82" s="1"/>
  <c r="M83" s="1"/>
  <c r="J196"/>
  <c r="L196" s="1"/>
  <c r="N196" s="1"/>
  <c r="P196" s="1"/>
  <c r="H197" s="1"/>
  <c r="J197" s="1"/>
  <c r="L197" s="1"/>
  <c r="N197" s="1"/>
  <c r="P197" s="1"/>
  <c r="Q197" s="1"/>
  <c r="P25" s="1"/>
  <c r="P48" s="1"/>
  <c r="O71"/>
  <c r="N72"/>
  <c r="M77"/>
  <c r="M61" s="1"/>
  <c r="V76"/>
  <c r="V77" s="1"/>
  <c r="V61" s="1"/>
  <c r="V100" s="1"/>
  <c r="U76"/>
  <c r="U77" s="1"/>
  <c r="U61" s="1"/>
  <c r="U100" s="1"/>
  <c r="Q76"/>
  <c r="Q77" s="1"/>
  <c r="Q61" s="1"/>
  <c r="Q100" s="1"/>
  <c r="R76"/>
  <c r="R77" s="1"/>
  <c r="R61" s="1"/>
  <c r="R100" s="1"/>
  <c r="P76"/>
  <c r="P77" s="1"/>
  <c r="P61" s="1"/>
  <c r="P100" s="1"/>
  <c r="W76"/>
  <c r="W77" s="1"/>
  <c r="W61" s="1"/>
  <c r="W100" s="1"/>
  <c r="X76"/>
  <c r="X77" s="1"/>
  <c r="X61" s="1"/>
  <c r="X100" s="1"/>
  <c r="T76"/>
  <c r="T77" s="1"/>
  <c r="T61" s="1"/>
  <c r="T100" s="1"/>
  <c r="Y76"/>
  <c r="Y77" s="1"/>
  <c r="Y61" s="1"/>
  <c r="Y100" s="1"/>
  <c r="O76"/>
  <c r="O77" s="1"/>
  <c r="O61" s="1"/>
  <c r="O100" s="1"/>
  <c r="N76"/>
  <c r="N77" s="1"/>
  <c r="N61" s="1"/>
  <c r="S76"/>
  <c r="S77" s="1"/>
  <c r="S61" s="1"/>
  <c r="S100" s="1"/>
  <c r="Z76"/>
  <c r="Z77" s="1"/>
  <c r="Z61" s="1"/>
  <c r="Z100" s="1"/>
  <c r="J47"/>
  <c r="L67" l="1"/>
  <c r="M65" s="1"/>
  <c r="M66" s="1"/>
  <c r="M139" s="1"/>
  <c r="Q196"/>
  <c r="O25" s="1"/>
  <c r="O48" s="1"/>
  <c r="C198"/>
  <c r="C199" s="1"/>
  <c r="C200" s="1"/>
  <c r="N100"/>
  <c r="N80"/>
  <c r="N81" s="1"/>
  <c r="N82" s="1"/>
  <c r="N83" s="1"/>
  <c r="N60"/>
  <c r="D196"/>
  <c r="B197" s="1"/>
  <c r="M100"/>
  <c r="M62"/>
  <c r="N62" s="1"/>
  <c r="O62" s="1"/>
  <c r="P62" s="1"/>
  <c r="Q62" s="1"/>
  <c r="R62" s="1"/>
  <c r="S62" s="1"/>
  <c r="T62" s="1"/>
  <c r="U62" s="1"/>
  <c r="V62" s="1"/>
  <c r="W62" s="1"/>
  <c r="X62" s="1"/>
  <c r="Y62" s="1"/>
  <c r="Z62" s="1"/>
  <c r="O72"/>
  <c r="P71"/>
  <c r="E195"/>
  <c r="K99" s="1"/>
  <c r="K27"/>
  <c r="H138" s="1"/>
  <c r="M67" l="1"/>
  <c r="N65" s="1"/>
  <c r="E196"/>
  <c r="L99" s="1"/>
  <c r="N66"/>
  <c r="N139" s="1"/>
  <c r="Q71"/>
  <c r="P72"/>
  <c r="O60"/>
  <c r="O80"/>
  <c r="O81" s="1"/>
  <c r="O82" s="1"/>
  <c r="O83" s="1"/>
  <c r="D197"/>
  <c r="B198" s="1"/>
  <c r="K47"/>
  <c r="N67" l="1"/>
  <c r="O65" s="1"/>
  <c r="R71"/>
  <c r="Q72"/>
  <c r="E197"/>
  <c r="M99" s="1"/>
  <c r="D198"/>
  <c r="B199" s="1"/>
  <c r="P80"/>
  <c r="P81" s="1"/>
  <c r="P82" s="1"/>
  <c r="P83" s="1"/>
  <c r="P60"/>
  <c r="O66"/>
  <c r="O139" s="1"/>
  <c r="L27"/>
  <c r="I138" s="1"/>
  <c r="O67" l="1"/>
  <c r="P65" s="1"/>
  <c r="P66" s="1"/>
  <c r="P139" s="1"/>
  <c r="D199"/>
  <c r="B200" s="1"/>
  <c r="S71"/>
  <c r="R72"/>
  <c r="E198"/>
  <c r="N99" s="1"/>
  <c r="Q60"/>
  <c r="Q80"/>
  <c r="Q81" s="1"/>
  <c r="Q82" s="1"/>
  <c r="Q83" s="1"/>
  <c r="L47"/>
  <c r="E199" l="1"/>
  <c r="O99" s="1"/>
  <c r="P67"/>
  <c r="Q65" s="1"/>
  <c r="Q66" s="1"/>
  <c r="Q139" s="1"/>
  <c r="T71"/>
  <c r="S72"/>
  <c r="D200"/>
  <c r="B201" s="1"/>
  <c r="R60"/>
  <c r="R80"/>
  <c r="R81" s="1"/>
  <c r="R82" s="1"/>
  <c r="R83" s="1"/>
  <c r="M27"/>
  <c r="J138" s="1"/>
  <c r="E200" l="1"/>
  <c r="P99" s="1"/>
  <c r="C201"/>
  <c r="D201" s="1"/>
  <c r="B202" s="1"/>
  <c r="U71"/>
  <c r="T72"/>
  <c r="Q67"/>
  <c r="R65" s="1"/>
  <c r="S60"/>
  <c r="S80"/>
  <c r="S81" s="1"/>
  <c r="S82" s="1"/>
  <c r="S83" s="1"/>
  <c r="M47"/>
  <c r="D202" l="1"/>
  <c r="B203" s="1"/>
  <c r="R66"/>
  <c r="R139" s="1"/>
  <c r="U72"/>
  <c r="V71"/>
  <c r="T60"/>
  <c r="T80"/>
  <c r="T81" s="1"/>
  <c r="T82" s="1"/>
  <c r="T83" s="1"/>
  <c r="E201"/>
  <c r="Q99" s="1"/>
  <c r="N27"/>
  <c r="K138" s="1"/>
  <c r="R67" l="1"/>
  <c r="S65" s="1"/>
  <c r="E202"/>
  <c r="R99" s="1"/>
  <c r="W71"/>
  <c r="V72"/>
  <c r="S66"/>
  <c r="S139" s="1"/>
  <c r="U60"/>
  <c r="U80"/>
  <c r="U81" s="1"/>
  <c r="U82" s="1"/>
  <c r="U83" s="1"/>
  <c r="C203"/>
  <c r="D203" s="1"/>
  <c r="E203" s="1"/>
  <c r="S99" s="1"/>
  <c r="N47"/>
  <c r="S67" l="1"/>
  <c r="T65" s="1"/>
  <c r="T66" s="1"/>
  <c r="T139" s="1"/>
  <c r="X71"/>
  <c r="W72"/>
  <c r="V60"/>
  <c r="V80"/>
  <c r="V81" s="1"/>
  <c r="V82" s="1"/>
  <c r="V83" s="1"/>
  <c r="O27"/>
  <c r="L138" s="1"/>
  <c r="T67" l="1"/>
  <c r="U65" s="1"/>
  <c r="U66" s="1"/>
  <c r="U139" s="1"/>
  <c r="W60"/>
  <c r="W80"/>
  <c r="W81" s="1"/>
  <c r="W82" s="1"/>
  <c r="W83" s="1"/>
  <c r="Y71"/>
  <c r="X72"/>
  <c r="O47"/>
  <c r="Y72" l="1"/>
  <c r="Z71"/>
  <c r="Z72" s="1"/>
  <c r="Z60" s="1"/>
  <c r="X80"/>
  <c r="X81" s="1"/>
  <c r="X82" s="1"/>
  <c r="X83" s="1"/>
  <c r="Y80" s="1"/>
  <c r="Y81" s="1"/>
  <c r="Y82" s="1"/>
  <c r="X60"/>
  <c r="U67"/>
  <c r="V65" s="1"/>
  <c r="P27"/>
  <c r="M138" s="1"/>
  <c r="Y60" l="1"/>
  <c r="Y83"/>
  <c r="Z80" s="1"/>
  <c r="Z81" s="1"/>
  <c r="Z82" s="1"/>
  <c r="Z83" s="1"/>
  <c r="V66"/>
  <c r="V139" s="1"/>
  <c r="P47"/>
  <c r="V67" l="1"/>
  <c r="W65" s="1"/>
  <c r="W66" s="1"/>
  <c r="Q27"/>
  <c r="N138" s="1"/>
  <c r="W139" l="1"/>
  <c r="W67"/>
  <c r="X65" s="1"/>
  <c r="X66" s="1"/>
  <c r="X139" s="1"/>
  <c r="Q47"/>
  <c r="X67" l="1"/>
  <c r="Y65" s="1"/>
  <c r="Y66" s="1"/>
  <c r="R27"/>
  <c r="O138" s="1"/>
  <c r="Y139" l="1"/>
  <c r="Y67"/>
  <c r="Z65" s="1"/>
  <c r="Z66" s="1"/>
  <c r="Z139" s="1"/>
  <c r="R47"/>
  <c r="Z67" l="1"/>
  <c r="S27"/>
  <c r="P138" s="1"/>
  <c r="S47" l="1"/>
  <c r="T27" l="1"/>
  <c r="Q138" s="1"/>
  <c r="T47" l="1"/>
  <c r="U27" l="1"/>
  <c r="R138" s="1"/>
  <c r="U47" l="1"/>
  <c r="V27" l="1"/>
  <c r="S138" s="1"/>
  <c r="V47" l="1"/>
  <c r="W27" l="1"/>
  <c r="T138" s="1"/>
  <c r="W47" l="1"/>
  <c r="X27" l="1"/>
  <c r="U138" s="1"/>
  <c r="X47" l="1"/>
  <c r="Y27" l="1"/>
  <c r="V138" s="1"/>
  <c r="Y47" l="1"/>
  <c r="Z27" l="1"/>
  <c r="W138" s="1"/>
  <c r="Z47" l="1"/>
  <c r="AA27" l="1"/>
  <c r="X138" s="1"/>
  <c r="AA47" l="1"/>
  <c r="AB27" l="1"/>
  <c r="Y138" s="1"/>
  <c r="AB47" l="1"/>
  <c r="AC27" l="1"/>
  <c r="Z138" s="1"/>
  <c r="AC47" l="1"/>
  <c r="D51"/>
  <c r="C51" l="1"/>
  <c r="B51"/>
  <c r="Z180" l="1"/>
  <c r="Z102" s="1"/>
  <c r="B160" l="1"/>
  <c r="B165"/>
  <c r="C160"/>
  <c r="D160"/>
  <c r="E160"/>
  <c r="F160"/>
  <c r="G160"/>
  <c r="H160"/>
  <c r="I160"/>
  <c r="J160"/>
  <c r="K160"/>
  <c r="L160"/>
  <c r="M160"/>
  <c r="N160"/>
  <c r="O160"/>
  <c r="P160"/>
  <c r="C165"/>
  <c r="D165"/>
  <c r="E165"/>
  <c r="F165"/>
  <c r="G165"/>
  <c r="H165"/>
  <c r="I165"/>
  <c r="J165"/>
  <c r="K165"/>
  <c r="L165"/>
  <c r="M165"/>
  <c r="N165"/>
  <c r="O165"/>
  <c r="P165"/>
  <c r="B180"/>
  <c r="B102" s="1"/>
  <c r="C180"/>
  <c r="C102" s="1"/>
  <c r="D180"/>
  <c r="D102" s="1"/>
  <c r="E180"/>
  <c r="E102" s="1"/>
  <c r="F180"/>
  <c r="F102" s="1"/>
  <c r="G180"/>
  <c r="G102" s="1"/>
  <c r="H180"/>
  <c r="H102" s="1"/>
  <c r="I180"/>
  <c r="I102" s="1"/>
  <c r="J180"/>
  <c r="J102" s="1"/>
  <c r="K180"/>
  <c r="K102" s="1"/>
  <c r="L180"/>
  <c r="L102" s="1"/>
  <c r="M180"/>
  <c r="M102" s="1"/>
  <c r="N180"/>
  <c r="N102" s="1"/>
  <c r="O180"/>
  <c r="O102" s="1"/>
  <c r="P180"/>
  <c r="P102" s="1"/>
  <c r="Q180"/>
  <c r="Q102" s="1"/>
  <c r="R180"/>
  <c r="R102" s="1"/>
  <c r="S180"/>
  <c r="S102" s="1"/>
  <c r="T180"/>
  <c r="T102" s="1"/>
  <c r="U180"/>
  <c r="U102" s="1"/>
  <c r="V180"/>
  <c r="V102" s="1"/>
  <c r="W180"/>
  <c r="W102" s="1"/>
  <c r="X180"/>
  <c r="X102" s="1"/>
  <c r="Y180"/>
  <c r="Y102" s="1"/>
  <c r="C4" i="10"/>
  <c r="C5"/>
  <c r="C6"/>
  <c r="C7"/>
  <c r="C8"/>
  <c r="E10" i="9"/>
  <c r="F10"/>
  <c r="G10"/>
  <c r="H10"/>
  <c r="I10"/>
  <c r="J10"/>
  <c r="K10"/>
  <c r="L10"/>
  <c r="M10"/>
  <c r="N10"/>
  <c r="O10"/>
  <c r="P10"/>
  <c r="Q10"/>
  <c r="R10"/>
  <c r="S10"/>
  <c r="T10"/>
  <c r="U10"/>
  <c r="V10"/>
  <c r="W10"/>
  <c r="X10"/>
  <c r="Y10"/>
  <c r="Z10"/>
  <c r="AA10"/>
  <c r="AB10"/>
  <c r="AC10"/>
  <c r="E12"/>
  <c r="F12"/>
  <c r="G12"/>
  <c r="H12"/>
  <c r="I12"/>
  <c r="J12"/>
  <c r="K12"/>
  <c r="L12"/>
  <c r="M12"/>
  <c r="N12"/>
  <c r="O12"/>
  <c r="P12"/>
  <c r="Q12"/>
  <c r="R12"/>
  <c r="S12"/>
  <c r="T12"/>
  <c r="U12"/>
  <c r="V12"/>
  <c r="W12"/>
  <c r="X12"/>
  <c r="Y12"/>
  <c r="Z12"/>
  <c r="AA12"/>
  <c r="AB12"/>
  <c r="AC12"/>
  <c r="E14"/>
  <c r="F14"/>
  <c r="G14"/>
  <c r="H14"/>
  <c r="I14"/>
  <c r="J14"/>
  <c r="K14"/>
  <c r="L14"/>
  <c r="M14"/>
  <c r="N14"/>
  <c r="O14"/>
  <c r="P14"/>
  <c r="Q14"/>
  <c r="R14"/>
  <c r="S14"/>
  <c r="T14"/>
  <c r="U14"/>
  <c r="V14"/>
  <c r="W14"/>
  <c r="X14"/>
  <c r="Y14"/>
  <c r="Z14"/>
  <c r="AA14"/>
  <c r="AB14"/>
  <c r="AC14"/>
  <c r="E23"/>
  <c r="F23"/>
  <c r="G23"/>
  <c r="H23"/>
  <c r="I23"/>
  <c r="J23"/>
  <c r="K23"/>
  <c r="L23"/>
  <c r="M23"/>
  <c r="N23"/>
  <c r="O23"/>
  <c r="P23"/>
  <c r="Q23"/>
  <c r="R23"/>
  <c r="S23"/>
  <c r="T23"/>
  <c r="U23"/>
  <c r="V23"/>
  <c r="W23"/>
  <c r="X23"/>
  <c r="Y23"/>
  <c r="Z23"/>
  <c r="AA23"/>
  <c r="AB23"/>
  <c r="AC23"/>
  <c r="E26"/>
  <c r="F26"/>
  <c r="G26"/>
  <c r="H26"/>
  <c r="I26"/>
  <c r="J26"/>
  <c r="K26"/>
  <c r="L26"/>
  <c r="M26"/>
  <c r="N26"/>
  <c r="O26"/>
  <c r="P26"/>
  <c r="Q26"/>
  <c r="R26"/>
  <c r="S26"/>
  <c r="T26"/>
  <c r="U26"/>
  <c r="V26"/>
  <c r="W26"/>
  <c r="X26"/>
  <c r="Y26"/>
  <c r="Z26"/>
  <c r="AA26"/>
  <c r="AB26"/>
  <c r="AC26"/>
  <c r="E29"/>
  <c r="F29"/>
  <c r="G29"/>
  <c r="H29"/>
  <c r="I29"/>
  <c r="J29"/>
  <c r="K29"/>
  <c r="L29"/>
  <c r="M29"/>
  <c r="N29"/>
  <c r="O29"/>
  <c r="P29"/>
  <c r="Q29"/>
  <c r="R29"/>
  <c r="S29"/>
  <c r="T29"/>
  <c r="U29"/>
  <c r="V29"/>
  <c r="W29"/>
  <c r="X29"/>
  <c r="Y29"/>
  <c r="Z29"/>
  <c r="AA29"/>
  <c r="AB29"/>
  <c r="AC29"/>
  <c r="E31"/>
  <c r="F31"/>
  <c r="G31"/>
  <c r="H31"/>
  <c r="I31"/>
  <c r="J31"/>
  <c r="K31"/>
  <c r="L31"/>
  <c r="M31"/>
  <c r="N31"/>
  <c r="O31"/>
  <c r="P31"/>
  <c r="Q31"/>
  <c r="R31"/>
  <c r="S31"/>
  <c r="T31"/>
  <c r="U31"/>
  <c r="V31"/>
  <c r="W31"/>
  <c r="X31"/>
  <c r="Y31"/>
  <c r="Z31"/>
  <c r="AA31"/>
  <c r="AB31"/>
  <c r="AC31"/>
  <c r="E33"/>
  <c r="F33"/>
  <c r="G33"/>
  <c r="H33"/>
  <c r="I33"/>
  <c r="J33"/>
  <c r="K33"/>
  <c r="L33"/>
  <c r="M33"/>
  <c r="N33"/>
  <c r="O33"/>
  <c r="P33"/>
  <c r="Q33"/>
  <c r="R33"/>
  <c r="S33"/>
  <c r="T33"/>
  <c r="U33"/>
  <c r="V33"/>
  <c r="W33"/>
  <c r="X33"/>
  <c r="Y33"/>
  <c r="Z33"/>
  <c r="AA33"/>
  <c r="AB33"/>
  <c r="AC33"/>
  <c r="E40"/>
  <c r="F40"/>
  <c r="G40"/>
  <c r="H40"/>
  <c r="I40"/>
  <c r="J40"/>
  <c r="K40"/>
  <c r="L40"/>
  <c r="M40"/>
  <c r="N40"/>
  <c r="O40"/>
  <c r="P40"/>
  <c r="Q40"/>
  <c r="R40"/>
  <c r="S40"/>
  <c r="T40"/>
  <c r="U40"/>
  <c r="V40"/>
  <c r="W40"/>
  <c r="X40"/>
  <c r="Y40"/>
  <c r="Z40"/>
  <c r="AA40"/>
  <c r="AB40"/>
  <c r="AC40"/>
  <c r="E41"/>
  <c r="F41"/>
  <c r="G41"/>
  <c r="H41"/>
  <c r="I41"/>
  <c r="J41"/>
  <c r="K41"/>
  <c r="L41"/>
  <c r="M41"/>
  <c r="N41"/>
  <c r="O41"/>
  <c r="P41"/>
  <c r="Q41"/>
  <c r="R41"/>
  <c r="S41"/>
  <c r="T41"/>
  <c r="U41"/>
  <c r="V41"/>
  <c r="W41"/>
  <c r="X41"/>
  <c r="Y41"/>
  <c r="Z41"/>
  <c r="AA41"/>
  <c r="AB41"/>
  <c r="AC41"/>
  <c r="E42"/>
  <c r="F42"/>
  <c r="G42"/>
  <c r="H42"/>
  <c r="I42"/>
  <c r="J42"/>
  <c r="K42"/>
  <c r="L42"/>
  <c r="M42"/>
  <c r="N42"/>
  <c r="O42"/>
  <c r="P42"/>
  <c r="Q42"/>
  <c r="R42"/>
  <c r="S42"/>
  <c r="T42"/>
  <c r="U42"/>
  <c r="V42"/>
  <c r="W42"/>
  <c r="X42"/>
  <c r="Y42"/>
  <c r="Z42"/>
  <c r="AA42"/>
  <c r="AB42"/>
  <c r="AC42"/>
  <c r="E46"/>
  <c r="F46"/>
  <c r="G46"/>
  <c r="H46"/>
  <c r="I46"/>
  <c r="J46"/>
  <c r="K46"/>
  <c r="L46"/>
  <c r="M46"/>
  <c r="N46"/>
  <c r="O46"/>
  <c r="P46"/>
  <c r="Q46"/>
  <c r="R46"/>
  <c r="S46"/>
  <c r="T46"/>
  <c r="U46"/>
  <c r="V46"/>
  <c r="W46"/>
  <c r="X46"/>
  <c r="Y46"/>
  <c r="Z46"/>
  <c r="AA46"/>
  <c r="AB46"/>
  <c r="AC46"/>
  <c r="E49"/>
  <c r="F49"/>
  <c r="G49"/>
  <c r="H49"/>
  <c r="I49"/>
  <c r="J49"/>
  <c r="K49"/>
  <c r="L49"/>
  <c r="M49"/>
  <c r="N49"/>
  <c r="O49"/>
  <c r="P49"/>
  <c r="Q49"/>
  <c r="R49"/>
  <c r="S49"/>
  <c r="T49"/>
  <c r="U49"/>
  <c r="V49"/>
  <c r="W49"/>
  <c r="X49"/>
  <c r="Y49"/>
  <c r="Z49"/>
  <c r="AA49"/>
  <c r="AB49"/>
  <c r="AC49"/>
  <c r="E51"/>
  <c r="F51"/>
  <c r="G51"/>
  <c r="H51"/>
  <c r="I51"/>
  <c r="J51"/>
  <c r="K51"/>
  <c r="L51"/>
  <c r="M51"/>
  <c r="N51"/>
  <c r="O51"/>
  <c r="P51"/>
  <c r="Q51"/>
  <c r="R51"/>
  <c r="S51"/>
  <c r="T51"/>
  <c r="U51"/>
  <c r="V51"/>
  <c r="W51"/>
  <c r="X51"/>
  <c r="Y51"/>
  <c r="Z51"/>
  <c r="AA51"/>
  <c r="AB51"/>
  <c r="AC51"/>
  <c r="B52"/>
  <c r="B104"/>
  <c r="C104"/>
  <c r="D104"/>
  <c r="E104"/>
  <c r="F104"/>
  <c r="G104"/>
  <c r="H104"/>
  <c r="I104"/>
  <c r="J104"/>
  <c r="K104"/>
  <c r="L104"/>
  <c r="M104"/>
  <c r="N104"/>
  <c r="O104"/>
  <c r="P104"/>
  <c r="Q104"/>
  <c r="R104"/>
  <c r="S104"/>
  <c r="T104"/>
  <c r="U104"/>
  <c r="V104"/>
  <c r="W104"/>
  <c r="X104"/>
  <c r="Y104"/>
  <c r="Z104"/>
  <c r="B105"/>
  <c r="C105"/>
  <c r="D105"/>
  <c r="E105"/>
  <c r="F105"/>
  <c r="G105"/>
  <c r="H105"/>
  <c r="I105"/>
  <c r="J105"/>
  <c r="K105"/>
  <c r="L105"/>
  <c r="M105"/>
  <c r="N105"/>
  <c r="O105"/>
  <c r="P105"/>
  <c r="Q105"/>
  <c r="R105"/>
  <c r="S105"/>
  <c r="T105"/>
  <c r="U105"/>
  <c r="V105"/>
  <c r="W105"/>
  <c r="X105"/>
  <c r="Y105"/>
  <c r="Z105"/>
  <c r="B109"/>
  <c r="C109"/>
  <c r="D109"/>
  <c r="E109"/>
  <c r="F109"/>
  <c r="G109"/>
  <c r="H109"/>
  <c r="I109"/>
  <c r="J109"/>
  <c r="K109"/>
  <c r="L109"/>
  <c r="M109"/>
  <c r="N109"/>
  <c r="O109"/>
  <c r="P109"/>
  <c r="Q109"/>
  <c r="R109"/>
  <c r="S109"/>
  <c r="T109"/>
  <c r="U109"/>
  <c r="V109"/>
  <c r="W109"/>
  <c r="X109"/>
  <c r="Y109"/>
  <c r="Z109"/>
  <c r="B110"/>
  <c r="C110"/>
  <c r="D110"/>
  <c r="E110"/>
  <c r="F110"/>
  <c r="G110"/>
  <c r="H110"/>
  <c r="I110"/>
  <c r="J110"/>
  <c r="K110"/>
  <c r="L110"/>
  <c r="M110"/>
  <c r="N110"/>
  <c r="O110"/>
  <c r="P110"/>
  <c r="Q110"/>
  <c r="R110"/>
  <c r="S110"/>
  <c r="T110"/>
  <c r="U110"/>
  <c r="V110"/>
  <c r="W110"/>
  <c r="X110"/>
  <c r="Y110"/>
  <c r="Z110"/>
  <c r="B113"/>
  <c r="C113"/>
  <c r="D113"/>
  <c r="E113"/>
  <c r="F113"/>
  <c r="G113"/>
  <c r="H113"/>
  <c r="I113"/>
  <c r="J113"/>
  <c r="K113"/>
  <c r="L113"/>
  <c r="M113"/>
  <c r="N113"/>
  <c r="O113"/>
  <c r="P113"/>
  <c r="Q113"/>
  <c r="R113"/>
  <c r="S113"/>
  <c r="T113"/>
  <c r="U113"/>
  <c r="V113"/>
  <c r="W113"/>
  <c r="X113"/>
  <c r="Y113"/>
  <c r="Z113"/>
  <c r="B118"/>
  <c r="C118"/>
  <c r="D118"/>
  <c r="E118"/>
  <c r="F118"/>
  <c r="G118"/>
  <c r="H118"/>
  <c r="I118"/>
  <c r="J118"/>
  <c r="K118"/>
  <c r="L118"/>
  <c r="M118"/>
  <c r="N118"/>
  <c r="O118"/>
  <c r="P118"/>
  <c r="Q118"/>
  <c r="R118"/>
  <c r="S118"/>
  <c r="T118"/>
  <c r="U118"/>
  <c r="V118"/>
  <c r="W118"/>
  <c r="X118"/>
  <c r="Y118"/>
  <c r="Z118"/>
  <c r="B119"/>
  <c r="B131"/>
  <c r="C131"/>
  <c r="D131"/>
  <c r="E131"/>
  <c r="F131"/>
  <c r="G131"/>
  <c r="H131"/>
  <c r="I131"/>
  <c r="J131"/>
  <c r="K131"/>
  <c r="L131"/>
  <c r="M131"/>
  <c r="N131"/>
  <c r="O131"/>
  <c r="P131"/>
  <c r="Q131"/>
  <c r="R131"/>
  <c r="S131"/>
  <c r="T131"/>
  <c r="U131"/>
  <c r="V131"/>
  <c r="W131"/>
  <c r="X131"/>
  <c r="Y131"/>
  <c r="Z131"/>
  <c r="B132"/>
  <c r="C132"/>
  <c r="D132"/>
  <c r="E132"/>
  <c r="F132"/>
  <c r="G132"/>
  <c r="H132"/>
  <c r="I132"/>
  <c r="J132"/>
  <c r="K132"/>
  <c r="L132"/>
  <c r="M132"/>
  <c r="N132"/>
  <c r="O132"/>
  <c r="P132"/>
  <c r="Q132"/>
  <c r="R132"/>
  <c r="S132"/>
  <c r="T132"/>
  <c r="U132"/>
  <c r="V132"/>
  <c r="W132"/>
  <c r="X132"/>
  <c r="Y132"/>
  <c r="Z132"/>
  <c r="B133"/>
  <c r="C133"/>
  <c r="D133"/>
  <c r="E133"/>
  <c r="F133"/>
  <c r="G133"/>
  <c r="H133"/>
  <c r="I133"/>
  <c r="J133"/>
  <c r="K133"/>
  <c r="L133"/>
  <c r="M133"/>
  <c r="N133"/>
  <c r="O133"/>
  <c r="P133"/>
  <c r="Q133"/>
  <c r="R133"/>
  <c r="S133"/>
  <c r="T133"/>
  <c r="U133"/>
  <c r="V133"/>
  <c r="W133"/>
  <c r="X133"/>
  <c r="Y133"/>
  <c r="Z133"/>
  <c r="B137"/>
  <c r="C137"/>
  <c r="D137"/>
  <c r="E137"/>
  <c r="F137"/>
  <c r="G137"/>
  <c r="H137"/>
  <c r="I137"/>
  <c r="J137"/>
  <c r="K137"/>
  <c r="L137"/>
  <c r="M137"/>
  <c r="N137"/>
  <c r="O137"/>
  <c r="P137"/>
  <c r="Q137"/>
  <c r="R137"/>
  <c r="S137"/>
  <c r="T137"/>
  <c r="U137"/>
  <c r="V137"/>
  <c r="W137"/>
  <c r="X137"/>
  <c r="Y137"/>
  <c r="Z137"/>
  <c r="B141"/>
  <c r="C141"/>
  <c r="D141"/>
  <c r="E141"/>
  <c r="F141"/>
  <c r="G141"/>
  <c r="H141"/>
  <c r="I141"/>
  <c r="J141"/>
  <c r="K141"/>
  <c r="L141"/>
  <c r="M141"/>
  <c r="N141"/>
  <c r="O141"/>
  <c r="P141"/>
  <c r="Q141"/>
  <c r="R141"/>
  <c r="S141"/>
  <c r="T141"/>
  <c r="U141"/>
  <c r="V141"/>
  <c r="W141"/>
  <c r="X141"/>
  <c r="Y141"/>
  <c r="Z141"/>
  <c r="C142"/>
  <c r="D142"/>
  <c r="E142"/>
  <c r="F142"/>
  <c r="G142"/>
  <c r="H142"/>
  <c r="I142"/>
  <c r="J142"/>
  <c r="K142"/>
  <c r="L142"/>
  <c r="M142"/>
  <c r="N142"/>
  <c r="O142"/>
  <c r="P142"/>
  <c r="Q142"/>
  <c r="R142"/>
  <c r="S142"/>
  <c r="T142"/>
  <c r="U142"/>
  <c r="V142"/>
  <c r="W142"/>
  <c r="X142"/>
  <c r="Y142"/>
  <c r="Z142"/>
  <c r="B143"/>
  <c r="C143"/>
  <c r="D143"/>
  <c r="E143"/>
  <c r="F143"/>
  <c r="G143"/>
  <c r="H143"/>
  <c r="I143"/>
  <c r="J143"/>
  <c r="K143"/>
  <c r="L143"/>
  <c r="M143"/>
  <c r="N143"/>
  <c r="O143"/>
  <c r="P143"/>
  <c r="Q143"/>
  <c r="R143"/>
  <c r="S143"/>
  <c r="T143"/>
  <c r="U143"/>
  <c r="V143"/>
  <c r="W143"/>
  <c r="X143"/>
  <c r="Y143"/>
  <c r="Z143"/>
  <c r="B144"/>
  <c r="C144"/>
  <c r="D144"/>
  <c r="E144"/>
  <c r="F144"/>
  <c r="G144"/>
  <c r="H144"/>
  <c r="I144"/>
  <c r="J144"/>
  <c r="K144"/>
  <c r="L144"/>
  <c r="M144"/>
  <c r="N144"/>
  <c r="O144"/>
  <c r="P144"/>
  <c r="Q144"/>
  <c r="R144"/>
  <c r="S144"/>
  <c r="T144"/>
  <c r="U144"/>
  <c r="V144"/>
  <c r="W144"/>
  <c r="X144"/>
  <c r="Y144"/>
  <c r="Z144"/>
  <c r="B145"/>
  <c r="C145"/>
  <c r="D145"/>
  <c r="E145"/>
  <c r="F145"/>
  <c r="G145"/>
  <c r="H145"/>
  <c r="I145"/>
  <c r="J145"/>
  <c r="K145"/>
  <c r="L145"/>
  <c r="M145"/>
  <c r="N145"/>
  <c r="O145"/>
  <c r="P145"/>
  <c r="Q145"/>
  <c r="R145"/>
  <c r="S145"/>
  <c r="T145"/>
  <c r="U145"/>
  <c r="V145"/>
  <c r="W145"/>
  <c r="X145"/>
  <c r="Y145"/>
  <c r="Z145"/>
  <c r="B146"/>
  <c r="C146"/>
  <c r="D146"/>
  <c r="E146"/>
  <c r="F146"/>
  <c r="G146"/>
  <c r="H146"/>
  <c r="I146"/>
  <c r="J146"/>
  <c r="K146"/>
  <c r="L146"/>
  <c r="M146"/>
  <c r="N146"/>
  <c r="O146"/>
  <c r="P146"/>
  <c r="Q146"/>
  <c r="R146"/>
  <c r="S146"/>
  <c r="T146"/>
  <c r="U146"/>
  <c r="V146"/>
  <c r="W146"/>
  <c r="X146"/>
  <c r="Y146"/>
  <c r="Z146"/>
  <c r="B147"/>
  <c r="C147"/>
  <c r="D147"/>
  <c r="E147"/>
  <c r="F147"/>
  <c r="G147"/>
  <c r="H147"/>
  <c r="I147"/>
  <c r="J147"/>
  <c r="K147"/>
  <c r="L147"/>
  <c r="M147"/>
  <c r="N147"/>
  <c r="O147"/>
  <c r="P147"/>
  <c r="Q147"/>
  <c r="R147"/>
  <c r="S147"/>
  <c r="T147"/>
  <c r="U147"/>
  <c r="V147"/>
  <c r="W147"/>
  <c r="X147"/>
  <c r="Y147"/>
  <c r="Z147"/>
  <c r="B149"/>
  <c r="C149"/>
  <c r="D149"/>
  <c r="E149"/>
  <c r="F149"/>
  <c r="G149"/>
  <c r="H149"/>
  <c r="I149"/>
  <c r="J149"/>
  <c r="K149"/>
  <c r="L149"/>
  <c r="M149"/>
  <c r="N149"/>
  <c r="O149"/>
  <c r="P149"/>
  <c r="Q149"/>
  <c r="R149"/>
  <c r="S149"/>
  <c r="T149"/>
  <c r="U149"/>
  <c r="V149"/>
  <c r="W149"/>
  <c r="X149"/>
  <c r="Y149"/>
  <c r="Z149"/>
  <c r="B150"/>
  <c r="C150"/>
  <c r="D150"/>
  <c r="E150"/>
  <c r="F150"/>
  <c r="G150"/>
  <c r="H150"/>
  <c r="I150"/>
  <c r="J150"/>
  <c r="K150"/>
  <c r="L150"/>
  <c r="M150"/>
  <c r="N150"/>
  <c r="O150"/>
  <c r="P150"/>
  <c r="Q150"/>
  <c r="R150"/>
  <c r="S150"/>
  <c r="T150"/>
  <c r="U150"/>
  <c r="V150"/>
  <c r="W150"/>
  <c r="X150"/>
  <c r="Y150"/>
  <c r="Z150"/>
  <c r="B153"/>
  <c r="C153"/>
  <c r="D153"/>
  <c r="E153"/>
  <c r="F153"/>
  <c r="G153"/>
  <c r="H153"/>
  <c r="I153"/>
  <c r="J153"/>
  <c r="K153"/>
  <c r="L153"/>
  <c r="M153"/>
  <c r="N153"/>
  <c r="O153"/>
  <c r="P153"/>
  <c r="Q153"/>
  <c r="R153"/>
  <c r="S153"/>
  <c r="T153"/>
  <c r="U153"/>
  <c r="V153"/>
  <c r="W153"/>
  <c r="X153"/>
  <c r="Y153"/>
  <c r="Z153"/>
  <c r="B154"/>
  <c r="C154"/>
  <c r="D154"/>
  <c r="E154"/>
  <c r="F154"/>
  <c r="G154"/>
  <c r="H154"/>
  <c r="I154"/>
  <c r="J154"/>
  <c r="K154"/>
  <c r="L154"/>
  <c r="M154"/>
  <c r="N154"/>
  <c r="O154"/>
  <c r="P154"/>
  <c r="Q154"/>
  <c r="R154"/>
  <c r="S154"/>
  <c r="T154"/>
  <c r="U154"/>
  <c r="V154"/>
  <c r="W154"/>
  <c r="X154"/>
  <c r="Y154"/>
  <c r="Z154"/>
  <c r="B155"/>
  <c r="C155"/>
  <c r="D155"/>
  <c r="E155"/>
  <c r="F155"/>
  <c r="G155"/>
  <c r="H155"/>
  <c r="I155"/>
  <c r="J155"/>
  <c r="K155"/>
  <c r="L155"/>
  <c r="M155"/>
  <c r="N155"/>
  <c r="O155"/>
  <c r="P155"/>
  <c r="Q155"/>
  <c r="R155"/>
  <c r="S155"/>
  <c r="T155"/>
  <c r="U155"/>
  <c r="V155"/>
  <c r="W155"/>
  <c r="X155"/>
  <c r="Y155"/>
  <c r="Z155"/>
  <c r="B157"/>
  <c r="C157"/>
  <c r="D157"/>
  <c r="E157"/>
  <c r="F157"/>
  <c r="G157"/>
  <c r="H157"/>
  <c r="I157"/>
  <c r="J157"/>
  <c r="K157"/>
  <c r="L157"/>
  <c r="M157"/>
  <c r="N157"/>
  <c r="O157"/>
  <c r="P157"/>
  <c r="Q157"/>
  <c r="R157"/>
  <c r="S157"/>
  <c r="T157"/>
  <c r="U157"/>
  <c r="V157"/>
  <c r="W157"/>
  <c r="X157"/>
  <c r="Y157"/>
  <c r="Z157"/>
  <c r="B159"/>
  <c r="C159"/>
  <c r="D159"/>
  <c r="E159"/>
  <c r="F159"/>
  <c r="G159"/>
  <c r="H159"/>
  <c r="I159"/>
  <c r="J159"/>
  <c r="K159"/>
  <c r="L159"/>
  <c r="M159"/>
  <c r="N159"/>
  <c r="O159"/>
  <c r="P159"/>
  <c r="Q159"/>
  <c r="R159"/>
  <c r="S159"/>
  <c r="T159"/>
  <c r="U159"/>
  <c r="V159"/>
  <c r="W159"/>
  <c r="X159"/>
  <c r="Y159"/>
  <c r="Z159"/>
  <c r="Q160"/>
  <c r="R160"/>
  <c r="S160"/>
  <c r="T160"/>
  <c r="U160"/>
  <c r="V160"/>
  <c r="W160"/>
  <c r="X160"/>
  <c r="Y160"/>
  <c r="Z160"/>
  <c r="C161"/>
  <c r="D161"/>
  <c r="E161"/>
  <c r="F161"/>
  <c r="G161"/>
  <c r="H161"/>
  <c r="I161"/>
  <c r="J161"/>
  <c r="K161"/>
  <c r="L161"/>
  <c r="M161"/>
  <c r="N161"/>
  <c r="O161"/>
  <c r="P161"/>
  <c r="Q161"/>
  <c r="R161"/>
  <c r="S161"/>
  <c r="T161"/>
  <c r="U161"/>
  <c r="V161"/>
  <c r="W161"/>
  <c r="X161"/>
  <c r="Y161"/>
  <c r="Z161"/>
  <c r="B162"/>
  <c r="C162"/>
  <c r="D162"/>
  <c r="E162"/>
  <c r="F162"/>
  <c r="G162"/>
  <c r="H162"/>
  <c r="I162"/>
  <c r="J162"/>
  <c r="K162"/>
  <c r="L162"/>
  <c r="M162"/>
  <c r="N162"/>
  <c r="O162"/>
  <c r="P162"/>
  <c r="Q162"/>
  <c r="R162"/>
  <c r="S162"/>
  <c r="T162"/>
  <c r="U162"/>
  <c r="V162"/>
  <c r="W162"/>
  <c r="X162"/>
  <c r="Y162"/>
  <c r="Z162"/>
  <c r="I163"/>
  <c r="J163"/>
  <c r="K163"/>
  <c r="L163"/>
  <c r="M163"/>
  <c r="N163"/>
  <c r="O163"/>
  <c r="P163"/>
  <c r="Q163"/>
  <c r="R163"/>
  <c r="S163"/>
  <c r="T163"/>
  <c r="U163"/>
  <c r="V163"/>
  <c r="W163"/>
  <c r="X163"/>
  <c r="Y163"/>
  <c r="Z163"/>
  <c r="B164"/>
  <c r="C164"/>
  <c r="D164"/>
  <c r="E164"/>
  <c r="F164"/>
  <c r="G164"/>
  <c r="H164"/>
  <c r="I164"/>
  <c r="J164"/>
  <c r="K164"/>
  <c r="L164"/>
  <c r="M164"/>
  <c r="N164"/>
  <c r="O164"/>
  <c r="P164"/>
  <c r="Q164"/>
  <c r="R164"/>
  <c r="S164"/>
  <c r="T164"/>
  <c r="U164"/>
  <c r="V164"/>
  <c r="W164"/>
  <c r="X164"/>
  <c r="Y164"/>
  <c r="Z164"/>
  <c r="Q165"/>
  <c r="R165"/>
  <c r="S165"/>
  <c r="T165"/>
  <c r="U165"/>
  <c r="V165"/>
  <c r="W165"/>
  <c r="X165"/>
  <c r="Y165"/>
  <c r="Z165"/>
  <c r="B166"/>
  <c r="C166"/>
  <c r="D166"/>
  <c r="E166"/>
  <c r="F166"/>
  <c r="G166"/>
  <c r="H166"/>
  <c r="I166"/>
  <c r="J166"/>
  <c r="K166"/>
  <c r="L166"/>
  <c r="M166"/>
  <c r="N166"/>
  <c r="O166"/>
  <c r="P166"/>
  <c r="Q166"/>
  <c r="R166"/>
  <c r="S166"/>
  <c r="T166"/>
  <c r="U166"/>
  <c r="V166"/>
  <c r="W166"/>
  <c r="X166"/>
  <c r="Y166"/>
  <c r="Z166"/>
  <c r="B167"/>
  <c r="C167"/>
  <c r="D167"/>
  <c r="E167"/>
  <c r="F167"/>
  <c r="G167"/>
  <c r="H167"/>
  <c r="I167"/>
  <c r="J167"/>
  <c r="K167"/>
  <c r="L167"/>
  <c r="M167"/>
  <c r="N167"/>
  <c r="O167"/>
  <c r="P167"/>
  <c r="Q167"/>
  <c r="R167"/>
  <c r="S167"/>
  <c r="T167"/>
  <c r="U167"/>
  <c r="V167"/>
  <c r="W167"/>
  <c r="X167"/>
  <c r="Y167"/>
  <c r="Z167"/>
  <c r="C170"/>
  <c r="D170"/>
  <c r="E170"/>
  <c r="F170"/>
  <c r="G170"/>
  <c r="H170"/>
  <c r="I170"/>
  <c r="J170"/>
  <c r="K170"/>
  <c r="L170"/>
  <c r="M170"/>
  <c r="N170"/>
  <c r="O170"/>
  <c r="P170"/>
  <c r="Q170"/>
  <c r="R170"/>
  <c r="S170"/>
  <c r="T170"/>
  <c r="U170"/>
  <c r="V170"/>
  <c r="W170"/>
  <c r="X170"/>
  <c r="Y170"/>
  <c r="Z170"/>
  <c r="K171"/>
  <c r="L171"/>
  <c r="M171"/>
  <c r="N171"/>
  <c r="O171"/>
  <c r="P171"/>
  <c r="Q171"/>
  <c r="R171"/>
  <c r="S171"/>
  <c r="T171"/>
  <c r="U171"/>
  <c r="V171"/>
  <c r="W171"/>
  <c r="X171"/>
  <c r="Y171"/>
  <c r="Z171"/>
  <c r="C172"/>
  <c r="D172"/>
  <c r="E172"/>
  <c r="F172"/>
  <c r="G172"/>
  <c r="H172"/>
  <c r="I172"/>
  <c r="J172"/>
  <c r="K172"/>
  <c r="L172"/>
  <c r="M172"/>
  <c r="N172"/>
  <c r="O172"/>
  <c r="P172"/>
  <c r="Q172"/>
  <c r="R172"/>
  <c r="S172"/>
  <c r="T172"/>
  <c r="U172"/>
  <c r="V172"/>
  <c r="W172"/>
  <c r="X172"/>
  <c r="Y172"/>
  <c r="Z172"/>
  <c r="B173"/>
  <c r="C173"/>
  <c r="D173"/>
  <c r="E173"/>
  <c r="F173"/>
  <c r="G173"/>
  <c r="H173"/>
  <c r="I173"/>
  <c r="J173"/>
  <c r="K173"/>
  <c r="L173"/>
  <c r="M173"/>
  <c r="N173"/>
  <c r="O173"/>
  <c r="P173"/>
  <c r="Q173"/>
  <c r="R173"/>
  <c r="S173"/>
  <c r="T173"/>
  <c r="U173"/>
  <c r="V173"/>
  <c r="W173"/>
  <c r="X173"/>
  <c r="Y173"/>
  <c r="Z173"/>
  <c r="B174"/>
  <c r="C174"/>
  <c r="D174"/>
  <c r="E174"/>
  <c r="F174"/>
  <c r="G174"/>
  <c r="H174"/>
  <c r="I174"/>
  <c r="J174"/>
  <c r="K174"/>
  <c r="L174"/>
  <c r="M174"/>
  <c r="N174"/>
  <c r="O174"/>
  <c r="P174"/>
  <c r="Q174"/>
  <c r="R174"/>
  <c r="S174"/>
  <c r="T174"/>
  <c r="U174"/>
  <c r="V174"/>
  <c r="W174"/>
  <c r="X174"/>
  <c r="Y174"/>
  <c r="Z174"/>
  <c r="B175"/>
  <c r="C175"/>
  <c r="D175"/>
  <c r="E175"/>
  <c r="F175"/>
  <c r="G175"/>
  <c r="H175"/>
  <c r="I175"/>
  <c r="J175"/>
  <c r="K175"/>
  <c r="L175"/>
  <c r="M175"/>
  <c r="N175"/>
  <c r="O175"/>
  <c r="P175"/>
  <c r="Q175"/>
  <c r="R175"/>
  <c r="S175"/>
  <c r="T175"/>
  <c r="U175"/>
  <c r="V175"/>
  <c r="W175"/>
  <c r="X175"/>
  <c r="Y175"/>
  <c r="Z175"/>
  <c r="J176"/>
  <c r="K176"/>
  <c r="L176"/>
  <c r="M176"/>
  <c r="N176"/>
  <c r="O176"/>
  <c r="P176"/>
  <c r="Q176"/>
  <c r="R176"/>
  <c r="S176"/>
  <c r="T176"/>
  <c r="U176"/>
  <c r="V176"/>
  <c r="W176"/>
  <c r="X176"/>
  <c r="Y176"/>
  <c r="Z176"/>
  <c r="B177"/>
  <c r="C177"/>
  <c r="D177"/>
  <c r="E177"/>
  <c r="F177"/>
  <c r="G177"/>
  <c r="H177"/>
  <c r="I177"/>
  <c r="J177"/>
  <c r="K177"/>
  <c r="L177"/>
  <c r="M177"/>
  <c r="N177"/>
  <c r="O177"/>
  <c r="P177"/>
  <c r="Q177"/>
  <c r="R177"/>
  <c r="S177"/>
  <c r="T177"/>
  <c r="U177"/>
  <c r="V177"/>
  <c r="W177"/>
  <c r="X177"/>
  <c r="Y177"/>
  <c r="Z177"/>
</calcChain>
</file>

<file path=xl/sharedStrings.xml><?xml version="1.0" encoding="utf-8"?>
<sst xmlns="http://schemas.openxmlformats.org/spreadsheetml/2006/main" count="447" uniqueCount="334">
  <si>
    <t>Year Ending</t>
  </si>
  <si>
    <t>Particulars</t>
  </si>
  <si>
    <t>Operative Days</t>
  </si>
  <si>
    <t>Year</t>
  </si>
  <si>
    <t>Depre</t>
  </si>
  <si>
    <t>Calculation Of Operation &amp; Maintainence Charges</t>
  </si>
  <si>
    <t>Calculation Of Applicable Exchange rate</t>
  </si>
  <si>
    <t>Calculation Of Fuel Charges</t>
  </si>
  <si>
    <t>Kcal</t>
  </si>
  <si>
    <t>btu</t>
  </si>
  <si>
    <t>mmbtu</t>
  </si>
  <si>
    <t>Cal Val(Kcal/scm)</t>
  </si>
  <si>
    <t>Computation Of Heat rate &amp; Total Generation</t>
  </si>
  <si>
    <t>Net Generation</t>
  </si>
  <si>
    <t>Variable Cost</t>
  </si>
  <si>
    <t>Fixed Cost</t>
  </si>
  <si>
    <t>Interest On term Loan</t>
  </si>
  <si>
    <t>O &amp; M Charges</t>
  </si>
  <si>
    <t>Equity</t>
  </si>
  <si>
    <t>Return On Equity</t>
  </si>
  <si>
    <t>Fuel Cost</t>
  </si>
  <si>
    <t>Maintainence Exp.</t>
  </si>
  <si>
    <t>Total</t>
  </si>
  <si>
    <t>Interest on Loan</t>
  </si>
  <si>
    <t>Project Capacity</t>
  </si>
  <si>
    <t>No. Of Kcals(Kcals/mmbtu)</t>
  </si>
  <si>
    <t xml:space="preserve">AUX </t>
  </si>
  <si>
    <t>Capacity Utilisation(PLF)</t>
  </si>
  <si>
    <t>Phase Wise Capacity (Mw)</t>
  </si>
  <si>
    <t>Tariff Assumptions</t>
  </si>
  <si>
    <t>Operating And Maintainence Exp.</t>
  </si>
  <si>
    <t>Operating Days</t>
  </si>
  <si>
    <t>Tax Assumptions</t>
  </si>
  <si>
    <t>Corporate Tax</t>
  </si>
  <si>
    <t>MAT Tax</t>
  </si>
  <si>
    <t>Rate Of Interest On Working Capital</t>
  </si>
  <si>
    <t xml:space="preserve">Interest On Term Loan </t>
  </si>
  <si>
    <t xml:space="preserve">Repayment </t>
  </si>
  <si>
    <t>Repayment Counters Per Annum</t>
  </si>
  <si>
    <t>Present Vale Per Unit Cost</t>
  </si>
  <si>
    <t>Capacity Details</t>
  </si>
  <si>
    <t>Term Loan Details</t>
  </si>
  <si>
    <t>Variable cost</t>
  </si>
  <si>
    <t>Fuel (months)</t>
  </si>
  <si>
    <t>O &amp; M Expenses (months)</t>
  </si>
  <si>
    <t>Total project cost</t>
  </si>
  <si>
    <t>Gross Block</t>
  </si>
  <si>
    <t>Debt</t>
  </si>
  <si>
    <t>Present Value</t>
  </si>
  <si>
    <t>BTU</t>
  </si>
  <si>
    <t>Total Capacity ( MW)</t>
  </si>
  <si>
    <t>Fixed charges</t>
  </si>
  <si>
    <t xml:space="preserve">Levelised Cost </t>
  </si>
  <si>
    <t>Depreciation on plant</t>
  </si>
  <si>
    <t>CERC Depreciation</t>
  </si>
  <si>
    <t>Maintainence Exp.(As a % Of O&amp;M Cost)</t>
  </si>
  <si>
    <t>Working Capital Information</t>
  </si>
  <si>
    <t>No. of Year</t>
  </si>
  <si>
    <t>Year ending on</t>
  </si>
  <si>
    <t>Salvage Value of Plant</t>
  </si>
  <si>
    <t>Depreciable Value of Plant</t>
  </si>
  <si>
    <t>Ratio</t>
  </si>
  <si>
    <t>Total (MW)</t>
  </si>
  <si>
    <t>Auxiliary Consumption</t>
  </si>
  <si>
    <t>Total ( Million Units)</t>
  </si>
  <si>
    <t xml:space="preserve">Gas Price Per Unit Of Net Generation </t>
  </si>
  <si>
    <t xml:space="preserve">V.C.Per Unit Of Net Genetation </t>
  </si>
  <si>
    <t>Interest on Working Capital</t>
  </si>
  <si>
    <t>Working Capital Requirement For Receivables (months)</t>
  </si>
  <si>
    <t>Receivables</t>
  </si>
  <si>
    <t xml:space="preserve">F.C. Per Unit Of Net Generation </t>
  </si>
  <si>
    <t>25 year levelized cost</t>
  </si>
  <si>
    <t>Levelized Fixed Cost</t>
  </si>
  <si>
    <t>Levelized Variable Cost.</t>
  </si>
  <si>
    <t xml:space="preserve">working capital </t>
  </si>
  <si>
    <t>interest on W.C</t>
  </si>
  <si>
    <t>=</t>
  </si>
  <si>
    <t>interest on VC</t>
  </si>
  <si>
    <t>+</t>
  </si>
  <si>
    <t>Interest on FC</t>
  </si>
  <si>
    <t>Book Profit</t>
  </si>
  <si>
    <t>Tax Payable as per</t>
  </si>
  <si>
    <t>Can be C/f Till</t>
  </si>
  <si>
    <t>Excess Tax Paid over MAT</t>
  </si>
  <si>
    <t>Tax Depreciation</t>
  </si>
  <si>
    <t>Loss to be C/f</t>
  </si>
  <si>
    <t>Opening Bal of loss</t>
  </si>
  <si>
    <t>Closing Balance of loss</t>
  </si>
  <si>
    <t xml:space="preserve">Normal Tax </t>
  </si>
  <si>
    <t>MAT</t>
  </si>
  <si>
    <t>Available Credit</t>
  </si>
  <si>
    <t>Calculation of Tax @ Normal Rates</t>
  </si>
  <si>
    <t xml:space="preserve">Taxable Profit </t>
  </si>
  <si>
    <t>Loss set off during the year</t>
  </si>
  <si>
    <t>PBT after setting off loss</t>
  </si>
  <si>
    <t>Calculation of MAT</t>
  </si>
  <si>
    <t>Tax Payable before MAT Credit</t>
  </si>
  <si>
    <t>Fuel Price</t>
  </si>
  <si>
    <t xml:space="preserve"> PLF (%)</t>
  </si>
  <si>
    <t xml:space="preserve"> Heat Rate ( Kcal/KWh)</t>
  </si>
  <si>
    <t xml:space="preserve"> Performance</t>
  </si>
  <si>
    <t xml:space="preserve"> PLF</t>
  </si>
  <si>
    <t xml:space="preserve"> Heat Rate ( Kcal/ KWh)</t>
  </si>
  <si>
    <t xml:space="preserve"> Generation</t>
  </si>
  <si>
    <t>Torrent Power Limited</t>
  </si>
  <si>
    <t>Projected Profitability Statement</t>
  </si>
  <si>
    <t>Year ending</t>
  </si>
  <si>
    <t>Net Saleable electricity (in MUs)</t>
  </si>
  <si>
    <t>Operating Costs</t>
  </si>
  <si>
    <t>O &amp; M expenses</t>
  </si>
  <si>
    <t>Fuel cost</t>
  </si>
  <si>
    <t>Sub-total</t>
  </si>
  <si>
    <t>Gross profit (PBIDT)</t>
  </si>
  <si>
    <t>Interest on Term loan</t>
  </si>
  <si>
    <t>Interest on WC</t>
  </si>
  <si>
    <t xml:space="preserve">Book Depreciation </t>
  </si>
  <si>
    <t>Operating profit (PBT)</t>
  </si>
  <si>
    <t xml:space="preserve">Income Tax/MAT </t>
  </si>
  <si>
    <t>Profit after Tax (PAT)</t>
  </si>
  <si>
    <t>Interest on Working Capital Loan</t>
  </si>
  <si>
    <t>Calculation Of Interest On Term Loan (As per CERC Tariff Regulations)</t>
  </si>
  <si>
    <t>Calculation Of Interest On Term Loan (Actual)</t>
  </si>
  <si>
    <t>Depreciation on plant and Machinery as per Income Tax Act, 1961</t>
  </si>
  <si>
    <t xml:space="preserve">Depreciation </t>
  </si>
  <si>
    <t>Depreciation on plant and Machinery as per Companies Act, 1956</t>
  </si>
  <si>
    <t>Depreciation as per Companies Act</t>
  </si>
  <si>
    <t>Net Block</t>
  </si>
  <si>
    <t>Sensitivity Analysis</t>
  </si>
  <si>
    <t>PLF</t>
  </si>
  <si>
    <t xml:space="preserve">RIL </t>
  </si>
  <si>
    <t>IOCL (Petronet LNG)</t>
  </si>
  <si>
    <t>$/mmbtu (NCV basis)</t>
  </si>
  <si>
    <t>$/mmbtu (GCV basis)</t>
  </si>
  <si>
    <t>Gas</t>
  </si>
  <si>
    <t>Marketing Margin</t>
  </si>
  <si>
    <t>Transpo -RIL (Rs)</t>
  </si>
  <si>
    <t>Transportation</t>
  </si>
  <si>
    <t>Transpo -GSPL (Rs)</t>
  </si>
  <si>
    <t>Total (Rs)</t>
  </si>
  <si>
    <t>Total Fuel Cost</t>
  </si>
  <si>
    <t>Total Fuel Cost (on NCV basis)</t>
  </si>
  <si>
    <t>Weights as per usage in Project activity</t>
  </si>
  <si>
    <t>Weighted Average Price of Gas</t>
  </si>
  <si>
    <t xml:space="preserve">Total Price of Gas </t>
  </si>
  <si>
    <t xml:space="preserve">Sales tax @ 15% </t>
  </si>
  <si>
    <t>Energy Input Into The System (Million Kcals)</t>
  </si>
  <si>
    <t>Last year for loss c/f</t>
  </si>
  <si>
    <t>Expired loss</t>
  </si>
  <si>
    <t>Available loss</t>
  </si>
  <si>
    <t>Cumulative utilisation</t>
  </si>
  <si>
    <t>Expiring loss</t>
  </si>
  <si>
    <t>Grossed up rate of return on equity as per CERC Tariff Regulations, 2009</t>
  </si>
  <si>
    <t>No. of Days in the Year</t>
  </si>
  <si>
    <t>CERC Margin on Heat Rate</t>
  </si>
  <si>
    <t xml:space="preserve">Calculated as weighted average price – Gas price of Reliance Industries Limited - KG D6 block and Petronet LNG. Weights applied are 0.5 and 0.5 respectively </t>
  </si>
  <si>
    <t>Reference/Source</t>
  </si>
  <si>
    <t>Corrosponding Calorific Value (Kcal/scm)</t>
  </si>
  <si>
    <t>Value</t>
  </si>
  <si>
    <t xml:space="preserve">Yearly Depreciaition </t>
  </si>
  <si>
    <t>% Change</t>
  </si>
  <si>
    <t>Project Cost</t>
  </si>
  <si>
    <t>Permissible increase in O &amp; M Per Annum</t>
  </si>
  <si>
    <t>Discounting rate( factor)</t>
  </si>
  <si>
    <t>Source</t>
  </si>
  <si>
    <t>RIL Invoice for Jan 2010</t>
  </si>
  <si>
    <t>IOCL Inv for Jan 2010</t>
  </si>
  <si>
    <t>Sales tax @ 2% (Not Applicable in case of SEZ)</t>
  </si>
  <si>
    <t>RGTIL Inv for Jan 2010</t>
  </si>
  <si>
    <t>Service Tax @ 10.3%</t>
  </si>
  <si>
    <t>Service Tax @ 10.3% (Not Applicable in case of SEZ)</t>
  </si>
  <si>
    <t>ER</t>
  </si>
  <si>
    <t>As on 31.12.2009 (http://www.rbi.org.in/scripts/ReferenceRateArchive.aspx)</t>
  </si>
  <si>
    <t>GSPL Communication</t>
  </si>
  <si>
    <t>As per The Companies Act, 1956</t>
  </si>
  <si>
    <t>Operating and Maintenace Exp.</t>
  </si>
  <si>
    <t>Operating and Manintenance Exp.</t>
  </si>
  <si>
    <t>Calculation of IRR</t>
  </si>
  <si>
    <t xml:space="preserve">Project Cash Flow Assumption </t>
  </si>
  <si>
    <t>in %</t>
  </si>
  <si>
    <t>IRR Calculation in %</t>
  </si>
  <si>
    <t>31/03/2011</t>
  </si>
  <si>
    <t>31/03/2012</t>
  </si>
  <si>
    <t>31/03/2013</t>
  </si>
  <si>
    <t>PAT in Million INR</t>
  </si>
  <si>
    <t>Dep in Million INR</t>
  </si>
  <si>
    <t>Interest on loan in Million INR</t>
  </si>
  <si>
    <t>Cash Flows (Post tax) in Million INR</t>
  </si>
  <si>
    <t>Residual Value in Million INR</t>
  </si>
  <si>
    <t>Net cash flows for IRR in Million INR</t>
  </si>
  <si>
    <t>Unit tariff rate (INR/unit)</t>
  </si>
  <si>
    <t>Total (INR  in Million)</t>
  </si>
  <si>
    <t>Calculation Of Working Capital Interest ( INR  Million)</t>
  </si>
  <si>
    <t>Revenue (INR in Million)</t>
  </si>
  <si>
    <t>Benchmark in %</t>
  </si>
  <si>
    <t>Actual tax payable as per in %</t>
  </si>
  <si>
    <t>MAT credit available</t>
  </si>
  <si>
    <t>Opening Bal of MAT Credit</t>
  </si>
  <si>
    <t>MAT Credit arising</t>
  </si>
  <si>
    <t>MAT arising</t>
  </si>
  <si>
    <t>MAT credit utilised</t>
  </si>
  <si>
    <t>Closing Balance of MAT Credit</t>
  </si>
  <si>
    <t>Tax Payable after MAT credit</t>
  </si>
  <si>
    <t>O&amp;M cost</t>
  </si>
  <si>
    <t>Heat Rate</t>
  </si>
  <si>
    <t>Block 1 ( MW)</t>
  </si>
  <si>
    <t>Block 1 ( Million Units)</t>
  </si>
  <si>
    <t>Number Of Units</t>
  </si>
  <si>
    <t>Heat rate for levellised cost ( Kcal/KWh)</t>
  </si>
  <si>
    <t>CERC (Terms and conditions of Tariff) Regulations, 2009 dated 19/01/2009 (www.cercind.gov.in)- Annexure III</t>
  </si>
  <si>
    <t>CERC (Terms and conditions of Tariff) Regulations, 2009 dated 19/01/2009 (www.cercind.gov.in)- Page 23</t>
  </si>
  <si>
    <t>Central Electricity Regulatory Commission (Terms  &amp; conditions of Tariff) Regulations, 2009 dated 19/01/2009 (www.cercind.gov.in) page 42</t>
  </si>
  <si>
    <t>Central Electricity Regulatory Commission (Terms  &amp; conditions of Tariff) Regulations, 2009 dated 19/01/2009 (www.cercind.gov.in) page 49</t>
  </si>
  <si>
    <t>Central Electricity Regulatory Commission (Terms  &amp; conditions of Tariff) Regulations, 2009 dated 19/01/2009 (www.cercind.gov.in) page 47</t>
  </si>
  <si>
    <t xml:space="preserve">Central Electricity Regulatory Commission (Terms  &amp; conditions of Tariff) Regulations, 2009 dated 19/01/2009 (www.cercind.gov.in) page 28 </t>
  </si>
  <si>
    <t xml:space="preserve">Central Electricity Regulatory Commission (Terms  &amp; conditions of Tariff) Regulations, 2009  dated 19/01/2009(www.cercind.gov.in) page 28 </t>
  </si>
  <si>
    <t>Central Electricity Regulatory Commission (Terms  &amp; conditions of Tariff) Regulations, 2009 dated 19/01/2009 (www.cercind.gov.in) page 21</t>
  </si>
  <si>
    <t>Central Electricity Regulatory Commission (Terms  &amp; conditions of Tariff) Regulations, 2009 dated 19/01/2009 (www.cercind.gov.in) page 25</t>
  </si>
  <si>
    <t>As per Central Electricity Regulatory Commission (Terms  &amp; conditions of Tariff) Regulations, 2009 dated 19/01/2009 (www.cercind.gov.in) page 26 , the Rate of interest on working capital shall be on normative basis and shall be equal to the short-term Prime Lending Rate of State Bank of India (http://in.reuters.com/article/2010/01/04/india-plr-idINSGE6030BH20100104)</t>
  </si>
  <si>
    <t>Central Electricity Regulatory Commission (Terms  &amp; conditions of Tariff) Regulations, 2009 dated 19/01/2009 Page 13</t>
  </si>
  <si>
    <t>whether 80IA applicable</t>
  </si>
  <si>
    <t>Tax after 80IA</t>
  </si>
  <si>
    <t>Expiry of MAT Credit</t>
  </si>
  <si>
    <t>O&amp;M Cost</t>
  </si>
  <si>
    <t>+10%</t>
  </si>
  <si>
    <t>-10%</t>
  </si>
  <si>
    <t>Income Tax Act, 1961</t>
  </si>
  <si>
    <t xml:space="preserve">No. of Days </t>
  </si>
  <si>
    <t>With CDM Benefits (One)  / Without CDM Benefits (Zero)</t>
  </si>
  <si>
    <t>CER Price in Euro per tCO2</t>
  </si>
  <si>
    <t>CER Revenue (INR in Million)</t>
  </si>
  <si>
    <t>Estimation of  overall emissions  reductions (tonnes CO2e)</t>
  </si>
  <si>
    <t>% CER  for adaptation charges</t>
  </si>
  <si>
    <t>sCER December 2012 price as on 31/12/2009 (www.pointcarbon.com)</t>
  </si>
  <si>
    <t>http://unfccc.int/cooperation_and_support/financial_mechanism/adaptation_fund/items/3659.php</t>
  </si>
  <si>
    <t>RBI website (http://www.rbi.org.in/scripts/ReferenceRateArchive.aspx)</t>
  </si>
  <si>
    <t xml:space="preserve">Expected salvage Value of Plant in % </t>
  </si>
  <si>
    <t xml:space="preserve">http://energytechnologyexpert.com/financial-models/how-to-evaluate-economic-feasibility-of-a-power-plant-project-use-project-finance-model/ </t>
  </si>
  <si>
    <t>Salvage Value</t>
  </si>
  <si>
    <t>Calculated based on RBI reference Rate for 03/01/2000 and 31/12/2009  (http://www.rbi.org.in)</t>
  </si>
  <si>
    <t>In Million INR</t>
  </si>
  <si>
    <t>Cost per MW (in INR Million)</t>
  </si>
  <si>
    <t>Total Project cost without Margin Money (in INR Million)</t>
  </si>
  <si>
    <t>Quarterly Installment ( INR Million)</t>
  </si>
  <si>
    <t>Total Project cost (in INR Million)</t>
  </si>
  <si>
    <t>Margin Money (in INR Million)</t>
  </si>
  <si>
    <t>Annual Installment ( INR Million)</t>
  </si>
  <si>
    <t>1 Kcal</t>
  </si>
  <si>
    <t>Exchange rate (INR/Euro) on 31/12/2009</t>
  </si>
  <si>
    <t>Gross Block ( INR. Million)</t>
  </si>
  <si>
    <t>Total Depre  ( INR. Million)</t>
  </si>
  <si>
    <t>Cumulative Depre.  ( INR. Million)</t>
  </si>
  <si>
    <t>Opening Block  ( INR. Million)</t>
  </si>
  <si>
    <t>Depre   ( INR. Million)</t>
  </si>
  <si>
    <t>Closing Block  ( INR. Million)</t>
  </si>
  <si>
    <t>Block I  ( INR. Million)</t>
  </si>
  <si>
    <t>Salvage Value at the end (INR. Million)</t>
  </si>
  <si>
    <t>Opening Debt ( INR Million)</t>
  </si>
  <si>
    <t>Installment (INR Million)</t>
  </si>
  <si>
    <t>Closing Debt (INR Million)</t>
  </si>
  <si>
    <t>Interest (INR Million)</t>
  </si>
  <si>
    <t>1st Quarterely Installment  ( INR Million)</t>
  </si>
  <si>
    <t>Closing Debt  ( INR Million)</t>
  </si>
  <si>
    <t>2nd Quarterely Installment  ( INR Million)</t>
  </si>
  <si>
    <t>3rd Quarterely Installment  ( INR Million)</t>
  </si>
  <si>
    <t>4th Quarterely Installment  ( INR Million)</t>
  </si>
  <si>
    <t>INR Million</t>
  </si>
  <si>
    <t>Amount ( INR Million/ MW)</t>
  </si>
  <si>
    <t>Landed Gas Price(INR/mmbtu)</t>
  </si>
  <si>
    <t>Gas Price (INR Million)</t>
  </si>
  <si>
    <t>Total Gas Cost(INR Million)</t>
  </si>
  <si>
    <t>Fixed Cost ( INR Million)</t>
  </si>
  <si>
    <t>Total cost INR/ KWh</t>
  </si>
  <si>
    <t>Calculation Of Working Capital Interest ( INR Million)</t>
  </si>
  <si>
    <t>Calculation Of Levelised Cost</t>
  </si>
  <si>
    <t>TAX Calculation</t>
  </si>
  <si>
    <t xml:space="preserve">Interest Calculation </t>
  </si>
  <si>
    <t>+50%</t>
  </si>
  <si>
    <t>-50%</t>
  </si>
  <si>
    <t>No. Of Quarterly Instalments</t>
  </si>
  <si>
    <t>As per Loan Sanction Letter of SBI dated 10/02/2011 for the project activity</t>
  </si>
  <si>
    <t>a) 02/04/2013 to 31/03/2014</t>
  </si>
  <si>
    <t xml:space="preserve">Based on the expected commissioing date of 02/04/2013 for the project activity </t>
  </si>
  <si>
    <t>b) 01/04/2014 to 31/03/2015</t>
  </si>
  <si>
    <t>Exchange rate (INR/ US $) on 03/01/2000</t>
  </si>
  <si>
    <t>No. of Years</t>
  </si>
  <si>
    <t>Calculated for the period 03/01/2000 to 31/12/2009</t>
  </si>
  <si>
    <t>NCV of domestic gas supply</t>
  </si>
  <si>
    <t xml:space="preserve">http://www.indianexpress.com/news/govt-allocates-kgd6-gas-to-power-sector/445266/ </t>
  </si>
  <si>
    <t>GCV of domestic gas supply</t>
  </si>
  <si>
    <t>Calculated based on NCV of domestic gas supply and NCV to GCV conversion factor</t>
  </si>
  <si>
    <t>GCV of imported gas supply</t>
  </si>
  <si>
    <t>http://wtocentre.iift.ac.in/DOC/subsidies%20discipline%20final%20report-Natural%20resourse%20Pricing1.pdf  (Page No. 71)</t>
  </si>
  <si>
    <t xml:space="preserve"> Heat Rate ( KJ/KWh)</t>
  </si>
  <si>
    <t>1 Kcal =</t>
  </si>
  <si>
    <t>KJ (http://www.unitconversion.org/energy/kilocalories-it-to-gigajoules-conversion.html)</t>
  </si>
  <si>
    <t>NCV to GCV conversion factor</t>
  </si>
  <si>
    <t>CO2 database Version 5.0 published by CEA dated November 2009 (http://www.cea.nic.in/reports/planning/cdm_co2/cdm_co2.htm)</t>
  </si>
  <si>
    <t>Calculated based on the heat rate as per EPC Contract dated 02/07/2010 for the project activity</t>
  </si>
  <si>
    <t>Discount rate as notified by Central Electricity Regulatory Commission on 30/09/2009 (http://cercind.gov.in/Escalation-rate/Notification-dated-30-09-09.pdf) page 1</t>
  </si>
  <si>
    <t>US $/mmbtu (NCV basis)</t>
  </si>
  <si>
    <t>US $/mmbtu (GCV basis)</t>
  </si>
  <si>
    <t>Sales Gas Price</t>
  </si>
  <si>
    <t>RIL Invoice for March 2010</t>
  </si>
  <si>
    <t>IOCL Invoice for March 2010</t>
  </si>
  <si>
    <t xml:space="preserve">Sales tax @ 2% </t>
  </si>
  <si>
    <t>Transpo -RIL</t>
  </si>
  <si>
    <t>RGTIL Invoice for March 2010</t>
  </si>
  <si>
    <t>Transportation - GSPL</t>
  </si>
  <si>
    <t>GSPL Invoice for March 2010</t>
  </si>
  <si>
    <t>Transpo -GSPL</t>
  </si>
  <si>
    <t xml:space="preserve">Service Tax @ 10.3% </t>
  </si>
  <si>
    <t xml:space="preserve">Total </t>
  </si>
  <si>
    <t xml:space="preserve">Total Fuel Cost </t>
  </si>
  <si>
    <t xml:space="preserve">RBI website (http://www.rbi.org.in/scripts/ReferenceRateArchive.aspx) </t>
  </si>
  <si>
    <t>Calculated as weighted average NCV of Reliance (domestic gas supply) and Petronet LNG (imported gas supply), weights applied are 0.5 and 0.5 respectively</t>
  </si>
  <si>
    <t>Calculated as per Central Electricity Regulatory Commission (Terms  &amp; conditions of Tariff) Regulations, 2009 dated 19/01/2009 (www.cercind.gov.in) page 47</t>
  </si>
  <si>
    <t>Exchange rate (INR/US $) on 31/12/2009</t>
  </si>
  <si>
    <t>Price Of Gas (US $/mmbtu)</t>
  </si>
  <si>
    <t>Note - 
1. In case the results are not changing or worksheet shows errors like '#NUM' and 'ERROR', please Go to Office Button &gt; Excel Options &gt; Formulas &gt; Calculation Options and tick Enable iterative calcuation for Excel 2007 and Go to Tools &gt; Options &gt; Calculation and check the "Iteration" box for Excel 2003 to ensure that 'iterative calculations' is enabled
2. Please set the maximum iteration value to 32767 (or maximum value permissible)
3. Please enusre that the 'iterative calculation' is enabled eachtime the worksheet is opened.</t>
  </si>
  <si>
    <t>* insert value in range ±10% / ±50%</t>
  </si>
  <si>
    <t>Sensitivity Analysis (without CDM benefits)</t>
  </si>
  <si>
    <t>Closing ( INR/US $)</t>
  </si>
  <si>
    <t>Opening  ( INR/US $)</t>
  </si>
  <si>
    <t>Average ( INR /US $)</t>
  </si>
  <si>
    <t>Exchange Rate ( INR/ US $)</t>
  </si>
  <si>
    <t>Landed Gas Price(US $/mmbtu)</t>
  </si>
  <si>
    <t>Landed Price Of Gas(INR/Kcal)</t>
  </si>
  <si>
    <t>INR Million Per MW for the year 2013-14</t>
  </si>
  <si>
    <t>As per the Management Decision dated 28/01/2010 for the project activity and the EPC contract dated 02/07/2010 for the project activity.</t>
  </si>
  <si>
    <t>As per the EPC Contract dated 02/07/2010 placed in July 2010 for the project activity being conservative vis-à-vis INR 19500 Million as per the Management Decision dated 28/01/2010</t>
  </si>
  <si>
    <t>As per  EPC contract dated 02/07/2010 for the project activity being comparable to the existing power plant under operation of similar configuration</t>
  </si>
  <si>
    <t>Modal BPLR of PSBs for October 2009 (Table 17 -) considered as being conservative vis-à-vis average BPLR of 12.25% offered by public sector bank in October 2009 (Table 16)  - (Second Quarter Review of Monetary Policy 2009-10 (http://rbi.org.in/scripts/NotificationUser.aspx?Id=5326&amp;Mode=0</t>
  </si>
  <si>
    <t>Tenure of Loan (in Years) (Excluding 1 year of moratorium period)</t>
  </si>
  <si>
    <t>Normal Tax</t>
  </si>
</sst>
</file>

<file path=xl/styles.xml><?xml version="1.0" encoding="utf-8"?>
<styleSheet xmlns="http://schemas.openxmlformats.org/spreadsheetml/2006/main">
  <numFmts count="18">
    <numFmt numFmtId="44" formatCode="_(&quot;$&quot;* #,##0.00_);_(&quot;$&quot;* \(#,##0.00\);_(&quot;$&quot;* &quot;-&quot;??_);_(@_)"/>
    <numFmt numFmtId="43" formatCode="_(* #,##0.00_);_(* \(#,##0.00\);_(* &quot;-&quot;??_);_(@_)"/>
    <numFmt numFmtId="164" formatCode="0.0000"/>
    <numFmt numFmtId="165" formatCode="0.000"/>
    <numFmt numFmtId="166" formatCode="0.0"/>
    <numFmt numFmtId="167" formatCode="dd/mm/yyyy;@"/>
    <numFmt numFmtId="168" formatCode="_(* #,##0_);_(* \(#,##0\);_(* &quot;-&quot;??_);_(@_)"/>
    <numFmt numFmtId="169" formatCode="_(* #,##0.0_);_(* \(#,##0.0\);_(* &quot;-&quot;??_);_(@_)"/>
    <numFmt numFmtId="170" formatCode="&quot;£&quot;#,##0.0_);\(&quot;£&quot;#,##0.0\)"/>
    <numFmt numFmtId="171" formatCode="_-&quot;Rs&quot;* #,##0.00_-;\-&quot;Rs&quot;* #,##0.00_-;_-&quot;Rs&quot;* &quot;-&quot;??_-;_-@_-"/>
    <numFmt numFmtId="172" formatCode="#,###.#;[Red]\-#,###.#"/>
    <numFmt numFmtId="173" formatCode="mm/dd/yy"/>
    <numFmt numFmtId="174" formatCode="0_)"/>
    <numFmt numFmtId="175" formatCode="0.000%"/>
    <numFmt numFmtId="176" formatCode="0.0%"/>
    <numFmt numFmtId="177" formatCode="_(* #,##0.000_);_(* \(#,##0.000\);_(* &quot;-&quot;??_);_(@_)"/>
    <numFmt numFmtId="178" formatCode="_-* #,##0.00_-;\-* #,##0.00_-;_-* &quot;-&quot;??_-;_-@_-"/>
    <numFmt numFmtId="179" formatCode="_-[$€]* #,##0.00_-;\-[$€]* #,##0.00_-;_-[$€]* &quot;-&quot;??_-;_-@_-"/>
  </numFmts>
  <fonts count="3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4"/>
      <name val="Arial"/>
      <family val="2"/>
    </font>
    <font>
      <sz val="10"/>
      <name val="Courier"/>
      <family val="3"/>
    </font>
    <font>
      <sz val="10"/>
      <name val="Helv"/>
      <family val="2"/>
    </font>
    <font>
      <sz val="10"/>
      <name val="Times New Roman"/>
      <family val="1"/>
    </font>
    <font>
      <sz val="12"/>
      <name val="Tms Rmn"/>
    </font>
    <font>
      <sz val="12"/>
      <name val="Arial Rounded MT"/>
    </font>
    <font>
      <sz val="10"/>
      <name val="MS Serif"/>
      <family val="1"/>
    </font>
    <font>
      <sz val="10"/>
      <color indexed="16"/>
      <name val="MS Serif"/>
      <family val="1"/>
    </font>
    <font>
      <b/>
      <sz val="12"/>
      <name val="Arial"/>
      <family val="2"/>
    </font>
    <font>
      <u/>
      <sz val="10"/>
      <color indexed="12"/>
      <name val="Arial"/>
      <family val="2"/>
    </font>
    <font>
      <sz val="8"/>
      <name val="Times New Roman"/>
      <family val="1"/>
    </font>
    <font>
      <sz val="7"/>
      <name val="Small Fonts"/>
      <family val="2"/>
    </font>
    <font>
      <sz val="8"/>
      <name val="Helv"/>
    </font>
    <font>
      <b/>
      <sz val="8"/>
      <color indexed="8"/>
      <name val="Helv"/>
    </font>
    <font>
      <sz val="8"/>
      <color indexed="8"/>
      <name val="Arial"/>
      <family val="2"/>
    </font>
    <font>
      <sz val="11"/>
      <name val="Arial"/>
      <family val="2"/>
    </font>
    <font>
      <sz val="11"/>
      <name val="Times New Roman"/>
      <family val="1"/>
    </font>
    <font>
      <b/>
      <sz val="11"/>
      <name val="Times New Roman"/>
      <family val="1"/>
    </font>
    <font>
      <u/>
      <sz val="10"/>
      <color theme="10"/>
      <name val="Arial"/>
      <family val="2"/>
    </font>
    <font>
      <sz val="10"/>
      <name val="Arial"/>
      <family val="2"/>
    </font>
    <font>
      <sz val="10"/>
      <color indexed="14"/>
      <name val="Arial"/>
      <family val="2"/>
    </font>
    <font>
      <i/>
      <sz val="10"/>
      <name val="Arial"/>
      <family val="2"/>
    </font>
    <font>
      <i/>
      <sz val="10"/>
      <color indexed="10"/>
      <name val="Arial"/>
      <family val="2"/>
    </font>
    <font>
      <b/>
      <sz val="10"/>
      <color indexed="56"/>
      <name val="Arial"/>
      <family val="2"/>
    </font>
    <font>
      <u/>
      <sz val="10"/>
      <color theme="10"/>
      <name val="Arial"/>
      <family val="2"/>
    </font>
    <font>
      <u/>
      <sz val="11"/>
      <color theme="10"/>
      <name val="Times New Roman"/>
      <family val="1"/>
    </font>
  </fonts>
  <fills count="11">
    <fill>
      <patternFill patternType="none"/>
    </fill>
    <fill>
      <patternFill patternType="gray125"/>
    </fill>
    <fill>
      <patternFill patternType="solid">
        <fgColor theme="8" tint="0.39997558519241921"/>
        <bgColor indexed="64"/>
      </patternFill>
    </fill>
    <fill>
      <patternFill patternType="solid">
        <fgColor indexed="12"/>
        <bgColor indexed="12"/>
      </patternFill>
    </fill>
    <fill>
      <patternFill patternType="solid">
        <fgColor indexed="13"/>
        <bgColor indexed="13"/>
      </patternFill>
    </fill>
    <fill>
      <patternFill patternType="solid">
        <fgColor indexed="22"/>
        <bgColor indexed="64"/>
      </patternFill>
    </fill>
    <fill>
      <patternFill patternType="solid">
        <fgColor indexed="26"/>
        <bgColor indexed="64"/>
      </patternFill>
    </fill>
    <fill>
      <patternFill patternType="solid">
        <fgColor indexed="13"/>
        <bgColor indexed="64"/>
      </patternFill>
    </fill>
    <fill>
      <patternFill patternType="solid">
        <fgColor indexed="10"/>
        <bgColor indexed="64"/>
      </patternFill>
    </fill>
    <fill>
      <patternFill patternType="solid">
        <fgColor theme="2" tint="-9.9978637043366805E-2"/>
        <bgColor indexed="64"/>
      </patternFill>
    </fill>
    <fill>
      <patternFill patternType="solid">
        <fgColor theme="4" tint="0.79998168889431442"/>
        <bgColor indexed="64"/>
      </patternFill>
    </fill>
  </fills>
  <borders count="48">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double">
        <color indexed="8"/>
      </top>
      <bottom style="thin">
        <color indexed="8"/>
      </bottom>
      <diagonal/>
    </border>
    <border>
      <left/>
      <right/>
      <top style="medium">
        <color indexed="64"/>
      </top>
      <bottom style="medium">
        <color indexed="64"/>
      </bottom>
      <diagonal/>
    </border>
    <border>
      <left style="thin">
        <color indexed="8"/>
      </left>
      <right style="thin">
        <color indexed="8"/>
      </right>
      <top/>
      <bottom/>
      <diagonal/>
    </border>
    <border>
      <left style="thin">
        <color indexed="64"/>
      </left>
      <right style="thin">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thin">
        <color indexed="10"/>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style="medium">
        <color indexed="64"/>
      </left>
      <right/>
      <top/>
      <bottom/>
      <diagonal/>
    </border>
    <border>
      <left style="medium">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diagonal/>
    </border>
  </borders>
  <cellStyleXfs count="110">
    <xf numFmtId="0" fontId="0" fillId="0" borderId="0"/>
    <xf numFmtId="43" fontId="6" fillId="0" borderId="0" applyFont="0" applyFill="0" applyBorder="0" applyAlignment="0" applyProtection="0"/>
    <xf numFmtId="9" fontId="6" fillId="0" borderId="0" applyFont="0" applyFill="0" applyBorder="0" applyAlignment="0" applyProtection="0"/>
    <xf numFmtId="0" fontId="9" fillId="0" borderId="0"/>
    <xf numFmtId="0" fontId="6" fillId="0" borderId="0"/>
    <xf numFmtId="0" fontId="6" fillId="0" borderId="0"/>
    <xf numFmtId="0" fontId="10" fillId="0" borderId="0"/>
    <xf numFmtId="0" fontId="11" fillId="0" borderId="0"/>
    <xf numFmtId="0" fontId="6" fillId="0" borderId="0"/>
    <xf numFmtId="0" fontId="6" fillId="0" borderId="0"/>
    <xf numFmtId="0" fontId="6" fillId="0" borderId="0"/>
    <xf numFmtId="0" fontId="12" fillId="0" borderId="0" applyNumberFormat="0" applyFill="0" applyBorder="0" applyAlignment="0" applyProtection="0"/>
    <xf numFmtId="0" fontId="6" fillId="0" borderId="0"/>
    <xf numFmtId="0" fontId="11" fillId="0" borderId="0"/>
    <xf numFmtId="170" fontId="13" fillId="0" borderId="0" applyFill="0" applyBorder="0" applyAlignment="0"/>
    <xf numFmtId="0" fontId="6" fillId="0" borderId="0"/>
    <xf numFmtId="43" fontId="6" fillId="0" borderId="0" applyFont="0" applyFill="0" applyBorder="0" applyAlignment="0" applyProtection="0"/>
    <xf numFmtId="43" fontId="5" fillId="0" borderId="0" applyFont="0" applyFill="0" applyBorder="0" applyAlignment="0" applyProtection="0"/>
    <xf numFmtId="0" fontId="14" fillId="0" borderId="0" applyNumberFormat="0" applyAlignment="0">
      <alignment horizontal="left"/>
    </xf>
    <xf numFmtId="0" fontId="6" fillId="0" borderId="0">
      <protection locked="0"/>
    </xf>
    <xf numFmtId="0" fontId="6" fillId="0" borderId="0"/>
    <xf numFmtId="0" fontId="6" fillId="0" borderId="17"/>
    <xf numFmtId="0" fontId="6" fillId="0" borderId="17"/>
    <xf numFmtId="0" fontId="6" fillId="3" borderId="0"/>
    <xf numFmtId="0" fontId="15" fillId="0" borderId="0" applyNumberFormat="0" applyAlignment="0">
      <alignment horizontal="left"/>
    </xf>
    <xf numFmtId="0" fontId="6" fillId="0" borderId="0">
      <protection locked="0"/>
    </xf>
    <xf numFmtId="0" fontId="6" fillId="0" borderId="0">
      <protection locked="0"/>
    </xf>
    <xf numFmtId="0" fontId="6" fillId="0" borderId="0">
      <protection locked="0"/>
    </xf>
    <xf numFmtId="0" fontId="6" fillId="0" borderId="0">
      <protection locked="0"/>
    </xf>
    <xf numFmtId="0" fontId="6" fillId="0" borderId="0">
      <protection locked="0"/>
    </xf>
    <xf numFmtId="0" fontId="6" fillId="0" borderId="0">
      <protection locked="0"/>
    </xf>
    <xf numFmtId="0" fontId="6" fillId="0" borderId="0">
      <protection locked="0"/>
    </xf>
    <xf numFmtId="171" fontId="6" fillId="0" borderId="0">
      <protection locked="0"/>
    </xf>
    <xf numFmtId="0" fontId="6" fillId="0" borderId="18"/>
    <xf numFmtId="0" fontId="6" fillId="0" borderId="17"/>
    <xf numFmtId="0" fontId="6" fillId="4" borderId="17"/>
    <xf numFmtId="38" fontId="7" fillId="5" borderId="0" applyNumberFormat="0" applyBorder="0" applyAlignment="0" applyProtection="0"/>
    <xf numFmtId="0" fontId="16" fillId="0" borderId="19" applyNumberFormat="0" applyAlignment="0" applyProtection="0">
      <alignment horizontal="left" vertical="center"/>
    </xf>
    <xf numFmtId="0" fontId="16" fillId="0" borderId="11">
      <alignment horizontal="left" vertical="center"/>
    </xf>
    <xf numFmtId="0" fontId="6" fillId="0" borderId="0">
      <protection locked="0"/>
    </xf>
    <xf numFmtId="0" fontId="6" fillId="0" borderId="0">
      <protection locked="0"/>
    </xf>
    <xf numFmtId="0" fontId="17" fillId="0" borderId="0" applyNumberFormat="0" applyFill="0" applyBorder="0" applyAlignment="0" applyProtection="0">
      <alignment vertical="top"/>
      <protection locked="0"/>
    </xf>
    <xf numFmtId="10" fontId="7" fillId="6" borderId="5" applyNumberFormat="0" applyBorder="0" applyAlignment="0" applyProtection="0"/>
    <xf numFmtId="0" fontId="18" fillId="0" borderId="0"/>
    <xf numFmtId="37" fontId="19" fillId="0" borderId="0"/>
    <xf numFmtId="172" fontId="13" fillId="0" borderId="0"/>
    <xf numFmtId="0" fontId="6" fillId="0" borderId="0"/>
    <xf numFmtId="0" fontId="6" fillId="0" borderId="0"/>
    <xf numFmtId="0" fontId="5" fillId="0" borderId="0"/>
    <xf numFmtId="0" fontId="5" fillId="0" borderId="0"/>
    <xf numFmtId="0" fontId="9" fillId="0" borderId="0"/>
    <xf numFmtId="10" fontId="6" fillId="0" borderId="0" applyFont="0" applyFill="0" applyBorder="0" applyAlignment="0" applyProtection="0"/>
    <xf numFmtId="9" fontId="6" fillId="0" borderId="0" applyFont="0" applyFill="0" applyBorder="0" applyAlignment="0" applyProtection="0"/>
    <xf numFmtId="9" fontId="5" fillId="0" borderId="0" applyFont="0" applyFill="0" applyBorder="0" applyAlignment="0" applyProtection="0"/>
    <xf numFmtId="0" fontId="18" fillId="0" borderId="0"/>
    <xf numFmtId="0" fontId="6" fillId="0" borderId="0"/>
    <xf numFmtId="173" fontId="20" fillId="0" borderId="0" applyNumberFormat="0" applyFill="0" applyBorder="0" applyAlignment="0" applyProtection="0">
      <alignment horizontal="left"/>
    </xf>
    <xf numFmtId="0" fontId="6" fillId="0" borderId="0"/>
    <xf numFmtId="0" fontId="11" fillId="0" borderId="0"/>
    <xf numFmtId="40" fontId="21" fillId="0" borderId="0" applyBorder="0">
      <alignment horizontal="right"/>
    </xf>
    <xf numFmtId="0" fontId="22" fillId="0" borderId="0"/>
    <xf numFmtId="174" fontId="8" fillId="0" borderId="20"/>
    <xf numFmtId="0" fontId="11" fillId="0" borderId="0"/>
    <xf numFmtId="0" fontId="11" fillId="0" borderId="0"/>
    <xf numFmtId="0" fontId="7" fillId="0" borderId="0"/>
    <xf numFmtId="0" fontId="18" fillId="0" borderId="0"/>
    <xf numFmtId="0" fontId="18" fillId="0" borderId="0"/>
    <xf numFmtId="0" fontId="18" fillId="0" borderId="0"/>
    <xf numFmtId="0" fontId="6" fillId="0" borderId="0"/>
    <xf numFmtId="0" fontId="23" fillId="0" borderId="0"/>
    <xf numFmtId="0" fontId="6" fillId="0" borderId="0"/>
    <xf numFmtId="43" fontId="4" fillId="0" borderId="0" applyFont="0" applyFill="0" applyBorder="0" applyAlignment="0" applyProtection="0"/>
    <xf numFmtId="43" fontId="4" fillId="0" borderId="0" applyFont="0" applyFill="0" applyBorder="0" applyAlignment="0" applyProtection="0"/>
    <xf numFmtId="0" fontId="6" fillId="0" borderId="0"/>
    <xf numFmtId="0" fontId="4" fillId="0" borderId="0"/>
    <xf numFmtId="0" fontId="6" fillId="0" borderId="0"/>
    <xf numFmtId="0" fontId="6" fillId="0" borderId="0"/>
    <xf numFmtId="0" fontId="6" fillId="0" borderId="0"/>
    <xf numFmtId="0" fontId="6" fillId="0" borderId="0"/>
    <xf numFmtId="0" fontId="4" fillId="0" borderId="0"/>
    <xf numFmtId="0" fontId="4" fillId="0" borderId="0"/>
    <xf numFmtId="0" fontId="4" fillId="0" borderId="0"/>
    <xf numFmtId="0" fontId="4" fillId="0" borderId="0"/>
    <xf numFmtId="0" fontId="6" fillId="0" borderId="0"/>
    <xf numFmtId="9" fontId="4" fillId="0" borderId="0" applyFont="0" applyFill="0" applyBorder="0" applyAlignment="0" applyProtection="0"/>
    <xf numFmtId="9" fontId="4" fillId="0" borderId="0" applyFont="0" applyFill="0" applyBorder="0" applyAlignment="0" applyProtection="0"/>
    <xf numFmtId="44" fontId="6" fillId="0" borderId="0" applyFont="0" applyFill="0" applyBorder="0" applyAlignment="0" applyProtection="0"/>
    <xf numFmtId="0" fontId="26" fillId="0" borderId="0" applyNumberFormat="0" applyFill="0" applyBorder="0" applyAlignment="0" applyProtection="0">
      <alignment vertical="top"/>
      <protection locked="0"/>
    </xf>
    <xf numFmtId="9" fontId="6" fillId="0" borderId="0" applyFont="0" applyFill="0" applyBorder="0" applyAlignment="0" applyProtection="0"/>
    <xf numFmtId="0" fontId="3" fillId="0" borderId="0"/>
    <xf numFmtId="0" fontId="3"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178" fontId="27" fillId="0" borderId="0" applyFont="0" applyFill="0" applyBorder="0" applyAlignment="0" applyProtection="0"/>
    <xf numFmtId="0" fontId="6" fillId="0" borderId="0"/>
    <xf numFmtId="9" fontId="27" fillId="0" borderId="0" applyFont="0" applyFill="0" applyBorder="0" applyAlignment="0" applyProtection="0"/>
    <xf numFmtId="0" fontId="7" fillId="0" borderId="0"/>
    <xf numFmtId="0" fontId="27" fillId="0" borderId="0" applyNumberFormat="0" applyFill="0" applyBorder="0" applyAlignment="0"/>
    <xf numFmtId="179" fontId="27" fillId="0" borderId="0" applyFont="0" applyFill="0" applyBorder="0" applyAlignment="0" applyProtection="0"/>
    <xf numFmtId="0" fontId="29" fillId="7" borderId="0" applyNumberFormat="0" applyBorder="0" applyAlignment="0"/>
    <xf numFmtId="0" fontId="30" fillId="0" borderId="0" applyNumberFormat="0" applyFill="0" applyBorder="0" applyAlignment="0" applyProtection="0"/>
    <xf numFmtId="0" fontId="31" fillId="8" borderId="0" applyNumberFormat="0" applyBorder="0" applyAlignment="0"/>
    <xf numFmtId="0" fontId="28" fillId="0" borderId="31" applyNumberFormat="0" applyAlignment="0"/>
    <xf numFmtId="0" fontId="32" fillId="0" borderId="0" applyNumberFormat="0" applyFill="0" applyBorder="0" applyAlignment="0" applyProtection="0">
      <alignment vertical="top"/>
      <protection locked="0"/>
    </xf>
  </cellStyleXfs>
  <cellXfs count="300">
    <xf numFmtId="0" fontId="0" fillId="0" borderId="0" xfId="0"/>
    <xf numFmtId="43" fontId="0" fillId="0" borderId="0" xfId="1" applyFont="1"/>
    <xf numFmtId="43" fontId="0" fillId="0" borderId="0" xfId="1" applyFont="1" applyAlignment="1">
      <alignment horizontal="center"/>
    </xf>
    <xf numFmtId="43" fontId="0" fillId="0" borderId="0" xfId="1" quotePrefix="1" applyFont="1" applyAlignment="1">
      <alignment horizontal="center"/>
    </xf>
    <xf numFmtId="43" fontId="24" fillId="0" borderId="5" xfId="1" applyFont="1" applyFill="1" applyBorder="1"/>
    <xf numFmtId="43" fontId="24" fillId="0" borderId="21" xfId="1" applyFont="1" applyFill="1" applyBorder="1"/>
    <xf numFmtId="0" fontId="24" fillId="0" borderId="0" xfId="0" applyFont="1" applyFill="1"/>
    <xf numFmtId="0" fontId="24" fillId="2" borderId="5" xfId="0" applyFont="1" applyFill="1" applyBorder="1" applyAlignment="1">
      <alignment vertical="center"/>
    </xf>
    <xf numFmtId="43" fontId="24" fillId="2" borderId="5" xfId="1" applyFont="1" applyFill="1" applyBorder="1"/>
    <xf numFmtId="10" fontId="24" fillId="2" borderId="5" xfId="0" applyNumberFormat="1" applyFont="1" applyFill="1" applyBorder="1" applyAlignment="1">
      <alignment vertical="center"/>
    </xf>
    <xf numFmtId="0" fontId="24" fillId="0" borderId="5" xfId="0" applyFont="1" applyFill="1" applyBorder="1"/>
    <xf numFmtId="0" fontId="24" fillId="2" borderId="5" xfId="0" applyFont="1" applyFill="1" applyBorder="1"/>
    <xf numFmtId="2" fontId="24" fillId="2" borderId="5" xfId="0" applyNumberFormat="1" applyFont="1" applyFill="1" applyBorder="1"/>
    <xf numFmtId="10" fontId="24" fillId="2" borderId="5" xfId="0" applyNumberFormat="1" applyFont="1" applyFill="1" applyBorder="1"/>
    <xf numFmtId="10" fontId="24" fillId="0" borderId="0" xfId="0" applyNumberFormat="1" applyFont="1" applyFill="1"/>
    <xf numFmtId="9" fontId="24" fillId="2" borderId="5" xfId="0" applyNumberFormat="1" applyFont="1" applyFill="1" applyBorder="1"/>
    <xf numFmtId="1" fontId="24" fillId="2" borderId="5" xfId="0" applyNumberFormat="1" applyFont="1" applyFill="1" applyBorder="1" applyAlignment="1">
      <alignment vertical="center"/>
    </xf>
    <xf numFmtId="9" fontId="24" fillId="2" borderId="5" xfId="0" applyNumberFormat="1" applyFont="1" applyFill="1" applyBorder="1" applyAlignment="1">
      <alignment vertical="center"/>
    </xf>
    <xf numFmtId="9" fontId="24" fillId="0" borderId="0" xfId="0" applyNumberFormat="1" applyFont="1" applyFill="1"/>
    <xf numFmtId="176" fontId="24" fillId="2" borderId="5" xfId="0" applyNumberFormat="1" applyFont="1" applyFill="1" applyBorder="1"/>
    <xf numFmtId="0" fontId="24" fillId="0" borderId="0" xfId="0" applyFont="1"/>
    <xf numFmtId="0" fontId="24" fillId="0" borderId="5" xfId="0" applyFont="1" applyBorder="1"/>
    <xf numFmtId="0" fontId="24" fillId="0" borderId="5" xfId="0" applyFont="1" applyBorder="1" applyAlignment="1">
      <alignment horizontal="left" wrapText="1"/>
    </xf>
    <xf numFmtId="0" fontId="24" fillId="0" borderId="5" xfId="3" applyFont="1" applyBorder="1" applyAlignment="1" applyProtection="1">
      <alignment horizontal="left" wrapText="1"/>
    </xf>
    <xf numFmtId="167" fontId="24" fillId="0" borderId="5" xfId="0" applyNumberFormat="1" applyFont="1" applyBorder="1"/>
    <xf numFmtId="1" fontId="24" fillId="0" borderId="5" xfId="0" applyNumberFormat="1" applyFont="1" applyBorder="1"/>
    <xf numFmtId="0" fontId="24" fillId="0" borderId="5" xfId="0" applyFont="1" applyFill="1" applyBorder="1" applyAlignment="1">
      <alignment horizontal="left" wrapText="1"/>
    </xf>
    <xf numFmtId="2" fontId="24" fillId="0" borderId="5" xfId="0" applyNumberFormat="1" applyFont="1" applyFill="1" applyBorder="1"/>
    <xf numFmtId="2" fontId="24" fillId="0" borderId="5" xfId="0" applyNumberFormat="1" applyFont="1" applyBorder="1"/>
    <xf numFmtId="166" fontId="24" fillId="0" borderId="5" xfId="0" applyNumberFormat="1" applyFont="1" applyBorder="1"/>
    <xf numFmtId="169" fontId="24" fillId="0" borderId="5" xfId="1" applyNumberFormat="1" applyFont="1" applyBorder="1" applyAlignment="1"/>
    <xf numFmtId="169" fontId="24" fillId="0" borderId="0" xfId="1" applyNumberFormat="1" applyFont="1" applyAlignment="1"/>
    <xf numFmtId="0" fontId="24" fillId="0" borderId="0" xfId="0" applyFont="1" applyBorder="1"/>
    <xf numFmtId="43" fontId="24" fillId="0" borderId="5" xfId="1" applyFont="1" applyBorder="1" applyAlignment="1">
      <alignment horizontal="left" wrapText="1"/>
    </xf>
    <xf numFmtId="0" fontId="24" fillId="0" borderId="0" xfId="0" applyFont="1" applyAlignment="1">
      <alignment horizontal="left" wrapText="1"/>
    </xf>
    <xf numFmtId="43" fontId="24" fillId="0" borderId="5" xfId="0" applyNumberFormat="1" applyFont="1" applyBorder="1"/>
    <xf numFmtId="43" fontId="24" fillId="0" borderId="5" xfId="0" applyNumberFormat="1" applyFont="1" applyFill="1" applyBorder="1"/>
    <xf numFmtId="43" fontId="24" fillId="0" borderId="5" xfId="1" applyFont="1" applyBorder="1"/>
    <xf numFmtId="43" fontId="24" fillId="0" borderId="5" xfId="1" applyFont="1" applyBorder="1" applyAlignment="1">
      <alignment horizontal="center"/>
    </xf>
    <xf numFmtId="10" fontId="24" fillId="0" borderId="5" xfId="2" applyNumberFormat="1" applyFont="1" applyBorder="1"/>
    <xf numFmtId="2" fontId="24" fillId="0" borderId="0" xfId="0" applyNumberFormat="1" applyFont="1"/>
    <xf numFmtId="9" fontId="24" fillId="0" borderId="5" xfId="0" applyNumberFormat="1" applyFont="1" applyBorder="1"/>
    <xf numFmtId="167" fontId="24" fillId="0" borderId="0" xfId="0" applyNumberFormat="1" applyFont="1"/>
    <xf numFmtId="164" fontId="24" fillId="0" borderId="5" xfId="0" applyNumberFormat="1" applyFont="1" applyBorder="1"/>
    <xf numFmtId="168" fontId="24" fillId="0" borderId="5" xfId="1" applyNumberFormat="1" applyFont="1" applyBorder="1"/>
    <xf numFmtId="168" fontId="24" fillId="0" borderId="0" xfId="1" applyNumberFormat="1" applyFont="1"/>
    <xf numFmtId="1" fontId="24" fillId="0" borderId="5" xfId="0" applyNumberFormat="1" applyFont="1" applyBorder="1" applyAlignment="1">
      <alignment horizontal="right"/>
    </xf>
    <xf numFmtId="2" fontId="24" fillId="0" borderId="5" xfId="0" applyNumberFormat="1" applyFont="1" applyBorder="1" applyAlignment="1">
      <alignment horizontal="right" vertical="top" wrapText="1"/>
    </xf>
    <xf numFmtId="0" fontId="24" fillId="0" borderId="10" xfId="0" applyFont="1" applyFill="1" applyBorder="1" applyAlignment="1">
      <alignment horizontal="center"/>
    </xf>
    <xf numFmtId="0" fontId="24" fillId="0" borderId="12" xfId="0" applyFont="1" applyFill="1" applyBorder="1" applyAlignment="1">
      <alignment horizontal="center"/>
    </xf>
    <xf numFmtId="0" fontId="24" fillId="0" borderId="5" xfId="0" applyFont="1" applyFill="1" applyBorder="1" applyAlignment="1">
      <alignment horizontal="center"/>
    </xf>
    <xf numFmtId="0" fontId="24" fillId="0" borderId="5" xfId="0" applyFont="1" applyFill="1" applyBorder="1" applyAlignment="1">
      <alignment horizontal="center"/>
    </xf>
    <xf numFmtId="0" fontId="24" fillId="0" borderId="0" xfId="3" applyFont="1" applyAlignment="1" applyProtection="1">
      <alignment horizontal="left"/>
    </xf>
    <xf numFmtId="0" fontId="24" fillId="0" borderId="0" xfId="3" applyFont="1"/>
    <xf numFmtId="0" fontId="24" fillId="0" borderId="0" xfId="3" applyFont="1" applyAlignment="1" applyProtection="1">
      <alignment horizontal="left" wrapText="1"/>
    </xf>
    <xf numFmtId="165" fontId="24" fillId="0" borderId="5" xfId="0" applyNumberFormat="1" applyFont="1" applyBorder="1"/>
    <xf numFmtId="165" fontId="24" fillId="0" borderId="0" xfId="0" applyNumberFormat="1" applyFont="1" applyBorder="1"/>
    <xf numFmtId="1" fontId="24" fillId="0" borderId="0" xfId="0" applyNumberFormat="1" applyFont="1" applyBorder="1" applyAlignment="1">
      <alignment horizontal="right"/>
    </xf>
    <xf numFmtId="166" fontId="24" fillId="0" borderId="0" xfId="0" applyNumberFormat="1" applyFont="1" applyBorder="1"/>
    <xf numFmtId="1" fontId="24" fillId="0" borderId="0" xfId="0" applyNumberFormat="1" applyFont="1" applyBorder="1"/>
    <xf numFmtId="0" fontId="24" fillId="0" borderId="5" xfId="0" applyFont="1" applyBorder="1" applyAlignment="1">
      <alignment horizontal="center" vertical="center" wrapText="1"/>
    </xf>
    <xf numFmtId="0" fontId="24" fillId="0" borderId="5" xfId="0" applyFont="1" applyBorder="1" applyAlignment="1">
      <alignment horizontal="right"/>
    </xf>
    <xf numFmtId="0" fontId="25" fillId="0" borderId="12" xfId="0" applyFont="1" applyFill="1" applyBorder="1" applyAlignment="1">
      <alignment horizontal="center"/>
    </xf>
    <xf numFmtId="0" fontId="25" fillId="0" borderId="5" xfId="0" applyFont="1" applyFill="1" applyBorder="1" applyAlignment="1">
      <alignment horizontal="center"/>
    </xf>
    <xf numFmtId="0" fontId="24" fillId="0" borderId="22" xfId="0" applyFont="1" applyFill="1" applyBorder="1" applyAlignment="1">
      <alignment horizontal="center"/>
    </xf>
    <xf numFmtId="43" fontId="24" fillId="0" borderId="10" xfId="1" applyFont="1" applyFill="1" applyBorder="1"/>
    <xf numFmtId="43" fontId="24" fillId="0" borderId="12" xfId="1" applyFont="1" applyFill="1" applyBorder="1"/>
    <xf numFmtId="43" fontId="25" fillId="0" borderId="5" xfId="1" applyNumberFormat="1" applyFont="1" applyFill="1" applyBorder="1"/>
    <xf numFmtId="43" fontId="25" fillId="0" borderId="10" xfId="1" applyFont="1" applyFill="1" applyBorder="1"/>
    <xf numFmtId="43" fontId="25" fillId="0" borderId="5" xfId="1" applyFont="1" applyFill="1" applyBorder="1"/>
    <xf numFmtId="0" fontId="0" fillId="0" borderId="26" xfId="0" applyBorder="1"/>
    <xf numFmtId="43" fontId="24" fillId="0" borderId="26" xfId="1" applyFont="1" applyFill="1" applyBorder="1" applyAlignment="1">
      <alignment horizontal="left"/>
    </xf>
    <xf numFmtId="43" fontId="24" fillId="0" borderId="26" xfId="1" applyFont="1" applyFill="1" applyBorder="1"/>
    <xf numFmtId="0" fontId="24" fillId="0" borderId="12" xfId="0" applyFont="1" applyFill="1" applyBorder="1"/>
    <xf numFmtId="0" fontId="24" fillId="0" borderId="10" xfId="0" applyFont="1" applyFill="1" applyBorder="1"/>
    <xf numFmtId="43" fontId="24" fillId="0" borderId="27" xfId="1" applyFont="1" applyFill="1" applyBorder="1"/>
    <xf numFmtId="43" fontId="25" fillId="0" borderId="10" xfId="0" applyNumberFormat="1" applyFont="1" applyFill="1" applyBorder="1"/>
    <xf numFmtId="43" fontId="25" fillId="0" borderId="5" xfId="0" applyNumberFormat="1" applyFont="1" applyFill="1" applyBorder="1"/>
    <xf numFmtId="43" fontId="24" fillId="0" borderId="10" xfId="0" applyNumberFormat="1" applyFont="1" applyFill="1" applyBorder="1"/>
    <xf numFmtId="0" fontId="0" fillId="0" borderId="28" xfId="0" applyBorder="1"/>
    <xf numFmtId="43" fontId="25" fillId="0" borderId="10" xfId="0" applyNumberFormat="1" applyFont="1" applyFill="1" applyBorder="1" applyAlignment="1"/>
    <xf numFmtId="0" fontId="25" fillId="0" borderId="11" xfId="0" applyFont="1" applyFill="1" applyBorder="1" applyAlignment="1"/>
    <xf numFmtId="0" fontId="25" fillId="0" borderId="5" xfId="0" applyFont="1" applyFill="1" applyBorder="1" applyAlignment="1"/>
    <xf numFmtId="0" fontId="25" fillId="0" borderId="12" xfId="0" applyFont="1" applyFill="1" applyBorder="1" applyAlignment="1"/>
    <xf numFmtId="0" fontId="0" fillId="0" borderId="29" xfId="0" applyBorder="1"/>
    <xf numFmtId="43" fontId="24" fillId="0" borderId="30" xfId="1" applyFont="1" applyFill="1" applyBorder="1"/>
    <xf numFmtId="0" fontId="24" fillId="0" borderId="16" xfId="0" applyFont="1" applyFill="1" applyBorder="1" applyAlignment="1">
      <alignment vertical="center" wrapText="1"/>
    </xf>
    <xf numFmtId="0" fontId="24" fillId="0" borderId="16" xfId="0" applyFont="1" applyFill="1" applyBorder="1" applyAlignment="1">
      <alignment wrapText="1"/>
    </xf>
    <xf numFmtId="9" fontId="24" fillId="0" borderId="5" xfId="0" applyNumberFormat="1" applyFont="1" applyFill="1" applyBorder="1"/>
    <xf numFmtId="9" fontId="24" fillId="0" borderId="5" xfId="2" applyFont="1" applyFill="1" applyBorder="1"/>
    <xf numFmtId="167" fontId="24" fillId="0" borderId="5" xfId="0" applyNumberFormat="1" applyFont="1" applyBorder="1" applyAlignment="1">
      <alignment horizontal="right"/>
    </xf>
    <xf numFmtId="0" fontId="24" fillId="0" borderId="5" xfId="0" applyFont="1" applyBorder="1" applyAlignment="1">
      <alignment horizontal="right" wrapText="1"/>
    </xf>
    <xf numFmtId="0" fontId="24" fillId="0" borderId="5" xfId="3" applyFont="1" applyBorder="1" applyAlignment="1" applyProtection="1">
      <alignment horizontal="right"/>
    </xf>
    <xf numFmtId="43" fontId="24" fillId="0" borderId="5" xfId="0" applyNumberFormat="1" applyFont="1" applyBorder="1" applyAlignment="1">
      <alignment horizontal="left" wrapText="1"/>
    </xf>
    <xf numFmtId="10" fontId="24" fillId="0" borderId="8" xfId="2" applyNumberFormat="1" applyFont="1" applyBorder="1"/>
    <xf numFmtId="0" fontId="24" fillId="0" borderId="5" xfId="0" applyFont="1" applyFill="1" applyBorder="1" applyAlignment="1">
      <alignment vertical="center" wrapText="1"/>
    </xf>
    <xf numFmtId="0" fontId="24" fillId="0" borderId="5" xfId="0" applyFont="1" applyFill="1" applyBorder="1" applyAlignment="1">
      <alignment horizontal="center"/>
    </xf>
    <xf numFmtId="175" fontId="24" fillId="0" borderId="5" xfId="2" applyNumberFormat="1" applyFont="1" applyBorder="1"/>
    <xf numFmtId="2" fontId="24" fillId="0" borderId="0" xfId="0" applyNumberFormat="1" applyFont="1" applyBorder="1"/>
    <xf numFmtId="0" fontId="24" fillId="0" borderId="5" xfId="0" applyFont="1" applyFill="1" applyBorder="1" applyAlignment="1">
      <alignment wrapText="1"/>
    </xf>
    <xf numFmtId="166" fontId="24" fillId="0" borderId="5" xfId="0" applyNumberFormat="1" applyFont="1" applyFill="1" applyBorder="1"/>
    <xf numFmtId="165" fontId="24" fillId="2" borderId="5" xfId="0" applyNumberFormat="1" applyFont="1" applyFill="1" applyBorder="1" applyAlignment="1">
      <alignment vertical="center"/>
    </xf>
    <xf numFmtId="0" fontId="25" fillId="0" borderId="2" xfId="0" applyFont="1" applyBorder="1" applyAlignment="1">
      <alignment horizontal="center"/>
    </xf>
    <xf numFmtId="0" fontId="25" fillId="0" borderId="3" xfId="0" applyFont="1" applyBorder="1" applyAlignment="1">
      <alignment horizontal="center"/>
    </xf>
    <xf numFmtId="0" fontId="24" fillId="0" borderId="13" xfId="0" applyFont="1" applyFill="1" applyBorder="1" applyAlignment="1">
      <alignment horizontal="left"/>
    </xf>
    <xf numFmtId="0" fontId="24" fillId="0" borderId="14" xfId="0" applyFont="1" applyFill="1" applyBorder="1" applyAlignment="1">
      <alignment horizontal="left"/>
    </xf>
    <xf numFmtId="168" fontId="24" fillId="2" borderId="5" xfId="1" applyNumberFormat="1" applyFont="1" applyFill="1" applyBorder="1"/>
    <xf numFmtId="43" fontId="24" fillId="0" borderId="0" xfId="0" applyNumberFormat="1" applyFont="1" applyFill="1"/>
    <xf numFmtId="9" fontId="24" fillId="0" borderId="0" xfId="2" applyFont="1" applyFill="1"/>
    <xf numFmtId="167" fontId="24" fillId="0" borderId="5" xfId="0" applyNumberFormat="1" applyFont="1" applyFill="1" applyBorder="1"/>
    <xf numFmtId="43" fontId="24" fillId="0" borderId="5" xfId="1" applyFont="1" applyFill="1" applyBorder="1" applyAlignment="1">
      <alignment horizontal="center"/>
    </xf>
    <xf numFmtId="43" fontId="24" fillId="0" borderId="5" xfId="0" applyNumberFormat="1" applyFont="1" applyFill="1" applyBorder="1" applyAlignment="1">
      <alignment horizontal="center"/>
    </xf>
    <xf numFmtId="169" fontId="24" fillId="2" borderId="5" xfId="1" applyNumberFormat="1" applyFont="1" applyFill="1" applyBorder="1"/>
    <xf numFmtId="0" fontId="25" fillId="0" borderId="0" xfId="0" applyFont="1"/>
    <xf numFmtId="0" fontId="25" fillId="0" borderId="4" xfId="0" applyFont="1" applyBorder="1" applyAlignment="1">
      <alignment horizontal="center"/>
    </xf>
    <xf numFmtId="0" fontId="25" fillId="0" borderId="7" xfId="0" quotePrefix="1" applyFont="1" applyBorder="1" applyAlignment="1">
      <alignment horizontal="center"/>
    </xf>
    <xf numFmtId="10" fontId="24" fillId="0" borderId="9" xfId="2" applyNumberFormat="1" applyFont="1" applyBorder="1"/>
    <xf numFmtId="0" fontId="25" fillId="0" borderId="1" xfId="0" applyFont="1" applyBorder="1" applyAlignment="1">
      <alignment horizontal="center"/>
    </xf>
    <xf numFmtId="0" fontId="25" fillId="0" borderId="4" xfId="0" quotePrefix="1" applyFont="1" applyBorder="1" applyAlignment="1">
      <alignment horizontal="center"/>
    </xf>
    <xf numFmtId="10" fontId="24" fillId="0" borderId="6" xfId="2" applyNumberFormat="1" applyFont="1" applyBorder="1"/>
    <xf numFmtId="0" fontId="25" fillId="0" borderId="5" xfId="0" applyFont="1" applyBorder="1"/>
    <xf numFmtId="10" fontId="24" fillId="0" borderId="5" xfId="0" applyNumberFormat="1" applyFont="1" applyBorder="1"/>
    <xf numFmtId="0" fontId="24" fillId="0" borderId="5" xfId="0" applyFont="1" applyFill="1" applyBorder="1" applyAlignment="1">
      <alignment horizontal="left" vertical="center" wrapText="1"/>
    </xf>
    <xf numFmtId="0" fontId="25" fillId="0" borderId="5" xfId="0" applyFont="1" applyBorder="1" applyAlignment="1">
      <alignment horizontal="center" wrapText="1"/>
    </xf>
    <xf numFmtId="0" fontId="24" fillId="0" borderId="1" xfId="0" applyFont="1" applyBorder="1"/>
    <xf numFmtId="167" fontId="24" fillId="0" borderId="2" xfId="0" applyNumberFormat="1" applyFont="1" applyBorder="1"/>
    <xf numFmtId="167" fontId="24" fillId="0" borderId="3" xfId="0" applyNumberFormat="1" applyFont="1" applyBorder="1"/>
    <xf numFmtId="0" fontId="24" fillId="0" borderId="7" xfId="0" applyFont="1" applyBorder="1" applyAlignment="1">
      <alignment wrapText="1"/>
    </xf>
    <xf numFmtId="0" fontId="24" fillId="0" borderId="4" xfId="0" applyFont="1" applyBorder="1" applyAlignment="1">
      <alignment wrapText="1"/>
    </xf>
    <xf numFmtId="168" fontId="24" fillId="0" borderId="6" xfId="1" applyNumberFormat="1" applyFont="1" applyBorder="1"/>
    <xf numFmtId="43" fontId="24" fillId="0" borderId="8" xfId="1" applyFont="1" applyBorder="1"/>
    <xf numFmtId="43" fontId="24" fillId="0" borderId="9" xfId="1" applyFont="1" applyBorder="1"/>
    <xf numFmtId="9" fontId="24" fillId="2" borderId="5" xfId="2" applyFont="1" applyFill="1" applyBorder="1" applyAlignment="1">
      <alignment vertical="center"/>
    </xf>
    <xf numFmtId="2" fontId="24" fillId="2" borderId="5" xfId="0" applyNumberFormat="1" applyFont="1" applyFill="1" applyBorder="1" applyAlignment="1">
      <alignment vertical="center"/>
    </xf>
    <xf numFmtId="0" fontId="25" fillId="9" borderId="32" xfId="0" applyFont="1" applyFill="1" applyBorder="1" applyAlignment="1">
      <alignment wrapText="1"/>
    </xf>
    <xf numFmtId="0" fontId="25" fillId="9" borderId="33" xfId="0" applyFont="1" applyFill="1" applyBorder="1"/>
    <xf numFmtId="0" fontId="33" fillId="0" borderId="5" xfId="109" applyFont="1" applyFill="1" applyBorder="1" applyAlignment="1" applyProtection="1"/>
    <xf numFmtId="0" fontId="33" fillId="0" borderId="5" xfId="87" applyFont="1" applyFill="1" applyBorder="1" applyAlignment="1" applyProtection="1">
      <alignment horizontal="left" vertical="center" wrapText="1"/>
    </xf>
    <xf numFmtId="0" fontId="24" fillId="0" borderId="5" xfId="0" applyFont="1" applyFill="1" applyBorder="1" applyAlignment="1">
      <alignment horizontal="center"/>
    </xf>
    <xf numFmtId="9" fontId="24" fillId="0" borderId="0" xfId="2" applyFont="1"/>
    <xf numFmtId="0" fontId="25" fillId="0" borderId="5" xfId="0" applyFont="1" applyBorder="1" applyAlignment="1">
      <alignment wrapText="1"/>
    </xf>
    <xf numFmtId="0" fontId="24" fillId="0" borderId="5" xfId="0" applyFont="1" applyFill="1" applyBorder="1" applyAlignment="1">
      <alignment horizontal="center"/>
    </xf>
    <xf numFmtId="0" fontId="24" fillId="0" borderId="4" xfId="0" applyFont="1" applyBorder="1" applyAlignment="1">
      <alignment horizontal="left" wrapText="1"/>
    </xf>
    <xf numFmtId="166" fontId="24" fillId="0" borderId="6" xfId="0" applyNumberFormat="1" applyFont="1" applyBorder="1"/>
    <xf numFmtId="0" fontId="25" fillId="0" borderId="7" xfId="0" applyFont="1" applyBorder="1" applyAlignment="1">
      <alignment horizontal="left" wrapText="1"/>
    </xf>
    <xf numFmtId="0" fontId="24" fillId="0" borderId="8" xfId="0" applyFont="1" applyBorder="1" applyAlignment="1">
      <alignment horizontal="left" wrapText="1"/>
    </xf>
    <xf numFmtId="0" fontId="24" fillId="0" borderId="8" xfId="0" applyFont="1" applyBorder="1"/>
    <xf numFmtId="0" fontId="24" fillId="0" borderId="9" xfId="0" applyFont="1" applyBorder="1"/>
    <xf numFmtId="0" fontId="24" fillId="0" borderId="6" xfId="0" applyFont="1" applyBorder="1"/>
    <xf numFmtId="0" fontId="24" fillId="0" borderId="4" xfId="3" applyFont="1" applyBorder="1" applyAlignment="1" applyProtection="1">
      <alignment horizontal="left" wrapText="1"/>
    </xf>
    <xf numFmtId="167" fontId="24" fillId="0" borderId="6" xfId="0" applyNumberFormat="1" applyFont="1" applyBorder="1"/>
    <xf numFmtId="1" fontId="24" fillId="0" borderId="6" xfId="0" applyNumberFormat="1" applyFont="1" applyBorder="1"/>
    <xf numFmtId="0" fontId="24" fillId="0" borderId="4" xfId="0" applyFont="1" applyFill="1" applyBorder="1" applyAlignment="1">
      <alignment horizontal="left" wrapText="1"/>
    </xf>
    <xf numFmtId="2" fontId="24" fillId="0" borderId="6" xfId="0" applyNumberFormat="1" applyFont="1" applyFill="1" applyBorder="1"/>
    <xf numFmtId="43" fontId="24" fillId="0" borderId="6" xfId="1" applyFont="1" applyBorder="1"/>
    <xf numFmtId="0" fontId="24" fillId="0" borderId="40" xfId="0" applyFont="1" applyBorder="1"/>
    <xf numFmtId="2" fontId="24" fillId="0" borderId="6" xfId="0" applyNumberFormat="1" applyFont="1" applyBorder="1"/>
    <xf numFmtId="169" fontId="24" fillId="0" borderId="6" xfId="1" applyNumberFormat="1" applyFont="1" applyBorder="1" applyAlignment="1"/>
    <xf numFmtId="166" fontId="24" fillId="0" borderId="6" xfId="0" applyNumberFormat="1" applyFont="1" applyFill="1" applyBorder="1"/>
    <xf numFmtId="0" fontId="24" fillId="0" borderId="41" xfId="0" applyFont="1" applyBorder="1" applyAlignment="1">
      <alignment horizontal="left" wrapText="1"/>
    </xf>
    <xf numFmtId="0" fontId="24" fillId="0" borderId="0" xfId="0" applyFont="1" applyBorder="1" applyAlignment="1">
      <alignment horizontal="left" wrapText="1"/>
    </xf>
    <xf numFmtId="43" fontId="24" fillId="0" borderId="6" xfId="1" applyFont="1" applyBorder="1" applyAlignment="1">
      <alignment horizontal="left" wrapText="1"/>
    </xf>
    <xf numFmtId="0" fontId="24" fillId="0" borderId="7" xfId="0" applyFont="1" applyBorder="1" applyAlignment="1">
      <alignment horizontal="left" wrapText="1"/>
    </xf>
    <xf numFmtId="43" fontId="24" fillId="0" borderId="8" xfId="1" applyFont="1" applyBorder="1" applyAlignment="1">
      <alignment horizontal="left" wrapText="1"/>
    </xf>
    <xf numFmtId="43" fontId="24" fillId="0" borderId="9" xfId="1" applyFont="1" applyBorder="1" applyAlignment="1">
      <alignment horizontal="left" wrapText="1"/>
    </xf>
    <xf numFmtId="0" fontId="24" fillId="0" borderId="41" xfId="0" applyFont="1" applyBorder="1"/>
    <xf numFmtId="0" fontId="24" fillId="0" borderId="4" xfId="0" applyFont="1" applyBorder="1"/>
    <xf numFmtId="0" fontId="24" fillId="0" borderId="4" xfId="0" applyFont="1" applyBorder="1" applyAlignment="1">
      <alignment horizontal="left"/>
    </xf>
    <xf numFmtId="2" fontId="24" fillId="0" borderId="6" xfId="0" applyNumberFormat="1" applyFont="1" applyBorder="1" applyAlignment="1">
      <alignment horizontal="right" vertical="top" wrapText="1"/>
    </xf>
    <xf numFmtId="2" fontId="24" fillId="0" borderId="8" xfId="0" applyNumberFormat="1" applyFont="1" applyBorder="1"/>
    <xf numFmtId="0" fontId="24" fillId="0" borderId="4" xfId="0" applyFont="1" applyBorder="1" applyAlignment="1">
      <alignment horizontal="center"/>
    </xf>
    <xf numFmtId="43" fontId="24" fillId="0" borderId="4" xfId="0" applyNumberFormat="1" applyFont="1" applyBorder="1"/>
    <xf numFmtId="43" fontId="24" fillId="0" borderId="6" xfId="0" applyNumberFormat="1" applyFont="1" applyBorder="1"/>
    <xf numFmtId="43" fontId="24" fillId="0" borderId="4" xfId="0" applyNumberFormat="1" applyFont="1" applyFill="1" applyBorder="1"/>
    <xf numFmtId="43" fontId="24" fillId="0" borderId="6" xfId="0" applyNumberFormat="1" applyFont="1" applyFill="1" applyBorder="1"/>
    <xf numFmtId="43" fontId="24" fillId="0" borderId="6" xfId="0" applyNumberFormat="1" applyFont="1" applyFill="1" applyBorder="1" applyAlignment="1">
      <alignment horizontal="center"/>
    </xf>
    <xf numFmtId="43" fontId="24" fillId="0" borderId="4" xfId="1" applyFont="1" applyFill="1" applyBorder="1"/>
    <xf numFmtId="43" fontId="24" fillId="0" borderId="6" xfId="1" applyFont="1" applyFill="1" applyBorder="1"/>
    <xf numFmtId="43" fontId="24" fillId="0" borderId="4" xfId="1" applyFont="1" applyBorder="1"/>
    <xf numFmtId="167" fontId="24" fillId="0" borderId="6" xfId="0" applyNumberFormat="1" applyFont="1" applyFill="1" applyBorder="1"/>
    <xf numFmtId="43" fontId="24" fillId="0" borderId="6" xfId="1" applyFont="1" applyFill="1" applyBorder="1" applyAlignment="1">
      <alignment horizontal="center"/>
    </xf>
    <xf numFmtId="43" fontId="24" fillId="0" borderId="0" xfId="1" applyFont="1" applyBorder="1"/>
    <xf numFmtId="43" fontId="24" fillId="0" borderId="7" xfId="0" applyNumberFormat="1" applyFont="1" applyFill="1" applyBorder="1" applyAlignment="1">
      <alignment wrapText="1"/>
    </xf>
    <xf numFmtId="0" fontId="24" fillId="0" borderId="4" xfId="0" applyFont="1" applyBorder="1" applyAlignment="1">
      <alignment horizontal="center" vertical="center" wrapText="1"/>
    </xf>
    <xf numFmtId="0" fontId="24" fillId="0" borderId="6" xfId="0" applyFont="1" applyBorder="1" applyAlignment="1">
      <alignment horizontal="center" vertical="center" wrapText="1"/>
    </xf>
    <xf numFmtId="0" fontId="24" fillId="0" borderId="7" xfId="0" applyFont="1" applyBorder="1"/>
    <xf numFmtId="1" fontId="24" fillId="0" borderId="8" xfId="0" applyNumberFormat="1" applyFont="1" applyBorder="1"/>
    <xf numFmtId="1" fontId="24" fillId="0" borderId="9" xfId="0" applyNumberFormat="1" applyFont="1" applyBorder="1"/>
    <xf numFmtId="0" fontId="24" fillId="0" borderId="4" xfId="0" applyFont="1" applyFill="1" applyBorder="1"/>
    <xf numFmtId="2" fontId="24" fillId="0" borderId="9" xfId="0" applyNumberFormat="1" applyFont="1" applyBorder="1"/>
    <xf numFmtId="164" fontId="24" fillId="0" borderId="6" xfId="0" applyNumberFormat="1" applyFont="1" applyBorder="1"/>
    <xf numFmtId="0" fontId="24" fillId="0" borderId="46" xfId="0" applyFont="1" applyBorder="1"/>
    <xf numFmtId="165" fontId="24" fillId="0" borderId="6" xfId="0" applyNumberFormat="1" applyFont="1" applyBorder="1"/>
    <xf numFmtId="165" fontId="24" fillId="0" borderId="40" xfId="0" applyNumberFormat="1" applyFont="1" applyBorder="1"/>
    <xf numFmtId="168" fontId="24" fillId="0" borderId="4" xfId="1" applyNumberFormat="1" applyFont="1" applyBorder="1"/>
    <xf numFmtId="9" fontId="24" fillId="0" borderId="6" xfId="0" applyNumberFormat="1" applyFont="1" applyBorder="1"/>
    <xf numFmtId="1" fontId="24" fillId="0" borderId="6" xfId="0" applyNumberFormat="1" applyFont="1" applyBorder="1" applyAlignment="1">
      <alignment horizontal="right"/>
    </xf>
    <xf numFmtId="1" fontId="24" fillId="0" borderId="40" xfId="0" applyNumberFormat="1" applyFont="1" applyBorder="1" applyAlignment="1">
      <alignment horizontal="right"/>
    </xf>
    <xf numFmtId="166" fontId="24" fillId="0" borderId="40" xfId="0" applyNumberFormat="1" applyFont="1" applyBorder="1"/>
    <xf numFmtId="9" fontId="24" fillId="0" borderId="8" xfId="0" applyNumberFormat="1" applyFont="1" applyBorder="1"/>
    <xf numFmtId="175" fontId="24" fillId="2" borderId="5" xfId="2" applyNumberFormat="1" applyFont="1" applyFill="1" applyBorder="1"/>
    <xf numFmtId="0" fontId="24" fillId="0" borderId="5" xfId="0" applyFont="1" applyFill="1" applyBorder="1" applyAlignment="1">
      <alignment horizontal="left" vertical="center" wrapText="1"/>
    </xf>
    <xf numFmtId="43" fontId="24" fillId="2" borderId="5" xfId="1" applyFont="1" applyFill="1" applyBorder="1" applyAlignment="1">
      <alignment vertical="center"/>
    </xf>
    <xf numFmtId="43" fontId="24" fillId="2" borderId="5" xfId="1" applyNumberFormat="1" applyFont="1" applyFill="1" applyBorder="1"/>
    <xf numFmtId="169" fontId="24" fillId="2" borderId="5" xfId="1" applyNumberFormat="1" applyFont="1" applyFill="1" applyBorder="1" applyAlignment="1">
      <alignment vertical="center"/>
    </xf>
    <xf numFmtId="177" fontId="24" fillId="2" borderId="5" xfId="0" applyNumberFormat="1" applyFont="1" applyFill="1" applyBorder="1"/>
    <xf numFmtId="0" fontId="33" fillId="0" borderId="5" xfId="109" applyFont="1" applyFill="1" applyBorder="1" applyAlignment="1" applyProtection="1">
      <alignment horizontal="left" vertical="center" wrapText="1"/>
    </xf>
    <xf numFmtId="177" fontId="24" fillId="2" borderId="5" xfId="1" applyNumberFormat="1" applyFont="1" applyFill="1" applyBorder="1" applyAlignment="1">
      <alignment vertical="center"/>
    </xf>
    <xf numFmtId="43" fontId="24" fillId="2" borderId="5" xfId="1" applyNumberFormat="1" applyFont="1" applyFill="1" applyBorder="1" applyAlignment="1">
      <alignment vertical="center"/>
    </xf>
    <xf numFmtId="0" fontId="24" fillId="0" borderId="0" xfId="46" applyFont="1"/>
    <xf numFmtId="0" fontId="24" fillId="0" borderId="5" xfId="46" applyFont="1" applyFill="1" applyBorder="1" applyAlignment="1">
      <alignment horizontal="center" wrapText="1"/>
    </xf>
    <xf numFmtId="0" fontId="24" fillId="0" borderId="5" xfId="46" applyFont="1" applyFill="1" applyBorder="1" applyAlignment="1">
      <alignment horizontal="center"/>
    </xf>
    <xf numFmtId="43" fontId="24" fillId="0" borderId="5" xfId="1" applyFont="1" applyFill="1" applyBorder="1" applyAlignment="1">
      <alignment wrapText="1"/>
    </xf>
    <xf numFmtId="0" fontId="24" fillId="0" borderId="5" xfId="46" applyFont="1" applyBorder="1" applyAlignment="1">
      <alignment wrapText="1"/>
    </xf>
    <xf numFmtId="0" fontId="24" fillId="0" borderId="5" xfId="46" applyFont="1" applyBorder="1"/>
    <xf numFmtId="0" fontId="24" fillId="0" borderId="5" xfId="46" applyFont="1" applyFill="1" applyBorder="1" applyAlignment="1">
      <alignment wrapText="1"/>
    </xf>
    <xf numFmtId="0" fontId="24" fillId="0" borderId="5" xfId="46" applyFont="1" applyFill="1" applyBorder="1"/>
    <xf numFmtId="43" fontId="25" fillId="0" borderId="5" xfId="46" applyNumberFormat="1" applyFont="1" applyFill="1" applyBorder="1"/>
    <xf numFmtId="0" fontId="25" fillId="0" borderId="5" xfId="46" applyFont="1" applyFill="1" applyBorder="1"/>
    <xf numFmtId="0" fontId="25" fillId="0" borderId="10" xfId="0" applyFont="1" applyFill="1" applyBorder="1" applyAlignment="1">
      <alignment horizontal="left"/>
    </xf>
    <xf numFmtId="0" fontId="25" fillId="0" borderId="11" xfId="0" applyFont="1" applyFill="1" applyBorder="1" applyAlignment="1">
      <alignment horizontal="left"/>
    </xf>
    <xf numFmtId="0" fontId="25" fillId="0" borderId="12" xfId="0" applyFont="1" applyFill="1" applyBorder="1" applyAlignment="1">
      <alignment horizontal="left"/>
    </xf>
    <xf numFmtId="0" fontId="24" fillId="0" borderId="10" xfId="0" applyFont="1" applyFill="1" applyBorder="1" applyAlignment="1">
      <alignment horizontal="left" vertical="center"/>
    </xf>
    <xf numFmtId="0" fontId="24" fillId="0" borderId="11" xfId="0" applyFont="1" applyBorder="1" applyAlignment="1">
      <alignment horizontal="left" vertical="center"/>
    </xf>
    <xf numFmtId="0" fontId="24" fillId="0" borderId="12" xfId="0" applyFont="1" applyBorder="1" applyAlignment="1">
      <alignment horizontal="left" vertical="center"/>
    </xf>
    <xf numFmtId="0" fontId="24" fillId="0" borderId="5" xfId="0" applyFont="1" applyFill="1" applyBorder="1" applyAlignment="1">
      <alignment horizontal="left" vertical="center"/>
    </xf>
    <xf numFmtId="0" fontId="24" fillId="0" borderId="10" xfId="0" applyFont="1" applyFill="1" applyBorder="1" applyAlignment="1">
      <alignment horizontal="center" vertical="center"/>
    </xf>
    <xf numFmtId="0" fontId="24" fillId="0" borderId="11" xfId="0" applyFont="1" applyFill="1" applyBorder="1" applyAlignment="1">
      <alignment horizontal="center" vertical="center"/>
    </xf>
    <xf numFmtId="0" fontId="24" fillId="0" borderId="10" xfId="0" applyFont="1" applyFill="1" applyBorder="1" applyAlignment="1">
      <alignment horizontal="center"/>
    </xf>
    <xf numFmtId="0" fontId="24" fillId="0" borderId="11" xfId="0" applyFont="1" applyFill="1" applyBorder="1" applyAlignment="1">
      <alignment horizontal="center"/>
    </xf>
    <xf numFmtId="0" fontId="24" fillId="0" borderId="10" xfId="0" applyFont="1" applyFill="1" applyBorder="1" applyAlignment="1">
      <alignment horizontal="left"/>
    </xf>
    <xf numFmtId="0" fontId="24" fillId="0" borderId="11" xfId="0" applyFont="1" applyFill="1" applyBorder="1" applyAlignment="1">
      <alignment horizontal="left"/>
    </xf>
    <xf numFmtId="0" fontId="24" fillId="0" borderId="12" xfId="0" applyFont="1" applyFill="1" applyBorder="1" applyAlignment="1">
      <alignment horizontal="left"/>
    </xf>
    <xf numFmtId="0" fontId="24" fillId="0" borderId="16" xfId="0" applyFont="1" applyFill="1" applyBorder="1" applyAlignment="1">
      <alignment horizontal="left" vertical="center" wrapText="1"/>
    </xf>
    <xf numFmtId="0" fontId="24" fillId="0" borderId="15" xfId="0" applyFont="1" applyFill="1" applyBorder="1" applyAlignment="1">
      <alignment horizontal="left" vertical="center" wrapText="1"/>
    </xf>
    <xf numFmtId="0" fontId="24" fillId="0" borderId="5" xfId="0" applyFont="1" applyFill="1" applyBorder="1" applyAlignment="1">
      <alignment horizontal="left"/>
    </xf>
    <xf numFmtId="0" fontId="24" fillId="0" borderId="5" xfId="0" applyFont="1" applyBorder="1" applyAlignment="1">
      <alignment horizontal="left" vertical="center"/>
    </xf>
    <xf numFmtId="0" fontId="24" fillId="0" borderId="21"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5" fillId="0" borderId="5" xfId="0" applyFont="1" applyFill="1" applyBorder="1" applyAlignment="1">
      <alignment horizontal="left"/>
    </xf>
    <xf numFmtId="0" fontId="24" fillId="0" borderId="5" xfId="0" applyFont="1" applyBorder="1" applyAlignment="1">
      <alignment horizontal="left" vertical="center" wrapText="1"/>
    </xf>
    <xf numFmtId="0" fontId="24" fillId="0" borderId="5" xfId="0" applyFont="1" applyBorder="1" applyAlignment="1">
      <alignment vertical="center"/>
    </xf>
    <xf numFmtId="0" fontId="24" fillId="0" borderId="5" xfId="0" applyFont="1" applyBorder="1" applyAlignment="1">
      <alignment horizontal="left"/>
    </xf>
    <xf numFmtId="0" fontId="24" fillId="0" borderId="0" xfId="0" applyFont="1" applyFill="1" applyAlignment="1">
      <alignment horizontal="left"/>
    </xf>
    <xf numFmtId="0" fontId="24" fillId="0" borderId="11" xfId="0" applyFont="1" applyFill="1" applyBorder="1" applyAlignment="1">
      <alignment horizontal="left" vertical="center"/>
    </xf>
    <xf numFmtId="0" fontId="24" fillId="0" borderId="12" xfId="0" applyFont="1" applyFill="1" applyBorder="1" applyAlignment="1">
      <alignment horizontal="left" vertical="center"/>
    </xf>
    <xf numFmtId="0" fontId="25" fillId="10" borderId="0" xfId="0" applyFont="1" applyFill="1" applyAlignment="1">
      <alignment horizontal="left" wrapText="1"/>
    </xf>
    <xf numFmtId="0" fontId="25" fillId="10" borderId="47" xfId="0" applyFont="1" applyFill="1" applyBorder="1" applyAlignment="1">
      <alignment horizontal="left"/>
    </xf>
    <xf numFmtId="43" fontId="25" fillId="0" borderId="5" xfId="46" applyNumberFormat="1" applyFont="1" applyFill="1" applyBorder="1" applyAlignment="1">
      <alignment horizontal="center"/>
    </xf>
    <xf numFmtId="0" fontId="24" fillId="0" borderId="14" xfId="46" applyFont="1" applyBorder="1" applyAlignment="1">
      <alignment horizontal="center"/>
    </xf>
    <xf numFmtId="0" fontId="25" fillId="0" borderId="5" xfId="46" applyFont="1" applyFill="1" applyBorder="1" applyAlignment="1">
      <alignment horizontal="center"/>
    </xf>
    <xf numFmtId="0" fontId="25" fillId="0" borderId="10" xfId="46" applyFont="1" applyFill="1" applyBorder="1" applyAlignment="1">
      <alignment horizontal="center"/>
    </xf>
    <xf numFmtId="0" fontId="25" fillId="0" borderId="11" xfId="46" applyFont="1" applyFill="1" applyBorder="1" applyAlignment="1">
      <alignment horizontal="center"/>
    </xf>
    <xf numFmtId="0" fontId="25" fillId="0" borderId="12" xfId="46" applyFont="1" applyFill="1" applyBorder="1" applyAlignment="1">
      <alignment horizontal="center"/>
    </xf>
    <xf numFmtId="43" fontId="24" fillId="0" borderId="16" xfId="1" applyFont="1" applyFill="1" applyBorder="1" applyAlignment="1">
      <alignment horizontal="left" vertical="center" wrapText="1"/>
    </xf>
    <xf numFmtId="43" fontId="24" fillId="0" borderId="21" xfId="1" applyFont="1" applyFill="1" applyBorder="1" applyAlignment="1">
      <alignment horizontal="left" vertical="center" wrapText="1"/>
    </xf>
    <xf numFmtId="43" fontId="24" fillId="0" borderId="15" xfId="1" applyFont="1" applyFill="1" applyBorder="1" applyAlignment="1">
      <alignment horizontal="left" vertical="center" wrapText="1"/>
    </xf>
    <xf numFmtId="0" fontId="24" fillId="0" borderId="5" xfId="46" applyFont="1" applyBorder="1" applyAlignment="1">
      <alignment horizontal="center" vertical="center" wrapText="1"/>
    </xf>
    <xf numFmtId="0" fontId="24" fillId="0" borderId="4" xfId="0" applyFont="1" applyBorder="1" applyAlignment="1">
      <alignment horizontal="left"/>
    </xf>
    <xf numFmtId="0" fontId="24" fillId="0" borderId="7" xfId="0" applyFont="1" applyBorder="1" applyAlignment="1">
      <alignment horizontal="left"/>
    </xf>
    <xf numFmtId="0" fontId="24" fillId="0" borderId="8" xfId="0" applyFont="1" applyBorder="1" applyAlignment="1">
      <alignment horizontal="left"/>
    </xf>
    <xf numFmtId="0" fontId="24" fillId="0" borderId="4" xfId="0" applyFont="1" applyBorder="1" applyAlignment="1">
      <alignment horizontal="center"/>
    </xf>
    <xf numFmtId="0" fontId="24" fillId="0" borderId="5" xfId="0" applyFont="1" applyBorder="1" applyAlignment="1">
      <alignment horizontal="center"/>
    </xf>
    <xf numFmtId="0" fontId="24" fillId="0" borderId="5" xfId="0" applyFont="1" applyBorder="1" applyAlignment="1">
      <alignment wrapText="1"/>
    </xf>
    <xf numFmtId="0" fontId="24" fillId="0" borderId="8" xfId="0" applyFont="1" applyBorder="1" applyAlignment="1">
      <alignment wrapText="1"/>
    </xf>
    <xf numFmtId="0" fontId="25" fillId="9" borderId="37" xfId="0" applyFont="1" applyFill="1" applyBorder="1" applyAlignment="1">
      <alignment horizontal="left"/>
    </xf>
    <xf numFmtId="0" fontId="25" fillId="9" borderId="38" xfId="0" applyFont="1" applyFill="1" applyBorder="1" applyAlignment="1">
      <alignment horizontal="left"/>
    </xf>
    <xf numFmtId="0" fontId="25" fillId="9" borderId="39" xfId="0" applyFont="1" applyFill="1" applyBorder="1" applyAlignment="1">
      <alignment horizontal="left"/>
    </xf>
    <xf numFmtId="0" fontId="25" fillId="9" borderId="1" xfId="0" applyFont="1" applyFill="1" applyBorder="1" applyAlignment="1">
      <alignment horizontal="left"/>
    </xf>
    <xf numFmtId="0" fontId="25" fillId="9" borderId="2" xfId="0" applyFont="1" applyFill="1" applyBorder="1" applyAlignment="1">
      <alignment horizontal="left"/>
    </xf>
    <xf numFmtId="0" fontId="25" fillId="9" borderId="3" xfId="0" applyFont="1" applyFill="1" applyBorder="1" applyAlignment="1">
      <alignment horizontal="left"/>
    </xf>
    <xf numFmtId="0" fontId="25" fillId="9" borderId="37" xfId="3" applyFont="1" applyFill="1" applyBorder="1" applyAlignment="1" applyProtection="1">
      <alignment horizontal="left" wrapText="1"/>
    </xf>
    <xf numFmtId="0" fontId="25" fillId="9" borderId="38" xfId="3" applyFont="1" applyFill="1" applyBorder="1" applyAlignment="1" applyProtection="1">
      <alignment horizontal="left" wrapText="1"/>
    </xf>
    <xf numFmtId="0" fontId="25" fillId="9" borderId="39" xfId="3" applyFont="1" applyFill="1" applyBorder="1" applyAlignment="1" applyProtection="1">
      <alignment horizontal="left" wrapText="1"/>
    </xf>
    <xf numFmtId="0" fontId="25" fillId="9" borderId="1" xfId="0" applyFont="1" applyFill="1" applyBorder="1" applyAlignment="1">
      <alignment horizontal="left" wrapText="1"/>
    </xf>
    <xf numFmtId="0" fontId="25" fillId="9" borderId="2" xfId="0" applyFont="1" applyFill="1" applyBorder="1" applyAlignment="1">
      <alignment horizontal="left" wrapText="1"/>
    </xf>
    <xf numFmtId="0" fontId="25" fillId="9" borderId="3" xfId="0" applyFont="1" applyFill="1" applyBorder="1" applyAlignment="1">
      <alignment horizontal="left" wrapText="1"/>
    </xf>
    <xf numFmtId="10" fontId="25" fillId="0" borderId="34" xfId="2" applyNumberFormat="1" applyFont="1" applyBorder="1" applyAlignment="1">
      <alignment horizontal="left" wrapText="1"/>
    </xf>
    <xf numFmtId="10" fontId="25" fillId="0" borderId="35" xfId="2" applyNumberFormat="1" applyFont="1" applyBorder="1" applyAlignment="1">
      <alignment horizontal="left" wrapText="1"/>
    </xf>
    <xf numFmtId="10" fontId="25" fillId="0" borderId="36" xfId="2" applyNumberFormat="1" applyFont="1" applyBorder="1" applyAlignment="1">
      <alignment horizontal="left" wrapText="1"/>
    </xf>
    <xf numFmtId="0" fontId="25" fillId="9" borderId="43" xfId="0" applyFont="1" applyFill="1" applyBorder="1" applyAlignment="1">
      <alignment horizontal="left" wrapText="1"/>
    </xf>
    <xf numFmtId="0" fontId="25" fillId="9" borderId="44" xfId="0" applyFont="1" applyFill="1" applyBorder="1" applyAlignment="1">
      <alignment horizontal="left" wrapText="1"/>
    </xf>
    <xf numFmtId="0" fontId="25" fillId="9" borderId="45" xfId="0" applyFont="1" applyFill="1" applyBorder="1" applyAlignment="1">
      <alignment horizontal="left" wrapText="1"/>
    </xf>
    <xf numFmtId="0" fontId="25" fillId="9" borderId="37" xfId="0" applyFont="1" applyFill="1" applyBorder="1" applyAlignment="1">
      <alignment horizontal="left" wrapText="1"/>
    </xf>
    <xf numFmtId="0" fontId="25" fillId="9" borderId="38" xfId="0" applyFont="1" applyFill="1" applyBorder="1" applyAlignment="1">
      <alignment horizontal="left" wrapText="1"/>
    </xf>
    <xf numFmtId="0" fontId="25" fillId="9" borderId="39" xfId="0" applyFont="1" applyFill="1" applyBorder="1" applyAlignment="1">
      <alignment horizontal="left" wrapText="1"/>
    </xf>
    <xf numFmtId="0" fontId="24" fillId="0" borderId="42" xfId="0" applyFont="1" applyBorder="1" applyAlignment="1">
      <alignment horizontal="left" vertical="top" wrapText="1"/>
    </xf>
    <xf numFmtId="0" fontId="24" fillId="0" borderId="14" xfId="0" applyFont="1" applyBorder="1" applyAlignment="1">
      <alignment horizontal="left" vertical="top" wrapText="1"/>
    </xf>
    <xf numFmtId="165" fontId="24" fillId="0" borderId="5" xfId="0" applyNumberFormat="1" applyFont="1" applyBorder="1" applyAlignment="1">
      <alignment horizontal="left"/>
    </xf>
    <xf numFmtId="0" fontId="24" fillId="0" borderId="6" xfId="0" applyFont="1" applyBorder="1" applyAlignment="1">
      <alignment horizontal="center"/>
    </xf>
    <xf numFmtId="0" fontId="24" fillId="0" borderId="5" xfId="0" applyFont="1" applyFill="1" applyBorder="1" applyAlignment="1">
      <alignment horizontal="center" wrapText="1"/>
    </xf>
    <xf numFmtId="0" fontId="25" fillId="0" borderId="5" xfId="0" applyFont="1" applyFill="1" applyBorder="1" applyAlignment="1">
      <alignment horizontal="center"/>
    </xf>
    <xf numFmtId="0" fontId="25" fillId="0" borderId="10" xfId="0" applyFont="1" applyFill="1" applyBorder="1" applyAlignment="1">
      <alignment horizontal="center"/>
    </xf>
    <xf numFmtId="0" fontId="25" fillId="0" borderId="12" xfId="0" applyFont="1" applyFill="1" applyBorder="1" applyAlignment="1">
      <alignment horizontal="center"/>
    </xf>
    <xf numFmtId="43" fontId="24" fillId="0" borderId="16" xfId="1" applyFont="1" applyFill="1" applyBorder="1" applyAlignment="1">
      <alignment horizontal="left" wrapText="1"/>
    </xf>
    <xf numFmtId="43" fontId="24" fillId="0" borderId="21" xfId="1" applyFont="1" applyFill="1" applyBorder="1" applyAlignment="1">
      <alignment horizontal="left" wrapText="1"/>
    </xf>
    <xf numFmtId="43" fontId="24" fillId="0" borderId="15" xfId="1" applyFont="1" applyFill="1" applyBorder="1" applyAlignment="1">
      <alignment horizontal="left" wrapText="1"/>
    </xf>
    <xf numFmtId="0" fontId="0" fillId="0" borderId="23" xfId="0" applyBorder="1" applyAlignment="1">
      <alignment horizontal="left" wrapText="1"/>
    </xf>
    <xf numFmtId="0" fontId="0" fillId="0" borderId="24" xfId="0" applyBorder="1" applyAlignment="1">
      <alignment horizontal="left" wrapText="1"/>
    </xf>
    <xf numFmtId="0" fontId="0" fillId="0" borderId="25" xfId="0" applyBorder="1" applyAlignment="1">
      <alignment horizontal="left" wrapText="1"/>
    </xf>
  </cellXfs>
  <cellStyles count="110">
    <cellStyle name=" Names" xfId="4"/>
    <cellStyle name=" Task]_x000d__x000a_TaskName=Scan At_x000d__x000a_TaskID=3_x000d__x000a_WorkstationName=SmarTone_x000d__x000a_LastExecuted=0_x000d__x000a_LastSt" xfId="5"/>
    <cellStyle name="_aux detail 13 9 07" xfId="6"/>
    <cellStyle name="_Torrent Power" xfId="102"/>
    <cellStyle name="=C:\WINNT35\SYSTEM32\COMMAND.COM" xfId="100"/>
    <cellStyle name="⋢b愼¢⋲b慠¢⌂b憄¢⌒b憨¢⌢b懌¢⌲b_x0005_DocumentSummaryInformation" xfId="7"/>
    <cellStyle name="⇢b㐤¢⇲b䮜¢∂b䮼¢−b䯜¢∢b䯼¢∲b_x0005_SummaryInformation" xfId="8"/>
    <cellStyle name="ↂb䭔¢→b䭸¢↢b㎄¢↲b㏄¢⇂b㏤¢⇒b㐄¢⇢b㐤¢⇲b䮜¢∂b䮼¢−b䯜¢∢b䯼¢∲b_x0005_SummaryInformation" xfId="9"/>
    <cellStyle name="AS" xfId="10"/>
    <cellStyle name="Body" xfId="11"/>
    <cellStyle name="⛲b哔£✂b哸£✒b啐£✢b啴£✲bUser Names" xfId="12"/>
    <cellStyle name="⎲b拄¢⏂b拸¢⏒b笌¢⏢b筀¢⏲b筬¢␂b箔¢␒b篌¢␢b捠¢␲b_x0001_CompObj" xfId="13"/>
    <cellStyle name="Calc" xfId="103"/>
    <cellStyle name="Calc Currency (0)" xfId="14"/>
    <cellStyle name="ⓒb擤¢ⓢb攨¢⓲b敜¢│b斔¢┒b絴¢┢b綜¢┲bCtls" xfId="15"/>
    <cellStyle name="Comma" xfId="1" builtinId="3"/>
    <cellStyle name="Comma 2" xfId="16"/>
    <cellStyle name="Comma 3" xfId="17"/>
    <cellStyle name="Comma 3 2" xfId="71"/>
    <cellStyle name="Comma 3 3" xfId="72"/>
    <cellStyle name="Comma 3 4" xfId="97"/>
    <cellStyle name="Comma 4" xfId="92"/>
    <cellStyle name="Comma 5" xfId="99"/>
    <cellStyle name="Copied" xfId="18"/>
    <cellStyle name="Currency 2" xfId="86"/>
    <cellStyle name="Date" xfId="19"/>
    <cellStyle name="Define your own named style" xfId="20"/>
    <cellStyle name="Draw lines around data in range" xfId="21"/>
    <cellStyle name="Draw shadow and lines within range" xfId="22"/>
    <cellStyle name="Enlarge title text, yellow on blue" xfId="23"/>
    <cellStyle name="Entered" xfId="24"/>
    <cellStyle name="Euro" xfId="104"/>
    <cellStyle name="F2" xfId="25"/>
    <cellStyle name="F3" xfId="26"/>
    <cellStyle name="F4" xfId="27"/>
    <cellStyle name="F5" xfId="28"/>
    <cellStyle name="F6" xfId="29"/>
    <cellStyle name="F7" xfId="30"/>
    <cellStyle name="F8" xfId="31"/>
    <cellStyle name="Fixed" xfId="32"/>
    <cellStyle name="Format a column of totals" xfId="33"/>
    <cellStyle name="Format a row of totals" xfId="34"/>
    <cellStyle name="Format text as bold, black on yello" xfId="35"/>
    <cellStyle name="Grey" xfId="36"/>
    <cellStyle name="Header1" xfId="37"/>
    <cellStyle name="Header2" xfId="38"/>
    <cellStyle name="Heading1" xfId="39"/>
    <cellStyle name="Heading2" xfId="40"/>
    <cellStyle name="Hyperlink" xfId="109" builtinId="8"/>
    <cellStyle name="Hyperlink 2" xfId="41"/>
    <cellStyle name="Hyperlink 3" xfId="87"/>
    <cellStyle name="Input [yellow]" xfId="42"/>
    <cellStyle name="Linked" xfId="105"/>
    <cellStyle name="ls" xfId="43"/>
    <cellStyle name="no dec" xfId="44"/>
    <cellStyle name="Normal" xfId="0" builtinId="0"/>
    <cellStyle name="Normal - Style1" xfId="45"/>
    <cellStyle name="Normal 2" xfId="46"/>
    <cellStyle name="Normal 2 2" xfId="73"/>
    <cellStyle name="Normal 2 2 2" xfId="74"/>
    <cellStyle name="Normal 2 2 2 2" xfId="75"/>
    <cellStyle name="Normal 2 2 2 3" xfId="95"/>
    <cellStyle name="Normal 2 3" xfId="76"/>
    <cellStyle name="Normal 2 4" xfId="77"/>
    <cellStyle name="Normal 2 5" xfId="78"/>
    <cellStyle name="Normal 3" xfId="47"/>
    <cellStyle name="Normal 3 2" xfId="89"/>
    <cellStyle name="Normal 4" xfId="48"/>
    <cellStyle name="Normal 4 2" xfId="79"/>
    <cellStyle name="Normal 4 3" xfId="80"/>
    <cellStyle name="Normal 4 4" xfId="90"/>
    <cellStyle name="Normal 5" xfId="49"/>
    <cellStyle name="Normal 5 2" xfId="81"/>
    <cellStyle name="Normal 5 3" xfId="82"/>
    <cellStyle name="Normal 6" xfId="83"/>
    <cellStyle name="Normal 7" xfId="91"/>
    <cellStyle name="Normal 8" xfId="96"/>
    <cellStyle name="Normal 9" xfId="98"/>
    <cellStyle name="Normal_Sheet2" xfId="3"/>
    <cellStyle name="original cost" xfId="50"/>
    <cellStyle name="Percent" xfId="2" builtinId="5"/>
    <cellStyle name="Percent [2]" xfId="51"/>
    <cellStyle name="Percent 2" xfId="52"/>
    <cellStyle name="Percent 3" xfId="53"/>
    <cellStyle name="Percent 3 2" xfId="84"/>
    <cellStyle name="Percent 3 3" xfId="85"/>
    <cellStyle name="Percent 4" xfId="88"/>
    <cellStyle name="Percent 5" xfId="93"/>
    <cellStyle name="Percent 6" xfId="94"/>
    <cellStyle name="Percent 7" xfId="101"/>
    <cellStyle name="Placeholder" xfId="106"/>
    <cellStyle name="pObj" xfId="54"/>
    <cellStyle name="Reset range style to defaults" xfId="55"/>
    <cellStyle name="RevList" xfId="56"/>
    <cellStyle name="sion Log" xfId="57"/>
    <cellStyle name="Style 1" xfId="58"/>
    <cellStyle name="Subtotal" xfId="59"/>
    <cellStyle name="Temp" xfId="107"/>
    <cellStyle name="TextNormal" xfId="60"/>
    <cellStyle name="totalmarch" xfId="61"/>
    <cellStyle name="umentSummaryInformation" xfId="62"/>
    <cellStyle name="ummaryInformation" xfId="63"/>
    <cellStyle name="Value" xfId="108"/>
    <cellStyle name="즠¢➲b진¢⟂b짬¢⟒b쨈¢⟢b阨¢⟲b限¢⠂b陴¢⠒b隠¢⠢b雄¢⠲bBook" xfId="64"/>
    <cellStyle name="篌¢␢b捠¢␲b_x0001_CompObj" xfId="65"/>
    <cellStyle name="籄¢⒒b粰¢⒢b糤¢⒲b経¢Ⓜb撬¢ⓒb擤¢ⓢb攨¢⓲b敜¢│b斔¢┒b絴¢┢b綜¢┲bCtls" xfId="66"/>
    <cellStyle name="纐¢◒b纴¢◢b绘¢◲b缐¢☂b钰¢☒b铰¢☢b锘¢☲bRevision Log" xfId="67"/>
    <cellStyle name="鐄¢▂b鐴¢▒b鑜¢▢b针¢▲b繜¢◂b纐¢◒b纴¢◢b绘¢◲b缐¢☂b钰¢☒b铰¢☢b锘¢☲bRevision Log" xfId="68"/>
    <cellStyle name="門¢⚲b閤¢⛂b闼¢⛒b⯐¤⛢b⯴¤⛲b哔£✂b哸£✒b啐£✢b啴£✲bUser Names" xfId="69"/>
    <cellStyle name="陴¢⠒b隠¢⠢b雄¢⠲bBook" xfId="7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externalLink" Target="externalLinks/externalLink11.xml"/><Relationship Id="rId26" Type="http://schemas.openxmlformats.org/officeDocument/2006/relationships/externalLink" Target="externalLinks/externalLink19.xml"/><Relationship Id="rId3" Type="http://schemas.openxmlformats.org/officeDocument/2006/relationships/worksheet" Target="worksheets/sheet3.xml"/><Relationship Id="rId21" Type="http://schemas.openxmlformats.org/officeDocument/2006/relationships/externalLink" Target="externalLinks/externalLink14.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5" Type="http://schemas.openxmlformats.org/officeDocument/2006/relationships/externalLink" Target="externalLinks/externalLink18.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externalLink" Target="externalLinks/externalLink13.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24" Type="http://schemas.openxmlformats.org/officeDocument/2006/relationships/externalLink" Target="externalLinks/externalLink17.xml"/><Relationship Id="rId5" Type="http://schemas.openxmlformats.org/officeDocument/2006/relationships/worksheet" Target="worksheets/sheet5.xml"/><Relationship Id="rId15" Type="http://schemas.openxmlformats.org/officeDocument/2006/relationships/externalLink" Target="externalLinks/externalLink8.xml"/><Relationship Id="rId23" Type="http://schemas.openxmlformats.org/officeDocument/2006/relationships/externalLink" Target="externalLinks/externalLink16.xml"/><Relationship Id="rId28" Type="http://schemas.openxmlformats.org/officeDocument/2006/relationships/theme" Target="theme/theme1.xml"/><Relationship Id="rId10" Type="http://schemas.openxmlformats.org/officeDocument/2006/relationships/externalLink" Target="externalLinks/externalLink3.xml"/><Relationship Id="rId19" Type="http://schemas.openxmlformats.org/officeDocument/2006/relationships/externalLink" Target="externalLinks/externalLink12.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 Id="rId22" Type="http://schemas.openxmlformats.org/officeDocument/2006/relationships/externalLink" Target="externalLinks/externalLink15.xml"/><Relationship Id="rId27" Type="http://schemas.openxmlformats.org/officeDocument/2006/relationships/externalLink" Target="externalLinks/externalLink20.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usil\c\SAPpc\ccrcop010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Uppili\c\Monthly%20P&amp;L\sept'00\profit%20&amp;%20loss%20account.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DOCUME~1/0040/LOCALS~1/Temp/Purta%20Main%20&amp;%20Monthlly%20%200506%2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Energy/Power/Projects/Bhoruka/Bhoruka%202007/Projections/Bhoruka%20Model%20-%20IDFC%20Base%20Case_Final.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Energy/Power/Projects/Cethar%20Vessels/2007%20Proposal/Pre%20Sanction/Projections/IDFC_Cethar_Projections.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Priya/Work/Workings%20-%20priya%20for%20CDM/DGEN%20PDD/DGEN%20PDD%20models/IRR%20Calculation.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CDM/UNOSUGEN/Validation/IRR%20Calculation.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Uppili\c\Monthly%20P&amp;L\May'01\provisional%20P&amp;L1.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Uppili\c\My%20Documents\15th%20shipment\calculation%20sheet%20-%20provisional.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Indranil\c\UPPILI\december\Provisional%20Profit%20&amp;Loss%20account-till%20date.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idfcmum-fs\common\Documents%20and%20Settings\MUSHIR.KOREISHI\Desktop\TPL_Oct%2029_MY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WINDOWS/Desktop/Book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Pareek\c\SAPpc\pmp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OCT%20P&amp;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ocuments%20and%20Settings/rajivraghav/Local%20Settings/Temporary%20Internet%20Files/Content.Outlook/7B3V02OX/Rest%20of%20Torrent.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khilesh\akhilesh_c\uppili\BUDGET%2000-01\refinery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SUYEZ/Desktop/AEC%20Final%20Model.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ant\d\MIS%202003-04\Mis-Copper-April%202003.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Mis-ddc\c\Emails\Dipak\CarbonblackMi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areek\c\SAPpc\CCR.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inancial Perfor"/>
      <sheetName val="Top Sheet"/>
      <sheetName val="Assumptions"/>
      <sheetName val="prs"/>
      <sheetName val="Stores"/>
      <sheetName val="Petroleum"/>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PROCESS LOSS"/>
      <sheetName val="CONSUMPTION"/>
      <sheetName val="margin."/>
      <sheetName val="PM VALUE TABLE"/>
      <sheetName val="DETAILS"/>
      <sheetName val="marginRawmaterialCost"/>
      <sheetName val="sep'00"/>
      <sheetName val="calculation"/>
      <sheetName val="CONTANGO"/>
      <sheetName val="CONTANGO (2)"/>
      <sheetName val="P &amp; L"/>
      <sheetName val="P &amp; L (2)"/>
      <sheetName val="Sheet2"/>
      <sheetName val="P &amp; L pareek"/>
      <sheetName val="nord"/>
      <sheetName val="CASHFLOW lacs"/>
      <sheetName val="operating performance"/>
      <sheetName val="Sheet1"/>
      <sheetName val="summary-new"/>
      <sheetName val="P &amp; L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8">
          <cell r="I38">
            <v>817606.62494253123</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LE04 vs Budget05"/>
      <sheetName val="Main Sheet"/>
      <sheetName val="Monthly Break Up"/>
      <sheetName val="Detail Working"/>
      <sheetName val=" MonthhlyWORKING"/>
    </sheetNames>
    <sheetDataSet>
      <sheetData sheetId="0"/>
      <sheetData sheetId="1"/>
      <sheetData sheetId="2"/>
      <sheetData sheetId="3"/>
      <sheetData sheetId="4"/>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Input"/>
      <sheetName val="DB"/>
      <sheetName val="ABSTRACT"/>
      <sheetName val="Consolidated Financials"/>
      <sheetName val="Financials - Existing Projects"/>
      <sheetName val="Financials - New Projects"/>
      <sheetName val="PLF"/>
      <sheetName val="SATTEGALA"/>
      <sheetName val="SUGURU"/>
      <sheetName val="Dadupur"/>
      <sheetName val="Talakadu"/>
      <sheetName val="Manjadka"/>
      <sheetName val="Neria - II"/>
      <sheetName val="INTEREST"/>
      <sheetName val="Donithanda"/>
      <sheetName val="Naragunda"/>
      <sheetName val="D.S Halli 1"/>
      <sheetName val="Kumardhara"/>
      <sheetName val="acquisition1"/>
      <sheetName val="30mw hydro"/>
      <sheetName val="10mwhydro"/>
      <sheetName val="acquisition2"/>
      <sheetName val="D.S Halli 2"/>
      <sheetName val="Himachal pradesh"/>
    </sheetNames>
    <sheetDataSet>
      <sheetData sheetId="0">
        <row r="33">
          <cell r="H33">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Projections - Company Case"/>
      <sheetName val="Past Financials"/>
      <sheetName val="Input"/>
      <sheetName val="Assumptions"/>
      <sheetName val="LOANS"/>
      <sheetName val="Projections - Base Case"/>
    </sheetNames>
    <sheetDataSet>
      <sheetData sheetId="0"/>
      <sheetData sheetId="1"/>
      <sheetData sheetId="2">
        <row r="29">
          <cell r="H29">
            <v>9.5000000000000001E-2</v>
          </cell>
        </row>
      </sheetData>
      <sheetData sheetId="3"/>
      <sheetData sheetId="4"/>
      <sheetData sheetId="5"/>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Assumption"/>
      <sheetName val="depre"/>
      <sheetName val="term loan "/>
      <sheetName val="fuel"/>
      <sheetName val="Sheet1"/>
      <sheetName val="Financials-Project IRR - change"/>
      <sheetName val="Tax without CDM "/>
      <sheetName val="Financials-PIRR with CDM change"/>
      <sheetName val="Tax with CDM"/>
      <sheetName val="WACC"/>
      <sheetName val="Financials-Equity IRR"/>
      <sheetName val="Financials-Equity with CDM"/>
      <sheetName val="Financials with CDM"/>
      <sheetName val="Benchmark Calculation"/>
      <sheetName val="T119"/>
      <sheetName val="Beta Value"/>
      <sheetName val="BSE-500"/>
      <sheetName val="Summary"/>
    </sheetNames>
    <sheetDataSet>
      <sheetData sheetId="0"/>
      <sheetData sheetId="1"/>
      <sheetData sheetId="2">
        <row r="26">
          <cell r="C26">
            <v>1283.0999999999999</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Assumption"/>
      <sheetName val="Summary"/>
      <sheetName val="depre"/>
      <sheetName val="term loan "/>
      <sheetName val="fuel"/>
      <sheetName val="Sheet1"/>
      <sheetName val="Fuel Pricing"/>
      <sheetName val="Financials-Project IRR - change"/>
      <sheetName val="Tax without CDM "/>
      <sheetName val="Financials-PIRR with CDM change"/>
      <sheetName val="Tax with CDM"/>
      <sheetName val="WACC"/>
      <sheetName val="Financials-Equity IRR"/>
      <sheetName val="Financials-Equity with CDM"/>
      <sheetName val="Financials with CDM"/>
      <sheetName val="ROE for Benchmark Calculation"/>
      <sheetName val="T119"/>
      <sheetName val="BSE-500"/>
      <sheetName val="Beta Value"/>
      <sheetName val="Beta Screenshots"/>
    </sheetNames>
    <sheetDataSet>
      <sheetData sheetId="0"/>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sheetData sheetId="16" refreshError="1"/>
      <sheetData sheetId="17" refreshError="1"/>
      <sheetData sheetId="18" refreshError="1"/>
      <sheetData sheetId="19"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FWP "/>
      <sheetName val="CASHFLOW "/>
      <sheetName val="Sheet3"/>
      <sheetName val="CONTANGO (3)"/>
      <sheetName val="margin."/>
      <sheetName val="workings"/>
      <sheetName val="PM VALUE TABLE"/>
      <sheetName val="Break up of RMcost"/>
      <sheetName val="RawmaterialCost"/>
      <sheetName val="RM cons adj"/>
      <sheetName val="sales"/>
      <sheetName val="P &amp; L"/>
    </sheetNames>
    <sheetDataSet>
      <sheetData sheetId="0"/>
      <sheetData sheetId="1"/>
      <sheetData sheetId="2"/>
      <sheetData sheetId="3"/>
      <sheetData sheetId="4" refreshError="1">
        <row r="17">
          <cell r="I17">
            <v>-46027.598784338683</v>
          </cell>
        </row>
      </sheetData>
      <sheetData sheetId="5"/>
      <sheetData sheetId="6"/>
      <sheetData sheetId="7"/>
      <sheetData sheetId="8"/>
      <sheetData sheetId="9"/>
      <sheetData sheetId="10"/>
      <sheetData sheetId="1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da"/>
      <sheetName val="lot no 86"/>
      <sheetName val="lot no 87"/>
      <sheetName val="lot no 88"/>
      <sheetName val="lot no 89"/>
      <sheetName val="lot no 90"/>
      <sheetName val="lot no 91"/>
      <sheetName val="lot no 92"/>
      <sheetName val="lot no 93"/>
      <sheetName val="lot no 94"/>
      <sheetName val="TOTAL"/>
      <sheetName val="EXPORTS-FIN-FINPERF"/>
      <sheetName val="IMP-FP"/>
      <sheetName val="FP -Import"/>
      <sheetName val="Finance _PAP"/>
      <sheetName val="Finan- SMT"/>
      <sheetName val="Finan- sap"/>
      <sheetName val="Fin-CPP"/>
      <sheetName val="Chpd Variance"/>
      <sheetName val="MKT (2)"/>
      <sheetName val="CCR FP (2)"/>
      <sheetName val="Ref FP (2)"/>
      <sheetName val="ACP (2)"/>
      <sheetName val="PM (2)"/>
    </sheetNames>
    <sheetDataSet>
      <sheetData sheetId="0" refreshError="1"/>
      <sheetData sheetId="1" refreshError="1">
        <row r="28">
          <cell r="K28">
            <v>583.70000000000005</v>
          </cell>
        </row>
        <row r="29">
          <cell r="K29">
            <v>735.35</v>
          </cell>
        </row>
        <row r="31">
          <cell r="K31">
            <v>1934.8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summary (2)"/>
      <sheetName val="Sheet2"/>
      <sheetName val="margin working"/>
      <sheetName val="CONTANGO (2)"/>
      <sheetName val="CASHFLOW lacs"/>
      <sheetName val="P &amp; L (2)"/>
      <sheetName val="margin."/>
      <sheetName val="workings"/>
      <sheetName val="PM VALUE TABLE"/>
      <sheetName val="Break up of RMcost"/>
      <sheetName val="RawmaterialCost"/>
      <sheetName val="P &amp; L"/>
      <sheetName val="Sheet3"/>
      <sheetName val="Sheet1"/>
      <sheetName val="variance till date"/>
      <sheetName val="FWP"/>
      <sheetName val="sales"/>
      <sheetName val="P &amp; L (3)"/>
      <sheetName val="P &amp; L pareek"/>
      <sheetName val="nord"/>
      <sheetName val="summary-new"/>
    </sheetNames>
    <sheetDataSet>
      <sheetData sheetId="0" refreshError="1"/>
      <sheetData sheetId="1" refreshError="1"/>
      <sheetData sheetId="2" refreshError="1"/>
      <sheetData sheetId="3" refreshError="1"/>
      <sheetData sheetId="4" refreshError="1"/>
      <sheetData sheetId="5" refreshError="1"/>
      <sheetData sheetId="6" refreshError="1">
        <row r="4">
          <cell r="L4">
            <v>46.25</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SOTP"/>
      <sheetName val="Value Drivers"/>
      <sheetName val="PE valuation"/>
      <sheetName val="Portfolio"/>
      <sheetName val="Final Sheet"/>
      <sheetName val="past Use of Funds"/>
      <sheetName val="Exp.Tab"/>
      <sheetName val="Sensivities"/>
      <sheetName val="Key Assumptions"/>
      <sheetName val="TPL-Past Finanials"/>
      <sheetName val="Trf-Mvnt"/>
      <sheetName val="ROE-Cals"/>
      <sheetName val="Past Perf."/>
      <sheetName val="ARR"/>
      <sheetName val="Input"/>
      <sheetName val="AHD-Fuel"/>
      <sheetName val="SUG-Fuel"/>
      <sheetName val="assmptinsfy09"/>
      <sheetName val="Bh-Sale"/>
      <sheetName val="AHD-Oprn"/>
      <sheetName val="SUG-Tariff"/>
      <sheetName val="SRT-Opn"/>
      <sheetName val="SUG-P&amp;L"/>
      <sheetName val="Pres."/>
      <sheetName val="DB"/>
      <sheetName val="Upsides"/>
      <sheetName val="Torrent Agenda"/>
      <sheetName val="Capex &amp; Dep"/>
      <sheetName val="SUG-Debt"/>
      <sheetName val="SUGEN-Assn"/>
      <sheetName val="TPL-WC"/>
      <sheetName val="SUG-BS"/>
      <sheetName val="SUG-Cflow"/>
      <sheetName val="SUG-Phasing"/>
      <sheetName val="SUG-Dep"/>
      <sheetName val="SUG-WCap"/>
      <sheetName val="SUG-Tax"/>
      <sheetName val="SUG-Div"/>
      <sheetName val="SUG-Ratios"/>
      <sheetName val="SUG-Misc"/>
      <sheetName val="Doc"/>
      <sheetName val="Global"/>
      <sheetName val="Calc"/>
      <sheetName val="Financial"/>
      <sheetName val="SUG-Projcost"/>
      <sheetName val="Contracts"/>
      <sheetName val="Bh-Borrngs"/>
      <sheetName val="Bh-Capex"/>
      <sheetName val="Bh-Dep"/>
      <sheetName val="Bh-TaxDep"/>
      <sheetName val="Bhiwandi-DB"/>
      <sheetName val="Bh-WkgCapInt"/>
      <sheetName val="Bh-O&amp;M"/>
      <sheetName val="Bh-Salary"/>
      <sheetName val="Bh-P&amp;L"/>
      <sheetName val="Tax"/>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92">
          <cell r="H92">
            <v>2675</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1"/>
      <sheetName val="Sheet2"/>
      <sheetName val="Sheet3"/>
      <sheetName val="Details"/>
      <sheetName val="margin."/>
      <sheetName val="CONTANGO"/>
      <sheetName val="Book1"/>
      <sheetName val="#REF"/>
      <sheetName val="REFNCOMPARE"/>
      <sheetName val="Cons-Division"/>
      <sheetName val="CVK p&amp;L"/>
      <sheetName val="lot no 86"/>
      <sheetName val="Sales &amp;Sale Cost"/>
      <sheetName val="Stock Cal"/>
      <sheetName val="Lme-REV"/>
      <sheetName val="CU-P&amp;L-Work"/>
      <sheetName val="GROUPING"/>
      <sheetName val="rawmat break up"/>
      <sheetName val="cell rel"/>
      <sheetName val="Contract Details"/>
      <sheetName val="COST SHEET"/>
      <sheetName val="OTHER RM"/>
      <sheetName val="assumption"/>
      <sheetName val="BREAKUP"/>
      <sheetName val="Top Sheet"/>
      <sheetName val="Break up of RMcost"/>
      <sheetName val="YTD (2)"/>
      <sheetName val="March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CONSUMPTION"/>
      <sheetName val="PROCESS LOSS"/>
      <sheetName val="margin."/>
      <sheetName val="DETAILS"/>
      <sheetName val="marginRawmaterialCost"/>
      <sheetName val="July'00"/>
      <sheetName val="GOLD SILVER"/>
      <sheetName val="calculation"/>
      <sheetName val="CONTANGO"/>
      <sheetName val="P &amp; L"/>
      <sheetName val="CASHFLOW lacs"/>
    </sheetNames>
    <sheetDataSet>
      <sheetData sheetId="0" refreshError="1"/>
      <sheetData sheetId="1" refreshError="1"/>
      <sheetData sheetId="2" refreshError="1"/>
      <sheetData sheetId="3" refreshError="1">
        <row r="5">
          <cell r="C5">
            <v>32.150722587490151</v>
          </cell>
        </row>
      </sheetData>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Sheet4"/>
      <sheetName val="CASHFLOW lacs"/>
      <sheetName val="CONTANGO (2)"/>
      <sheetName val="reasons"/>
      <sheetName val="variance till date"/>
      <sheetName val="P &amp; L (2)"/>
      <sheetName val="TOTAL"/>
      <sheetName val="workings"/>
      <sheetName val="margin."/>
      <sheetName val="PM VALUE TABLE"/>
      <sheetName val="Break up of RMcost"/>
      <sheetName val="Raw MaterialCost"/>
      <sheetName val="P &amp; L"/>
      <sheetName val="Sheet2"/>
      <sheetName val="P &amp; L revised"/>
      <sheetName val="P &amp; L (4)"/>
      <sheetName val="P &amp; L pareek"/>
      <sheetName val="nord"/>
      <sheetName val="summary-new"/>
    </sheetNames>
    <sheetDataSet>
      <sheetData sheetId="0"/>
      <sheetData sheetId="1"/>
      <sheetData sheetId="2"/>
      <sheetData sheetId="3"/>
      <sheetData sheetId="4"/>
      <sheetData sheetId="5"/>
      <sheetData sheetId="6"/>
      <sheetData sheetId="7"/>
      <sheetData sheetId="8"/>
      <sheetData sheetId="9"/>
      <sheetData sheetId="10" refreshError="1">
        <row r="5">
          <cell r="D5">
            <v>31.1035</v>
          </cell>
        </row>
      </sheetData>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Input"/>
      <sheetName val="Wkgs"/>
      <sheetName val="TPL-Prsntn"/>
      <sheetName val="DB"/>
      <sheetName val="Scenarios"/>
      <sheetName val="ROE-Cals"/>
      <sheetName val="Calc"/>
      <sheetName val="Gen&amp;OM(Abad)&amp;Vatva_fuel"/>
      <sheetName val="Sabarmati Fuel"/>
      <sheetName val="AHD-Oprn"/>
      <sheetName val="SRT-Opn"/>
      <sheetName val="Sugen_Gen&amp;Fuel"/>
      <sheetName val="Capex&amp;Depreciation"/>
      <sheetName val="TPL-Tax"/>
      <sheetName val="TPL-WC"/>
      <sheetName val="Fr-Fin"/>
      <sheetName val="Fr-Sale"/>
      <sheetName val="Fr-Borrngs"/>
      <sheetName val="Fr-WkgCapInt"/>
      <sheetName val="Fr-O&amp;M"/>
    </sheetNames>
    <sheetDataSet>
      <sheetData sheetId="0">
        <row r="5">
          <cell r="D5" t="str">
            <v>Description</v>
          </cell>
          <cell r="G5" t="str">
            <v>Name</v>
          </cell>
          <cell r="H5" t="str">
            <v>Value</v>
          </cell>
          <cell r="I5" t="str">
            <v>Skip</v>
          </cell>
          <cell r="J5" t="str">
            <v>RiskTol</v>
          </cell>
        </row>
        <row r="6">
          <cell r="D6" t="str">
            <v>Average DSCR</v>
          </cell>
          <cell r="G6" t="str">
            <v>DSCR_Avg</v>
          </cell>
          <cell r="H6" t="e">
            <v>#REF!</v>
          </cell>
        </row>
        <row r="7">
          <cell r="D7" t="str">
            <v>Min DSCR</v>
          </cell>
          <cell r="G7" t="str">
            <v>DSCR_min</v>
          </cell>
          <cell r="H7" t="e">
            <v>#REF!</v>
          </cell>
        </row>
        <row r="8">
          <cell r="D8" t="str">
            <v xml:space="preserve"> </v>
          </cell>
          <cell r="E8" t="str">
            <v xml:space="preserve"> </v>
          </cell>
          <cell r="G8" t="str">
            <v xml:space="preserve"> </v>
          </cell>
          <cell r="H8" t="str">
            <v xml:space="preserve"> </v>
          </cell>
        </row>
        <row r="23">
          <cell r="A23" t="str">
            <v>Parameters</v>
          </cell>
          <cell r="F23" t="str">
            <v>Units</v>
          </cell>
          <cell r="G23" t="str">
            <v>Name</v>
          </cell>
          <cell r="H23" t="str">
            <v>In Use</v>
          </cell>
          <cell r="I23" t="str">
            <v>IndexNm</v>
          </cell>
          <cell r="J23" t="str">
            <v>Index</v>
          </cell>
          <cell r="K23" t="str">
            <v>Low</v>
          </cell>
          <cell r="L23" t="str">
            <v>Base</v>
          </cell>
          <cell r="M23" t="str">
            <v>High</v>
          </cell>
          <cell r="N23" t="str">
            <v>Override</v>
          </cell>
          <cell r="O23" t="str">
            <v>Description</v>
          </cell>
          <cell r="Q23" t="str">
            <v>Skip</v>
          </cell>
          <cell r="R23" t="str">
            <v>AND</v>
          </cell>
          <cell r="S23" t="str">
            <v>pLow</v>
          </cell>
          <cell r="T23" t="str">
            <v>pHigh</v>
          </cell>
        </row>
        <row r="24">
          <cell r="B24" t="str">
            <v xml:space="preserve"> </v>
          </cell>
          <cell r="E24" t="str">
            <v xml:space="preserve"> </v>
          </cell>
          <cell r="F24" t="str">
            <v xml:space="preserve"> </v>
          </cell>
          <cell r="G24" t="str">
            <v xml:space="preserve"> </v>
          </cell>
          <cell r="H24" t="str">
            <v xml:space="preserve"> </v>
          </cell>
          <cell r="I24" t="str">
            <v xml:space="preserve"> </v>
          </cell>
          <cell r="J24" t="str">
            <v xml:space="preserve"> </v>
          </cell>
          <cell r="K24" t="str">
            <v xml:space="preserve"> </v>
          </cell>
          <cell r="L24" t="str">
            <v xml:space="preserve"> </v>
          </cell>
          <cell r="M24" t="str">
            <v xml:space="preserve"> </v>
          </cell>
        </row>
        <row r="26">
          <cell r="B26" t="str">
            <v>Globals</v>
          </cell>
        </row>
        <row r="27">
          <cell r="B27" t="str">
            <v>Starting FY for Model</v>
          </cell>
          <cell r="F27" t="str">
            <v>dd/mm/yy</v>
          </cell>
          <cell r="G27" t="str">
            <v>ModelStartFY</v>
          </cell>
          <cell r="H27">
            <v>39538</v>
          </cell>
          <cell r="I27" t="str">
            <v>ModelStartFY_I</v>
          </cell>
          <cell r="J27">
            <v>2</v>
          </cell>
          <cell r="L27">
            <v>39538</v>
          </cell>
          <cell r="N27" t="str">
            <v>skip</v>
          </cell>
        </row>
        <row r="28">
          <cell r="B28" t="str">
            <v>Exchange rate (Rs/US$)</v>
          </cell>
          <cell r="F28" t="str">
            <v>Rs</v>
          </cell>
          <cell r="G28" t="str">
            <v>exchange_rate</v>
          </cell>
          <cell r="H28">
            <v>45</v>
          </cell>
          <cell r="I28" t="str">
            <v>exchange_rate_I</v>
          </cell>
          <cell r="J28">
            <v>2</v>
          </cell>
          <cell r="L28">
            <v>45</v>
          </cell>
        </row>
        <row r="29">
          <cell r="B29" t="str">
            <v>Escatlation in exchange rate</v>
          </cell>
          <cell r="F29" t="str">
            <v>%</v>
          </cell>
          <cell r="G29" t="str">
            <v>exchange_rate_escalation</v>
          </cell>
          <cell r="H29">
            <v>0.01</v>
          </cell>
          <cell r="I29" t="str">
            <v>exchange_rate_escalation_I</v>
          </cell>
          <cell r="J29">
            <v>2</v>
          </cell>
          <cell r="L29">
            <v>0.01</v>
          </cell>
        </row>
        <row r="30">
          <cell r="B30" t="str">
            <v>Return on Equity</v>
          </cell>
          <cell r="F30" t="str">
            <v>%</v>
          </cell>
          <cell r="G30" t="str">
            <v>roe</v>
          </cell>
          <cell r="H30">
            <v>0.14000000000000001</v>
          </cell>
          <cell r="I30" t="str">
            <v>roe_I</v>
          </cell>
          <cell r="J30">
            <v>2</v>
          </cell>
          <cell r="L30">
            <v>0.14000000000000001</v>
          </cell>
        </row>
        <row r="32">
          <cell r="B32" t="str">
            <v>Ahmedabad</v>
          </cell>
        </row>
        <row r="33">
          <cell r="B33" t="str">
            <v>Revenue Assumptions</v>
          </cell>
        </row>
        <row r="34">
          <cell r="B34" t="str">
            <v>Base Tariff (FY07)</v>
          </cell>
          <cell r="F34" t="str">
            <v>Rs./Unit</v>
          </cell>
          <cell r="G34" t="str">
            <v>AhdBaseTariff</v>
          </cell>
          <cell r="H34">
            <v>3.7440000000000002</v>
          </cell>
          <cell r="I34" t="str">
            <v>AhdBaseTariff_I</v>
          </cell>
          <cell r="J34">
            <v>2</v>
          </cell>
          <cell r="L34">
            <v>3.7440000000000002</v>
          </cell>
          <cell r="M34" t="str">
            <v xml:space="preserve"> </v>
          </cell>
          <cell r="N34" t="str">
            <v>skip</v>
          </cell>
        </row>
        <row r="35">
          <cell r="B35" t="str">
            <v>Incr in Sales (Mus) Fy 2012 onwards</v>
          </cell>
          <cell r="F35" t="str">
            <v>%</v>
          </cell>
          <cell r="G35" t="str">
            <v>AhdSalesGrowthRate</v>
          </cell>
          <cell r="H35">
            <v>0.06</v>
          </cell>
          <cell r="I35" t="str">
            <v>AhdSalesGrowthRate_I</v>
          </cell>
          <cell r="J35">
            <v>2</v>
          </cell>
          <cell r="L35">
            <v>0.06</v>
          </cell>
          <cell r="N35" t="str">
            <v>skip</v>
          </cell>
        </row>
        <row r="36">
          <cell r="B36" t="str">
            <v>Other Income (% of Topline)</v>
          </cell>
          <cell r="F36" t="str">
            <v>%</v>
          </cell>
          <cell r="G36" t="str">
            <v>AhdOtherIncome</v>
          </cell>
          <cell r="H36">
            <v>2.5000000000000001E-2</v>
          </cell>
          <cell r="I36" t="str">
            <v>AhdOtherIncome_I</v>
          </cell>
          <cell r="J36">
            <v>2</v>
          </cell>
          <cell r="L36">
            <v>2.5000000000000001E-2</v>
          </cell>
          <cell r="N36" t="str">
            <v>skip</v>
          </cell>
        </row>
        <row r="37">
          <cell r="B37" t="str">
            <v>Discount for Timely Payment</v>
          </cell>
          <cell r="F37" t="str">
            <v>%</v>
          </cell>
          <cell r="G37" t="str">
            <v>RebateforPayment</v>
          </cell>
          <cell r="H37">
            <v>0</v>
          </cell>
          <cell r="I37" t="str">
            <v>RebateforPayment_I</v>
          </cell>
          <cell r="J37">
            <v>2</v>
          </cell>
          <cell r="L37">
            <v>0</v>
          </cell>
          <cell r="N37" t="str">
            <v>skip</v>
          </cell>
        </row>
        <row r="38">
          <cell r="B38" t="str">
            <v>% of Capex funded by debt</v>
          </cell>
          <cell r="F38" t="str">
            <v>%</v>
          </cell>
          <cell r="G38" t="str">
            <v>capex_%debt</v>
          </cell>
          <cell r="H38">
            <v>0.66</v>
          </cell>
          <cell r="I38" t="str">
            <v>capex_%debt_I</v>
          </cell>
          <cell r="J38">
            <v>2</v>
          </cell>
          <cell r="L38">
            <v>0.66</v>
          </cell>
          <cell r="N38" t="str">
            <v>skip</v>
          </cell>
        </row>
        <row r="39">
          <cell r="B39" t="str">
            <v>Interest rate on new loans</v>
          </cell>
          <cell r="F39" t="str">
            <v>%</v>
          </cell>
          <cell r="G39" t="str">
            <v>Int_newloan_abad</v>
          </cell>
          <cell r="H39">
            <v>0.11</v>
          </cell>
          <cell r="I39" t="str">
            <v>Int_newloan_abad_I</v>
          </cell>
          <cell r="J39">
            <v>2</v>
          </cell>
          <cell r="L39">
            <v>0.11</v>
          </cell>
          <cell r="N39" t="str">
            <v>skip</v>
          </cell>
        </row>
        <row r="40">
          <cell r="B40" t="str">
            <v>Moratorium period</v>
          </cell>
          <cell r="F40" t="str">
            <v>year</v>
          </cell>
          <cell r="G40" t="str">
            <v>moratoriun_abad</v>
          </cell>
          <cell r="H40">
            <v>0.5</v>
          </cell>
          <cell r="I40" t="str">
            <v>moratoriun_abad_I</v>
          </cell>
          <cell r="J40">
            <v>2</v>
          </cell>
          <cell r="L40">
            <v>0.5</v>
          </cell>
        </row>
        <row r="41">
          <cell r="B41" t="str">
            <v>Repayment</v>
          </cell>
          <cell r="F41" t="str">
            <v>year</v>
          </cell>
          <cell r="G41" t="str">
            <v>reayment_abad</v>
          </cell>
          <cell r="H41">
            <v>13</v>
          </cell>
          <cell r="I41" t="str">
            <v>reayment_abad_I</v>
          </cell>
          <cell r="J41">
            <v>2</v>
          </cell>
          <cell r="L41">
            <v>8</v>
          </cell>
        </row>
        <row r="43">
          <cell r="B43" t="str">
            <v>Technical Parameters</v>
          </cell>
        </row>
        <row r="44">
          <cell r="B44" t="str">
            <v>Aux Consumption - Sabarmati (2012 onwards)</v>
          </cell>
          <cell r="F44" t="str">
            <v>%</v>
          </cell>
          <cell r="G44" t="str">
            <v xml:space="preserve"> </v>
          </cell>
          <cell r="H44" t="str">
            <v xml:space="preserve"> </v>
          </cell>
          <cell r="I44" t="str">
            <v xml:space="preserve"> </v>
          </cell>
          <cell r="J44" t="str">
            <v xml:space="preserve"> </v>
          </cell>
          <cell r="L44" t="str">
            <v xml:space="preserve"> </v>
          </cell>
          <cell r="N44" t="str">
            <v>skip</v>
          </cell>
        </row>
        <row r="45">
          <cell r="B45" t="str">
            <v>Station 'C'</v>
          </cell>
          <cell r="F45" t="str">
            <v>%</v>
          </cell>
          <cell r="G45" t="str">
            <v>Ahd_aux_stationC</v>
          </cell>
          <cell r="H45">
            <v>9.4100000000000003E-2</v>
          </cell>
          <cell r="I45" t="str">
            <v>Ahd_aux_stationC_I</v>
          </cell>
          <cell r="J45">
            <v>2</v>
          </cell>
          <cell r="L45">
            <v>9.8000000000000004E-2</v>
          </cell>
        </row>
        <row r="46">
          <cell r="B46" t="str">
            <v>Station 'D'</v>
          </cell>
          <cell r="F46" t="str">
            <v>%</v>
          </cell>
          <cell r="G46" t="str">
            <v>Ahd_aux_stationD</v>
          </cell>
          <cell r="H46">
            <v>8.7300000000000003E-2</v>
          </cell>
          <cell r="I46" t="str">
            <v>Ahd_aux_stationD_I</v>
          </cell>
          <cell r="J46">
            <v>2</v>
          </cell>
          <cell r="L46">
            <v>8.7999999999999995E-2</v>
          </cell>
        </row>
        <row r="47">
          <cell r="B47" t="str">
            <v>Station 'E</v>
          </cell>
          <cell r="F47" t="str">
            <v>%</v>
          </cell>
          <cell r="G47" t="str">
            <v>Ahd_aux_stationE</v>
          </cell>
          <cell r="H47">
            <v>8.7300000000000003E-2</v>
          </cell>
          <cell r="I47" t="str">
            <v>Ahd_aux_stationE_I</v>
          </cell>
          <cell r="J47">
            <v>2</v>
          </cell>
          <cell r="L47">
            <v>8.7999999999999995E-2</v>
          </cell>
        </row>
        <row r="48">
          <cell r="B48" t="str">
            <v>Station 'F'</v>
          </cell>
          <cell r="F48" t="str">
            <v>%</v>
          </cell>
          <cell r="G48" t="str">
            <v>Ahd_aux_stationF</v>
          </cell>
          <cell r="H48">
            <v>8.7300000000000003E-2</v>
          </cell>
          <cell r="I48" t="str">
            <v>Ahd_aux_stationF_I</v>
          </cell>
          <cell r="J48">
            <v>2</v>
          </cell>
          <cell r="L48">
            <v>8.7999999999999995E-2</v>
          </cell>
        </row>
        <row r="49">
          <cell r="B49" t="str">
            <v>Aux Consumption - Vatva (2012 onwards)</v>
          </cell>
          <cell r="F49" t="str">
            <v>%</v>
          </cell>
          <cell r="G49" t="str">
            <v>Vatva_aux</v>
          </cell>
          <cell r="H49">
            <v>3.0099999999999998E-2</v>
          </cell>
          <cell r="I49" t="str">
            <v>Vatva_aux_I</v>
          </cell>
          <cell r="J49">
            <v>2</v>
          </cell>
          <cell r="L49">
            <v>3.0099999999999998E-2</v>
          </cell>
        </row>
        <row r="50">
          <cell r="B50" t="str">
            <v>Ahmedabad ATnC Loss FY12 onwards</v>
          </cell>
          <cell r="F50" t="str">
            <v>%</v>
          </cell>
          <cell r="G50" t="str">
            <v>AhdATnCLoss</v>
          </cell>
          <cell r="H50">
            <v>8.5400000000000004E-2</v>
          </cell>
          <cell r="I50" t="str">
            <v>AhdATnCLoss_I</v>
          </cell>
          <cell r="J50">
            <v>2</v>
          </cell>
          <cell r="L50">
            <v>8.5400000000000004E-2</v>
          </cell>
          <cell r="N50" t="str">
            <v>skip</v>
          </cell>
        </row>
        <row r="52">
          <cell r="B52" t="str">
            <v>Profit and Loss Statement</v>
          </cell>
        </row>
        <row r="53">
          <cell r="B53" t="str">
            <v>Employee Cost</v>
          </cell>
          <cell r="F53" t="str">
            <v>Rs. Cr</v>
          </cell>
          <cell r="G53" t="str">
            <v>EmpCost</v>
          </cell>
          <cell r="H53">
            <v>160</v>
          </cell>
          <cell r="I53" t="str">
            <v>EmpCost_I</v>
          </cell>
          <cell r="J53">
            <v>2</v>
          </cell>
          <cell r="L53">
            <v>160</v>
          </cell>
          <cell r="N53" t="str">
            <v>skip</v>
          </cell>
        </row>
        <row r="54">
          <cell r="B54" t="str">
            <v>Incr. in Cost</v>
          </cell>
          <cell r="F54" t="str">
            <v>%</v>
          </cell>
          <cell r="G54" t="str">
            <v>EmpCostInflation</v>
          </cell>
          <cell r="H54">
            <v>0.05</v>
          </cell>
          <cell r="I54" t="str">
            <v>EmpCostInflation_I</v>
          </cell>
          <cell r="J54">
            <v>2</v>
          </cell>
          <cell r="L54">
            <v>0.05</v>
          </cell>
          <cell r="N54" t="str">
            <v>skip</v>
          </cell>
        </row>
        <row r="55">
          <cell r="B55" t="str">
            <v>R&amp;M Costs</v>
          </cell>
          <cell r="F55" t="str">
            <v>Rs. Cr</v>
          </cell>
          <cell r="G55" t="str">
            <v>RepandMaintCost</v>
          </cell>
          <cell r="H55">
            <v>60</v>
          </cell>
          <cell r="I55" t="str">
            <v>RepandMaintCost_I</v>
          </cell>
          <cell r="J55">
            <v>2</v>
          </cell>
          <cell r="L55">
            <v>60</v>
          </cell>
          <cell r="N55" t="str">
            <v>skip</v>
          </cell>
        </row>
        <row r="56">
          <cell r="B56" t="str">
            <v>Incr. In Cost</v>
          </cell>
          <cell r="F56" t="str">
            <v>%</v>
          </cell>
          <cell r="G56" t="str">
            <v>RepandMaintCostInflation</v>
          </cell>
          <cell r="H56">
            <v>0.08</v>
          </cell>
          <cell r="I56" t="str">
            <v>RepandMaintCostInflation_I</v>
          </cell>
          <cell r="J56">
            <v>2</v>
          </cell>
          <cell r="L56">
            <v>0.08</v>
          </cell>
          <cell r="N56" t="str">
            <v>skip</v>
          </cell>
        </row>
        <row r="57">
          <cell r="B57" t="str">
            <v>Admin &amp; Gen. Cost</v>
          </cell>
          <cell r="F57" t="str">
            <v>Rs. Cr</v>
          </cell>
          <cell r="G57" t="str">
            <v>AdminCost</v>
          </cell>
          <cell r="H57">
            <v>70</v>
          </cell>
          <cell r="I57" t="str">
            <v>AdminCost_I</v>
          </cell>
          <cell r="J57">
            <v>2</v>
          </cell>
          <cell r="L57">
            <v>70</v>
          </cell>
          <cell r="N57" t="str">
            <v>skip</v>
          </cell>
        </row>
        <row r="58">
          <cell r="B58" t="str">
            <v>Incr. in Cost</v>
          </cell>
          <cell r="F58" t="str">
            <v>%</v>
          </cell>
          <cell r="G58" t="str">
            <v>AdminCostInflation</v>
          </cell>
          <cell r="H58">
            <v>0.05</v>
          </cell>
          <cell r="I58" t="str">
            <v>AdminCostInflation_I</v>
          </cell>
          <cell r="J58">
            <v>2</v>
          </cell>
          <cell r="L58">
            <v>0.05</v>
          </cell>
          <cell r="N58" t="str">
            <v>skip</v>
          </cell>
        </row>
        <row r="60">
          <cell r="B60" t="str">
            <v>Fuel</v>
          </cell>
        </row>
        <row r="61">
          <cell r="B61" t="str">
            <v>VATVA PLANT</v>
          </cell>
        </row>
        <row r="62">
          <cell r="B62" t="str">
            <v>Heat Rate</v>
          </cell>
          <cell r="F62" t="str">
            <v>Kcal/Kwh</v>
          </cell>
          <cell r="G62" t="str">
            <v>Vatva_Heat_rate</v>
          </cell>
          <cell r="H62">
            <v>1950</v>
          </cell>
          <cell r="I62" t="str">
            <v>Vatva_Heat_rate_I</v>
          </cell>
          <cell r="J62">
            <v>2</v>
          </cell>
          <cell r="L62">
            <v>2050</v>
          </cell>
        </row>
        <row r="63">
          <cell r="B63" t="str">
            <v>GCV</v>
          </cell>
          <cell r="F63" t="str">
            <v>Kcal/scm</v>
          </cell>
          <cell r="G63" t="str">
            <v>Vatva_GCV</v>
          </cell>
          <cell r="H63">
            <v>8098</v>
          </cell>
          <cell r="I63" t="str">
            <v>Vatva_GCV_I</v>
          </cell>
          <cell r="J63">
            <v>2</v>
          </cell>
          <cell r="L63">
            <v>8098</v>
          </cell>
        </row>
        <row r="64">
          <cell r="B64" t="str">
            <v>Capacity</v>
          </cell>
          <cell r="F64" t="str">
            <v>MW</v>
          </cell>
          <cell r="G64" t="str">
            <v>Vatva_capacity</v>
          </cell>
          <cell r="H64">
            <v>100</v>
          </cell>
          <cell r="I64" t="str">
            <v>Vatva_capacity_I</v>
          </cell>
          <cell r="J64">
            <v>2</v>
          </cell>
          <cell r="L64">
            <v>100</v>
          </cell>
        </row>
        <row r="65">
          <cell r="B65" t="str">
            <v>PLF (2012 onwards)</v>
          </cell>
          <cell r="F65" t="str">
            <v>%</v>
          </cell>
          <cell r="G65" t="str">
            <v>Vatva_PLF</v>
          </cell>
          <cell r="H65">
            <v>0.89</v>
          </cell>
          <cell r="I65" t="str">
            <v>Vatva_PLF_I</v>
          </cell>
          <cell r="J65">
            <v>2</v>
          </cell>
          <cell r="L65">
            <v>0.89</v>
          </cell>
        </row>
        <row r="67">
          <cell r="B67" t="str">
            <v>Sabarmati Plant</v>
          </cell>
        </row>
        <row r="68">
          <cell r="B68" t="str">
            <v>Coal</v>
          </cell>
        </row>
        <row r="69">
          <cell r="B69" t="str">
            <v>Ratio of Impoted Coal</v>
          </cell>
          <cell r="F69" t="str">
            <v>%</v>
          </cell>
          <cell r="G69" t="str">
            <v>Ratio_importedcoal</v>
          </cell>
          <cell r="H69">
            <v>0.42</v>
          </cell>
          <cell r="I69" t="str">
            <v>Ratio_importedcoal_I</v>
          </cell>
          <cell r="J69">
            <v>2</v>
          </cell>
          <cell r="L69">
            <v>0.42</v>
          </cell>
        </row>
        <row r="70">
          <cell r="B70" t="str">
            <v>Ratio of Indegenous Coal</v>
          </cell>
          <cell r="F70" t="str">
            <v>%</v>
          </cell>
          <cell r="G70" t="str">
            <v>Ratio_Indiancoal</v>
          </cell>
          <cell r="H70">
            <v>0.58000000000000007</v>
          </cell>
          <cell r="I70" t="str">
            <v>Ratio_Indiancoal_I</v>
          </cell>
          <cell r="J70">
            <v>2</v>
          </cell>
          <cell r="L70">
            <v>0.58000000000000007</v>
          </cell>
        </row>
        <row r="71">
          <cell r="B71" t="str">
            <v>NCV of Indigenous coal</v>
          </cell>
          <cell r="F71" t="str">
            <v>Kcal/kg</v>
          </cell>
          <cell r="G71" t="str">
            <v>GCV_Indiancoal</v>
          </cell>
          <cell r="H71">
            <v>5236</v>
          </cell>
          <cell r="I71" t="str">
            <v>GCV_Indiancoal_I</v>
          </cell>
          <cell r="J71">
            <v>2</v>
          </cell>
          <cell r="L71">
            <v>5236</v>
          </cell>
        </row>
        <row r="72">
          <cell r="B72" t="str">
            <v>NCV of Imported Coal</v>
          </cell>
          <cell r="F72" t="str">
            <v>Kcal/kg</v>
          </cell>
          <cell r="G72" t="str">
            <v>GCV_Impoted Coal</v>
          </cell>
          <cell r="H72">
            <v>4929</v>
          </cell>
          <cell r="I72" t="str">
            <v>GCV_Impoted Coal_I</v>
          </cell>
          <cell r="J72">
            <v>2</v>
          </cell>
          <cell r="L72">
            <v>4929</v>
          </cell>
        </row>
        <row r="73">
          <cell r="B73" t="str">
            <v>Price of Indigenous coal</v>
          </cell>
          <cell r="F73" t="str">
            <v>Rs./MT</v>
          </cell>
          <cell r="G73" t="str">
            <v>Price_IndianCoal</v>
          </cell>
          <cell r="H73">
            <v>2757</v>
          </cell>
          <cell r="I73" t="str">
            <v>Price_IndianCoal_I</v>
          </cell>
          <cell r="J73">
            <v>2</v>
          </cell>
          <cell r="L73">
            <v>2757</v>
          </cell>
        </row>
        <row r="74">
          <cell r="B74" t="str">
            <v>Price of Imported Coal</v>
          </cell>
          <cell r="F74" t="str">
            <v>Rs./MT</v>
          </cell>
          <cell r="G74" t="str">
            <v>Price_Imported Coal</v>
          </cell>
          <cell r="H74">
            <v>3035</v>
          </cell>
          <cell r="I74" t="str">
            <v>Price_Imported Coal_I</v>
          </cell>
          <cell r="J74">
            <v>2</v>
          </cell>
          <cell r="L74">
            <v>3035</v>
          </cell>
        </row>
        <row r="75">
          <cell r="H75" t="str">
            <v xml:space="preserve"> </v>
          </cell>
          <cell r="I75" t="str">
            <v xml:space="preserve"> </v>
          </cell>
        </row>
        <row r="76">
          <cell r="B76" t="str">
            <v>Heat Rate</v>
          </cell>
        </row>
        <row r="77">
          <cell r="B77" t="str">
            <v>Station 'C'</v>
          </cell>
          <cell r="F77" t="str">
            <v>Kcal/kg</v>
          </cell>
          <cell r="G77" t="str">
            <v>StationC_heatrate</v>
          </cell>
          <cell r="H77">
            <v>3700</v>
          </cell>
          <cell r="I77" t="str">
            <v>StationC_heatrate_I</v>
          </cell>
          <cell r="J77">
            <v>2</v>
          </cell>
          <cell r="L77">
            <v>3700</v>
          </cell>
        </row>
        <row r="78">
          <cell r="B78" t="str">
            <v>Station 'D'</v>
          </cell>
          <cell r="F78" t="str">
            <v>Kcal/kg</v>
          </cell>
          <cell r="G78" t="str">
            <v>StationD_Heatrate</v>
          </cell>
          <cell r="H78">
            <v>2565</v>
          </cell>
          <cell r="I78" t="str">
            <v>StationD_Heatrate_I</v>
          </cell>
          <cell r="J78">
            <v>2</v>
          </cell>
          <cell r="L78">
            <v>2565</v>
          </cell>
        </row>
        <row r="79">
          <cell r="B79" t="str">
            <v>Station 'E</v>
          </cell>
          <cell r="F79" t="str">
            <v>Kcal/kg</v>
          </cell>
          <cell r="G79" t="str">
            <v>StationE_heatrate</v>
          </cell>
          <cell r="H79">
            <v>2525</v>
          </cell>
          <cell r="I79" t="str">
            <v>StationE_heatrate_I</v>
          </cell>
          <cell r="J79">
            <v>2</v>
          </cell>
          <cell r="L79">
            <v>2675</v>
          </cell>
        </row>
        <row r="80">
          <cell r="B80" t="str">
            <v>Station 'F'</v>
          </cell>
          <cell r="F80" t="str">
            <v>Kcal/kg</v>
          </cell>
          <cell r="G80" t="str">
            <v>StationF_heatrate</v>
          </cell>
          <cell r="H80">
            <v>2715</v>
          </cell>
          <cell r="I80" t="str">
            <v>StationF_heatrate_I</v>
          </cell>
          <cell r="J80">
            <v>2</v>
          </cell>
          <cell r="L80">
            <v>2715</v>
          </cell>
        </row>
        <row r="81">
          <cell r="H81" t="str">
            <v xml:space="preserve"> </v>
          </cell>
          <cell r="I81" t="str">
            <v xml:space="preserve"> </v>
          </cell>
        </row>
        <row r="82">
          <cell r="B82" t="str">
            <v>Capacity</v>
          </cell>
        </row>
        <row r="83">
          <cell r="B83" t="str">
            <v>Station 'C'</v>
          </cell>
          <cell r="F83" t="str">
            <v>MW</v>
          </cell>
          <cell r="G83" t="str">
            <v>StationC_cap</v>
          </cell>
          <cell r="H83">
            <v>60</v>
          </cell>
          <cell r="I83" t="str">
            <v>StationC_cap_I</v>
          </cell>
          <cell r="J83">
            <v>2</v>
          </cell>
          <cell r="L83">
            <v>60</v>
          </cell>
        </row>
        <row r="84">
          <cell r="B84" t="str">
            <v>Station 'D'</v>
          </cell>
          <cell r="F84" t="str">
            <v>MW</v>
          </cell>
          <cell r="G84" t="str">
            <v>StationD_cap</v>
          </cell>
          <cell r="H84">
            <v>120</v>
          </cell>
          <cell r="I84" t="str">
            <v>StationD_cap_I</v>
          </cell>
          <cell r="J84">
            <v>2</v>
          </cell>
          <cell r="L84">
            <v>120</v>
          </cell>
        </row>
        <row r="85">
          <cell r="B85" t="str">
            <v>Station 'E</v>
          </cell>
          <cell r="F85" t="str">
            <v>MW</v>
          </cell>
          <cell r="G85" t="str">
            <v>StationE_cap</v>
          </cell>
          <cell r="H85">
            <v>110</v>
          </cell>
          <cell r="I85" t="str">
            <v>StationE_cap_I</v>
          </cell>
          <cell r="J85">
            <v>2</v>
          </cell>
          <cell r="L85">
            <v>110</v>
          </cell>
        </row>
        <row r="86">
          <cell r="B86" t="str">
            <v>Station 'F'</v>
          </cell>
          <cell r="F86" t="str">
            <v>MW</v>
          </cell>
          <cell r="G86" t="str">
            <v>StationF_cap</v>
          </cell>
          <cell r="H86">
            <v>110</v>
          </cell>
          <cell r="I86" t="str">
            <v>StationF_cap_I</v>
          </cell>
          <cell r="J86">
            <v>2</v>
          </cell>
          <cell r="L86">
            <v>110</v>
          </cell>
        </row>
        <row r="87">
          <cell r="H87" t="str">
            <v xml:space="preserve"> </v>
          </cell>
          <cell r="I87" t="str">
            <v xml:space="preserve"> </v>
          </cell>
        </row>
        <row r="88">
          <cell r="B88" t="str">
            <v>PLF</v>
          </cell>
          <cell r="F88" t="str">
            <v>%</v>
          </cell>
        </row>
        <row r="89">
          <cell r="B89" t="str">
            <v>Station 'C'</v>
          </cell>
          <cell r="F89" t="str">
            <v>%</v>
          </cell>
          <cell r="G89" t="str">
            <v>StationC_PLF</v>
          </cell>
          <cell r="H89">
            <v>0.92</v>
          </cell>
          <cell r="I89" t="str">
            <v>StationC_PLF_I</v>
          </cell>
          <cell r="J89">
            <v>2</v>
          </cell>
          <cell r="L89">
            <v>0.92</v>
          </cell>
        </row>
        <row r="90">
          <cell r="B90" t="str">
            <v>Station 'D'</v>
          </cell>
          <cell r="F90" t="str">
            <v>%</v>
          </cell>
          <cell r="G90" t="str">
            <v>StationD_PLF</v>
          </cell>
          <cell r="H90">
            <v>0.92</v>
          </cell>
          <cell r="I90" t="str">
            <v>StationD_PLF_I</v>
          </cell>
          <cell r="J90">
            <v>2</v>
          </cell>
          <cell r="L90">
            <v>0.92</v>
          </cell>
        </row>
        <row r="91">
          <cell r="B91" t="str">
            <v>Station 'E</v>
          </cell>
          <cell r="F91" t="str">
            <v>%</v>
          </cell>
          <cell r="G91" t="str">
            <v>StationE_PLF</v>
          </cell>
          <cell r="H91">
            <v>0.92</v>
          </cell>
          <cell r="I91" t="str">
            <v>StationE_PLF_I</v>
          </cell>
          <cell r="J91">
            <v>2</v>
          </cell>
          <cell r="L91">
            <v>0.92</v>
          </cell>
        </row>
        <row r="92">
          <cell r="B92" t="str">
            <v>Station 'F'</v>
          </cell>
          <cell r="G92" t="str">
            <v>StationF_PLF</v>
          </cell>
          <cell r="H92">
            <v>0.92</v>
          </cell>
          <cell r="I92" t="str">
            <v>StationF_PLF_I</v>
          </cell>
          <cell r="J92">
            <v>2</v>
          </cell>
          <cell r="L92">
            <v>0.92</v>
          </cell>
        </row>
        <row r="93">
          <cell r="H93" t="str">
            <v xml:space="preserve"> </v>
          </cell>
          <cell r="I93" t="str">
            <v xml:space="preserve"> </v>
          </cell>
        </row>
        <row r="94">
          <cell r="B94" t="str">
            <v>Surat</v>
          </cell>
        </row>
        <row r="95">
          <cell r="B95" t="str">
            <v>Revenue Assumptions</v>
          </cell>
        </row>
        <row r="96">
          <cell r="B96" t="str">
            <v>Base Tariff (FY07)</v>
          </cell>
          <cell r="F96" t="str">
            <v>Rs./Unit</v>
          </cell>
          <cell r="G96" t="str">
            <v>SrtBaseTariff</v>
          </cell>
          <cell r="H96">
            <v>3.81</v>
          </cell>
          <cell r="I96" t="str">
            <v>SrtBaseTariff_I</v>
          </cell>
          <cell r="J96">
            <v>2</v>
          </cell>
          <cell r="L96">
            <v>3.81</v>
          </cell>
          <cell r="N96" t="str">
            <v>skip</v>
          </cell>
        </row>
        <row r="97">
          <cell r="B97" t="str">
            <v>Incr in Sales (Mus) from FY12</v>
          </cell>
          <cell r="F97" t="str">
            <v>%</v>
          </cell>
          <cell r="G97" t="str">
            <v>SrtSalesGrowthRate</v>
          </cell>
          <cell r="H97">
            <v>0.06</v>
          </cell>
          <cell r="I97" t="str">
            <v>SrtSalesGrowthRate_I</v>
          </cell>
          <cell r="J97">
            <v>2</v>
          </cell>
          <cell r="L97">
            <v>0.06</v>
          </cell>
          <cell r="N97" t="str">
            <v>skip</v>
          </cell>
        </row>
        <row r="98">
          <cell r="B98" t="str">
            <v>Other Income (% of Topline)</v>
          </cell>
          <cell r="F98" t="str">
            <v>%</v>
          </cell>
          <cell r="G98" t="str">
            <v>SrtOtherIncome</v>
          </cell>
          <cell r="H98">
            <v>0.03</v>
          </cell>
          <cell r="I98" t="str">
            <v>SrtOtherIncome_I</v>
          </cell>
          <cell r="J98">
            <v>2</v>
          </cell>
          <cell r="L98">
            <v>0.03</v>
          </cell>
          <cell r="N98" t="str">
            <v>skip</v>
          </cell>
        </row>
        <row r="99">
          <cell r="B99" t="str">
            <v>Employee Cost</v>
          </cell>
          <cell r="F99" t="str">
            <v>Rs. Cr</v>
          </cell>
          <cell r="G99" t="str">
            <v>Surat_Employeecost</v>
          </cell>
          <cell r="H99">
            <v>18.899999999999999</v>
          </cell>
          <cell r="I99" t="str">
            <v>Surat_Employeecost_I</v>
          </cell>
          <cell r="J99">
            <v>2</v>
          </cell>
          <cell r="L99">
            <v>18.899999999999999</v>
          </cell>
        </row>
        <row r="100">
          <cell r="B100" t="str">
            <v>Incr. in Cost</v>
          </cell>
          <cell r="F100" t="str">
            <v>%</v>
          </cell>
          <cell r="G100" t="str">
            <v>Surat_escalation_employee</v>
          </cell>
          <cell r="H100">
            <v>0.05</v>
          </cell>
          <cell r="I100" t="str">
            <v>Surat_escalation_employee_I</v>
          </cell>
          <cell r="J100">
            <v>2</v>
          </cell>
          <cell r="L100">
            <v>0.05</v>
          </cell>
        </row>
        <row r="101">
          <cell r="B101" t="str">
            <v>R&amp;M Costs</v>
          </cell>
          <cell r="F101" t="str">
            <v>Rs. Cr</v>
          </cell>
          <cell r="G101" t="str">
            <v>Surat_R&amp;M</v>
          </cell>
          <cell r="H101">
            <v>23.2</v>
          </cell>
          <cell r="I101" t="str">
            <v>Surat_R&amp;M_I</v>
          </cell>
          <cell r="J101">
            <v>2</v>
          </cell>
          <cell r="L101">
            <v>23.2</v>
          </cell>
        </row>
        <row r="102">
          <cell r="B102" t="str">
            <v>Incr. In Cost</v>
          </cell>
          <cell r="F102" t="str">
            <v>%</v>
          </cell>
          <cell r="G102" t="str">
            <v>Surat_escalation_R&amp;M</v>
          </cell>
          <cell r="H102">
            <v>0.08</v>
          </cell>
          <cell r="I102" t="str">
            <v>Surat_escalation_R&amp;M_I</v>
          </cell>
          <cell r="J102">
            <v>2</v>
          </cell>
          <cell r="L102">
            <v>0.08</v>
          </cell>
        </row>
        <row r="103">
          <cell r="B103" t="str">
            <v>Admin &amp; Gen. Cost</v>
          </cell>
          <cell r="F103" t="str">
            <v>Rs. Cr</v>
          </cell>
          <cell r="G103" t="str">
            <v>Surat_admin</v>
          </cell>
          <cell r="H103">
            <v>17.7</v>
          </cell>
          <cell r="I103" t="str">
            <v>Surat_admin_I</v>
          </cell>
          <cell r="J103">
            <v>2</v>
          </cell>
          <cell r="L103">
            <v>17.7</v>
          </cell>
        </row>
        <row r="104">
          <cell r="B104" t="str">
            <v>Incr. in Cost</v>
          </cell>
          <cell r="F104" t="str">
            <v>%</v>
          </cell>
          <cell r="G104" t="str">
            <v>Surat_escalation_Admin</v>
          </cell>
          <cell r="H104">
            <v>0.05</v>
          </cell>
          <cell r="I104" t="str">
            <v>Surat_escalation_Admin_I</v>
          </cell>
          <cell r="J104">
            <v>2</v>
          </cell>
          <cell r="L104">
            <v>0.05</v>
          </cell>
        </row>
        <row r="105">
          <cell r="B105" t="str">
            <v>Technical Parameters</v>
          </cell>
          <cell r="H105" t="str">
            <v xml:space="preserve"> </v>
          </cell>
          <cell r="I105" t="str">
            <v xml:space="preserve"> </v>
          </cell>
        </row>
        <row r="106">
          <cell r="B106" t="str">
            <v>AT&amp;C Losses</v>
          </cell>
          <cell r="F106" t="str">
            <v>%</v>
          </cell>
          <cell r="G106" t="str">
            <v>SrtATCLoss</v>
          </cell>
          <cell r="H106">
            <v>0.06</v>
          </cell>
          <cell r="I106" t="str">
            <v>SrtATCLoss_I</v>
          </cell>
          <cell r="J106">
            <v>2</v>
          </cell>
          <cell r="L106">
            <v>0.06</v>
          </cell>
          <cell r="N106" t="str">
            <v>skip</v>
          </cell>
        </row>
        <row r="108">
          <cell r="B108" t="str">
            <v>Bhiwandi</v>
          </cell>
        </row>
        <row r="109">
          <cell r="B109" t="str">
            <v>Revenue Assumptions</v>
          </cell>
        </row>
        <row r="110">
          <cell r="B110" t="str">
            <v>Sales Growth rate in FY09 &amp; FY10</v>
          </cell>
          <cell r="G110" t="str">
            <v>Bhivsalesgrowth_9&amp;10</v>
          </cell>
          <cell r="H110">
            <v>0.05</v>
          </cell>
          <cell r="I110" t="str">
            <v>Bhivsalesgrowth_9&amp;10_I</v>
          </cell>
          <cell r="J110">
            <v>2</v>
          </cell>
          <cell r="L110">
            <v>0.05</v>
          </cell>
        </row>
        <row r="111">
          <cell r="B111" t="str">
            <v>Sales Growth rate in FY11 &amp; FY12</v>
          </cell>
          <cell r="G111" t="str">
            <v>Bhiwsalesgrwth_11&amp;12</v>
          </cell>
          <cell r="H111">
            <v>4.7E-2</v>
          </cell>
          <cell r="I111" t="str">
            <v>Bhiwsalesgrwth_11&amp;12_I</v>
          </cell>
          <cell r="J111">
            <v>2</v>
          </cell>
          <cell r="L111">
            <v>4.7E-2</v>
          </cell>
        </row>
        <row r="112">
          <cell r="B112" t="str">
            <v>Sales Growth rate in FY13</v>
          </cell>
          <cell r="F112" t="str">
            <v>%</v>
          </cell>
          <cell r="G112" t="str">
            <v>BhiwSalesGrowthRate</v>
          </cell>
          <cell r="H112">
            <v>0.03</v>
          </cell>
          <cell r="I112" t="str">
            <v>BhiwSalesGrowthRate_I</v>
          </cell>
          <cell r="J112">
            <v>2</v>
          </cell>
          <cell r="L112">
            <v>0.03</v>
          </cell>
          <cell r="N112" t="str">
            <v>skip</v>
          </cell>
        </row>
        <row r="114">
          <cell r="B114" t="str">
            <v>Other Assumptions</v>
          </cell>
        </row>
        <row r="115">
          <cell r="B115" t="str">
            <v>Base Salary (FY07)</v>
          </cell>
          <cell r="F115" t="str">
            <v>Rs. Crore</v>
          </cell>
          <cell r="G115" t="str">
            <v>BhiwBaseSal</v>
          </cell>
          <cell r="H115">
            <v>15</v>
          </cell>
          <cell r="I115" t="str">
            <v>BhiwBaseSal_I</v>
          </cell>
          <cell r="J115">
            <v>2</v>
          </cell>
          <cell r="L115">
            <v>15</v>
          </cell>
          <cell r="N115" t="str">
            <v>skip</v>
          </cell>
        </row>
        <row r="116">
          <cell r="B116" t="str">
            <v>Incr in Salary</v>
          </cell>
          <cell r="F116" t="str">
            <v>% p.a.</v>
          </cell>
          <cell r="G116" t="str">
            <v>BhiwSalIncr</v>
          </cell>
          <cell r="H116">
            <v>0.06</v>
          </cell>
          <cell r="I116" t="str">
            <v>BhiwSalIncr_I</v>
          </cell>
          <cell r="J116">
            <v>2</v>
          </cell>
          <cell r="L116">
            <v>0.06</v>
          </cell>
          <cell r="N116" t="str">
            <v>skip</v>
          </cell>
        </row>
        <row r="117">
          <cell r="B117" t="str">
            <v>Interest Rate on New Term Loan</v>
          </cell>
          <cell r="F117" t="str">
            <v>papm</v>
          </cell>
          <cell r="G117" t="str">
            <v>InterestRate</v>
          </cell>
          <cell r="H117">
            <v>0.11</v>
          </cell>
          <cell r="I117" t="str">
            <v>InterestRate_I</v>
          </cell>
          <cell r="J117">
            <v>2</v>
          </cell>
          <cell r="L117">
            <v>0.11</v>
          </cell>
          <cell r="N117" t="str">
            <v>skip</v>
          </cell>
        </row>
        <row r="120">
          <cell r="B120" t="str">
            <v>Calculations</v>
          </cell>
        </row>
        <row r="121">
          <cell r="F121" t="str">
            <v xml:space="preserve"> </v>
          </cell>
          <cell r="O121" t="str">
            <v>Cost of Power Purchase</v>
          </cell>
        </row>
        <row r="122">
          <cell r="B122" t="str">
            <v>Reduction in T&amp;D Losses</v>
          </cell>
          <cell r="G122" t="str">
            <v>Subsidy Calculations</v>
          </cell>
          <cell r="H122" t="str">
            <v>Reduction in subsidy mix</v>
          </cell>
          <cell r="I122">
            <v>0.02</v>
          </cell>
          <cell r="L122" t="str">
            <v>Collection Efficiency</v>
          </cell>
          <cell r="O122" t="str">
            <v>from MSEDCL</v>
          </cell>
        </row>
        <row r="123">
          <cell r="B123" t="str">
            <v>Base TnD</v>
          </cell>
          <cell r="G123" t="str">
            <v>Sales Mix</v>
          </cell>
          <cell r="H123" t="str">
            <v>Subsidy (Rs./unit)</v>
          </cell>
          <cell r="L123" t="str">
            <v>Base Efficiency</v>
          </cell>
          <cell r="O123" t="str">
            <v>O = Original</v>
          </cell>
          <cell r="P123" t="str">
            <v>I = Indexed</v>
          </cell>
          <cell r="Q123" t="str">
            <v>MSEDCL Tariff</v>
          </cell>
          <cell r="R123" t="str">
            <v>Indexation</v>
          </cell>
        </row>
        <row r="124">
          <cell r="B124">
            <v>39538</v>
          </cell>
          <cell r="G124">
            <v>0.56999999999999995</v>
          </cell>
          <cell r="H124">
            <v>3.1699999999999995</v>
          </cell>
          <cell r="L124">
            <v>0.85</v>
          </cell>
          <cell r="O124">
            <v>1.8</v>
          </cell>
          <cell r="P124">
            <v>1.728642067053477</v>
          </cell>
          <cell r="Q124">
            <v>3.36</v>
          </cell>
          <cell r="R124">
            <v>0.96035670391859829</v>
          </cell>
          <cell r="S124" t="str">
            <v xml:space="preserve">Tariff to which purchase </v>
          </cell>
        </row>
        <row r="125">
          <cell r="B125">
            <v>39903</v>
          </cell>
          <cell r="G125">
            <v>0.54999999999999993</v>
          </cell>
          <cell r="H125">
            <v>3.1699999999999995</v>
          </cell>
          <cell r="L125">
            <v>0.95</v>
          </cell>
          <cell r="N125">
            <v>1.203703703703729E-2</v>
          </cell>
          <cell r="O125">
            <v>1.821666666666667</v>
          </cell>
          <cell r="P125">
            <v>1.9420975409914163</v>
          </cell>
          <cell r="Q125">
            <v>3.73</v>
          </cell>
          <cell r="R125">
            <v>1.0661102695286822</v>
          </cell>
          <cell r="S125" t="str">
            <v>cost is indexed</v>
          </cell>
        </row>
        <row r="126">
          <cell r="B126">
            <v>40268</v>
          </cell>
          <cell r="G126">
            <v>0.52999999999999992</v>
          </cell>
          <cell r="H126">
            <v>3.1699999999999995</v>
          </cell>
          <cell r="L126">
            <v>0.97</v>
          </cell>
          <cell r="N126">
            <v>3.8426349496797796E-2</v>
          </cell>
          <cell r="O126">
            <v>1.8916666666666668</v>
          </cell>
          <cell r="P126">
            <v>2.1175615228513447</v>
          </cell>
          <cell r="Q126">
            <v>3.9165000000000001</v>
          </cell>
          <cell r="R126">
            <v>1.1194157830051161</v>
          </cell>
        </row>
        <row r="127">
          <cell r="B127">
            <v>40633</v>
          </cell>
          <cell r="G127">
            <v>0.5099999999999999</v>
          </cell>
          <cell r="H127">
            <v>3.1699999999999995</v>
          </cell>
          <cell r="L127">
            <v>0.98</v>
          </cell>
          <cell r="N127">
            <v>3.7004405286343633E-2</v>
          </cell>
          <cell r="O127">
            <v>1.9616666666666667</v>
          </cell>
          <cell r="P127">
            <v>2.261798246491554</v>
          </cell>
          <cell r="Q127">
            <v>4.033995</v>
          </cell>
          <cell r="R127">
            <v>1.1529982564952697</v>
          </cell>
        </row>
        <row r="128">
          <cell r="B128">
            <v>40999</v>
          </cell>
          <cell r="G128">
            <v>0.48999999999999988</v>
          </cell>
          <cell r="H128">
            <v>3.1699999999999995</v>
          </cell>
          <cell r="L128">
            <v>0.98</v>
          </cell>
          <cell r="N128">
            <v>3.5683942225998244E-2</v>
          </cell>
          <cell r="O128">
            <v>2.0316666666666667</v>
          </cell>
          <cell r="P128">
            <v>2.4127833681796096</v>
          </cell>
          <cell r="Q128">
            <v>4.1550148499999997</v>
          </cell>
          <cell r="R128">
            <v>1.1875882041901278</v>
          </cell>
        </row>
        <row r="129">
          <cell r="B129">
            <v>41364</v>
          </cell>
          <cell r="G129">
            <v>0.46999999999999986</v>
          </cell>
          <cell r="H129">
            <v>3.1699999999999995</v>
          </cell>
          <cell r="L129">
            <v>0.98</v>
          </cell>
          <cell r="N129">
            <v>3.4454470877768539E-2</v>
          </cell>
          <cell r="O129">
            <v>2.1016666666666666</v>
          </cell>
          <cell r="P129">
            <v>2.5707919787471063</v>
          </cell>
          <cell r="Q129">
            <v>4.2796652955000001</v>
          </cell>
          <cell r="R129">
            <v>1.2232158503158317</v>
          </cell>
        </row>
        <row r="130">
          <cell r="B130">
            <v>41729</v>
          </cell>
          <cell r="G130">
            <v>0.44999999999999984</v>
          </cell>
          <cell r="H130">
            <v>3.1699999999999995</v>
          </cell>
          <cell r="L130">
            <v>0.98</v>
          </cell>
          <cell r="N130">
            <v>3.3306899286280611E-2</v>
          </cell>
          <cell r="O130">
            <v>2.1716666666666664</v>
          </cell>
          <cell r="P130">
            <v>2.7361096009172905</v>
          </cell>
          <cell r="Q130">
            <v>4.4080552543650002</v>
          </cell>
          <cell r="R130">
            <v>1.2599123258253067</v>
          </cell>
        </row>
        <row r="131">
          <cell r="B131">
            <v>42094</v>
          </cell>
          <cell r="G131">
            <v>0.42999999999999983</v>
          </cell>
          <cell r="H131">
            <v>3.1699999999999995</v>
          </cell>
          <cell r="L131">
            <v>0.98</v>
          </cell>
          <cell r="N131">
            <v>3.2233307751343032E-2</v>
          </cell>
          <cell r="O131">
            <v>2.2416666666666663</v>
          </cell>
          <cell r="P131">
            <v>2.9090325676368143</v>
          </cell>
          <cell r="Q131">
            <v>4.5402969119959504</v>
          </cell>
          <cell r="R131">
            <v>1.297709695600066</v>
          </cell>
        </row>
        <row r="132">
          <cell r="B132">
            <v>42460</v>
          </cell>
          <cell r="G132">
            <v>0.40999999999999981</v>
          </cell>
          <cell r="H132">
            <v>3.1699999999999995</v>
          </cell>
          <cell r="L132">
            <v>0.98</v>
          </cell>
          <cell r="N132">
            <v>3.1226765799256428E-2</v>
          </cell>
          <cell r="O132">
            <v>2.3116666666666661</v>
          </cell>
          <cell r="P132">
            <v>3.0898684137186829</v>
          </cell>
          <cell r="Q132">
            <v>4.6765058193558291</v>
          </cell>
          <cell r="R132">
            <v>1.3366409864680679</v>
          </cell>
        </row>
        <row r="133">
          <cell r="B133">
            <v>42825</v>
          </cell>
          <cell r="G133">
            <v>0.38999999999999979</v>
          </cell>
          <cell r="H133">
            <v>3.1699999999999995</v>
          </cell>
          <cell r="L133">
            <v>0.98</v>
          </cell>
          <cell r="N133">
            <v>3.0281182408074869E-2</v>
          </cell>
          <cell r="O133">
            <v>2.3816666666666659</v>
          </cell>
          <cell r="P133">
            <v>3.278936281254591</v>
          </cell>
          <cell r="Q133">
            <v>4.8168009939365044</v>
          </cell>
          <cell r="R133">
            <v>1.3767402160621101</v>
          </cell>
        </row>
        <row r="134">
          <cell r="B134">
            <v>43190</v>
          </cell>
          <cell r="G134">
            <v>0.36999999999999977</v>
          </cell>
          <cell r="H134">
            <v>3.1699999999999995</v>
          </cell>
          <cell r="L134">
            <v>0.98</v>
          </cell>
          <cell r="N134">
            <v>2.939118264520646E-2</v>
          </cell>
          <cell r="O134">
            <v>2.4516666666666658</v>
          </cell>
          <cell r="P134">
            <v>3.4765673392703067</v>
          </cell>
          <cell r="Q134">
            <v>4.9613050237545995</v>
          </cell>
          <cell r="R134">
            <v>1.4180424225439734</v>
          </cell>
        </row>
        <row r="135">
          <cell r="B135">
            <v>43555</v>
          </cell>
          <cell r="G135">
            <v>0.34999999999999976</v>
          </cell>
          <cell r="H135">
            <v>3.1699999999999995</v>
          </cell>
          <cell r="L135">
            <v>0.98</v>
          </cell>
          <cell r="N135">
            <v>2.8552005438476913E-2</v>
          </cell>
          <cell r="O135">
            <v>2.5216666666666652</v>
          </cell>
          <cell r="P135">
            <v>3.575830308848384</v>
          </cell>
          <cell r="Q135">
            <v>5.110144174467238</v>
          </cell>
          <cell r="R135">
            <v>1.4605836952202926</v>
          </cell>
        </row>
        <row r="136">
          <cell r="B136">
            <v>43921</v>
          </cell>
          <cell r="G136">
            <v>0.32999999999999974</v>
          </cell>
          <cell r="H136">
            <v>3.1699999999999995</v>
          </cell>
          <cell r="L136">
            <v>0.98</v>
          </cell>
          <cell r="N136">
            <v>2.7098479841375367E-2</v>
          </cell>
          <cell r="O136">
            <v>2.59</v>
          </cell>
          <cell r="P136">
            <v>3.672729874388891</v>
          </cell>
          <cell r="Q136">
            <v>5.2634484997012549</v>
          </cell>
          <cell r="R136">
            <v>1.5044012060769014</v>
          </cell>
        </row>
        <row r="137">
          <cell r="B137">
            <v>44286</v>
          </cell>
          <cell r="G137">
            <v>0.30999999999999972</v>
          </cell>
          <cell r="H137">
            <v>3.1699999999999995</v>
          </cell>
          <cell r="L137">
            <v>0.98</v>
          </cell>
          <cell r="N137">
            <v>2.7027027027027195E-2</v>
          </cell>
          <cell r="O137">
            <v>2.66</v>
          </cell>
          <cell r="P137">
            <v>3.7719928439669692</v>
          </cell>
          <cell r="Q137">
            <v>5.4213519546922928</v>
          </cell>
          <cell r="R137">
            <v>1.5495332422592085</v>
          </cell>
        </row>
        <row r="139">
          <cell r="B139" t="str">
            <v>SUGEN</v>
          </cell>
        </row>
        <row r="140">
          <cell r="B140" t="str">
            <v>Capacity</v>
          </cell>
          <cell r="F140" t="str">
            <v>MW</v>
          </cell>
          <cell r="G140" t="str">
            <v>Sugen_cap</v>
          </cell>
          <cell r="H140">
            <v>1147.5</v>
          </cell>
          <cell r="I140" t="str">
            <v>Sugen_cap_I</v>
          </cell>
          <cell r="J140">
            <v>2</v>
          </cell>
          <cell r="L140">
            <v>1147.5</v>
          </cell>
          <cell r="N140" t="str">
            <v>skip</v>
          </cell>
        </row>
        <row r="141">
          <cell r="B141" t="str">
            <v>PLF (2012 onwards)</v>
          </cell>
          <cell r="F141" t="str">
            <v>%</v>
          </cell>
          <cell r="G141" t="str">
            <v>Sugen_PLF</v>
          </cell>
          <cell r="H141">
            <v>0.91</v>
          </cell>
          <cell r="I141" t="str">
            <v>Sugen_PLF_I</v>
          </cell>
          <cell r="J141">
            <v>2</v>
          </cell>
          <cell r="L141">
            <v>0.91</v>
          </cell>
          <cell r="N141" t="str">
            <v>skip</v>
          </cell>
        </row>
        <row r="142">
          <cell r="B142" t="str">
            <v>Aux consumption</v>
          </cell>
          <cell r="F142" t="str">
            <v>%</v>
          </cell>
          <cell r="G142" t="str">
            <v>Sugen_aux</v>
          </cell>
          <cell r="H142">
            <v>1.9300000000000001E-2</v>
          </cell>
          <cell r="I142" t="str">
            <v>Sugen_aux_I</v>
          </cell>
          <cell r="J142">
            <v>2</v>
          </cell>
          <cell r="L142">
            <v>1.9300000000000001E-2</v>
          </cell>
          <cell r="N142" t="str">
            <v>skip</v>
          </cell>
        </row>
        <row r="143">
          <cell r="B143" t="str">
            <v>Gas Price</v>
          </cell>
          <cell r="F143" t="str">
            <v>$/mmbtu</v>
          </cell>
          <cell r="G143" t="str">
            <v>Gas_price</v>
          </cell>
          <cell r="H143">
            <v>5.72</v>
          </cell>
          <cell r="I143" t="str">
            <v>Gas_price_I</v>
          </cell>
          <cell r="J143">
            <v>2</v>
          </cell>
          <cell r="L143">
            <v>5.72</v>
          </cell>
          <cell r="N143" t="str">
            <v>skip</v>
          </cell>
        </row>
        <row r="144">
          <cell r="B144" t="str">
            <v>Capacity Allocation to TPL-D</v>
          </cell>
          <cell r="F144" t="str">
            <v>MW</v>
          </cell>
          <cell r="G144" t="str">
            <v>Allocation_TPLD</v>
          </cell>
          <cell r="H144">
            <v>824.74</v>
          </cell>
          <cell r="I144" t="str">
            <v>Allocation_TPLD_I</v>
          </cell>
          <cell r="J144">
            <v>2</v>
          </cell>
          <cell r="L144">
            <v>824.74</v>
          </cell>
          <cell r="N144" t="str">
            <v>skip</v>
          </cell>
        </row>
        <row r="145">
          <cell r="B145" t="str">
            <v>Contractual Heat Rate</v>
          </cell>
          <cell r="F145" t="str">
            <v>Kcal/Unit</v>
          </cell>
          <cell r="G145" t="str">
            <v>Norm_heatrate</v>
          </cell>
          <cell r="H145">
            <v>1852.7145</v>
          </cell>
          <cell r="I145" t="str">
            <v>Norm_heatrate_I</v>
          </cell>
          <cell r="J145">
            <v>2</v>
          </cell>
          <cell r="L145">
            <v>1852.7145</v>
          </cell>
          <cell r="N145" t="str">
            <v>skip</v>
          </cell>
        </row>
        <row r="146">
          <cell r="B146" t="str">
            <v>Actual Heat Rate</v>
          </cell>
          <cell r="F146" t="str">
            <v>Kcal/Unit</v>
          </cell>
          <cell r="G146" t="str">
            <v>Actual_heatrate</v>
          </cell>
          <cell r="H146">
            <v>1764.49</v>
          </cell>
          <cell r="I146" t="str">
            <v>Actual_heatrate_I</v>
          </cell>
          <cell r="J146">
            <v>2</v>
          </cell>
          <cell r="L146">
            <v>1764.49</v>
          </cell>
          <cell r="N146" t="str">
            <v>skip</v>
          </cell>
        </row>
        <row r="147">
          <cell r="B147" t="str">
            <v>Sugen Loan Interest rate</v>
          </cell>
          <cell r="F147" t="str">
            <v>%</v>
          </cell>
          <cell r="G147" t="str">
            <v>Sugen_int</v>
          </cell>
          <cell r="H147">
            <v>0.104</v>
          </cell>
          <cell r="I147" t="str">
            <v>Sugen_int_I</v>
          </cell>
          <cell r="J147">
            <v>2</v>
          </cell>
          <cell r="L147">
            <v>0.104</v>
          </cell>
          <cell r="N147" t="str">
            <v>skip</v>
          </cell>
        </row>
        <row r="148">
          <cell r="B148" t="str">
            <v>Sugen repayment</v>
          </cell>
          <cell r="F148" t="str">
            <v>year</v>
          </cell>
          <cell r="G148" t="str">
            <v>Sugen_repayment</v>
          </cell>
          <cell r="H148">
            <v>12</v>
          </cell>
          <cell r="I148" t="str">
            <v>Sugen_repayment_I</v>
          </cell>
          <cell r="J148">
            <v>2</v>
          </cell>
          <cell r="L148">
            <v>12</v>
          </cell>
          <cell r="N148" t="str">
            <v>skip</v>
          </cell>
        </row>
      </sheetData>
      <sheetData sheetId="1"/>
      <sheetData sheetId="2"/>
      <sheetData sheetId="3"/>
      <sheetData sheetId="4"/>
      <sheetData sheetId="5"/>
      <sheetData sheetId="6">
        <row r="4">
          <cell r="F4">
            <v>39903</v>
          </cell>
        </row>
      </sheetData>
      <sheetData sheetId="7"/>
      <sheetData sheetId="8"/>
      <sheetData sheetId="9"/>
      <sheetData sheetId="10"/>
      <sheetData sheetId="11">
        <row r="79">
          <cell r="C79">
            <v>2.0015703766645312</v>
          </cell>
        </row>
      </sheetData>
      <sheetData sheetId="12"/>
      <sheetData sheetId="13"/>
      <sheetData sheetId="14"/>
      <sheetData sheetId="15"/>
      <sheetData sheetId="16"/>
      <sheetData sheetId="17"/>
      <sheetData sheetId="18"/>
      <sheetData sheetId="19"/>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Details"/>
      <sheetName val="PACKING"/>
      <sheetName val="cell house"/>
      <sheetName val="slime&amp;purification (2)"/>
      <sheetName val="PREC"/>
      <sheetName val="REFLAB"/>
      <sheetName val="ISO"/>
      <sheetName val="PKG"/>
      <sheetName val="WATP"/>
      <sheetName val="COMP"/>
      <sheetName val="BOIHOU"/>
      <sheetName val="MATL"/>
      <sheetName val="REFINS"/>
      <sheetName val="REFMEC"/>
      <sheetName val="REFELE"/>
      <sheetName val="CELLHOU"/>
      <sheetName val="SLMPUR"/>
      <sheetName val="CAPITAL"/>
      <sheetName val="UPKEEP"/>
      <sheetName val="SAFETY"/>
      <sheetName val="POWER (2)"/>
      <sheetName val="POWER (3)"/>
      <sheetName val="Sheet2"/>
      <sheetName val="anex-power (2)"/>
      <sheetName val="norms"/>
      <sheetName val="TOP"/>
      <sheetName val="assumption"/>
      <sheetName val="P&amp;l"/>
      <sheetName val="power final"/>
      <sheetName val="Summery"/>
      <sheetName val="refinery"/>
      <sheetName val="elec-1"/>
      <sheetName val="elec-2"/>
      <sheetName val="elec-4"/>
      <sheetName val="elec-6"/>
      <sheetName val="elec-5"/>
      <sheetName val="elec-7"/>
      <sheetName val="elec-3"/>
    </sheetNames>
    <sheetDataSet>
      <sheetData sheetId="0" refreshError="1">
        <row r="156">
          <cell r="D156">
            <v>2070300</v>
          </cell>
        </row>
        <row r="187">
          <cell r="D187">
            <v>14070668.216039279</v>
          </cell>
        </row>
        <row r="195">
          <cell r="D195">
            <v>1342087.3846153845</v>
          </cell>
        </row>
        <row r="205">
          <cell r="D205">
            <v>585253.84615384613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Doc"/>
      <sheetName val="Input"/>
      <sheetName val="Calc"/>
      <sheetName val="Projections"/>
      <sheetName val="Financial"/>
      <sheetName val="Graphs"/>
      <sheetName val="sdgxlmb23"/>
    </sheetNames>
    <sheetDataSet>
      <sheetData sheetId="0"/>
      <sheetData sheetId="1">
        <row r="255">
          <cell r="H255">
            <v>1416.48</v>
          </cell>
        </row>
        <row r="256">
          <cell r="H256">
            <v>580.67999999999995</v>
          </cell>
        </row>
        <row r="258">
          <cell r="H258">
            <v>12.44</v>
          </cell>
        </row>
        <row r="402">
          <cell r="H402">
            <v>125</v>
          </cell>
          <cell r="I402">
            <v>165</v>
          </cell>
          <cell r="J402">
            <v>125</v>
          </cell>
          <cell r="K402">
            <v>132.5</v>
          </cell>
          <cell r="L402">
            <v>140.45000000000002</v>
          </cell>
          <cell r="M402">
            <v>148.87700000000004</v>
          </cell>
          <cell r="N402">
            <v>157.80962000000005</v>
          </cell>
          <cell r="O402">
            <v>167.27819720000005</v>
          </cell>
          <cell r="P402">
            <v>177.31488903200005</v>
          </cell>
          <cell r="Q402">
            <v>187.95378237392006</v>
          </cell>
        </row>
        <row r="405">
          <cell r="H405">
            <v>7.0000000000000007E-2</v>
          </cell>
          <cell r="I405">
            <v>7.0000000000000007E-2</v>
          </cell>
          <cell r="J405">
            <v>7.0000000000000007E-2</v>
          </cell>
          <cell r="K405">
            <v>7.0000000000000007E-2</v>
          </cell>
          <cell r="L405">
            <v>7.0000000000000007E-2</v>
          </cell>
          <cell r="M405">
            <v>7.0000000000000007E-2</v>
          </cell>
          <cell r="N405">
            <v>7.0000000000000007E-2</v>
          </cell>
          <cell r="O405">
            <v>7.0000000000000007E-2</v>
          </cell>
          <cell r="P405">
            <v>7.0000000000000007E-2</v>
          </cell>
          <cell r="Q405">
            <v>7.0000000000000007E-2</v>
          </cell>
        </row>
      </sheetData>
      <sheetData sheetId="2"/>
      <sheetData sheetId="3"/>
      <sheetData sheetId="4"/>
      <sheetData sheetId="5"/>
      <sheetData sheetId="6"/>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Copper P&amp;L FTM"/>
      <sheetName val="Copper P&amp;L YTD"/>
      <sheetName val="SIIL-P&amp;L-FTM"/>
      <sheetName val="SIIL-P&amp;L-YTD"/>
      <sheetName val="BS Final"/>
      <sheetName val="FI-New"/>
      <sheetName val="Mfg admin SIIL"/>
      <sheetName val="Mfg admin final-Copper"/>
      <sheetName val="Sheet1"/>
      <sheetName val="Cu-P&amp;L"/>
      <sheetName val="Sales"/>
      <sheetName val="Conc"/>
      <sheetName val="Mfg &amp; Adm-Consol"/>
      <sheetName val="Mfg &amp; Adm-Others"/>
      <sheetName val="Mfg &amp; Adm-COPPER"/>
      <sheetName val="Bud P&amp;L-Work YTD"/>
      <sheetName val="Bud P&amp;L-Work FTM"/>
      <sheetName val="Fund Inv."/>
      <sheetName val="CLBS"/>
      <sheetName val="Variables"/>
      <sheetName val="Budget P&amp;L-Worksheet"/>
      <sheetName val="Fund Inv"/>
      <sheetName val="TUTY FI"/>
      <sheetName val="TUTY BS"/>
      <sheetName val="Mfg admin final"/>
      <sheetName val="Mfg admin Consol"/>
      <sheetName val="Mfg admin others"/>
      <sheetName val="Mfg admin Copper"/>
      <sheetName val="CVK-BS-fUNDFLOW"/>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A5">
            <v>100</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pldt"/>
      <sheetName val="Report Setup Sheet"/>
      <sheetName val="Business Summary Financial"/>
      <sheetName val="Unit Breakup"/>
      <sheetName val="Segment"/>
      <sheetName val="Ughai"/>
      <sheetName val="KPM"/>
      <sheetName val="Project Progress"/>
      <sheetName val="Initiative Progress"/>
      <sheetName val="Business Position Paper"/>
      <sheetName val="Consolidated Business"/>
      <sheetName val="Unit1"/>
      <sheetName val="Unit2"/>
      <sheetName val="Unit3"/>
      <sheetName val="Unit4"/>
      <sheetName val="Unit5"/>
      <sheetName val="Unit6"/>
      <sheetName val="Unit7"/>
      <sheetName val="Unit8"/>
      <sheetName val="Unit9"/>
      <sheetName val="Unit10"/>
      <sheetName val="Unit11"/>
      <sheetName val="Unit12"/>
      <sheetName val="Unit13"/>
      <sheetName val="Unit14"/>
      <sheetName val="Unit15"/>
    </sheetNames>
    <sheetDataSet>
      <sheetData sheetId="0" refreshError="1"/>
      <sheetData sheetId="1" refreshError="1">
        <row r="50">
          <cell r="B50" t="str">
            <v>Carbon Black</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CCRCOP"/>
      <sheetName val="REFNRY"/>
      <sheetName val="INDCOST"/>
      <sheetName val="INDANNEX"/>
      <sheetName val="CCRCOPAFTER"/>
      <sheetName val="CCRCOP AS IS"/>
      <sheetName val="SUMMARY CVK"/>
      <sheetName val="schedules"/>
      <sheetName val="assumptions"/>
      <sheetName val="Summery"/>
      <sheetName val="CCR "/>
      <sheetName val="REFNCOMPAR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energytechnologyexpert.com/financial-models/how-to-evaluate-economic-feasibility-of-a-power-plant-project-use-project-finance-model/" TargetMode="External"/><Relationship Id="rId2" Type="http://schemas.openxmlformats.org/officeDocument/2006/relationships/hyperlink" Target="http://unfccc.int/cooperation_and_support/financial_mechanism/adaptation_fund/items/3659.php" TargetMode="External"/><Relationship Id="rId1" Type="http://schemas.openxmlformats.org/officeDocument/2006/relationships/printerSettings" Target="../printerSettings/printerSettings1.bin"/><Relationship Id="rId6" Type="http://schemas.openxmlformats.org/officeDocument/2006/relationships/printerSettings" Target="../printerSettings/printerSettings2.bin"/><Relationship Id="rId5" Type="http://schemas.openxmlformats.org/officeDocument/2006/relationships/hyperlink" Target="http://wtocentre.iift.ac.in/DOC/subsidies%20discipline%20final%20report-Natural%20resourse%20Pricing1.pdf%20%20(Page%20No.%2071)" TargetMode="External"/><Relationship Id="rId4" Type="http://schemas.openxmlformats.org/officeDocument/2006/relationships/hyperlink" Target="http://www.indianexpress.com/news/govt-allocates-kgd6-gas-to-power-sector/44526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codeName="Sheet1">
    <pageSetUpPr fitToPage="1"/>
  </sheetPr>
  <dimension ref="A1:E91"/>
  <sheetViews>
    <sheetView topLeftCell="A61" zoomScaleNormal="100" workbookViewId="0">
      <selection activeCell="D44" sqref="D44"/>
    </sheetView>
  </sheetViews>
  <sheetFormatPr defaultRowHeight="15"/>
  <cols>
    <col min="1" max="1" width="5.28515625" style="6" bestFit="1" customWidth="1"/>
    <col min="2" max="2" width="4.85546875" style="6" bestFit="1" customWidth="1"/>
    <col min="3" max="3" width="48.7109375" style="6" customWidth="1"/>
    <col min="4" max="4" width="18" style="6" bestFit="1" customWidth="1"/>
    <col min="5" max="5" width="125.28515625" style="6" customWidth="1"/>
    <col min="6" max="16384" width="9.140625" style="6"/>
  </cols>
  <sheetData>
    <row r="1" spans="1:5">
      <c r="A1" s="243"/>
      <c r="B1" s="243"/>
      <c r="C1" s="243"/>
      <c r="D1" s="243"/>
    </row>
    <row r="3" spans="1:5">
      <c r="A3" s="219" t="s">
        <v>40</v>
      </c>
      <c r="B3" s="220"/>
      <c r="C3" s="220"/>
      <c r="D3" s="49" t="s">
        <v>157</v>
      </c>
      <c r="E3" s="50" t="s">
        <v>155</v>
      </c>
    </row>
    <row r="4" spans="1:5">
      <c r="A4" s="230" t="s">
        <v>28</v>
      </c>
      <c r="B4" s="231"/>
      <c r="C4" s="232"/>
      <c r="D4" s="7">
        <v>382.5</v>
      </c>
      <c r="E4" s="238" t="s">
        <v>328</v>
      </c>
    </row>
    <row r="5" spans="1:5">
      <c r="A5" s="230" t="s">
        <v>206</v>
      </c>
      <c r="B5" s="231"/>
      <c r="C5" s="232"/>
      <c r="D5" s="7">
        <v>1</v>
      </c>
      <c r="E5" s="238"/>
    </row>
    <row r="6" spans="1:5">
      <c r="A6" s="230" t="s">
        <v>50</v>
      </c>
      <c r="B6" s="231"/>
      <c r="C6" s="232"/>
      <c r="D6" s="7">
        <f>D5*D4</f>
        <v>382.5</v>
      </c>
      <c r="E6" s="238"/>
    </row>
    <row r="9" spans="1:5">
      <c r="A9" s="235" t="s">
        <v>240</v>
      </c>
      <c r="B9" s="235"/>
      <c r="C9" s="235"/>
      <c r="D9" s="112">
        <f>D10/D6</f>
        <v>47.911006535947713</v>
      </c>
      <c r="E9" s="233" t="s">
        <v>329</v>
      </c>
    </row>
    <row r="10" spans="1:5">
      <c r="A10" s="235" t="s">
        <v>243</v>
      </c>
      <c r="B10" s="235"/>
      <c r="C10" s="235"/>
      <c r="D10" s="106">
        <f>18325.96*(1+'Sensitivity Analysis'!$B$6)</f>
        <v>18325.96</v>
      </c>
      <c r="E10" s="237"/>
    </row>
    <row r="11" spans="1:5">
      <c r="A11" s="235" t="s">
        <v>241</v>
      </c>
      <c r="B11" s="235"/>
      <c r="C11" s="235"/>
      <c r="D11" s="203">
        <f>D10-D12</f>
        <v>17915.96</v>
      </c>
      <c r="E11" s="237"/>
    </row>
    <row r="12" spans="1:5">
      <c r="A12" s="235" t="s">
        <v>244</v>
      </c>
      <c r="B12" s="235"/>
      <c r="C12" s="235"/>
      <c r="D12" s="106">
        <v>410</v>
      </c>
      <c r="E12" s="234"/>
    </row>
    <row r="13" spans="1:5">
      <c r="A13" s="104"/>
      <c r="B13" s="105"/>
      <c r="C13" s="105"/>
    </row>
    <row r="14" spans="1:5">
      <c r="A14" s="219" t="s">
        <v>41</v>
      </c>
      <c r="B14" s="220"/>
      <c r="C14" s="220"/>
      <c r="D14" s="220"/>
      <c r="E14" s="221"/>
    </row>
    <row r="15" spans="1:5" ht="45">
      <c r="A15" s="235" t="s">
        <v>36</v>
      </c>
      <c r="B15" s="242"/>
      <c r="C15" s="242"/>
      <c r="D15" s="9">
        <v>0.12</v>
      </c>
      <c r="E15" s="95" t="s">
        <v>331</v>
      </c>
    </row>
    <row r="16" spans="1:5">
      <c r="A16" s="235" t="s">
        <v>332</v>
      </c>
      <c r="B16" s="235"/>
      <c r="C16" s="235"/>
      <c r="D16" s="202">
        <v>11</v>
      </c>
      <c r="E16" s="238" t="s">
        <v>279</v>
      </c>
    </row>
    <row r="17" spans="1:5">
      <c r="A17" s="235" t="s">
        <v>38</v>
      </c>
      <c r="B17" s="242"/>
      <c r="C17" s="242"/>
      <c r="D17" s="11">
        <v>4</v>
      </c>
      <c r="E17" s="238"/>
    </row>
    <row r="18" spans="1:5">
      <c r="A18" s="235" t="s">
        <v>278</v>
      </c>
      <c r="B18" s="242"/>
      <c r="C18" s="242"/>
      <c r="D18" s="11">
        <v>44</v>
      </c>
      <c r="E18" s="238"/>
    </row>
    <row r="19" spans="1:5">
      <c r="A19" s="235" t="s">
        <v>242</v>
      </c>
      <c r="B19" s="242"/>
      <c r="C19" s="242"/>
      <c r="D19" s="12">
        <f>(D11*0.7)/D18</f>
        <v>285.02663636363633</v>
      </c>
      <c r="E19" s="238"/>
    </row>
    <row r="20" spans="1:5">
      <c r="A20" s="235" t="s">
        <v>245</v>
      </c>
      <c r="B20" s="242"/>
      <c r="C20" s="242"/>
      <c r="D20" s="12">
        <f>D19*4</f>
        <v>1140.1065454545453</v>
      </c>
      <c r="E20" s="238"/>
    </row>
    <row r="23" spans="1:5">
      <c r="A23" s="239" t="s">
        <v>31</v>
      </c>
      <c r="B23" s="239"/>
      <c r="C23" s="239"/>
      <c r="D23" s="239"/>
      <c r="E23" s="239"/>
    </row>
    <row r="24" spans="1:5">
      <c r="A24" s="235" t="s">
        <v>280</v>
      </c>
      <c r="B24" s="242"/>
      <c r="C24" s="242"/>
      <c r="D24" s="11">
        <v>364</v>
      </c>
      <c r="E24" s="10" t="s">
        <v>281</v>
      </c>
    </row>
    <row r="25" spans="1:5">
      <c r="A25" s="225" t="s">
        <v>282</v>
      </c>
      <c r="B25" s="225"/>
      <c r="C25" s="225"/>
      <c r="D25" s="11">
        <v>365</v>
      </c>
      <c r="E25" s="10"/>
    </row>
    <row r="28" spans="1:5">
      <c r="A28" s="219" t="s">
        <v>54</v>
      </c>
      <c r="B28" s="220"/>
      <c r="C28" s="220"/>
      <c r="D28" s="220"/>
      <c r="E28" s="221"/>
    </row>
    <row r="29" spans="1:5" ht="15" customHeight="1">
      <c r="A29" s="222" t="s">
        <v>53</v>
      </c>
      <c r="B29" s="223"/>
      <c r="C29" s="224"/>
      <c r="D29" s="9">
        <v>5.28E-2</v>
      </c>
      <c r="E29" s="95" t="s">
        <v>208</v>
      </c>
    </row>
    <row r="30" spans="1:5">
      <c r="A30" s="222" t="s">
        <v>59</v>
      </c>
      <c r="B30" s="223"/>
      <c r="C30" s="224"/>
      <c r="D30" s="9">
        <v>0.1</v>
      </c>
      <c r="E30" s="95" t="s">
        <v>209</v>
      </c>
    </row>
    <row r="31" spans="1:5">
      <c r="A31" s="222" t="s">
        <v>60</v>
      </c>
      <c r="B31" s="223"/>
      <c r="C31" s="224"/>
      <c r="D31" s="13">
        <f>1-D30</f>
        <v>0.9</v>
      </c>
      <c r="E31" s="95" t="s">
        <v>209</v>
      </c>
    </row>
    <row r="32" spans="1:5">
      <c r="D32" s="14"/>
    </row>
    <row r="33" spans="1:5">
      <c r="A33" s="219" t="s">
        <v>123</v>
      </c>
      <c r="B33" s="220"/>
      <c r="C33" s="220"/>
      <c r="D33" s="220"/>
      <c r="E33" s="221"/>
    </row>
    <row r="34" spans="1:5">
      <c r="A34" s="238" t="s">
        <v>122</v>
      </c>
      <c r="B34" s="240"/>
      <c r="C34" s="240"/>
      <c r="D34" s="9">
        <v>0.15</v>
      </c>
      <c r="E34" s="20" t="s">
        <v>225</v>
      </c>
    </row>
    <row r="35" spans="1:5">
      <c r="A35" s="238" t="s">
        <v>124</v>
      </c>
      <c r="B35" s="240"/>
      <c r="C35" s="240"/>
      <c r="D35" s="9">
        <v>5.28E-2</v>
      </c>
      <c r="E35" s="241" t="s">
        <v>173</v>
      </c>
    </row>
    <row r="36" spans="1:5">
      <c r="A36" s="225" t="str">
        <f>A30  &amp; " as per Companies Act, 1956"</f>
        <v>Salvage Value of Plant as per Companies Act, 1956</v>
      </c>
      <c r="B36" s="225"/>
      <c r="C36" s="225"/>
      <c r="D36" s="15">
        <v>0</v>
      </c>
      <c r="E36" s="241"/>
    </row>
    <row r="37" spans="1:5">
      <c r="A37" s="226"/>
      <c r="B37" s="227"/>
      <c r="C37" s="227"/>
      <c r="D37" s="227"/>
      <c r="E37" s="227"/>
    </row>
    <row r="38" spans="1:5">
      <c r="A38" s="225" t="s">
        <v>235</v>
      </c>
      <c r="B38" s="225"/>
      <c r="C38" s="225"/>
      <c r="D38" s="17">
        <v>0.1</v>
      </c>
      <c r="E38" s="137" t="s">
        <v>236</v>
      </c>
    </row>
    <row r="39" spans="1:5">
      <c r="A39" s="228"/>
      <c r="B39" s="229"/>
      <c r="C39" s="229"/>
      <c r="D39" s="229"/>
      <c r="E39" s="229"/>
    </row>
    <row r="40" spans="1:5">
      <c r="A40" s="225" t="s">
        <v>316</v>
      </c>
      <c r="B40" s="236"/>
      <c r="C40" s="236"/>
      <c r="D40" s="7">
        <v>46.68</v>
      </c>
      <c r="E40" s="233" t="s">
        <v>313</v>
      </c>
    </row>
    <row r="41" spans="1:5">
      <c r="A41" s="222" t="s">
        <v>283</v>
      </c>
      <c r="B41" s="223"/>
      <c r="C41" s="224"/>
      <c r="D41" s="7">
        <v>43.48</v>
      </c>
      <c r="E41" s="234"/>
    </row>
    <row r="42" spans="1:5">
      <c r="A42" s="222" t="s">
        <v>284</v>
      </c>
      <c r="B42" s="223"/>
      <c r="C42" s="224"/>
      <c r="D42" s="204">
        <f>DAYS360(DATE(2000,1,3),DATE(2009,12,31))/360</f>
        <v>9.9944444444444436</v>
      </c>
      <c r="E42" s="201" t="s">
        <v>285</v>
      </c>
    </row>
    <row r="43" spans="1:5">
      <c r="A43" s="225" t="s">
        <v>158</v>
      </c>
      <c r="B43" s="236"/>
      <c r="C43" s="236"/>
      <c r="D43" s="205">
        <f>1+ROUND((D40/D41)^(1/D42)-1,3)</f>
        <v>1.0069999999999999</v>
      </c>
      <c r="E43" s="99" t="s">
        <v>238</v>
      </c>
    </row>
    <row r="44" spans="1:5" ht="30">
      <c r="A44" s="225" t="s">
        <v>317</v>
      </c>
      <c r="B44" s="225"/>
      <c r="C44" s="225"/>
      <c r="D44" s="11">
        <f>'Fuel Pricing'!B15*(1+'Sensitivity Analysis'!$B$4)</f>
        <v>6.35</v>
      </c>
      <c r="E44" s="122" t="s">
        <v>154</v>
      </c>
    </row>
    <row r="45" spans="1:5">
      <c r="A45" s="230" t="s">
        <v>286</v>
      </c>
      <c r="B45" s="231"/>
      <c r="C45" s="232"/>
      <c r="D45" s="16">
        <v>8100</v>
      </c>
      <c r="E45" s="206" t="s">
        <v>287</v>
      </c>
    </row>
    <row r="46" spans="1:5">
      <c r="A46" s="230" t="s">
        <v>288</v>
      </c>
      <c r="B46" s="231"/>
      <c r="C46" s="232"/>
      <c r="D46" s="16">
        <f>D45*D59</f>
        <v>8910</v>
      </c>
      <c r="E46" s="201" t="s">
        <v>289</v>
      </c>
    </row>
    <row r="47" spans="1:5">
      <c r="A47" s="230" t="s">
        <v>290</v>
      </c>
      <c r="B47" s="231"/>
      <c r="C47" s="232"/>
      <c r="D47" s="16">
        <v>9880</v>
      </c>
      <c r="E47" s="206" t="s">
        <v>291</v>
      </c>
    </row>
    <row r="48" spans="1:5" ht="30">
      <c r="A48" s="225" t="s">
        <v>156</v>
      </c>
      <c r="B48" s="236"/>
      <c r="C48" s="236"/>
      <c r="D48" s="16">
        <f>D46*0.5+0.5*D47</f>
        <v>9395</v>
      </c>
      <c r="E48" s="201" t="s">
        <v>314</v>
      </c>
    </row>
    <row r="49" spans="1:5">
      <c r="A49" s="235" t="s">
        <v>228</v>
      </c>
      <c r="B49" s="235"/>
      <c r="C49" s="235"/>
      <c r="D49" s="133">
        <v>11.53</v>
      </c>
      <c r="E49" s="10" t="s">
        <v>232</v>
      </c>
    </row>
    <row r="50" spans="1:5">
      <c r="A50" s="235" t="s">
        <v>231</v>
      </c>
      <c r="B50" s="235"/>
      <c r="C50" s="235"/>
      <c r="D50" s="132">
        <v>0.02</v>
      </c>
      <c r="E50" s="136" t="s">
        <v>233</v>
      </c>
    </row>
    <row r="51" spans="1:5">
      <c r="A51" s="225" t="s">
        <v>247</v>
      </c>
      <c r="B51" s="236"/>
      <c r="C51" s="236"/>
      <c r="D51" s="133">
        <v>67.069999999999993</v>
      </c>
      <c r="E51" s="122" t="s">
        <v>234</v>
      </c>
    </row>
    <row r="54" spans="1:5">
      <c r="A54" s="219" t="s">
        <v>29</v>
      </c>
      <c r="B54" s="220"/>
      <c r="C54" s="220"/>
      <c r="D54" s="220"/>
      <c r="E54" s="221"/>
    </row>
    <row r="55" spans="1:5">
      <c r="A55" s="230" t="s">
        <v>246</v>
      </c>
      <c r="B55" s="231"/>
      <c r="C55" s="232"/>
      <c r="D55" s="101">
        <v>3.968</v>
      </c>
      <c r="E55" s="10" t="s">
        <v>49</v>
      </c>
    </row>
    <row r="56" spans="1:5">
      <c r="A56" s="225" t="s">
        <v>27</v>
      </c>
      <c r="B56" s="225"/>
      <c r="C56" s="225"/>
      <c r="D56" s="17">
        <f>85%*(1+'Sensitivity Analysis'!$B$5)</f>
        <v>0.85</v>
      </c>
      <c r="E56" s="86" t="s">
        <v>210</v>
      </c>
    </row>
    <row r="57" spans="1:5">
      <c r="A57" s="235" t="s">
        <v>292</v>
      </c>
      <c r="B57" s="235"/>
      <c r="C57" s="235"/>
      <c r="D57" s="202">
        <f>6527*(1+'Sensitivity Analysis'!$B$8)</f>
        <v>6527</v>
      </c>
      <c r="E57" s="10" t="s">
        <v>330</v>
      </c>
    </row>
    <row r="58" spans="1:5">
      <c r="A58" s="230" t="s">
        <v>293</v>
      </c>
      <c r="B58" s="231"/>
      <c r="C58" s="232"/>
      <c r="D58" s="207">
        <v>4.1859999999999999</v>
      </c>
      <c r="E58" s="95" t="s">
        <v>294</v>
      </c>
    </row>
    <row r="59" spans="1:5">
      <c r="A59" s="230" t="s">
        <v>295</v>
      </c>
      <c r="B59" s="231"/>
      <c r="C59" s="232"/>
      <c r="D59" s="202">
        <v>1.1000000000000001</v>
      </c>
      <c r="E59" s="95" t="s">
        <v>296</v>
      </c>
    </row>
    <row r="60" spans="1:5" ht="15" customHeight="1">
      <c r="A60" s="225" t="s">
        <v>26</v>
      </c>
      <c r="B60" s="225"/>
      <c r="C60" s="225"/>
      <c r="D60" s="15">
        <v>0.03</v>
      </c>
      <c r="E60" s="86" t="s">
        <v>211</v>
      </c>
    </row>
    <row r="61" spans="1:5">
      <c r="A61" s="225" t="s">
        <v>99</v>
      </c>
      <c r="B61" s="225"/>
      <c r="C61" s="225"/>
      <c r="D61" s="208">
        <f>ROUND(D57/D58*D59*(1-D60),2)</f>
        <v>1663.71</v>
      </c>
      <c r="E61" s="10" t="s">
        <v>297</v>
      </c>
    </row>
    <row r="62" spans="1:5">
      <c r="A62" s="225" t="s">
        <v>153</v>
      </c>
      <c r="B62" s="225"/>
      <c r="C62" s="225"/>
      <c r="D62" s="8">
        <v>1.05</v>
      </c>
      <c r="E62" s="86" t="s">
        <v>212</v>
      </c>
    </row>
    <row r="63" spans="1:5" ht="30">
      <c r="A63" s="225" t="s">
        <v>207</v>
      </c>
      <c r="B63" s="225"/>
      <c r="C63" s="225"/>
      <c r="D63" s="8">
        <f>D61*D62</f>
        <v>1746.8955000000001</v>
      </c>
      <c r="E63" s="95" t="s">
        <v>315</v>
      </c>
    </row>
    <row r="64" spans="1:5">
      <c r="D64" s="18"/>
    </row>
    <row r="65" spans="1:5">
      <c r="A65" s="219" t="s">
        <v>30</v>
      </c>
      <c r="B65" s="220"/>
      <c r="C65" s="220"/>
      <c r="D65" s="220"/>
      <c r="E65" s="221"/>
    </row>
    <row r="66" spans="1:5" ht="15" customHeight="1">
      <c r="A66" s="225" t="s">
        <v>327</v>
      </c>
      <c r="B66" s="236"/>
      <c r="C66" s="236"/>
      <c r="D66" s="11">
        <f>1.849*(1+'Sensitivity Analysis'!$B$7)</f>
        <v>1.849</v>
      </c>
      <c r="E66" s="87" t="s">
        <v>213</v>
      </c>
    </row>
    <row r="67" spans="1:5">
      <c r="A67" s="225" t="s">
        <v>161</v>
      </c>
      <c r="B67" s="225"/>
      <c r="C67" s="225"/>
      <c r="D67" s="11">
        <v>1.0571999999999999</v>
      </c>
      <c r="E67" s="87" t="s">
        <v>214</v>
      </c>
    </row>
    <row r="68" spans="1:5">
      <c r="A68" s="225" t="s">
        <v>19</v>
      </c>
      <c r="B68" s="225"/>
      <c r="C68" s="225"/>
      <c r="D68" s="19">
        <v>0.155</v>
      </c>
      <c r="E68" s="87" t="s">
        <v>215</v>
      </c>
    </row>
    <row r="69" spans="1:5" ht="30">
      <c r="A69" s="225" t="s">
        <v>162</v>
      </c>
      <c r="B69" s="236"/>
      <c r="C69" s="236"/>
      <c r="D69" s="11">
        <v>1.1019000000000001</v>
      </c>
      <c r="E69" s="201" t="s">
        <v>298</v>
      </c>
    </row>
    <row r="71" spans="1:5">
      <c r="A71" s="219" t="s">
        <v>32</v>
      </c>
      <c r="B71" s="220"/>
      <c r="C71" s="220"/>
      <c r="D71" s="220"/>
      <c r="E71" s="221"/>
    </row>
    <row r="72" spans="1:5">
      <c r="A72" s="222" t="s">
        <v>33</v>
      </c>
      <c r="B72" s="244"/>
      <c r="C72" s="245"/>
      <c r="D72" s="200">
        <f>30/100*((1.1)*(1.03))</f>
        <v>0.33990000000000004</v>
      </c>
      <c r="E72" s="238" t="s">
        <v>225</v>
      </c>
    </row>
    <row r="73" spans="1:5">
      <c r="A73" s="222" t="s">
        <v>34</v>
      </c>
      <c r="B73" s="244"/>
      <c r="C73" s="245"/>
      <c r="D73" s="200">
        <f>15/100*(1.1*1.03)</f>
        <v>0.16995000000000002</v>
      </c>
      <c r="E73" s="238"/>
    </row>
    <row r="76" spans="1:5">
      <c r="A76" s="239" t="s">
        <v>56</v>
      </c>
      <c r="B76" s="239"/>
      <c r="C76" s="239"/>
      <c r="D76" s="239"/>
      <c r="E76" s="239"/>
    </row>
    <row r="77" spans="1:5">
      <c r="A77" s="225" t="s">
        <v>68</v>
      </c>
      <c r="B77" s="236"/>
      <c r="C77" s="236"/>
      <c r="D77" s="11">
        <v>2</v>
      </c>
      <c r="E77" s="95" t="s">
        <v>216</v>
      </c>
    </row>
    <row r="78" spans="1:5">
      <c r="A78" s="225" t="s">
        <v>43</v>
      </c>
      <c r="B78" s="225"/>
      <c r="C78" s="225"/>
      <c r="D78" s="11">
        <v>1</v>
      </c>
      <c r="E78" s="95" t="s">
        <v>216</v>
      </c>
    </row>
    <row r="79" spans="1:5">
      <c r="A79" s="225" t="s">
        <v>44</v>
      </c>
      <c r="B79" s="236"/>
      <c r="C79" s="236"/>
      <c r="D79" s="11">
        <v>1</v>
      </c>
      <c r="E79" s="95" t="s">
        <v>216</v>
      </c>
    </row>
    <row r="80" spans="1:5">
      <c r="A80" s="225" t="s">
        <v>55</v>
      </c>
      <c r="B80" s="225"/>
      <c r="C80" s="225"/>
      <c r="D80" s="15">
        <v>0.3</v>
      </c>
      <c r="E80" s="95" t="s">
        <v>216</v>
      </c>
    </row>
    <row r="81" spans="1:5" ht="45">
      <c r="A81" s="225" t="s">
        <v>35</v>
      </c>
      <c r="B81" s="225"/>
      <c r="C81" s="225"/>
      <c r="D81" s="13">
        <v>0.11749999999999999</v>
      </c>
      <c r="E81" s="95" t="s">
        <v>217</v>
      </c>
    </row>
    <row r="83" spans="1:5">
      <c r="A83" s="239" t="s">
        <v>177</v>
      </c>
      <c r="B83" s="239"/>
      <c r="C83" s="239"/>
    </row>
    <row r="84" spans="1:5">
      <c r="A84" s="96" t="s">
        <v>3</v>
      </c>
      <c r="B84" s="96" t="s">
        <v>178</v>
      </c>
      <c r="C84" s="138" t="s">
        <v>239</v>
      </c>
    </row>
    <row r="85" spans="1:5">
      <c r="A85" s="10">
        <v>-2</v>
      </c>
      <c r="B85" s="88">
        <v>0.38737662183381938</v>
      </c>
      <c r="C85" s="36">
        <f>$D$11*B85</f>
        <v>6940.2240617098341</v>
      </c>
    </row>
    <row r="86" spans="1:5">
      <c r="A86" s="21">
        <v>-1</v>
      </c>
      <c r="B86" s="88">
        <v>0.43220749141180803</v>
      </c>
      <c r="C86" s="36">
        <f t="shared" ref="C86:C88" si="0">$D$11*B86</f>
        <v>7743.4121278342955</v>
      </c>
    </row>
    <row r="87" spans="1:5">
      <c r="A87" s="10">
        <v>0</v>
      </c>
      <c r="B87" s="89">
        <v>0.18041588675437259</v>
      </c>
      <c r="C87" s="36">
        <f t="shared" si="0"/>
        <v>3232.3238104558691</v>
      </c>
      <c r="D87" s="107"/>
    </row>
    <row r="88" spans="1:5">
      <c r="A88" s="10">
        <v>1</v>
      </c>
      <c r="B88" s="88">
        <f>100%-B87-B86-B85</f>
        <v>0</v>
      </c>
      <c r="C88" s="36">
        <f t="shared" si="0"/>
        <v>0</v>
      </c>
    </row>
    <row r="89" spans="1:5">
      <c r="C89" s="108"/>
    </row>
    <row r="90" spans="1:5">
      <c r="C90" s="108"/>
    </row>
    <row r="91" spans="1:5">
      <c r="C91" s="108"/>
    </row>
  </sheetData>
  <customSheetViews>
    <customSheetView guid="{6D27EB6A-3939-4201-8E4B-897AA8118F21}" scale="80" showPageBreaks="1" printArea="1" hiddenColumns="1" topLeftCell="A37">
      <selection activeCell="D50" sqref="D50"/>
      <colBreaks count="1" manualBreakCount="1">
        <brk id="9" max="111" man="1"/>
      </colBreaks>
      <pageMargins left="0.7" right="0.16" top="1" bottom="0.55000000000000004" header="0.5" footer="0.5"/>
      <pageSetup paperSize="9" scale="70" orientation="landscape" r:id="rId1"/>
      <headerFooter alignWithMargins="0"/>
    </customSheetView>
  </customSheetViews>
  <mergeCells count="73">
    <mergeCell ref="A1:D1"/>
    <mergeCell ref="A78:C78"/>
    <mergeCell ref="A72:C72"/>
    <mergeCell ref="A73:C73"/>
    <mergeCell ref="A9:C9"/>
    <mergeCell ref="A11:C11"/>
    <mergeCell ref="A44:C44"/>
    <mergeCell ref="A5:C5"/>
    <mergeCell ref="A6:C6"/>
    <mergeCell ref="A15:C15"/>
    <mergeCell ref="A35:C35"/>
    <mergeCell ref="A36:C36"/>
    <mergeCell ref="A4:C4"/>
    <mergeCell ref="A43:C43"/>
    <mergeCell ref="A48:C48"/>
    <mergeCell ref="A77:C77"/>
    <mergeCell ref="A83:C83"/>
    <mergeCell ref="E4:E6"/>
    <mergeCell ref="E35:E36"/>
    <mergeCell ref="A18:C18"/>
    <mergeCell ref="A80:C80"/>
    <mergeCell ref="A19:C19"/>
    <mergeCell ref="A20:C20"/>
    <mergeCell ref="A17:C17"/>
    <mergeCell ref="A79:C79"/>
    <mergeCell ref="A40:C40"/>
    <mergeCell ref="A14:E14"/>
    <mergeCell ref="A29:C29"/>
    <mergeCell ref="A24:C24"/>
    <mergeCell ref="A25:C25"/>
    <mergeCell ref="A81:C81"/>
    <mergeCell ref="A69:C69"/>
    <mergeCell ref="A71:E71"/>
    <mergeCell ref="A60:C60"/>
    <mergeCell ref="A76:E76"/>
    <mergeCell ref="E72:E73"/>
    <mergeCell ref="A3:C3"/>
    <mergeCell ref="A66:C66"/>
    <mergeCell ref="A67:C67"/>
    <mergeCell ref="A63:C63"/>
    <mergeCell ref="A68:C68"/>
    <mergeCell ref="A56:C56"/>
    <mergeCell ref="A61:C61"/>
    <mergeCell ref="A62:C62"/>
    <mergeCell ref="A55:C55"/>
    <mergeCell ref="A31:C31"/>
    <mergeCell ref="A34:C34"/>
    <mergeCell ref="A12:C12"/>
    <mergeCell ref="A10:C10"/>
    <mergeCell ref="A51:C51"/>
    <mergeCell ref="A49:C49"/>
    <mergeCell ref="A50:C50"/>
    <mergeCell ref="E9:E12"/>
    <mergeCell ref="A28:E28"/>
    <mergeCell ref="A33:E33"/>
    <mergeCell ref="A16:C16"/>
    <mergeCell ref="E16:E20"/>
    <mergeCell ref="A23:E23"/>
    <mergeCell ref="A65:E65"/>
    <mergeCell ref="A54:E54"/>
    <mergeCell ref="A30:C30"/>
    <mergeCell ref="A38:C38"/>
    <mergeCell ref="A37:E37"/>
    <mergeCell ref="A39:E39"/>
    <mergeCell ref="A41:C41"/>
    <mergeCell ref="A42:C42"/>
    <mergeCell ref="A58:C58"/>
    <mergeCell ref="A59:C59"/>
    <mergeCell ref="E40:E41"/>
    <mergeCell ref="A45:C45"/>
    <mergeCell ref="A46:C46"/>
    <mergeCell ref="A47:C47"/>
    <mergeCell ref="A57:C57"/>
  </mergeCells>
  <phoneticPr fontId="7" type="noConversion"/>
  <hyperlinks>
    <hyperlink ref="E50" r:id="rId2"/>
    <hyperlink ref="E38" r:id="rId3"/>
    <hyperlink ref="E45" r:id="rId4"/>
    <hyperlink ref="E47" r:id="rId5"/>
  </hyperlinks>
  <pageMargins left="0.7" right="0.16" top="1" bottom="0.55000000000000004" header="0.5" footer="0.5"/>
  <pageSetup paperSize="9" scale="52" orientation="portrait" r:id="rId6"/>
  <headerFooter alignWithMargins="0"/>
</worksheet>
</file>

<file path=xl/worksheets/sheet2.xml><?xml version="1.0" encoding="utf-8"?>
<worksheet xmlns="http://schemas.openxmlformats.org/spreadsheetml/2006/main" xmlns:r="http://schemas.openxmlformats.org/officeDocument/2006/relationships">
  <sheetPr codeName="Sheet9"/>
  <dimension ref="A1:J24"/>
  <sheetViews>
    <sheetView tabSelected="1" zoomScaleNormal="100" workbookViewId="0">
      <selection activeCell="B7" sqref="B7"/>
    </sheetView>
  </sheetViews>
  <sheetFormatPr defaultRowHeight="15"/>
  <cols>
    <col min="1" max="1" width="56.28515625" style="20" customWidth="1"/>
    <col min="2" max="2" width="10.85546875" style="20" bestFit="1" customWidth="1"/>
    <col min="3" max="3" width="24.7109375" style="20" customWidth="1"/>
    <col min="4" max="4" width="12.85546875" style="20" customWidth="1"/>
    <col min="5" max="5" width="11.7109375" style="20" bestFit="1" customWidth="1"/>
    <col min="6" max="6" width="10.5703125" style="20" bestFit="1" customWidth="1"/>
    <col min="7" max="7" width="9.140625" style="20"/>
    <col min="8" max="12" width="11.140625" style="20" customWidth="1"/>
    <col min="13" max="16384" width="9.140625" style="20"/>
  </cols>
  <sheetData>
    <row r="1" spans="1:6" ht="30" thickBot="1">
      <c r="A1" s="134" t="s">
        <v>227</v>
      </c>
      <c r="B1" s="135">
        <v>0</v>
      </c>
    </row>
    <row r="3" spans="1:6" ht="29.25">
      <c r="A3" s="120" t="s">
        <v>127</v>
      </c>
      <c r="B3" s="140" t="s">
        <v>159</v>
      </c>
      <c r="C3" s="123" t="str">
        <f>IF(B1,"Project IRR in % with CDM Benefits", "Project IRR in % without CDM Benefits")</f>
        <v>Project IRR in % without CDM Benefits</v>
      </c>
      <c r="D3" s="123" t="s">
        <v>193</v>
      </c>
    </row>
    <row r="4" spans="1:6">
      <c r="A4" s="21" t="s">
        <v>97</v>
      </c>
      <c r="B4" s="41">
        <v>0</v>
      </c>
      <c r="C4" s="39">
        <f ca="1">Workings!$B$52</f>
        <v>0.11015813914945141</v>
      </c>
      <c r="D4" s="121">
        <v>0.13341919483587159</v>
      </c>
      <c r="E4" s="139"/>
    </row>
    <row r="5" spans="1:6">
      <c r="A5" s="21" t="s">
        <v>128</v>
      </c>
      <c r="B5" s="41">
        <v>0</v>
      </c>
      <c r="C5" s="39">
        <f ca="1">Workings!$B$52</f>
        <v>0.11015813914945141</v>
      </c>
      <c r="D5" s="121">
        <v>0.13341919483587159</v>
      </c>
    </row>
    <row r="6" spans="1:6">
      <c r="A6" s="21" t="s">
        <v>160</v>
      </c>
      <c r="B6" s="41">
        <v>0</v>
      </c>
      <c r="C6" s="39">
        <f ca="1">Workings!$B$52</f>
        <v>0.11015813914945141</v>
      </c>
      <c r="D6" s="121">
        <v>0.13341919483587159</v>
      </c>
    </row>
    <row r="7" spans="1:6">
      <c r="A7" s="21" t="s">
        <v>202</v>
      </c>
      <c r="B7" s="41">
        <v>0</v>
      </c>
      <c r="C7" s="39">
        <f ca="1">Workings!$B$52</f>
        <v>0.11015813914945141</v>
      </c>
      <c r="D7" s="121">
        <v>0.13341919483587159</v>
      </c>
    </row>
    <row r="8" spans="1:6">
      <c r="A8" s="21" t="s">
        <v>203</v>
      </c>
      <c r="B8" s="41">
        <v>0</v>
      </c>
      <c r="C8" s="39">
        <f ca="1">Workings!$B$52</f>
        <v>0.11015813914945141</v>
      </c>
      <c r="D8" s="121">
        <v>0.13341919483587159</v>
      </c>
    </row>
    <row r="9" spans="1:6">
      <c r="A9" s="32"/>
      <c r="B9" s="247" t="s">
        <v>319</v>
      </c>
      <c r="C9" s="247"/>
    </row>
    <row r="11" spans="1:6" ht="15.75" thickBot="1">
      <c r="A11" s="113" t="s">
        <v>320</v>
      </c>
    </row>
    <row r="12" spans="1:6">
      <c r="A12" s="117"/>
      <c r="B12" s="102" t="s">
        <v>97</v>
      </c>
      <c r="C12" s="102" t="s">
        <v>128</v>
      </c>
      <c r="D12" s="102" t="s">
        <v>160</v>
      </c>
      <c r="E12" s="102" t="s">
        <v>222</v>
      </c>
      <c r="F12" s="103" t="s">
        <v>203</v>
      </c>
    </row>
    <row r="13" spans="1:6">
      <c r="A13" s="118" t="s">
        <v>223</v>
      </c>
      <c r="B13" s="39">
        <v>0.1103</v>
      </c>
      <c r="C13" s="39">
        <v>0.1103</v>
      </c>
      <c r="D13" s="39">
        <v>0.1099</v>
      </c>
      <c r="E13" s="39">
        <v>0.1104</v>
      </c>
      <c r="F13" s="119">
        <v>0.1103</v>
      </c>
    </row>
    <row r="14" spans="1:6">
      <c r="A14" s="114">
        <v>0</v>
      </c>
      <c r="B14" s="39">
        <v>0.11015813941428992</v>
      </c>
      <c r="C14" s="39">
        <v>0.11015813941428992</v>
      </c>
      <c r="D14" s="39">
        <v>0.11015813941428992</v>
      </c>
      <c r="E14" s="39">
        <v>0.11015813941428992</v>
      </c>
      <c r="F14" s="119">
        <v>0.11015813941428992</v>
      </c>
    </row>
    <row r="15" spans="1:6" ht="15.75" thickBot="1">
      <c r="A15" s="115" t="s">
        <v>224</v>
      </c>
      <c r="B15" s="94">
        <v>0.11</v>
      </c>
      <c r="C15" s="94">
        <v>0.11</v>
      </c>
      <c r="D15" s="94">
        <v>0.1105</v>
      </c>
      <c r="E15" s="94">
        <v>0.1099</v>
      </c>
      <c r="F15" s="116">
        <v>0.11</v>
      </c>
    </row>
    <row r="17" spans="1:10" ht="15.75" thickBot="1">
      <c r="A17" s="113" t="s">
        <v>320</v>
      </c>
    </row>
    <row r="18" spans="1:10">
      <c r="A18" s="117"/>
      <c r="B18" s="102" t="s">
        <v>97</v>
      </c>
      <c r="C18" s="102" t="s">
        <v>128</v>
      </c>
      <c r="D18" s="102" t="s">
        <v>160</v>
      </c>
      <c r="E18" s="102" t="s">
        <v>222</v>
      </c>
      <c r="F18" s="103" t="s">
        <v>203</v>
      </c>
    </row>
    <row r="19" spans="1:10">
      <c r="A19" s="118" t="s">
        <v>276</v>
      </c>
      <c r="B19" s="39">
        <v>0.11070000000000001</v>
      </c>
      <c r="C19" s="39">
        <v>0.11070000000000001</v>
      </c>
      <c r="D19" s="39">
        <v>0.1091</v>
      </c>
      <c r="E19" s="39">
        <v>0.111</v>
      </c>
      <c r="F19" s="119">
        <v>0.11070000000000001</v>
      </c>
    </row>
    <row r="20" spans="1:10">
      <c r="A20" s="114">
        <v>0</v>
      </c>
      <c r="B20" s="39">
        <v>0.11015813941428992</v>
      </c>
      <c r="C20" s="39">
        <v>0.11015813941428992</v>
      </c>
      <c r="D20" s="39">
        <v>0.11015813941428992</v>
      </c>
      <c r="E20" s="39">
        <v>0.11015813941428992</v>
      </c>
      <c r="F20" s="119">
        <v>0.11015813941428992</v>
      </c>
    </row>
    <row r="21" spans="1:10" ht="15.75" thickBot="1">
      <c r="A21" s="115" t="s">
        <v>277</v>
      </c>
      <c r="B21" s="94">
        <v>0.1096</v>
      </c>
      <c r="C21" s="94">
        <v>0.1096</v>
      </c>
      <c r="D21" s="94">
        <v>0.11210000000000001</v>
      </c>
      <c r="E21" s="94">
        <v>0.1091</v>
      </c>
      <c r="F21" s="116">
        <v>0.1096</v>
      </c>
    </row>
    <row r="24" spans="1:10" ht="95.25" customHeight="1">
      <c r="A24" s="246" t="s">
        <v>318</v>
      </c>
      <c r="B24" s="246"/>
      <c r="C24" s="246"/>
      <c r="D24" s="246"/>
      <c r="E24" s="246"/>
      <c r="F24" s="246"/>
      <c r="G24" s="246"/>
      <c r="H24" s="246"/>
      <c r="I24" s="246"/>
      <c r="J24" s="246"/>
    </row>
  </sheetData>
  <mergeCells count="2">
    <mergeCell ref="A24:J24"/>
    <mergeCell ref="B9:C9"/>
  </mergeCells>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sheetPr codeName="Sheet6"/>
  <dimension ref="A1:E3"/>
  <sheetViews>
    <sheetView workbookViewId="0">
      <selection activeCell="A3" sqref="A3"/>
    </sheetView>
  </sheetViews>
  <sheetFormatPr defaultRowHeight="12.75"/>
  <cols>
    <col min="1" max="1" width="14.140625" style="1" bestFit="1" customWidth="1"/>
    <col min="2" max="2" width="2.42578125" style="2" customWidth="1"/>
    <col min="3" max="3" width="12.85546875" style="1" bestFit="1" customWidth="1"/>
    <col min="4" max="4" width="2.28515625" style="2" customWidth="1"/>
    <col min="5" max="5" width="12.7109375" style="1" bestFit="1" customWidth="1"/>
    <col min="6" max="16384" width="9.140625" style="1"/>
  </cols>
  <sheetData>
    <row r="1" spans="1:5">
      <c r="A1" s="1" t="s">
        <v>74</v>
      </c>
    </row>
    <row r="2" spans="1:5">
      <c r="A2" s="1" t="s">
        <v>75</v>
      </c>
      <c r="B2" s="2" t="s">
        <v>76</v>
      </c>
      <c r="C2" s="1" t="s">
        <v>77</v>
      </c>
      <c r="D2" s="2" t="s">
        <v>78</v>
      </c>
      <c r="E2" s="1" t="s">
        <v>79</v>
      </c>
    </row>
    <row r="3" spans="1:5">
      <c r="B3" s="3" t="s">
        <v>76</v>
      </c>
      <c r="C3" s="1">
        <f>(Workings!B95)*Assumption!$D$81*Workings!B57/Workings!$C$57</f>
        <v>695.87119005899626</v>
      </c>
      <c r="D3" s="2" t="s">
        <v>78</v>
      </c>
    </row>
  </sheetData>
  <customSheetViews>
    <customSheetView guid="{6D27EB6A-3939-4201-8E4B-897AA8118F21}">
      <selection activeCell="A3" sqref="A3"/>
      <pageMargins left="0.7" right="0.7" top="0.75" bottom="0.75" header="0.3" footer="0.3"/>
    </customSheetView>
  </customSheetView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G15"/>
  <sheetViews>
    <sheetView workbookViewId="0">
      <selection activeCell="C14" sqref="C14"/>
    </sheetView>
  </sheetViews>
  <sheetFormatPr defaultRowHeight="15"/>
  <cols>
    <col min="1" max="1" width="20.7109375" style="209" customWidth="1"/>
    <col min="2" max="2" width="12.28515625" style="209" customWidth="1"/>
    <col min="3" max="3" width="14" style="209" customWidth="1"/>
    <col min="4" max="4" width="17.85546875" style="209" customWidth="1"/>
    <col min="5" max="5" width="17.42578125" style="209" customWidth="1"/>
    <col min="6" max="6" width="12.28515625" style="209" customWidth="1"/>
    <col min="7" max="7" width="14.140625" style="209" customWidth="1"/>
    <col min="8" max="16384" width="9.140625" style="209"/>
  </cols>
  <sheetData>
    <row r="1" spans="1:7">
      <c r="A1" s="249"/>
      <c r="B1" s="249"/>
      <c r="C1" s="249"/>
      <c r="D1" s="249"/>
      <c r="E1" s="249"/>
      <c r="F1" s="249"/>
      <c r="G1" s="249"/>
    </row>
    <row r="2" spans="1:7">
      <c r="A2" s="250" t="s">
        <v>1</v>
      </c>
      <c r="B2" s="251" t="s">
        <v>129</v>
      </c>
      <c r="C2" s="252"/>
      <c r="D2" s="253"/>
      <c r="E2" s="250" t="s">
        <v>1</v>
      </c>
      <c r="F2" s="250" t="s">
        <v>130</v>
      </c>
      <c r="G2" s="250"/>
    </row>
    <row r="3" spans="1:7" ht="34.5" customHeight="1">
      <c r="A3" s="250"/>
      <c r="B3" s="210" t="s">
        <v>299</v>
      </c>
      <c r="C3" s="210" t="s">
        <v>300</v>
      </c>
      <c r="D3" s="210" t="s">
        <v>163</v>
      </c>
      <c r="E3" s="250"/>
      <c r="F3" s="210" t="s">
        <v>300</v>
      </c>
      <c r="G3" s="211" t="s">
        <v>163</v>
      </c>
    </row>
    <row r="4" spans="1:7" ht="15" customHeight="1">
      <c r="A4" s="212" t="s">
        <v>301</v>
      </c>
      <c r="B4" s="4">
        <f>4.205</f>
        <v>4.2050000000000001</v>
      </c>
      <c r="C4" s="4">
        <f>B4/Assumption!D59</f>
        <v>3.8227272727272723</v>
      </c>
      <c r="D4" s="254" t="s">
        <v>302</v>
      </c>
      <c r="E4" s="212" t="s">
        <v>301</v>
      </c>
      <c r="F4" s="4">
        <v>5.1548999999999996</v>
      </c>
      <c r="G4" s="257" t="s">
        <v>303</v>
      </c>
    </row>
    <row r="5" spans="1:7">
      <c r="A5" s="212" t="s">
        <v>134</v>
      </c>
      <c r="B5" s="4">
        <f>0.135</f>
        <v>0.13500000000000001</v>
      </c>
      <c r="C5" s="4">
        <f>B5/Assumption!D59</f>
        <v>0.12272727272727273</v>
      </c>
      <c r="D5" s="255"/>
      <c r="E5" s="213" t="s">
        <v>134</v>
      </c>
      <c r="F5" s="37">
        <f>39.26/Assumption!D40</f>
        <v>0.84104541559554413</v>
      </c>
      <c r="G5" s="257"/>
    </row>
    <row r="6" spans="1:7">
      <c r="A6" s="212" t="s">
        <v>304</v>
      </c>
      <c r="B6" s="4">
        <f>SUM(B4:B5)*2%</f>
        <v>8.6800000000000002E-2</v>
      </c>
      <c r="C6" s="4">
        <f>C4*2%</f>
        <v>7.6454545454545442E-2</v>
      </c>
      <c r="D6" s="256"/>
      <c r="E6" s="212" t="s">
        <v>144</v>
      </c>
      <c r="F6" s="4">
        <f>(F4+F5)*15%</f>
        <v>0.89939181233933152</v>
      </c>
      <c r="G6" s="213"/>
    </row>
    <row r="7" spans="1:7">
      <c r="A7" s="212" t="s">
        <v>22</v>
      </c>
      <c r="B7" s="69">
        <f>SUM(B4:B6)</f>
        <v>4.4268000000000001</v>
      </c>
      <c r="C7" s="69">
        <f>SUM(C4:C6)</f>
        <v>4.02190909090909</v>
      </c>
      <c r="D7" s="69"/>
      <c r="E7" s="212" t="s">
        <v>22</v>
      </c>
      <c r="F7" s="69">
        <f>SUM(F4:F6)</f>
        <v>6.895337227934875</v>
      </c>
      <c r="G7" s="213"/>
    </row>
    <row r="8" spans="1:7" ht="45">
      <c r="A8" s="212" t="s">
        <v>305</v>
      </c>
      <c r="B8" s="4">
        <f>68.56/Assumption!D40</f>
        <v>1.4687232219365896</v>
      </c>
      <c r="C8" s="4">
        <f>B8/Assumption!D59</f>
        <v>1.3352029290332632</v>
      </c>
      <c r="D8" s="212" t="s">
        <v>306</v>
      </c>
      <c r="E8" s="212" t="s">
        <v>307</v>
      </c>
      <c r="F8" s="4">
        <f>6.37/Assumption!D40</f>
        <v>0.13646101113967438</v>
      </c>
      <c r="G8" s="213" t="s">
        <v>308</v>
      </c>
    </row>
    <row r="9" spans="1:7" ht="30">
      <c r="A9" s="212" t="s">
        <v>309</v>
      </c>
      <c r="B9" s="4">
        <f>7.78/Assumption!D40</f>
        <v>0.16666666666666669</v>
      </c>
      <c r="C9" s="4">
        <f>B9/Assumption!D59</f>
        <v>0.15151515151515152</v>
      </c>
      <c r="D9" s="212" t="s">
        <v>308</v>
      </c>
      <c r="E9" s="212" t="s">
        <v>310</v>
      </c>
      <c r="F9" s="4">
        <f>F8*10.3%</f>
        <v>1.4055484147386462E-2</v>
      </c>
      <c r="G9" s="213"/>
    </row>
    <row r="10" spans="1:7">
      <c r="A10" s="212" t="s">
        <v>310</v>
      </c>
      <c r="B10" s="4">
        <f>(B8+B9)*10.3%</f>
        <v>0.16844515852613542</v>
      </c>
      <c r="C10" s="4">
        <f>(C8+C9)*10.3%</f>
        <v>0.15313196229648673</v>
      </c>
      <c r="D10" s="4"/>
      <c r="E10" s="212" t="s">
        <v>311</v>
      </c>
      <c r="F10" s="69">
        <f>SUM(F8:F9)</f>
        <v>0.15051649528706085</v>
      </c>
      <c r="G10" s="214"/>
    </row>
    <row r="11" spans="1:7">
      <c r="A11" s="212" t="s">
        <v>311</v>
      </c>
      <c r="B11" s="69">
        <f>SUM(B8:B10)</f>
        <v>1.8038350471293918</v>
      </c>
      <c r="C11" s="69">
        <f>SUM(C8:C10)</f>
        <v>1.6398500428449014</v>
      </c>
      <c r="D11" s="69"/>
      <c r="E11" s="212" t="s">
        <v>139</v>
      </c>
      <c r="F11" s="69">
        <f>F7+F10</f>
        <v>7.0458537232219358</v>
      </c>
      <c r="G11" s="214"/>
    </row>
    <row r="12" spans="1:7">
      <c r="A12" s="212" t="s">
        <v>312</v>
      </c>
      <c r="B12" s="69">
        <f>B7+B11</f>
        <v>6.2306350471293914</v>
      </c>
      <c r="C12" s="69">
        <f>C7+C11</f>
        <v>5.661759133753991</v>
      </c>
      <c r="D12" s="69"/>
      <c r="E12" s="215"/>
      <c r="F12" s="216"/>
      <c r="G12" s="214"/>
    </row>
    <row r="13" spans="1:7" ht="45">
      <c r="A13" s="212" t="s">
        <v>141</v>
      </c>
      <c r="B13" s="214"/>
      <c r="C13" s="214">
        <v>0.5</v>
      </c>
      <c r="D13" s="214"/>
      <c r="E13" s="212" t="s">
        <v>141</v>
      </c>
      <c r="F13" s="216">
        <v>0.5</v>
      </c>
      <c r="G13" s="214"/>
    </row>
    <row r="14" spans="1:7" ht="30">
      <c r="A14" s="215" t="s">
        <v>142</v>
      </c>
      <c r="B14" s="216"/>
      <c r="C14" s="217">
        <f>C13*C12</f>
        <v>2.8308795668769955</v>
      </c>
      <c r="D14" s="217"/>
      <c r="E14" s="216"/>
      <c r="F14" s="217">
        <f>F13*F11</f>
        <v>3.5229268616109679</v>
      </c>
      <c r="G14" s="214"/>
    </row>
    <row r="15" spans="1:7">
      <c r="A15" s="218" t="s">
        <v>143</v>
      </c>
      <c r="B15" s="248">
        <f>ROUNDDOWN(C14+F14,2)</f>
        <v>6.35</v>
      </c>
      <c r="C15" s="248"/>
      <c r="D15" s="248"/>
      <c r="E15" s="248"/>
      <c r="F15" s="248"/>
      <c r="G15" s="248"/>
    </row>
  </sheetData>
  <mergeCells count="8">
    <mergeCell ref="B15:G15"/>
    <mergeCell ref="A1:G1"/>
    <mergeCell ref="A2:A3"/>
    <mergeCell ref="B2:D2"/>
    <mergeCell ref="E2:E3"/>
    <mergeCell ref="F2:G2"/>
    <mergeCell ref="D4:D6"/>
    <mergeCell ref="G4:G5"/>
  </mergeCells>
  <pageMargins left="0.7" right="0.7" top="0.75" bottom="0.75" header="0.3" footer="0.3"/>
  <pageSetup orientation="portrait" horizontalDpi="0" verticalDpi="0" r:id="rId1"/>
</worksheet>
</file>

<file path=xl/worksheets/sheet5.xml><?xml version="1.0" encoding="utf-8"?>
<worksheet xmlns="http://schemas.openxmlformats.org/spreadsheetml/2006/main" xmlns:r="http://schemas.openxmlformats.org/officeDocument/2006/relationships">
  <sheetPr codeName="Sheet8">
    <pageSetUpPr fitToPage="1"/>
  </sheetPr>
  <dimension ref="A1:AD263"/>
  <sheetViews>
    <sheetView topLeftCell="A163" workbookViewId="0">
      <selection activeCell="D179" sqref="D179"/>
    </sheetView>
  </sheetViews>
  <sheetFormatPr defaultRowHeight="14.25" customHeight="1"/>
  <cols>
    <col min="1" max="1" width="45.140625" style="34" customWidth="1"/>
    <col min="2" max="3" width="10.140625" style="34" bestFit="1" customWidth="1"/>
    <col min="4" max="4" width="10.140625" style="20" bestFit="1" customWidth="1"/>
    <col min="5" max="5" width="21.7109375" style="20" customWidth="1"/>
    <col min="6" max="29" width="10.140625" style="20" bestFit="1" customWidth="1"/>
    <col min="30" max="258" width="9.140625" style="20"/>
    <col min="259" max="259" width="27.42578125" style="20" customWidth="1"/>
    <col min="260" max="260" width="12.42578125" style="20" customWidth="1"/>
    <col min="261" max="261" width="12.28515625" style="20" bestFit="1" customWidth="1"/>
    <col min="262" max="270" width="8.42578125" style="20" customWidth="1"/>
    <col min="271" max="514" width="9.140625" style="20"/>
    <col min="515" max="515" width="27.42578125" style="20" customWidth="1"/>
    <col min="516" max="516" width="12.42578125" style="20" customWidth="1"/>
    <col min="517" max="517" width="12.28515625" style="20" bestFit="1" customWidth="1"/>
    <col min="518" max="526" width="8.42578125" style="20" customWidth="1"/>
    <col min="527" max="770" width="9.140625" style="20"/>
    <col min="771" max="771" width="27.42578125" style="20" customWidth="1"/>
    <col min="772" max="772" width="12.42578125" style="20" customWidth="1"/>
    <col min="773" max="773" width="12.28515625" style="20" bestFit="1" customWidth="1"/>
    <col min="774" max="782" width="8.42578125" style="20" customWidth="1"/>
    <col min="783" max="1026" width="9.140625" style="20"/>
    <col min="1027" max="1027" width="27.42578125" style="20" customWidth="1"/>
    <col min="1028" max="1028" width="12.42578125" style="20" customWidth="1"/>
    <col min="1029" max="1029" width="12.28515625" style="20" bestFit="1" customWidth="1"/>
    <col min="1030" max="1038" width="8.42578125" style="20" customWidth="1"/>
    <col min="1039" max="1282" width="9.140625" style="20"/>
    <col min="1283" max="1283" width="27.42578125" style="20" customWidth="1"/>
    <col min="1284" max="1284" width="12.42578125" style="20" customWidth="1"/>
    <col min="1285" max="1285" width="12.28515625" style="20" bestFit="1" customWidth="1"/>
    <col min="1286" max="1294" width="8.42578125" style="20" customWidth="1"/>
    <col min="1295" max="1538" width="9.140625" style="20"/>
    <col min="1539" max="1539" width="27.42578125" style="20" customWidth="1"/>
    <col min="1540" max="1540" width="12.42578125" style="20" customWidth="1"/>
    <col min="1541" max="1541" width="12.28515625" style="20" bestFit="1" customWidth="1"/>
    <col min="1542" max="1550" width="8.42578125" style="20" customWidth="1"/>
    <col min="1551" max="1794" width="9.140625" style="20"/>
    <col min="1795" max="1795" width="27.42578125" style="20" customWidth="1"/>
    <col min="1796" max="1796" width="12.42578125" style="20" customWidth="1"/>
    <col min="1797" max="1797" width="12.28515625" style="20" bestFit="1" customWidth="1"/>
    <col min="1798" max="1806" width="8.42578125" style="20" customWidth="1"/>
    <col min="1807" max="2050" width="9.140625" style="20"/>
    <col min="2051" max="2051" width="27.42578125" style="20" customWidth="1"/>
    <col min="2052" max="2052" width="12.42578125" style="20" customWidth="1"/>
    <col min="2053" max="2053" width="12.28515625" style="20" bestFit="1" customWidth="1"/>
    <col min="2054" max="2062" width="8.42578125" style="20" customWidth="1"/>
    <col min="2063" max="2306" width="9.140625" style="20"/>
    <col min="2307" max="2307" width="27.42578125" style="20" customWidth="1"/>
    <col min="2308" max="2308" width="12.42578125" style="20" customWidth="1"/>
    <col min="2309" max="2309" width="12.28515625" style="20" bestFit="1" customWidth="1"/>
    <col min="2310" max="2318" width="8.42578125" style="20" customWidth="1"/>
    <col min="2319" max="2562" width="9.140625" style="20"/>
    <col min="2563" max="2563" width="27.42578125" style="20" customWidth="1"/>
    <col min="2564" max="2564" width="12.42578125" style="20" customWidth="1"/>
    <col min="2565" max="2565" width="12.28515625" style="20" bestFit="1" customWidth="1"/>
    <col min="2566" max="2574" width="8.42578125" style="20" customWidth="1"/>
    <col min="2575" max="2818" width="9.140625" style="20"/>
    <col min="2819" max="2819" width="27.42578125" style="20" customWidth="1"/>
    <col min="2820" max="2820" width="12.42578125" style="20" customWidth="1"/>
    <col min="2821" max="2821" width="12.28515625" style="20" bestFit="1" customWidth="1"/>
    <col min="2822" max="2830" width="8.42578125" style="20" customWidth="1"/>
    <col min="2831" max="3074" width="9.140625" style="20"/>
    <col min="3075" max="3075" width="27.42578125" style="20" customWidth="1"/>
    <col min="3076" max="3076" width="12.42578125" style="20" customWidth="1"/>
    <col min="3077" max="3077" width="12.28515625" style="20" bestFit="1" customWidth="1"/>
    <col min="3078" max="3086" width="8.42578125" style="20" customWidth="1"/>
    <col min="3087" max="3330" width="9.140625" style="20"/>
    <col min="3331" max="3331" width="27.42578125" style="20" customWidth="1"/>
    <col min="3332" max="3332" width="12.42578125" style="20" customWidth="1"/>
    <col min="3333" max="3333" width="12.28515625" style="20" bestFit="1" customWidth="1"/>
    <col min="3334" max="3342" width="8.42578125" style="20" customWidth="1"/>
    <col min="3343" max="3586" width="9.140625" style="20"/>
    <col min="3587" max="3587" width="27.42578125" style="20" customWidth="1"/>
    <col min="3588" max="3588" width="12.42578125" style="20" customWidth="1"/>
    <col min="3589" max="3589" width="12.28515625" style="20" bestFit="1" customWidth="1"/>
    <col min="3590" max="3598" width="8.42578125" style="20" customWidth="1"/>
    <col min="3599" max="3842" width="9.140625" style="20"/>
    <col min="3843" max="3843" width="27.42578125" style="20" customWidth="1"/>
    <col min="3844" max="3844" width="12.42578125" style="20" customWidth="1"/>
    <col min="3845" max="3845" width="12.28515625" style="20" bestFit="1" customWidth="1"/>
    <col min="3846" max="3854" width="8.42578125" style="20" customWidth="1"/>
    <col min="3855" max="4098" width="9.140625" style="20"/>
    <col min="4099" max="4099" width="27.42578125" style="20" customWidth="1"/>
    <col min="4100" max="4100" width="12.42578125" style="20" customWidth="1"/>
    <col min="4101" max="4101" width="12.28515625" style="20" bestFit="1" customWidth="1"/>
    <col min="4102" max="4110" width="8.42578125" style="20" customWidth="1"/>
    <col min="4111" max="4354" width="9.140625" style="20"/>
    <col min="4355" max="4355" width="27.42578125" style="20" customWidth="1"/>
    <col min="4356" max="4356" width="12.42578125" style="20" customWidth="1"/>
    <col min="4357" max="4357" width="12.28515625" style="20" bestFit="1" customWidth="1"/>
    <col min="4358" max="4366" width="8.42578125" style="20" customWidth="1"/>
    <col min="4367" max="4610" width="9.140625" style="20"/>
    <col min="4611" max="4611" width="27.42578125" style="20" customWidth="1"/>
    <col min="4612" max="4612" width="12.42578125" style="20" customWidth="1"/>
    <col min="4613" max="4613" width="12.28515625" style="20" bestFit="1" customWidth="1"/>
    <col min="4614" max="4622" width="8.42578125" style="20" customWidth="1"/>
    <col min="4623" max="4866" width="9.140625" style="20"/>
    <col min="4867" max="4867" width="27.42578125" style="20" customWidth="1"/>
    <col min="4868" max="4868" width="12.42578125" style="20" customWidth="1"/>
    <col min="4869" max="4869" width="12.28515625" style="20" bestFit="1" customWidth="1"/>
    <col min="4870" max="4878" width="8.42578125" style="20" customWidth="1"/>
    <col min="4879" max="5122" width="9.140625" style="20"/>
    <col min="5123" max="5123" width="27.42578125" style="20" customWidth="1"/>
    <col min="5124" max="5124" width="12.42578125" style="20" customWidth="1"/>
    <col min="5125" max="5125" width="12.28515625" style="20" bestFit="1" customWidth="1"/>
    <col min="5126" max="5134" width="8.42578125" style="20" customWidth="1"/>
    <col min="5135" max="5378" width="9.140625" style="20"/>
    <col min="5379" max="5379" width="27.42578125" style="20" customWidth="1"/>
    <col min="5380" max="5380" width="12.42578125" style="20" customWidth="1"/>
    <col min="5381" max="5381" width="12.28515625" style="20" bestFit="1" customWidth="1"/>
    <col min="5382" max="5390" width="8.42578125" style="20" customWidth="1"/>
    <col min="5391" max="5634" width="9.140625" style="20"/>
    <col min="5635" max="5635" width="27.42578125" style="20" customWidth="1"/>
    <col min="5636" max="5636" width="12.42578125" style="20" customWidth="1"/>
    <col min="5637" max="5637" width="12.28515625" style="20" bestFit="1" customWidth="1"/>
    <col min="5638" max="5646" width="8.42578125" style="20" customWidth="1"/>
    <col min="5647" max="5890" width="9.140625" style="20"/>
    <col min="5891" max="5891" width="27.42578125" style="20" customWidth="1"/>
    <col min="5892" max="5892" width="12.42578125" style="20" customWidth="1"/>
    <col min="5893" max="5893" width="12.28515625" style="20" bestFit="1" customWidth="1"/>
    <col min="5894" max="5902" width="8.42578125" style="20" customWidth="1"/>
    <col min="5903" max="6146" width="9.140625" style="20"/>
    <col min="6147" max="6147" width="27.42578125" style="20" customWidth="1"/>
    <col min="6148" max="6148" width="12.42578125" style="20" customWidth="1"/>
    <col min="6149" max="6149" width="12.28515625" style="20" bestFit="1" customWidth="1"/>
    <col min="6150" max="6158" width="8.42578125" style="20" customWidth="1"/>
    <col min="6159" max="6402" width="9.140625" style="20"/>
    <col min="6403" max="6403" width="27.42578125" style="20" customWidth="1"/>
    <col min="6404" max="6404" width="12.42578125" style="20" customWidth="1"/>
    <col min="6405" max="6405" width="12.28515625" style="20" bestFit="1" customWidth="1"/>
    <col min="6406" max="6414" width="8.42578125" style="20" customWidth="1"/>
    <col min="6415" max="6658" width="9.140625" style="20"/>
    <col min="6659" max="6659" width="27.42578125" style="20" customWidth="1"/>
    <col min="6660" max="6660" width="12.42578125" style="20" customWidth="1"/>
    <col min="6661" max="6661" width="12.28515625" style="20" bestFit="1" customWidth="1"/>
    <col min="6662" max="6670" width="8.42578125" style="20" customWidth="1"/>
    <col min="6671" max="6914" width="9.140625" style="20"/>
    <col min="6915" max="6915" width="27.42578125" style="20" customWidth="1"/>
    <col min="6916" max="6916" width="12.42578125" style="20" customWidth="1"/>
    <col min="6917" max="6917" width="12.28515625" style="20" bestFit="1" customWidth="1"/>
    <col min="6918" max="6926" width="8.42578125" style="20" customWidth="1"/>
    <col min="6927" max="7170" width="9.140625" style="20"/>
    <col min="7171" max="7171" width="27.42578125" style="20" customWidth="1"/>
    <col min="7172" max="7172" width="12.42578125" style="20" customWidth="1"/>
    <col min="7173" max="7173" width="12.28515625" style="20" bestFit="1" customWidth="1"/>
    <col min="7174" max="7182" width="8.42578125" style="20" customWidth="1"/>
    <col min="7183" max="7426" width="9.140625" style="20"/>
    <col min="7427" max="7427" width="27.42578125" style="20" customWidth="1"/>
    <col min="7428" max="7428" width="12.42578125" style="20" customWidth="1"/>
    <col min="7429" max="7429" width="12.28515625" style="20" bestFit="1" customWidth="1"/>
    <col min="7430" max="7438" width="8.42578125" style="20" customWidth="1"/>
    <col min="7439" max="7682" width="9.140625" style="20"/>
    <col min="7683" max="7683" width="27.42578125" style="20" customWidth="1"/>
    <col min="7684" max="7684" width="12.42578125" style="20" customWidth="1"/>
    <col min="7685" max="7685" width="12.28515625" style="20" bestFit="1" customWidth="1"/>
    <col min="7686" max="7694" width="8.42578125" style="20" customWidth="1"/>
    <col min="7695" max="7938" width="9.140625" style="20"/>
    <col min="7939" max="7939" width="27.42578125" style="20" customWidth="1"/>
    <col min="7940" max="7940" width="12.42578125" style="20" customWidth="1"/>
    <col min="7941" max="7941" width="12.28515625" style="20" bestFit="1" customWidth="1"/>
    <col min="7942" max="7950" width="8.42578125" style="20" customWidth="1"/>
    <col min="7951" max="8194" width="9.140625" style="20"/>
    <col min="8195" max="8195" width="27.42578125" style="20" customWidth="1"/>
    <col min="8196" max="8196" width="12.42578125" style="20" customWidth="1"/>
    <col min="8197" max="8197" width="12.28515625" style="20" bestFit="1" customWidth="1"/>
    <col min="8198" max="8206" width="8.42578125" style="20" customWidth="1"/>
    <col min="8207" max="8450" width="9.140625" style="20"/>
    <col min="8451" max="8451" width="27.42578125" style="20" customWidth="1"/>
    <col min="8452" max="8452" width="12.42578125" style="20" customWidth="1"/>
    <col min="8453" max="8453" width="12.28515625" style="20" bestFit="1" customWidth="1"/>
    <col min="8454" max="8462" width="8.42578125" style="20" customWidth="1"/>
    <col min="8463" max="8706" width="9.140625" style="20"/>
    <col min="8707" max="8707" width="27.42578125" style="20" customWidth="1"/>
    <col min="8708" max="8708" width="12.42578125" style="20" customWidth="1"/>
    <col min="8709" max="8709" width="12.28515625" style="20" bestFit="1" customWidth="1"/>
    <col min="8710" max="8718" width="8.42578125" style="20" customWidth="1"/>
    <col min="8719" max="8962" width="9.140625" style="20"/>
    <col min="8963" max="8963" width="27.42578125" style="20" customWidth="1"/>
    <col min="8964" max="8964" width="12.42578125" style="20" customWidth="1"/>
    <col min="8965" max="8965" width="12.28515625" style="20" bestFit="1" customWidth="1"/>
    <col min="8966" max="8974" width="8.42578125" style="20" customWidth="1"/>
    <col min="8975" max="9218" width="9.140625" style="20"/>
    <col min="9219" max="9219" width="27.42578125" style="20" customWidth="1"/>
    <col min="9220" max="9220" width="12.42578125" style="20" customWidth="1"/>
    <col min="9221" max="9221" width="12.28515625" style="20" bestFit="1" customWidth="1"/>
    <col min="9222" max="9230" width="8.42578125" style="20" customWidth="1"/>
    <col min="9231" max="9474" width="9.140625" style="20"/>
    <col min="9475" max="9475" width="27.42578125" style="20" customWidth="1"/>
    <col min="9476" max="9476" width="12.42578125" style="20" customWidth="1"/>
    <col min="9477" max="9477" width="12.28515625" style="20" bestFit="1" customWidth="1"/>
    <col min="9478" max="9486" width="8.42578125" style="20" customWidth="1"/>
    <col min="9487" max="9730" width="9.140625" style="20"/>
    <col min="9731" max="9731" width="27.42578125" style="20" customWidth="1"/>
    <col min="9732" max="9732" width="12.42578125" style="20" customWidth="1"/>
    <col min="9733" max="9733" width="12.28515625" style="20" bestFit="1" customWidth="1"/>
    <col min="9734" max="9742" width="8.42578125" style="20" customWidth="1"/>
    <col min="9743" max="9986" width="9.140625" style="20"/>
    <col min="9987" max="9987" width="27.42578125" style="20" customWidth="1"/>
    <col min="9988" max="9988" width="12.42578125" style="20" customWidth="1"/>
    <col min="9989" max="9989" width="12.28515625" style="20" bestFit="1" customWidth="1"/>
    <col min="9990" max="9998" width="8.42578125" style="20" customWidth="1"/>
    <col min="9999" max="10242" width="9.140625" style="20"/>
    <col min="10243" max="10243" width="27.42578125" style="20" customWidth="1"/>
    <col min="10244" max="10244" width="12.42578125" style="20" customWidth="1"/>
    <col min="10245" max="10245" width="12.28515625" style="20" bestFit="1" customWidth="1"/>
    <col min="10246" max="10254" width="8.42578125" style="20" customWidth="1"/>
    <col min="10255" max="10498" width="9.140625" style="20"/>
    <col min="10499" max="10499" width="27.42578125" style="20" customWidth="1"/>
    <col min="10500" max="10500" width="12.42578125" style="20" customWidth="1"/>
    <col min="10501" max="10501" width="12.28515625" style="20" bestFit="1" customWidth="1"/>
    <col min="10502" max="10510" width="8.42578125" style="20" customWidth="1"/>
    <col min="10511" max="10754" width="9.140625" style="20"/>
    <col min="10755" max="10755" width="27.42578125" style="20" customWidth="1"/>
    <col min="10756" max="10756" width="12.42578125" style="20" customWidth="1"/>
    <col min="10757" max="10757" width="12.28515625" style="20" bestFit="1" customWidth="1"/>
    <col min="10758" max="10766" width="8.42578125" style="20" customWidth="1"/>
    <col min="10767" max="11010" width="9.140625" style="20"/>
    <col min="11011" max="11011" width="27.42578125" style="20" customWidth="1"/>
    <col min="11012" max="11012" width="12.42578125" style="20" customWidth="1"/>
    <col min="11013" max="11013" width="12.28515625" style="20" bestFit="1" customWidth="1"/>
    <col min="11014" max="11022" width="8.42578125" style="20" customWidth="1"/>
    <col min="11023" max="11266" width="9.140625" style="20"/>
    <col min="11267" max="11267" width="27.42578125" style="20" customWidth="1"/>
    <col min="11268" max="11268" width="12.42578125" style="20" customWidth="1"/>
    <col min="11269" max="11269" width="12.28515625" style="20" bestFit="1" customWidth="1"/>
    <col min="11270" max="11278" width="8.42578125" style="20" customWidth="1"/>
    <col min="11279" max="11522" width="9.140625" style="20"/>
    <col min="11523" max="11523" width="27.42578125" style="20" customWidth="1"/>
    <col min="11524" max="11524" width="12.42578125" style="20" customWidth="1"/>
    <col min="11525" max="11525" width="12.28515625" style="20" bestFit="1" customWidth="1"/>
    <col min="11526" max="11534" width="8.42578125" style="20" customWidth="1"/>
    <col min="11535" max="11778" width="9.140625" style="20"/>
    <col min="11779" max="11779" width="27.42578125" style="20" customWidth="1"/>
    <col min="11780" max="11780" width="12.42578125" style="20" customWidth="1"/>
    <col min="11781" max="11781" width="12.28515625" style="20" bestFit="1" customWidth="1"/>
    <col min="11782" max="11790" width="8.42578125" style="20" customWidth="1"/>
    <col min="11791" max="12034" width="9.140625" style="20"/>
    <col min="12035" max="12035" width="27.42578125" style="20" customWidth="1"/>
    <col min="12036" max="12036" width="12.42578125" style="20" customWidth="1"/>
    <col min="12037" max="12037" width="12.28515625" style="20" bestFit="1" customWidth="1"/>
    <col min="12038" max="12046" width="8.42578125" style="20" customWidth="1"/>
    <col min="12047" max="12290" width="9.140625" style="20"/>
    <col min="12291" max="12291" width="27.42578125" style="20" customWidth="1"/>
    <col min="12292" max="12292" width="12.42578125" style="20" customWidth="1"/>
    <col min="12293" max="12293" width="12.28515625" style="20" bestFit="1" customWidth="1"/>
    <col min="12294" max="12302" width="8.42578125" style="20" customWidth="1"/>
    <col min="12303" max="12546" width="9.140625" style="20"/>
    <col min="12547" max="12547" width="27.42578125" style="20" customWidth="1"/>
    <col min="12548" max="12548" width="12.42578125" style="20" customWidth="1"/>
    <col min="12549" max="12549" width="12.28515625" style="20" bestFit="1" customWidth="1"/>
    <col min="12550" max="12558" width="8.42578125" style="20" customWidth="1"/>
    <col min="12559" max="12802" width="9.140625" style="20"/>
    <col min="12803" max="12803" width="27.42578125" style="20" customWidth="1"/>
    <col min="12804" max="12804" width="12.42578125" style="20" customWidth="1"/>
    <col min="12805" max="12805" width="12.28515625" style="20" bestFit="1" customWidth="1"/>
    <col min="12806" max="12814" width="8.42578125" style="20" customWidth="1"/>
    <col min="12815" max="13058" width="9.140625" style="20"/>
    <col min="13059" max="13059" width="27.42578125" style="20" customWidth="1"/>
    <col min="13060" max="13060" width="12.42578125" style="20" customWidth="1"/>
    <col min="13061" max="13061" width="12.28515625" style="20" bestFit="1" customWidth="1"/>
    <col min="13062" max="13070" width="8.42578125" style="20" customWidth="1"/>
    <col min="13071" max="13314" width="9.140625" style="20"/>
    <col min="13315" max="13315" width="27.42578125" style="20" customWidth="1"/>
    <col min="13316" max="13316" width="12.42578125" style="20" customWidth="1"/>
    <col min="13317" max="13317" width="12.28515625" style="20" bestFit="1" customWidth="1"/>
    <col min="13318" max="13326" width="8.42578125" style="20" customWidth="1"/>
    <col min="13327" max="13570" width="9.140625" style="20"/>
    <col min="13571" max="13571" width="27.42578125" style="20" customWidth="1"/>
    <col min="13572" max="13572" width="12.42578125" style="20" customWidth="1"/>
    <col min="13573" max="13573" width="12.28515625" style="20" bestFit="1" customWidth="1"/>
    <col min="13574" max="13582" width="8.42578125" style="20" customWidth="1"/>
    <col min="13583" max="13826" width="9.140625" style="20"/>
    <col min="13827" max="13827" width="27.42578125" style="20" customWidth="1"/>
    <col min="13828" max="13828" width="12.42578125" style="20" customWidth="1"/>
    <col min="13829" max="13829" width="12.28515625" style="20" bestFit="1" customWidth="1"/>
    <col min="13830" max="13838" width="8.42578125" style="20" customWidth="1"/>
    <col min="13839" max="14082" width="9.140625" style="20"/>
    <col min="14083" max="14083" width="27.42578125" style="20" customWidth="1"/>
    <col min="14084" max="14084" width="12.42578125" style="20" customWidth="1"/>
    <col min="14085" max="14085" width="12.28515625" style="20" bestFit="1" customWidth="1"/>
    <col min="14086" max="14094" width="8.42578125" style="20" customWidth="1"/>
    <col min="14095" max="14338" width="9.140625" style="20"/>
    <col min="14339" max="14339" width="27.42578125" style="20" customWidth="1"/>
    <col min="14340" max="14340" width="12.42578125" style="20" customWidth="1"/>
    <col min="14341" max="14341" width="12.28515625" style="20" bestFit="1" customWidth="1"/>
    <col min="14342" max="14350" width="8.42578125" style="20" customWidth="1"/>
    <col min="14351" max="14594" width="9.140625" style="20"/>
    <col min="14595" max="14595" width="27.42578125" style="20" customWidth="1"/>
    <col min="14596" max="14596" width="12.42578125" style="20" customWidth="1"/>
    <col min="14597" max="14597" width="12.28515625" style="20" bestFit="1" customWidth="1"/>
    <col min="14598" max="14606" width="8.42578125" style="20" customWidth="1"/>
    <col min="14607" max="14850" width="9.140625" style="20"/>
    <col min="14851" max="14851" width="27.42578125" style="20" customWidth="1"/>
    <col min="14852" max="14852" width="12.42578125" style="20" customWidth="1"/>
    <col min="14853" max="14853" width="12.28515625" style="20" bestFit="1" customWidth="1"/>
    <col min="14854" max="14862" width="8.42578125" style="20" customWidth="1"/>
    <col min="14863" max="15106" width="9.140625" style="20"/>
    <col min="15107" max="15107" width="27.42578125" style="20" customWidth="1"/>
    <col min="15108" max="15108" width="12.42578125" style="20" customWidth="1"/>
    <col min="15109" max="15109" width="12.28515625" style="20" bestFit="1" customWidth="1"/>
    <col min="15110" max="15118" width="8.42578125" style="20" customWidth="1"/>
    <col min="15119" max="15362" width="9.140625" style="20"/>
    <col min="15363" max="15363" width="27.42578125" style="20" customWidth="1"/>
    <col min="15364" max="15364" width="12.42578125" style="20" customWidth="1"/>
    <col min="15365" max="15365" width="12.28515625" style="20" bestFit="1" customWidth="1"/>
    <col min="15366" max="15374" width="8.42578125" style="20" customWidth="1"/>
    <col min="15375" max="15618" width="9.140625" style="20"/>
    <col min="15619" max="15619" width="27.42578125" style="20" customWidth="1"/>
    <col min="15620" max="15620" width="12.42578125" style="20" customWidth="1"/>
    <col min="15621" max="15621" width="12.28515625" style="20" bestFit="1" customWidth="1"/>
    <col min="15622" max="15630" width="8.42578125" style="20" customWidth="1"/>
    <col min="15631" max="15874" width="9.140625" style="20"/>
    <col min="15875" max="15875" width="27.42578125" style="20" customWidth="1"/>
    <col min="15876" max="15876" width="12.42578125" style="20" customWidth="1"/>
    <col min="15877" max="15877" width="12.28515625" style="20" bestFit="1" customWidth="1"/>
    <col min="15878" max="15886" width="8.42578125" style="20" customWidth="1"/>
    <col min="15887" max="16130" width="9.140625" style="20"/>
    <col min="16131" max="16131" width="27.42578125" style="20" customWidth="1"/>
    <col min="16132" max="16132" width="12.42578125" style="20" customWidth="1"/>
    <col min="16133" max="16133" width="12.28515625" style="20" bestFit="1" customWidth="1"/>
    <col min="16134" max="16142" width="8.42578125" style="20" customWidth="1"/>
    <col min="16143" max="16384" width="9.140625" style="20"/>
  </cols>
  <sheetData>
    <row r="1" spans="1:29" ht="15">
      <c r="A1" s="20" t="s">
        <v>104</v>
      </c>
      <c r="B1" s="20"/>
      <c r="C1" s="20"/>
      <c r="D1" s="52"/>
      <c r="E1" s="53"/>
    </row>
    <row r="2" spans="1:29" ht="15.75" customHeight="1">
      <c r="A2" s="54"/>
      <c r="B2" s="54"/>
      <c r="C2" s="54"/>
      <c r="D2" s="52"/>
      <c r="E2" s="53"/>
    </row>
    <row r="3" spans="1:29" ht="15.75" thickBot="1">
      <c r="A3" s="54"/>
      <c r="B3" s="54"/>
      <c r="C3" s="54"/>
      <c r="D3" s="52"/>
      <c r="E3" s="53"/>
    </row>
    <row r="4" spans="1:29" ht="15">
      <c r="A4" s="271" t="s">
        <v>105</v>
      </c>
      <c r="B4" s="272"/>
      <c r="C4" s="272"/>
      <c r="D4" s="272"/>
      <c r="E4" s="272"/>
      <c r="F4" s="272"/>
      <c r="G4" s="272"/>
      <c r="H4" s="272"/>
      <c r="I4" s="272"/>
      <c r="J4" s="272"/>
      <c r="K4" s="272"/>
      <c r="L4" s="272"/>
      <c r="M4" s="272"/>
      <c r="N4" s="272"/>
      <c r="O4" s="272"/>
      <c r="P4" s="272"/>
      <c r="Q4" s="272"/>
      <c r="R4" s="272"/>
      <c r="S4" s="272"/>
      <c r="T4" s="272"/>
      <c r="U4" s="272"/>
      <c r="V4" s="272"/>
      <c r="W4" s="272"/>
      <c r="X4" s="272"/>
      <c r="Y4" s="272"/>
      <c r="Z4" s="272"/>
      <c r="AA4" s="272"/>
      <c r="AB4" s="272"/>
      <c r="AC4" s="273"/>
    </row>
    <row r="5" spans="1:29" ht="15">
      <c r="A5" s="142" t="s">
        <v>57</v>
      </c>
      <c r="B5" s="91">
        <v>-2</v>
      </c>
      <c r="C5" s="91">
        <v>-1</v>
      </c>
      <c r="D5" s="92">
        <v>0</v>
      </c>
      <c r="E5" s="21">
        <f>Workings!B55</f>
        <v>1</v>
      </c>
      <c r="F5" s="21">
        <f>Workings!C55</f>
        <v>2</v>
      </c>
      <c r="G5" s="21">
        <f>Workings!D55</f>
        <v>3</v>
      </c>
      <c r="H5" s="21">
        <f>Workings!E55</f>
        <v>4</v>
      </c>
      <c r="I5" s="21">
        <f>Workings!F55</f>
        <v>5</v>
      </c>
      <c r="J5" s="21">
        <f>Workings!G55</f>
        <v>6</v>
      </c>
      <c r="K5" s="21">
        <f>Workings!H55</f>
        <v>7</v>
      </c>
      <c r="L5" s="21">
        <f>Workings!I55</f>
        <v>8</v>
      </c>
      <c r="M5" s="21">
        <f>Workings!J55</f>
        <v>9</v>
      </c>
      <c r="N5" s="21">
        <f>Workings!K55</f>
        <v>10</v>
      </c>
      <c r="O5" s="21">
        <f>Workings!L55</f>
        <v>11</v>
      </c>
      <c r="P5" s="21">
        <f>Workings!M55</f>
        <v>12</v>
      </c>
      <c r="Q5" s="21">
        <f>Workings!N55</f>
        <v>13</v>
      </c>
      <c r="R5" s="21">
        <f>Workings!O55</f>
        <v>14</v>
      </c>
      <c r="S5" s="21">
        <f>Workings!P55</f>
        <v>15</v>
      </c>
      <c r="T5" s="21">
        <f>Workings!Q55</f>
        <v>16</v>
      </c>
      <c r="U5" s="21">
        <f>Workings!R55</f>
        <v>17</v>
      </c>
      <c r="V5" s="21">
        <f>Workings!S55</f>
        <v>18</v>
      </c>
      <c r="W5" s="21">
        <f>Workings!T55</f>
        <v>19</v>
      </c>
      <c r="X5" s="21">
        <f>Workings!U55</f>
        <v>20</v>
      </c>
      <c r="Y5" s="21">
        <f>Workings!V55</f>
        <v>21</v>
      </c>
      <c r="Z5" s="21">
        <f>Workings!W55</f>
        <v>22</v>
      </c>
      <c r="AA5" s="21">
        <f>Workings!X55</f>
        <v>23</v>
      </c>
      <c r="AB5" s="21">
        <f>Workings!Y55</f>
        <v>24</v>
      </c>
      <c r="AC5" s="148">
        <f>Workings!Z55</f>
        <v>25</v>
      </c>
    </row>
    <row r="6" spans="1:29" ht="15">
      <c r="A6" s="149" t="s">
        <v>106</v>
      </c>
      <c r="B6" s="90" t="s">
        <v>180</v>
      </c>
      <c r="C6" s="90" t="s">
        <v>181</v>
      </c>
      <c r="D6" s="90" t="s">
        <v>182</v>
      </c>
      <c r="E6" s="24">
        <f>Workings!B58</f>
        <v>41729</v>
      </c>
      <c r="F6" s="24">
        <f>Workings!C58</f>
        <v>42094</v>
      </c>
      <c r="G6" s="24">
        <f>Workings!D58</f>
        <v>42460</v>
      </c>
      <c r="H6" s="24">
        <f>Workings!E58</f>
        <v>42825</v>
      </c>
      <c r="I6" s="24">
        <f>Workings!F58</f>
        <v>43190</v>
      </c>
      <c r="J6" s="24">
        <f>Workings!G58</f>
        <v>43555</v>
      </c>
      <c r="K6" s="24">
        <f>Workings!H58</f>
        <v>43921</v>
      </c>
      <c r="L6" s="24">
        <f>Workings!I58</f>
        <v>44286</v>
      </c>
      <c r="M6" s="24">
        <f>Workings!J58</f>
        <v>44651</v>
      </c>
      <c r="N6" s="24">
        <f>Workings!K58</f>
        <v>45016</v>
      </c>
      <c r="O6" s="24">
        <f>Workings!L58</f>
        <v>45382</v>
      </c>
      <c r="P6" s="24">
        <f>Workings!M58</f>
        <v>45747</v>
      </c>
      <c r="Q6" s="24">
        <f>Workings!N58</f>
        <v>46112</v>
      </c>
      <c r="R6" s="24">
        <f>Workings!O58</f>
        <v>46477</v>
      </c>
      <c r="S6" s="24">
        <f>Workings!P58</f>
        <v>46843</v>
      </c>
      <c r="T6" s="24">
        <f>Workings!Q58</f>
        <v>47208</v>
      </c>
      <c r="U6" s="24">
        <f>Workings!R58</f>
        <v>47573</v>
      </c>
      <c r="V6" s="24">
        <f>Workings!S58</f>
        <v>47938</v>
      </c>
      <c r="W6" s="24">
        <f>Workings!T58</f>
        <v>48304</v>
      </c>
      <c r="X6" s="24">
        <f>Workings!U58</f>
        <v>48669</v>
      </c>
      <c r="Y6" s="24">
        <f>Workings!V58</f>
        <v>49034</v>
      </c>
      <c r="Z6" s="24">
        <f>Workings!W58</f>
        <v>49399</v>
      </c>
      <c r="AA6" s="24">
        <f>Workings!X58</f>
        <v>49765</v>
      </c>
      <c r="AB6" s="24">
        <f>Workings!Y58</f>
        <v>50130</v>
      </c>
      <c r="AC6" s="150">
        <f>Workings!Z58</f>
        <v>50495</v>
      </c>
    </row>
    <row r="7" spans="1:29" ht="15">
      <c r="A7" s="149" t="s">
        <v>2</v>
      </c>
      <c r="B7" s="23"/>
      <c r="C7" s="23"/>
      <c r="D7" s="21"/>
      <c r="E7" s="21">
        <f>Workings!B57</f>
        <v>364</v>
      </c>
      <c r="F7" s="21">
        <f>Workings!C57</f>
        <v>365</v>
      </c>
      <c r="G7" s="21">
        <f>Workings!D57</f>
        <v>366</v>
      </c>
      <c r="H7" s="21">
        <f>Workings!E57</f>
        <v>365</v>
      </c>
      <c r="I7" s="21">
        <f>Workings!F57</f>
        <v>365</v>
      </c>
      <c r="J7" s="21">
        <f>Workings!G57</f>
        <v>365</v>
      </c>
      <c r="K7" s="21">
        <f>Workings!H57</f>
        <v>366</v>
      </c>
      <c r="L7" s="21">
        <f>Workings!I57</f>
        <v>365</v>
      </c>
      <c r="M7" s="21">
        <f>Workings!J57</f>
        <v>365</v>
      </c>
      <c r="N7" s="21">
        <f>Workings!K57</f>
        <v>365</v>
      </c>
      <c r="O7" s="21">
        <f>Workings!L57</f>
        <v>366</v>
      </c>
      <c r="P7" s="21">
        <f>Workings!M57</f>
        <v>365</v>
      </c>
      <c r="Q7" s="21">
        <f>Workings!N57</f>
        <v>365</v>
      </c>
      <c r="R7" s="21">
        <f>Workings!O57</f>
        <v>365</v>
      </c>
      <c r="S7" s="21">
        <f>Workings!P57</f>
        <v>366</v>
      </c>
      <c r="T7" s="21">
        <f>Workings!Q57</f>
        <v>365</v>
      </c>
      <c r="U7" s="21">
        <f>Workings!R57</f>
        <v>365</v>
      </c>
      <c r="V7" s="21">
        <f>Workings!S57</f>
        <v>365</v>
      </c>
      <c r="W7" s="21">
        <f>Workings!T57</f>
        <v>366</v>
      </c>
      <c r="X7" s="21">
        <f>Workings!U57</f>
        <v>365</v>
      </c>
      <c r="Y7" s="21">
        <f>Workings!V57</f>
        <v>365</v>
      </c>
      <c r="Z7" s="21">
        <f>Workings!W57</f>
        <v>365</v>
      </c>
      <c r="AA7" s="21">
        <f>Workings!X57</f>
        <v>366</v>
      </c>
      <c r="AB7" s="21">
        <f>Workings!Y57</f>
        <v>365</v>
      </c>
      <c r="AC7" s="148">
        <f>Workings!Z57</f>
        <v>365</v>
      </c>
    </row>
    <row r="8" spans="1:29" ht="15">
      <c r="A8" s="142" t="s">
        <v>107</v>
      </c>
      <c r="B8" s="22"/>
      <c r="C8" s="22"/>
      <c r="D8" s="21"/>
      <c r="E8" s="25">
        <f>Workings!B261</f>
        <v>2755.0832399999999</v>
      </c>
      <c r="F8" s="25">
        <f>Workings!C261</f>
        <v>2762.6521499999999</v>
      </c>
      <c r="G8" s="25">
        <f>Workings!D261</f>
        <v>2770.2210600000003</v>
      </c>
      <c r="H8" s="25">
        <f>Workings!E261</f>
        <v>2762.6521499999999</v>
      </c>
      <c r="I8" s="25">
        <f>Workings!F261</f>
        <v>2762.6521499999999</v>
      </c>
      <c r="J8" s="25">
        <f>Workings!G261</f>
        <v>2762.6521499999999</v>
      </c>
      <c r="K8" s="25">
        <f>Workings!H261</f>
        <v>2770.2210600000003</v>
      </c>
      <c r="L8" s="25">
        <f>Workings!I261</f>
        <v>2762.6521499999999</v>
      </c>
      <c r="M8" s="25">
        <f>Workings!J261</f>
        <v>2762.6521499999999</v>
      </c>
      <c r="N8" s="25">
        <f>Workings!K261</f>
        <v>2762.6521499999999</v>
      </c>
      <c r="O8" s="25">
        <f>Workings!L261</f>
        <v>2770.2210600000003</v>
      </c>
      <c r="P8" s="25">
        <f>Workings!M261</f>
        <v>2762.6521499999999</v>
      </c>
      <c r="Q8" s="25">
        <f>Workings!N261</f>
        <v>2762.6521499999999</v>
      </c>
      <c r="R8" s="25">
        <f>Workings!O261</f>
        <v>2762.6521499999999</v>
      </c>
      <c r="S8" s="25">
        <f>Workings!P261</f>
        <v>2770.2210600000003</v>
      </c>
      <c r="T8" s="25">
        <f>Workings!Q261</f>
        <v>2762.6521499999999</v>
      </c>
      <c r="U8" s="25">
        <f>Workings!R261</f>
        <v>2762.6521499999999</v>
      </c>
      <c r="V8" s="25">
        <f>Workings!S261</f>
        <v>2762.6521499999999</v>
      </c>
      <c r="W8" s="25">
        <f>Workings!T261</f>
        <v>2770.2210600000003</v>
      </c>
      <c r="X8" s="25">
        <f>Workings!U261</f>
        <v>2762.6521499999999</v>
      </c>
      <c r="Y8" s="25">
        <f>Workings!V261</f>
        <v>2762.6521499999999</v>
      </c>
      <c r="Z8" s="25">
        <f>Workings!W261</f>
        <v>2762.6521499999999</v>
      </c>
      <c r="AA8" s="25">
        <f>Workings!X261</f>
        <v>2770.2210600000003</v>
      </c>
      <c r="AB8" s="25">
        <f>Workings!Y261</f>
        <v>2762.6521499999999</v>
      </c>
      <c r="AC8" s="151">
        <f>Workings!Z261</f>
        <v>2762.6521499999999</v>
      </c>
    </row>
    <row r="9" spans="1:29" ht="15">
      <c r="A9" s="142"/>
      <c r="B9" s="22"/>
      <c r="C9" s="22"/>
      <c r="D9" s="21"/>
      <c r="E9" s="25"/>
      <c r="F9" s="25"/>
      <c r="G9" s="25"/>
      <c r="H9" s="25"/>
      <c r="I9" s="25"/>
      <c r="J9" s="25"/>
      <c r="K9" s="25"/>
      <c r="L9" s="25"/>
      <c r="M9" s="25"/>
      <c r="N9" s="25"/>
      <c r="O9" s="21"/>
      <c r="P9" s="21"/>
      <c r="Q9" s="21"/>
      <c r="R9" s="21"/>
      <c r="S9" s="21"/>
      <c r="T9" s="21"/>
      <c r="U9" s="21"/>
      <c r="V9" s="21"/>
      <c r="W9" s="21"/>
      <c r="X9" s="21"/>
      <c r="Y9" s="21"/>
      <c r="Z9" s="21"/>
      <c r="AA9" s="21"/>
      <c r="AB9" s="21"/>
      <c r="AC9" s="148"/>
    </row>
    <row r="10" spans="1:29" ht="15">
      <c r="A10" s="152" t="s">
        <v>189</v>
      </c>
      <c r="B10" s="26"/>
      <c r="C10" s="26"/>
      <c r="D10" s="27"/>
      <c r="E10" s="27">
        <f ca="1">(Workings!$B$124+Workings!$B$119)</f>
        <v>3.7169787854324805</v>
      </c>
      <c r="F10" s="27">
        <f ca="1">(Workings!$B$124+Workings!$B$119)</f>
        <v>3.7169787854324805</v>
      </c>
      <c r="G10" s="27">
        <f ca="1">(Workings!$B$124+Workings!$B$119)</f>
        <v>3.7169787854324805</v>
      </c>
      <c r="H10" s="27">
        <f ca="1">(Workings!$B$124+Workings!$B$119)</f>
        <v>3.7169787854324805</v>
      </c>
      <c r="I10" s="27">
        <f ca="1">(Workings!$B$124+Workings!$B$119)</f>
        <v>3.7169787854324805</v>
      </c>
      <c r="J10" s="27">
        <f ca="1">(Workings!$B$124+Workings!$B$119)</f>
        <v>3.7169787854324805</v>
      </c>
      <c r="K10" s="27">
        <f ca="1">(Workings!$B$124+Workings!$B$119)</f>
        <v>3.7169787854324805</v>
      </c>
      <c r="L10" s="27">
        <f ca="1">(Workings!$B$124+Workings!$B$119)</f>
        <v>3.7169787854324805</v>
      </c>
      <c r="M10" s="27">
        <f ca="1">(Workings!$B$124+Workings!$B$119)</f>
        <v>3.7169787854324805</v>
      </c>
      <c r="N10" s="27">
        <f ca="1">(Workings!$B$124+Workings!$B$119)</f>
        <v>3.7169787854324805</v>
      </c>
      <c r="O10" s="27">
        <f ca="1">(Workings!$B$124+Workings!$B$119)</f>
        <v>3.7169787854324805</v>
      </c>
      <c r="P10" s="27">
        <f ca="1">(Workings!$B$124+Workings!$B$119)</f>
        <v>3.7169787854324805</v>
      </c>
      <c r="Q10" s="27">
        <f ca="1">(Workings!$B$124+Workings!$B$119)</f>
        <v>3.7169787854324805</v>
      </c>
      <c r="R10" s="27">
        <f ca="1">(Workings!$B$124+Workings!$B$119)</f>
        <v>3.7169787854324805</v>
      </c>
      <c r="S10" s="27">
        <f ca="1">(Workings!$B$124+Workings!$B$119)</f>
        <v>3.7169787854324805</v>
      </c>
      <c r="T10" s="27">
        <f ca="1">(Workings!$B$124+Workings!$B$119)</f>
        <v>3.7169787854324805</v>
      </c>
      <c r="U10" s="27">
        <f ca="1">(Workings!$B$124+Workings!$B$119)</f>
        <v>3.7169787854324805</v>
      </c>
      <c r="V10" s="27">
        <f ca="1">(Workings!$B$124+Workings!$B$119)</f>
        <v>3.7169787854324805</v>
      </c>
      <c r="W10" s="27">
        <f ca="1">(Workings!$B$124+Workings!$B$119)</f>
        <v>3.7169787854324805</v>
      </c>
      <c r="X10" s="27">
        <f ca="1">(Workings!$B$124+Workings!$B$119)</f>
        <v>3.7169787854324805</v>
      </c>
      <c r="Y10" s="27">
        <f ca="1">(Workings!$B$124+Workings!$B$119)</f>
        <v>3.7169787854324805</v>
      </c>
      <c r="Z10" s="27">
        <f ca="1">(Workings!$B$124+Workings!$B$119)</f>
        <v>3.7169787854324805</v>
      </c>
      <c r="AA10" s="27">
        <f ca="1">(Workings!$B$124+Workings!$B$119)</f>
        <v>3.7169787854324805</v>
      </c>
      <c r="AB10" s="27">
        <f ca="1">(Workings!$B$124+Workings!$B$119)</f>
        <v>3.7169787854324805</v>
      </c>
      <c r="AC10" s="153">
        <f ca="1">(Workings!$B$124+Workings!$B$119)</f>
        <v>3.7169787854324805</v>
      </c>
    </row>
    <row r="11" spans="1:29" ht="15">
      <c r="A11" s="142"/>
      <c r="B11" s="22"/>
      <c r="C11" s="22"/>
      <c r="D11" s="21"/>
      <c r="E11" s="28"/>
      <c r="F11" s="28"/>
      <c r="G11" s="28"/>
      <c r="H11" s="28"/>
      <c r="I11" s="28"/>
      <c r="J11" s="28"/>
      <c r="K11" s="28"/>
      <c r="L11" s="28"/>
      <c r="M11" s="28"/>
      <c r="N11" s="28"/>
      <c r="O11" s="21"/>
      <c r="P11" s="21"/>
      <c r="Q11" s="21"/>
      <c r="R11" s="21"/>
      <c r="S11" s="21"/>
      <c r="T11" s="21"/>
      <c r="U11" s="21"/>
      <c r="V11" s="21"/>
      <c r="W11" s="21"/>
      <c r="X11" s="21"/>
      <c r="Y11" s="21"/>
      <c r="Z11" s="21"/>
      <c r="AA11" s="21"/>
      <c r="AB11" s="21"/>
      <c r="AC11" s="148"/>
    </row>
    <row r="12" spans="1:29" ht="15">
      <c r="A12" s="142" t="s">
        <v>192</v>
      </c>
      <c r="B12" s="22"/>
      <c r="C12" s="22"/>
      <c r="D12" s="21"/>
      <c r="E12" s="29">
        <f ca="1">(E8*E10)</f>
        <v>10240.585955180582</v>
      </c>
      <c r="F12" s="29">
        <f t="shared" ref="F12:AC12" ca="1" si="0">(F8*F10)</f>
        <v>10268.71943307943</v>
      </c>
      <c r="G12" s="29">
        <f t="shared" ca="1" si="0"/>
        <v>10296.852910978279</v>
      </c>
      <c r="H12" s="29">
        <f t="shared" ca="1" si="0"/>
        <v>10268.71943307943</v>
      </c>
      <c r="I12" s="29">
        <f t="shared" ca="1" si="0"/>
        <v>10268.71943307943</v>
      </c>
      <c r="J12" s="29">
        <f t="shared" ca="1" si="0"/>
        <v>10268.71943307943</v>
      </c>
      <c r="K12" s="29">
        <f t="shared" ca="1" si="0"/>
        <v>10296.852910978279</v>
      </c>
      <c r="L12" s="29">
        <f t="shared" ca="1" si="0"/>
        <v>10268.71943307943</v>
      </c>
      <c r="M12" s="29">
        <f t="shared" ca="1" si="0"/>
        <v>10268.71943307943</v>
      </c>
      <c r="N12" s="29">
        <f t="shared" ca="1" si="0"/>
        <v>10268.71943307943</v>
      </c>
      <c r="O12" s="29">
        <f t="shared" ca="1" si="0"/>
        <v>10296.852910978279</v>
      </c>
      <c r="P12" s="29">
        <f t="shared" ca="1" si="0"/>
        <v>10268.71943307943</v>
      </c>
      <c r="Q12" s="29">
        <f t="shared" ca="1" si="0"/>
        <v>10268.71943307943</v>
      </c>
      <c r="R12" s="29">
        <f t="shared" ca="1" si="0"/>
        <v>10268.71943307943</v>
      </c>
      <c r="S12" s="29">
        <f t="shared" ca="1" si="0"/>
        <v>10296.852910978279</v>
      </c>
      <c r="T12" s="29">
        <f t="shared" ca="1" si="0"/>
        <v>10268.71943307943</v>
      </c>
      <c r="U12" s="29">
        <f t="shared" ca="1" si="0"/>
        <v>10268.71943307943</v>
      </c>
      <c r="V12" s="29">
        <f t="shared" ca="1" si="0"/>
        <v>10268.71943307943</v>
      </c>
      <c r="W12" s="29">
        <f t="shared" ca="1" si="0"/>
        <v>10296.852910978279</v>
      </c>
      <c r="X12" s="29">
        <f t="shared" ca="1" si="0"/>
        <v>10268.71943307943</v>
      </c>
      <c r="Y12" s="29">
        <f t="shared" ca="1" si="0"/>
        <v>10268.71943307943</v>
      </c>
      <c r="Z12" s="29">
        <f t="shared" ca="1" si="0"/>
        <v>10268.71943307943</v>
      </c>
      <c r="AA12" s="29">
        <f t="shared" ca="1" si="0"/>
        <v>10296.852910978279</v>
      </c>
      <c r="AB12" s="29">
        <f t="shared" ca="1" si="0"/>
        <v>10268.71943307943</v>
      </c>
      <c r="AC12" s="143">
        <f t="shared" ca="1" si="0"/>
        <v>10268.71943307943</v>
      </c>
    </row>
    <row r="13" spans="1:29" ht="15">
      <c r="A13" s="142" t="s">
        <v>229</v>
      </c>
      <c r="B13" s="22"/>
      <c r="C13" s="22"/>
      <c r="D13" s="21"/>
      <c r="E13" s="37">
        <f>IF('Sensitivity Analysis'!$B$1,'CER Revenu Flow'!B5,0)</f>
        <v>0</v>
      </c>
      <c r="F13" s="37">
        <f>IF('Sensitivity Analysis'!$B$1,'CER Revenu Flow'!C5,0)</f>
        <v>0</v>
      </c>
      <c r="G13" s="37">
        <f>IF('Sensitivity Analysis'!$B$1,'CER Revenu Flow'!D5,0)</f>
        <v>0</v>
      </c>
      <c r="H13" s="37">
        <f>IF('Sensitivity Analysis'!$B$1,'CER Revenu Flow'!E5,0)</f>
        <v>0</v>
      </c>
      <c r="I13" s="37">
        <f>IF('Sensitivity Analysis'!$B$1,'CER Revenu Flow'!F5,0)</f>
        <v>0</v>
      </c>
      <c r="J13" s="37">
        <f>IF('Sensitivity Analysis'!$B$1,'CER Revenu Flow'!G5,0)</f>
        <v>0</v>
      </c>
      <c r="K13" s="37">
        <f>IF('Sensitivity Analysis'!$B$1,'CER Revenu Flow'!H5,0)</f>
        <v>0</v>
      </c>
      <c r="L13" s="37">
        <f>IF('Sensitivity Analysis'!$B$1,'CER Revenu Flow'!I5,0)</f>
        <v>0</v>
      </c>
      <c r="M13" s="37">
        <f>IF('Sensitivity Analysis'!$B$1,'CER Revenu Flow'!J5,0)</f>
        <v>0</v>
      </c>
      <c r="N13" s="37">
        <f>IF('Sensitivity Analysis'!$B$1,'CER Revenu Flow'!K5,0)</f>
        <v>0</v>
      </c>
      <c r="O13" s="37">
        <f>IF('Sensitivity Analysis'!$B$1,'CER Revenu Flow'!L5,0)</f>
        <v>0</v>
      </c>
      <c r="P13" s="37">
        <v>0</v>
      </c>
      <c r="Q13" s="37">
        <v>0</v>
      </c>
      <c r="R13" s="37">
        <v>0</v>
      </c>
      <c r="S13" s="37">
        <v>0</v>
      </c>
      <c r="T13" s="37">
        <v>0</v>
      </c>
      <c r="U13" s="37">
        <v>0</v>
      </c>
      <c r="V13" s="37">
        <v>0</v>
      </c>
      <c r="W13" s="37">
        <v>0</v>
      </c>
      <c r="X13" s="37">
        <v>0</v>
      </c>
      <c r="Y13" s="37">
        <v>0</v>
      </c>
      <c r="Z13" s="37">
        <v>0</v>
      </c>
      <c r="AA13" s="37">
        <v>0</v>
      </c>
      <c r="AB13" s="37">
        <v>0</v>
      </c>
      <c r="AC13" s="37">
        <v>0</v>
      </c>
    </row>
    <row r="14" spans="1:29" ht="15">
      <c r="A14" s="142" t="s">
        <v>190</v>
      </c>
      <c r="B14" s="22"/>
      <c r="C14" s="22"/>
      <c r="D14" s="21"/>
      <c r="E14" s="29">
        <f ca="1">E12+E13</f>
        <v>10240.585955180582</v>
      </c>
      <c r="F14" s="29">
        <f t="shared" ref="F14:AB14" ca="1" si="1">F12+F13</f>
        <v>10268.71943307943</v>
      </c>
      <c r="G14" s="29">
        <f t="shared" ca="1" si="1"/>
        <v>10296.852910978279</v>
      </c>
      <c r="H14" s="29">
        <f t="shared" ca="1" si="1"/>
        <v>10268.71943307943</v>
      </c>
      <c r="I14" s="29">
        <f t="shared" ca="1" si="1"/>
        <v>10268.71943307943</v>
      </c>
      <c r="J14" s="29">
        <f t="shared" ca="1" si="1"/>
        <v>10268.71943307943</v>
      </c>
      <c r="K14" s="29">
        <f t="shared" ca="1" si="1"/>
        <v>10296.852910978279</v>
      </c>
      <c r="L14" s="29">
        <f t="shared" ca="1" si="1"/>
        <v>10268.71943307943</v>
      </c>
      <c r="M14" s="29">
        <f t="shared" ca="1" si="1"/>
        <v>10268.71943307943</v>
      </c>
      <c r="N14" s="29">
        <f t="shared" ca="1" si="1"/>
        <v>10268.71943307943</v>
      </c>
      <c r="O14" s="29">
        <f t="shared" ca="1" si="1"/>
        <v>10296.852910978279</v>
      </c>
      <c r="P14" s="29">
        <f t="shared" ca="1" si="1"/>
        <v>10268.71943307943</v>
      </c>
      <c r="Q14" s="29">
        <f t="shared" ca="1" si="1"/>
        <v>10268.71943307943</v>
      </c>
      <c r="R14" s="29">
        <f t="shared" ca="1" si="1"/>
        <v>10268.71943307943</v>
      </c>
      <c r="S14" s="29">
        <f t="shared" ca="1" si="1"/>
        <v>10296.852910978279</v>
      </c>
      <c r="T14" s="29">
        <f t="shared" ca="1" si="1"/>
        <v>10268.71943307943</v>
      </c>
      <c r="U14" s="29">
        <f t="shared" ca="1" si="1"/>
        <v>10268.71943307943</v>
      </c>
      <c r="V14" s="29">
        <f t="shared" ca="1" si="1"/>
        <v>10268.71943307943</v>
      </c>
      <c r="W14" s="29">
        <f t="shared" ca="1" si="1"/>
        <v>10296.852910978279</v>
      </c>
      <c r="X14" s="29">
        <f t="shared" ca="1" si="1"/>
        <v>10268.71943307943</v>
      </c>
      <c r="Y14" s="29">
        <f t="shared" ca="1" si="1"/>
        <v>10268.71943307943</v>
      </c>
      <c r="Z14" s="29">
        <f t="shared" ca="1" si="1"/>
        <v>10268.71943307943</v>
      </c>
      <c r="AA14" s="29">
        <f t="shared" ca="1" si="1"/>
        <v>10296.852910978279</v>
      </c>
      <c r="AB14" s="29">
        <f t="shared" ca="1" si="1"/>
        <v>10268.71943307943</v>
      </c>
      <c r="AC14" s="29">
        <f ca="1">AC12+AC13</f>
        <v>10268.71943307943</v>
      </c>
    </row>
    <row r="15" spans="1:29" ht="15">
      <c r="A15" s="142"/>
      <c r="B15" s="22"/>
      <c r="C15" s="22"/>
      <c r="D15" s="21"/>
      <c r="E15" s="32"/>
      <c r="F15" s="32"/>
      <c r="G15" s="32"/>
      <c r="H15" s="32"/>
      <c r="I15" s="32"/>
      <c r="J15" s="32"/>
      <c r="K15" s="32"/>
      <c r="L15" s="32"/>
      <c r="M15" s="32"/>
      <c r="N15" s="32"/>
      <c r="O15" s="32"/>
      <c r="P15" s="32"/>
      <c r="Q15" s="32"/>
      <c r="R15" s="32"/>
      <c r="S15" s="32"/>
      <c r="T15" s="32"/>
      <c r="U15" s="32"/>
      <c r="V15" s="32"/>
      <c r="W15" s="32"/>
      <c r="X15" s="32"/>
      <c r="Y15" s="32"/>
      <c r="Z15" s="32"/>
      <c r="AA15" s="32"/>
      <c r="AB15" s="32"/>
      <c r="AC15" s="155"/>
    </row>
    <row r="16" spans="1:29" ht="15">
      <c r="A16" s="142"/>
      <c r="B16" s="22"/>
      <c r="C16" s="22"/>
      <c r="D16" s="21"/>
      <c r="E16" s="21"/>
      <c r="F16" s="21"/>
      <c r="G16" s="21"/>
      <c r="H16" s="21"/>
      <c r="I16" s="21"/>
      <c r="J16" s="21"/>
      <c r="K16" s="21"/>
      <c r="L16" s="21"/>
      <c r="M16" s="21"/>
      <c r="N16" s="21"/>
      <c r="O16" s="21"/>
      <c r="P16" s="21"/>
      <c r="Q16" s="21"/>
      <c r="R16" s="21"/>
      <c r="S16" s="21"/>
      <c r="T16" s="21"/>
      <c r="U16" s="21"/>
      <c r="V16" s="21"/>
      <c r="W16" s="21"/>
      <c r="X16" s="21"/>
      <c r="Y16" s="21"/>
      <c r="Z16" s="21"/>
      <c r="AA16" s="21"/>
      <c r="AB16" s="21"/>
      <c r="AC16" s="148"/>
    </row>
    <row r="17" spans="1:29" ht="15">
      <c r="A17" s="142" t="s">
        <v>108</v>
      </c>
      <c r="B17" s="22"/>
      <c r="C17" s="22"/>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148"/>
    </row>
    <row r="18" spans="1:29" ht="15">
      <c r="A18" s="142"/>
      <c r="B18" s="22"/>
      <c r="C18" s="22"/>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148"/>
    </row>
    <row r="19" spans="1:29" ht="15">
      <c r="A19" s="142" t="s">
        <v>109</v>
      </c>
      <c r="B19" s="22"/>
      <c r="C19" s="22"/>
      <c r="D19" s="21"/>
      <c r="E19" s="28">
        <f>Workings!B101</f>
        <v>705.30484931506851</v>
      </c>
      <c r="F19" s="28">
        <f>Workings!C101</f>
        <v>747.69677100000001</v>
      </c>
      <c r="G19" s="28">
        <f>Workings!D101</f>
        <v>790.46502630119994</v>
      </c>
      <c r="H19" s="28">
        <f>Workings!E101</f>
        <v>835.67962580562846</v>
      </c>
      <c r="I19" s="28">
        <f>Workings!F101</f>
        <v>883.48050040171017</v>
      </c>
      <c r="J19" s="28">
        <f>Workings!G101</f>
        <v>934.01558502468799</v>
      </c>
      <c r="K19" s="28">
        <f>Workings!H101</f>
        <v>987.44127648810013</v>
      </c>
      <c r="L19" s="28">
        <f>Workings!I101</f>
        <v>1043.9229175032194</v>
      </c>
      <c r="M19" s="28">
        <f>Workings!J101</f>
        <v>1103.6353083844035</v>
      </c>
      <c r="N19" s="28">
        <f>Workings!K101</f>
        <v>1166.7632480239913</v>
      </c>
      <c r="O19" s="28">
        <f>Workings!L101</f>
        <v>1233.5021058109635</v>
      </c>
      <c r="P19" s="28">
        <f>Workings!M101</f>
        <v>1304.0584262633506</v>
      </c>
      <c r="Q19" s="28">
        <f>Workings!N101</f>
        <v>1378.6505682456143</v>
      </c>
      <c r="R19" s="28">
        <f>Workings!O101</f>
        <v>1457.5093807492631</v>
      </c>
      <c r="S19" s="28">
        <f>Workings!P101</f>
        <v>1540.8789173281211</v>
      </c>
      <c r="T19" s="28">
        <f>Workings!Q101</f>
        <v>1629.0171913992895</v>
      </c>
      <c r="U19" s="28">
        <f>Workings!R101</f>
        <v>1722.1969747473288</v>
      </c>
      <c r="V19" s="28">
        <f>Workings!S101</f>
        <v>1820.7066417028761</v>
      </c>
      <c r="W19" s="28">
        <f>Workings!T101</f>
        <v>1924.8510616082804</v>
      </c>
      <c r="X19" s="28">
        <f>Workings!U101</f>
        <v>2034.9525423322737</v>
      </c>
      <c r="Y19" s="28">
        <f>Workings!V101</f>
        <v>2151.35182775368</v>
      </c>
      <c r="Z19" s="28">
        <f>Workings!W101</f>
        <v>2274.4091523011903</v>
      </c>
      <c r="AA19" s="28">
        <f>Workings!X101</f>
        <v>2404.5053558128184</v>
      </c>
      <c r="AB19" s="28">
        <f>Workings!Y101</f>
        <v>2542.0430621653113</v>
      </c>
      <c r="AC19" s="156">
        <f>Workings!Z101</f>
        <v>2687.4479253211666</v>
      </c>
    </row>
    <row r="20" spans="1:29" ht="15">
      <c r="A20" s="142" t="s">
        <v>110</v>
      </c>
      <c r="B20" s="22"/>
      <c r="C20" s="22"/>
      <c r="D20" s="21"/>
      <c r="E20" s="28">
        <f>Workings!B233</f>
        <v>5938.5780774265531</v>
      </c>
      <c r="F20" s="28">
        <f>Workings!C233</f>
        <v>5996.5771023310872</v>
      </c>
      <c r="G20" s="28">
        <f>Workings!D233</f>
        <v>6055.0971232584943</v>
      </c>
      <c r="H20" s="28">
        <f>Workings!E233</f>
        <v>6080.8230140417354</v>
      </c>
      <c r="I20" s="28">
        <f>Workings!F233</f>
        <v>6123.3887751400262</v>
      </c>
      <c r="J20" s="28">
        <f>Workings!G233</f>
        <v>6166.2524965660077</v>
      </c>
      <c r="K20" s="28">
        <f>Workings!H233</f>
        <v>6226.4283633955083</v>
      </c>
      <c r="L20" s="28">
        <f>Workings!I233</f>
        <v>6252.882177890262</v>
      </c>
      <c r="M20" s="28">
        <f>Workings!J233</f>
        <v>6296.6523531354942</v>
      </c>
      <c r="N20" s="28">
        <f>Workings!K233</f>
        <v>6340.7289196074407</v>
      </c>
      <c r="O20" s="28">
        <f>Workings!L233</f>
        <v>6402.6074851187886</v>
      </c>
      <c r="P20" s="28">
        <f>Workings!M233</f>
        <v>6429.8098201990051</v>
      </c>
      <c r="Q20" s="28">
        <f>Workings!N233</f>
        <v>6474.8184889403974</v>
      </c>
      <c r="R20" s="28">
        <f>Workings!O233</f>
        <v>6520.1422183629802</v>
      </c>
      <c r="S20" s="28">
        <f>Workings!P233</f>
        <v>6583.771661052866</v>
      </c>
      <c r="T20" s="28">
        <f>Workings!Q233</f>
        <v>6611.7436963887594</v>
      </c>
      <c r="U20" s="28">
        <f>Workings!R233</f>
        <v>6658.0259022634809</v>
      </c>
      <c r="V20" s="28">
        <f>Workings!S233</f>
        <v>6704.632083579324</v>
      </c>
      <c r="W20" s="28">
        <f>Workings!T233</f>
        <v>6770.061945173049</v>
      </c>
      <c r="X20" s="28">
        <f>Workings!U233</f>
        <v>6798.8254597215273</v>
      </c>
      <c r="Y20" s="28">
        <f>Workings!V233</f>
        <v>6846.4172379395786</v>
      </c>
      <c r="Z20" s="28">
        <f>Workings!W233</f>
        <v>6894.3421586051527</v>
      </c>
      <c r="AA20" s="28">
        <f>Workings!X233</f>
        <v>6961.6233826296784</v>
      </c>
      <c r="AB20" s="28">
        <f>Workings!Y233</f>
        <v>6991.200771591396</v>
      </c>
      <c r="AC20" s="156">
        <f>Workings!Z233</f>
        <v>7040.1391769925349</v>
      </c>
    </row>
    <row r="21" spans="1:29" ht="15">
      <c r="A21" s="142" t="s">
        <v>111</v>
      </c>
      <c r="B21" s="22"/>
      <c r="C21" s="22"/>
      <c r="D21" s="21"/>
      <c r="E21" s="28">
        <f t="shared" ref="E21:N21" si="2">SUM(E19:E20)</f>
        <v>6643.8829267416213</v>
      </c>
      <c r="F21" s="28">
        <f t="shared" si="2"/>
        <v>6744.2738733310871</v>
      </c>
      <c r="G21" s="28">
        <f t="shared" si="2"/>
        <v>6845.5621495596943</v>
      </c>
      <c r="H21" s="28">
        <f t="shared" si="2"/>
        <v>6916.5026398473638</v>
      </c>
      <c r="I21" s="28">
        <f t="shared" si="2"/>
        <v>7006.869275541736</v>
      </c>
      <c r="J21" s="28">
        <f t="shared" si="2"/>
        <v>7100.2680815906961</v>
      </c>
      <c r="K21" s="28">
        <f t="shared" si="2"/>
        <v>7213.8696398836082</v>
      </c>
      <c r="L21" s="28">
        <f t="shared" si="2"/>
        <v>7296.8050953934817</v>
      </c>
      <c r="M21" s="28">
        <f t="shared" si="2"/>
        <v>7400.2876615198975</v>
      </c>
      <c r="N21" s="28">
        <f t="shared" si="2"/>
        <v>7507.4921676314316</v>
      </c>
      <c r="O21" s="28">
        <f t="shared" ref="O21:AC21" si="3">SUM(O19:O20)</f>
        <v>7636.1095909297519</v>
      </c>
      <c r="P21" s="28">
        <f t="shared" si="3"/>
        <v>7733.8682464623562</v>
      </c>
      <c r="Q21" s="28">
        <f t="shared" si="3"/>
        <v>7853.4690571860119</v>
      </c>
      <c r="R21" s="28">
        <f t="shared" si="3"/>
        <v>7977.6515991122433</v>
      </c>
      <c r="S21" s="28">
        <f t="shared" si="3"/>
        <v>8124.6505783809871</v>
      </c>
      <c r="T21" s="28">
        <f t="shared" si="3"/>
        <v>8240.7608877880484</v>
      </c>
      <c r="U21" s="28">
        <f t="shared" si="3"/>
        <v>8380.2228770108104</v>
      </c>
      <c r="V21" s="28">
        <f t="shared" si="3"/>
        <v>8525.3387252821994</v>
      </c>
      <c r="W21" s="28">
        <f t="shared" si="3"/>
        <v>8694.9130067813294</v>
      </c>
      <c r="X21" s="28">
        <f t="shared" si="3"/>
        <v>8833.7780020538012</v>
      </c>
      <c r="Y21" s="28">
        <f t="shared" si="3"/>
        <v>8997.7690656932591</v>
      </c>
      <c r="Z21" s="28">
        <f t="shared" si="3"/>
        <v>9168.7513109063439</v>
      </c>
      <c r="AA21" s="28">
        <f t="shared" si="3"/>
        <v>9366.1287384424977</v>
      </c>
      <c r="AB21" s="28">
        <f t="shared" si="3"/>
        <v>9533.2438337567073</v>
      </c>
      <c r="AC21" s="156">
        <f t="shared" si="3"/>
        <v>9727.5871023137006</v>
      </c>
    </row>
    <row r="22" spans="1:29" ht="15">
      <c r="A22" s="142"/>
      <c r="B22" s="22"/>
      <c r="C22" s="22"/>
      <c r="D22" s="21"/>
      <c r="E22" s="21"/>
      <c r="F22" s="21"/>
      <c r="G22" s="21"/>
      <c r="H22" s="21"/>
      <c r="I22" s="21"/>
      <c r="J22" s="21"/>
      <c r="K22" s="21"/>
      <c r="L22" s="21"/>
      <c r="M22" s="21"/>
      <c r="N22" s="21"/>
      <c r="O22" s="21"/>
      <c r="P22" s="21"/>
      <c r="Q22" s="21"/>
      <c r="R22" s="21"/>
      <c r="S22" s="21"/>
      <c r="T22" s="21"/>
      <c r="U22" s="21"/>
      <c r="V22" s="21"/>
      <c r="W22" s="21"/>
      <c r="X22" s="21"/>
      <c r="Y22" s="21"/>
      <c r="Z22" s="21"/>
      <c r="AA22" s="21"/>
      <c r="AB22" s="21"/>
      <c r="AC22" s="148"/>
    </row>
    <row r="23" spans="1:29" ht="15">
      <c r="A23" s="142" t="s">
        <v>112</v>
      </c>
      <c r="B23" s="22"/>
      <c r="C23" s="22"/>
      <c r="D23" s="21"/>
      <c r="E23" s="29">
        <f t="shared" ref="E23:AC23" ca="1" si="4">E14-E21</f>
        <v>3596.7030284389612</v>
      </c>
      <c r="F23" s="29">
        <f t="shared" ca="1" si="4"/>
        <v>3524.4455597483429</v>
      </c>
      <c r="G23" s="29">
        <f t="shared" ca="1" si="4"/>
        <v>3451.2907614185851</v>
      </c>
      <c r="H23" s="29">
        <f t="shared" ca="1" si="4"/>
        <v>3352.2167932320663</v>
      </c>
      <c r="I23" s="29">
        <f t="shared" ca="1" si="4"/>
        <v>3261.850157537694</v>
      </c>
      <c r="J23" s="29">
        <f t="shared" ca="1" si="4"/>
        <v>3168.451351488734</v>
      </c>
      <c r="K23" s="29">
        <f t="shared" ca="1" si="4"/>
        <v>3082.9832710946712</v>
      </c>
      <c r="L23" s="29">
        <f t="shared" ca="1" si="4"/>
        <v>2971.9143376859483</v>
      </c>
      <c r="M23" s="29">
        <f t="shared" ca="1" si="4"/>
        <v>2868.4317715595325</v>
      </c>
      <c r="N23" s="29">
        <f t="shared" ca="1" si="4"/>
        <v>2761.2272654479984</v>
      </c>
      <c r="O23" s="29">
        <f t="shared" ca="1" si="4"/>
        <v>2660.7433200485275</v>
      </c>
      <c r="P23" s="29">
        <f t="shared" ca="1" si="4"/>
        <v>2534.8511866170738</v>
      </c>
      <c r="Q23" s="29">
        <f t="shared" ca="1" si="4"/>
        <v>2415.2503758934181</v>
      </c>
      <c r="R23" s="29">
        <f t="shared" ca="1" si="4"/>
        <v>2291.0678339671867</v>
      </c>
      <c r="S23" s="29">
        <f t="shared" ca="1" si="4"/>
        <v>2172.2023325972923</v>
      </c>
      <c r="T23" s="29">
        <f t="shared" ca="1" si="4"/>
        <v>2027.9585452913816</v>
      </c>
      <c r="U23" s="29">
        <f t="shared" ca="1" si="4"/>
        <v>1888.4965560686196</v>
      </c>
      <c r="V23" s="29">
        <f t="shared" ca="1" si="4"/>
        <v>1743.3807077972306</v>
      </c>
      <c r="W23" s="29">
        <f t="shared" ca="1" si="4"/>
        <v>1601.93990419695</v>
      </c>
      <c r="X23" s="29">
        <f t="shared" ca="1" si="4"/>
        <v>1434.9414310256288</v>
      </c>
      <c r="Y23" s="29">
        <f t="shared" ca="1" si="4"/>
        <v>1270.9503673861709</v>
      </c>
      <c r="Z23" s="29">
        <f t="shared" ca="1" si="4"/>
        <v>1099.9681221730862</v>
      </c>
      <c r="AA23" s="29">
        <f t="shared" ca="1" si="4"/>
        <v>930.72417253578169</v>
      </c>
      <c r="AB23" s="29">
        <f t="shared" ca="1" si="4"/>
        <v>735.4755993227227</v>
      </c>
      <c r="AC23" s="143">
        <f t="shared" ca="1" si="4"/>
        <v>541.13233076572942</v>
      </c>
    </row>
    <row r="24" spans="1:29" ht="15">
      <c r="A24" s="142"/>
      <c r="B24" s="22"/>
      <c r="C24" s="22"/>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148"/>
    </row>
    <row r="25" spans="1:29" ht="15">
      <c r="A25" s="142" t="s">
        <v>113</v>
      </c>
      <c r="B25" s="22"/>
      <c r="C25" s="22"/>
      <c r="D25" s="28"/>
      <c r="E25" s="29">
        <f>Workings!Q186</f>
        <v>1500.8175149589038</v>
      </c>
      <c r="F25" s="29">
        <f>Workings!Q187</f>
        <v>1436.5342472727275</v>
      </c>
      <c r="G25" s="29">
        <f>Workings!Q188</f>
        <v>1303.2823425354918</v>
      </c>
      <c r="H25" s="29">
        <f>Workings!Q189</f>
        <v>1162.908676363636</v>
      </c>
      <c r="I25" s="29">
        <f>Workings!Q190</f>
        <v>1026.0958909090905</v>
      </c>
      <c r="J25" s="29">
        <f>Workings!$Q$191</f>
        <v>889.28310545454508</v>
      </c>
      <c r="K25" s="29">
        <f>Workings!$Q$192</f>
        <v>754.53188252054736</v>
      </c>
      <c r="L25" s="29">
        <f>Workings!$Q$193</f>
        <v>615.65753454545393</v>
      </c>
      <c r="M25" s="29">
        <f>Workings!$Q$194</f>
        <v>478.84474909090846</v>
      </c>
      <c r="N25" s="29">
        <f>Workings!$Q$195</f>
        <v>342.03196363636289</v>
      </c>
      <c r="O25" s="29">
        <f>Workings!$Q$196</f>
        <v>205.78142250560327</v>
      </c>
      <c r="P25" s="29">
        <f>Workings!$Q$197</f>
        <v>68.406392727272049</v>
      </c>
      <c r="Q25" s="29">
        <v>0</v>
      </c>
      <c r="R25" s="29">
        <v>0</v>
      </c>
      <c r="S25" s="29">
        <v>0</v>
      </c>
      <c r="T25" s="29">
        <v>0</v>
      </c>
      <c r="U25" s="29">
        <v>0</v>
      </c>
      <c r="V25" s="29">
        <v>0</v>
      </c>
      <c r="W25" s="29">
        <v>0</v>
      </c>
      <c r="X25" s="29">
        <v>0</v>
      </c>
      <c r="Y25" s="29">
        <v>0</v>
      </c>
      <c r="Z25" s="29">
        <v>0</v>
      </c>
      <c r="AA25" s="29">
        <v>0</v>
      </c>
      <c r="AB25" s="29">
        <v>0</v>
      </c>
      <c r="AC25" s="143">
        <v>0</v>
      </c>
    </row>
    <row r="26" spans="1:29" s="31" customFormat="1" ht="15">
      <c r="A26" s="142" t="s">
        <v>114</v>
      </c>
      <c r="B26" s="22"/>
      <c r="C26" s="22"/>
      <c r="D26" s="30"/>
      <c r="E26" s="30">
        <f ca="1">E42</f>
        <v>289.66570631087347</v>
      </c>
      <c r="F26" s="30">
        <f t="shared" ref="F26:AC26" ca="1" si="5">F42</f>
        <v>293.48974841858904</v>
      </c>
      <c r="G26" s="30">
        <f t="shared" ca="1" si="5"/>
        <v>297.35249624588022</v>
      </c>
      <c r="H26" s="30">
        <f t="shared" ca="1" si="5"/>
        <v>298.27755072262602</v>
      </c>
      <c r="I26" s="30">
        <f t="shared" ca="1" si="5"/>
        <v>300.8473715266453</v>
      </c>
      <c r="J26" s="30">
        <f t="shared" ca="1" si="5"/>
        <v>303.54326323550134</v>
      </c>
      <c r="K26" s="30">
        <f t="shared" ca="1" si="5"/>
        <v>307.93115668487923</v>
      </c>
      <c r="L26" s="30">
        <f t="shared" ca="1" si="5"/>
        <v>309.34192163218847</v>
      </c>
      <c r="M26" s="30">
        <f t="shared" ca="1" si="5"/>
        <v>312.46005020407136</v>
      </c>
      <c r="N26" s="30">
        <f t="shared" ca="1" si="5"/>
        <v>315.73502086537559</v>
      </c>
      <c r="O26" s="30">
        <f t="shared" ca="1" si="5"/>
        <v>320.77432439466151</v>
      </c>
      <c r="P26" s="30">
        <f t="shared" ca="1" si="5"/>
        <v>322.79127500353246</v>
      </c>
      <c r="Q26" s="30">
        <f t="shared" ca="1" si="5"/>
        <v>326.59173928007647</v>
      </c>
      <c r="R26" s="30">
        <f t="shared" ca="1" si="5"/>
        <v>330.58746647719107</v>
      </c>
      <c r="S26" s="30">
        <f t="shared" ca="1" si="5"/>
        <v>336.43577836059836</v>
      </c>
      <c r="T26" s="30">
        <f t="shared" ca="1" si="5"/>
        <v>339.2093952542217</v>
      </c>
      <c r="U26" s="30">
        <f t="shared" ca="1" si="5"/>
        <v>343.85954792837964</v>
      </c>
      <c r="V26" s="30">
        <f t="shared" ca="1" si="5"/>
        <v>348.75293970288675</v>
      </c>
      <c r="W26" s="30">
        <f t="shared" ca="1" si="5"/>
        <v>355.60699643514693</v>
      </c>
      <c r="X26" s="30">
        <f t="shared" ca="1" si="5"/>
        <v>359.32524228512824</v>
      </c>
      <c r="Y26" s="30">
        <f t="shared" ca="1" si="5"/>
        <v>365.03406292770251</v>
      </c>
      <c r="Z26" s="30">
        <f t="shared" ca="1" si="5"/>
        <v>371.04603476904703</v>
      </c>
      <c r="AA26" s="30">
        <f t="shared" ca="1" si="5"/>
        <v>379.15146014753202</v>
      </c>
      <c r="AB26" s="30">
        <f t="shared" ca="1" si="5"/>
        <v>384.0491193780004</v>
      </c>
      <c r="AC26" s="157">
        <f t="shared" ca="1" si="5"/>
        <v>391.07758530886497</v>
      </c>
    </row>
    <row r="27" spans="1:29" ht="15">
      <c r="A27" s="152" t="s">
        <v>115</v>
      </c>
      <c r="B27" s="26"/>
      <c r="C27" s="26"/>
      <c r="D27" s="10"/>
      <c r="E27" s="27">
        <f>Workings!B80</f>
        <v>943.37100940273967</v>
      </c>
      <c r="F27" s="27">
        <f>Workings!C80</f>
        <v>945.96268799999996</v>
      </c>
      <c r="G27" s="27">
        <f>Workings!D80</f>
        <v>945.96268799999996</v>
      </c>
      <c r="H27" s="27">
        <f>Workings!E80</f>
        <v>945.96268799999996</v>
      </c>
      <c r="I27" s="27">
        <f>Workings!F80</f>
        <v>945.96268799999996</v>
      </c>
      <c r="J27" s="27">
        <f>Workings!G80</f>
        <v>945.96268799999996</v>
      </c>
      <c r="K27" s="27">
        <f>Workings!H80</f>
        <v>945.96268799999996</v>
      </c>
      <c r="L27" s="27">
        <f>Workings!I80</f>
        <v>945.96268799999996</v>
      </c>
      <c r="M27" s="27">
        <f>Workings!J80</f>
        <v>945.96268799999996</v>
      </c>
      <c r="N27" s="27">
        <f>Workings!K80</f>
        <v>945.96268799999996</v>
      </c>
      <c r="O27" s="27">
        <f>Workings!L80</f>
        <v>945.96268799999996</v>
      </c>
      <c r="P27" s="27">
        <f>Workings!M80</f>
        <v>945.96268799999996</v>
      </c>
      <c r="Q27" s="27">
        <f>Workings!N80</f>
        <v>945.96268799999996</v>
      </c>
      <c r="R27" s="27">
        <f>Workings!O80</f>
        <v>945.96268799999996</v>
      </c>
      <c r="S27" s="27">
        <f>Workings!P80</f>
        <v>945.96268799999996</v>
      </c>
      <c r="T27" s="27">
        <f>Workings!Q80</f>
        <v>945.96268799999996</v>
      </c>
      <c r="U27" s="27">
        <f>Workings!R80</f>
        <v>945.96268799999996</v>
      </c>
      <c r="V27" s="27">
        <f>Workings!S80</f>
        <v>945.96268799999996</v>
      </c>
      <c r="W27" s="27">
        <f>Workings!T80</f>
        <v>891.22329459726461</v>
      </c>
      <c r="X27" s="27">
        <f>Workings!U80</f>
        <v>0</v>
      </c>
      <c r="Y27" s="27">
        <f>Workings!V80</f>
        <v>0</v>
      </c>
      <c r="Z27" s="27">
        <f>Workings!W80</f>
        <v>0</v>
      </c>
      <c r="AA27" s="27">
        <f>Workings!X80</f>
        <v>0</v>
      </c>
      <c r="AB27" s="27">
        <f>Workings!Y80</f>
        <v>0</v>
      </c>
      <c r="AC27" s="153">
        <f>Workings!Z80</f>
        <v>0</v>
      </c>
    </row>
    <row r="28" spans="1:29" ht="15">
      <c r="A28" s="142"/>
      <c r="B28" s="22"/>
      <c r="C28" s="22"/>
      <c r="D28" s="21"/>
      <c r="E28" s="29"/>
      <c r="F28" s="29"/>
      <c r="G28" s="29"/>
      <c r="H28" s="29"/>
      <c r="I28" s="29"/>
      <c r="J28" s="29"/>
      <c r="K28" s="29"/>
      <c r="L28" s="29"/>
      <c r="M28" s="29"/>
      <c r="N28" s="29"/>
      <c r="O28" s="21"/>
      <c r="P28" s="21"/>
      <c r="Q28" s="21"/>
      <c r="R28" s="21"/>
      <c r="S28" s="21"/>
      <c r="T28" s="21"/>
      <c r="U28" s="21"/>
      <c r="V28" s="21"/>
      <c r="W28" s="21"/>
      <c r="X28" s="21"/>
      <c r="Y28" s="21"/>
      <c r="Z28" s="21"/>
      <c r="AA28" s="21"/>
      <c r="AB28" s="21"/>
      <c r="AC28" s="148"/>
    </row>
    <row r="29" spans="1:29" ht="15">
      <c r="A29" s="142" t="s">
        <v>116</v>
      </c>
      <c r="B29" s="22"/>
      <c r="C29" s="22"/>
      <c r="D29" s="21"/>
      <c r="E29" s="29">
        <f ca="1">E23-E25-E26-E27</f>
        <v>862.84879776644425</v>
      </c>
      <c r="F29" s="29">
        <f t="shared" ref="F29:AC29" ca="1" si="6">F23-F25-F26-F27</f>
        <v>848.45887605702649</v>
      </c>
      <c r="G29" s="29">
        <f t="shared" ca="1" si="6"/>
        <v>904.6932346372131</v>
      </c>
      <c r="H29" s="29">
        <f t="shared" ca="1" si="6"/>
        <v>945.06787814580423</v>
      </c>
      <c r="I29" s="29">
        <f t="shared" ca="1" si="6"/>
        <v>988.94420710195834</v>
      </c>
      <c r="J29" s="29">
        <f t="shared" ca="1" si="6"/>
        <v>1029.6622947986875</v>
      </c>
      <c r="K29" s="29">
        <f t="shared" ca="1" si="6"/>
        <v>1074.5575438892447</v>
      </c>
      <c r="L29" s="29">
        <f t="shared" ca="1" si="6"/>
        <v>1100.9521935083058</v>
      </c>
      <c r="M29" s="29">
        <f t="shared" ca="1" si="6"/>
        <v>1131.1642842645529</v>
      </c>
      <c r="N29" s="29">
        <f t="shared" ca="1" si="6"/>
        <v>1157.4975929462598</v>
      </c>
      <c r="O29" s="29">
        <f t="shared" ca="1" si="6"/>
        <v>1188.2248851482627</v>
      </c>
      <c r="P29" s="29">
        <f t="shared" ca="1" si="6"/>
        <v>1197.6908308862694</v>
      </c>
      <c r="Q29" s="29">
        <f t="shared" ca="1" si="6"/>
        <v>1142.6959486133414</v>
      </c>
      <c r="R29" s="29">
        <f t="shared" ca="1" si="6"/>
        <v>1014.5176794899957</v>
      </c>
      <c r="S29" s="29">
        <f t="shared" ca="1" si="6"/>
        <v>889.80386623669403</v>
      </c>
      <c r="T29" s="29">
        <f t="shared" ca="1" si="6"/>
        <v>742.78646203715982</v>
      </c>
      <c r="U29" s="29">
        <f t="shared" ca="1" si="6"/>
        <v>598.67432014023996</v>
      </c>
      <c r="V29" s="29">
        <f t="shared" ca="1" si="6"/>
        <v>448.66508009434381</v>
      </c>
      <c r="W29" s="29">
        <f t="shared" ca="1" si="6"/>
        <v>355.10961316453859</v>
      </c>
      <c r="X29" s="29">
        <f t="shared" ca="1" si="6"/>
        <v>1075.6161887405005</v>
      </c>
      <c r="Y29" s="29">
        <f t="shared" ca="1" si="6"/>
        <v>905.9163044584684</v>
      </c>
      <c r="Z29" s="29">
        <f t="shared" ca="1" si="6"/>
        <v>728.92208740403908</v>
      </c>
      <c r="AA29" s="29">
        <f t="shared" ca="1" si="6"/>
        <v>551.57271238824967</v>
      </c>
      <c r="AB29" s="29">
        <f t="shared" ca="1" si="6"/>
        <v>351.4264799447223</v>
      </c>
      <c r="AC29" s="143">
        <f t="shared" ca="1" si="6"/>
        <v>150.05474545686445</v>
      </c>
    </row>
    <row r="30" spans="1:29" ht="15">
      <c r="A30" s="142"/>
      <c r="B30" s="22"/>
      <c r="C30" s="22"/>
      <c r="D30" s="21"/>
      <c r="E30" s="29"/>
      <c r="F30" s="29"/>
      <c r="G30" s="29"/>
      <c r="H30" s="29"/>
      <c r="I30" s="29"/>
      <c r="J30" s="29"/>
      <c r="K30" s="29"/>
      <c r="L30" s="29"/>
      <c r="M30" s="29"/>
      <c r="N30" s="29"/>
      <c r="O30" s="21"/>
      <c r="P30" s="21"/>
      <c r="Q30" s="21"/>
      <c r="R30" s="21"/>
      <c r="S30" s="21"/>
      <c r="T30" s="21"/>
      <c r="U30" s="21"/>
      <c r="V30" s="21"/>
      <c r="W30" s="21"/>
      <c r="X30" s="21"/>
      <c r="Y30" s="21"/>
      <c r="Z30" s="21"/>
      <c r="AA30" s="21"/>
      <c r="AB30" s="21"/>
      <c r="AC30" s="148"/>
    </row>
    <row r="31" spans="1:29" ht="15">
      <c r="A31" s="142" t="s">
        <v>117</v>
      </c>
      <c r="B31" s="22"/>
      <c r="C31" s="22"/>
      <c r="D31" s="21"/>
      <c r="E31" s="29">
        <f ca="1">Workings!B167</f>
        <v>146.64115318040723</v>
      </c>
      <c r="F31" s="29">
        <f ca="1">Workings!C167</f>
        <v>144.19558598589165</v>
      </c>
      <c r="G31" s="29">
        <f ca="1">Workings!D167</f>
        <v>153.75261522659437</v>
      </c>
      <c r="H31" s="29">
        <f ca="1">Workings!E167</f>
        <v>160.61428589087944</v>
      </c>
      <c r="I31" s="29">
        <f ca="1">Workings!F167</f>
        <v>168.07106799697783</v>
      </c>
      <c r="J31" s="29">
        <f ca="1">Workings!G167</f>
        <v>174.99110700103697</v>
      </c>
      <c r="K31" s="29">
        <f ca="1">Workings!H167</f>
        <v>182.62105458397716</v>
      </c>
      <c r="L31" s="29">
        <f ca="1">Workings!I167</f>
        <v>187.10682528673658</v>
      </c>
      <c r="M31" s="29">
        <f ca="1">Workings!J167</f>
        <v>192.24137011076078</v>
      </c>
      <c r="N31" s="29">
        <f ca="1">Workings!K167</f>
        <v>196.71671592121689</v>
      </c>
      <c r="O31" s="29">
        <f ca="1">Workings!L167</f>
        <v>201.93881923094727</v>
      </c>
      <c r="P31" s="29">
        <f ca="1">Workings!M167</f>
        <v>203.54755670912149</v>
      </c>
      <c r="Q31" s="29">
        <f ca="1">Workings!N167</f>
        <v>194.20117646683741</v>
      </c>
      <c r="R31" s="29">
        <f ca="1">Workings!O167</f>
        <v>172.41727962932478</v>
      </c>
      <c r="S31" s="29">
        <f ca="1">Workings!P167</f>
        <v>151.22216706692618</v>
      </c>
      <c r="T31" s="29">
        <f ca="1">Workings!Q167</f>
        <v>126.23655922321529</v>
      </c>
      <c r="U31" s="29">
        <f ca="1">Workings!R167</f>
        <v>101.74470070783377</v>
      </c>
      <c r="V31" s="29">
        <f ca="1">Workings!S167</f>
        <v>76.250630362033746</v>
      </c>
      <c r="W31" s="29">
        <f ca="1">Workings!T167</f>
        <v>125.90220817425222</v>
      </c>
      <c r="X31" s="29">
        <f ca="1">Workings!U167</f>
        <v>323.949344409547</v>
      </c>
      <c r="Y31" s="29">
        <f ca="1">Workings!V167</f>
        <v>272.51624346358665</v>
      </c>
      <c r="Z31" s="29">
        <f ca="1">Workings!W167</f>
        <v>217.66661535006315</v>
      </c>
      <c r="AA31" s="29">
        <f ca="1">Workings!X167</f>
        <v>161.89966310598177</v>
      </c>
      <c r="AB31" s="29">
        <f ca="1">Workings!Y167</f>
        <v>97.706943973644471</v>
      </c>
      <c r="AC31" s="143">
        <f ca="1">Workings!Z167</f>
        <v>32.522128905156578</v>
      </c>
    </row>
    <row r="32" spans="1:29" ht="15">
      <c r="A32" s="142"/>
      <c r="B32" s="22"/>
      <c r="C32" s="22"/>
      <c r="D32" s="21"/>
      <c r="E32" s="29"/>
      <c r="F32" s="29"/>
      <c r="G32" s="29"/>
      <c r="H32" s="29"/>
      <c r="I32" s="29"/>
      <c r="J32" s="29"/>
      <c r="K32" s="29"/>
      <c r="L32" s="29"/>
      <c r="M32" s="29"/>
      <c r="N32" s="29"/>
      <c r="O32" s="29"/>
      <c r="P32" s="29"/>
      <c r="Q32" s="29"/>
      <c r="R32" s="29"/>
      <c r="S32" s="29"/>
      <c r="T32" s="29"/>
      <c r="U32" s="29"/>
      <c r="V32" s="29"/>
      <c r="W32" s="29"/>
      <c r="X32" s="29"/>
      <c r="Y32" s="29"/>
      <c r="Z32" s="29"/>
      <c r="AA32" s="29"/>
      <c r="AB32" s="29"/>
      <c r="AC32" s="143"/>
    </row>
    <row r="33" spans="1:29" ht="15">
      <c r="A33" s="142" t="s">
        <v>118</v>
      </c>
      <c r="B33" s="22"/>
      <c r="C33" s="22"/>
      <c r="D33" s="21"/>
      <c r="E33" s="100">
        <f ca="1">E29-E31</f>
        <v>716.20764458603708</v>
      </c>
      <c r="F33" s="100">
        <f ca="1">F29-F31</f>
        <v>704.26329007113486</v>
      </c>
      <c r="G33" s="100">
        <f ca="1">G29-G31</f>
        <v>750.94061941061875</v>
      </c>
      <c r="H33" s="100">
        <f t="shared" ref="H33:AC33" ca="1" si="7">H29-H31</f>
        <v>784.45359225492484</v>
      </c>
      <c r="I33" s="100">
        <f t="shared" ca="1" si="7"/>
        <v>820.87313910498051</v>
      </c>
      <c r="J33" s="100">
        <f t="shared" ca="1" si="7"/>
        <v>854.67118779765053</v>
      </c>
      <c r="K33" s="100">
        <f t="shared" ca="1" si="7"/>
        <v>891.93648930526751</v>
      </c>
      <c r="L33" s="100">
        <f t="shared" ca="1" si="7"/>
        <v>913.84536822156917</v>
      </c>
      <c r="M33" s="100">
        <f t="shared" ca="1" si="7"/>
        <v>938.92291415379214</v>
      </c>
      <c r="N33" s="100">
        <f t="shared" ca="1" si="7"/>
        <v>960.78087702504297</v>
      </c>
      <c r="O33" s="100">
        <f t="shared" ca="1" si="7"/>
        <v>986.28606591731545</v>
      </c>
      <c r="P33" s="100">
        <f t="shared" ca="1" si="7"/>
        <v>994.14327417714787</v>
      </c>
      <c r="Q33" s="100">
        <f t="shared" ca="1" si="7"/>
        <v>948.49477214650403</v>
      </c>
      <c r="R33" s="100">
        <f t="shared" ca="1" si="7"/>
        <v>842.1003998606709</v>
      </c>
      <c r="S33" s="100">
        <f t="shared" ca="1" si="7"/>
        <v>738.58169916976783</v>
      </c>
      <c r="T33" s="100">
        <f t="shared" ca="1" si="7"/>
        <v>616.54990281394453</v>
      </c>
      <c r="U33" s="100">
        <f t="shared" ca="1" si="7"/>
        <v>496.92961943240618</v>
      </c>
      <c r="V33" s="100">
        <f t="shared" ca="1" si="7"/>
        <v>372.41444973231006</v>
      </c>
      <c r="W33" s="100">
        <f t="shared" ca="1" si="7"/>
        <v>229.20740499028636</v>
      </c>
      <c r="X33" s="100">
        <f t="shared" ca="1" si="7"/>
        <v>751.66684433095361</v>
      </c>
      <c r="Y33" s="100">
        <f t="shared" ca="1" si="7"/>
        <v>633.40006099488176</v>
      </c>
      <c r="Z33" s="100">
        <f t="shared" ca="1" si="7"/>
        <v>511.25547205397595</v>
      </c>
      <c r="AA33" s="100">
        <f t="shared" ca="1" si="7"/>
        <v>389.67304928226793</v>
      </c>
      <c r="AB33" s="100">
        <f t="shared" ca="1" si="7"/>
        <v>253.71953597107785</v>
      </c>
      <c r="AC33" s="158">
        <f t="shared" ca="1" si="7"/>
        <v>117.53261655170787</v>
      </c>
    </row>
    <row r="34" spans="1:29" ht="15">
      <c r="A34" s="142"/>
      <c r="B34" s="22"/>
      <c r="C34" s="22"/>
      <c r="D34" s="21"/>
      <c r="E34" s="21"/>
      <c r="F34" s="21"/>
      <c r="G34" s="21"/>
      <c r="H34" s="21"/>
      <c r="I34" s="21"/>
      <c r="J34" s="21"/>
      <c r="K34" s="21"/>
      <c r="L34" s="21"/>
      <c r="M34" s="21"/>
      <c r="N34" s="21"/>
      <c r="O34" s="21"/>
      <c r="P34" s="21"/>
      <c r="Q34" s="21"/>
      <c r="R34" s="21"/>
      <c r="S34" s="21"/>
      <c r="T34" s="21"/>
      <c r="U34" s="21"/>
      <c r="V34" s="21"/>
      <c r="W34" s="21"/>
      <c r="X34" s="21"/>
      <c r="Y34" s="21"/>
      <c r="Z34" s="21"/>
      <c r="AA34" s="21"/>
      <c r="AB34" s="21"/>
      <c r="AC34" s="148"/>
    </row>
    <row r="35" spans="1:29" ht="15">
      <c r="A35" s="159"/>
      <c r="B35" s="160"/>
      <c r="C35" s="160"/>
      <c r="D35" s="32"/>
      <c r="E35" s="32"/>
      <c r="F35" s="32"/>
      <c r="G35" s="32"/>
      <c r="H35" s="32"/>
      <c r="I35" s="32"/>
      <c r="J35" s="32"/>
      <c r="K35" s="32"/>
      <c r="L35" s="32"/>
      <c r="M35" s="32"/>
      <c r="N35" s="32"/>
      <c r="O35" s="32"/>
      <c r="P35" s="32"/>
      <c r="Q35" s="32"/>
      <c r="R35" s="32"/>
      <c r="S35" s="32"/>
      <c r="T35" s="32"/>
      <c r="U35" s="32"/>
      <c r="V35" s="32"/>
      <c r="W35" s="32"/>
      <c r="X35" s="32"/>
      <c r="Y35" s="32"/>
      <c r="Z35" s="32"/>
      <c r="AA35" s="32"/>
      <c r="AB35" s="32"/>
      <c r="AC35" s="155"/>
    </row>
    <row r="36" spans="1:29" ht="15">
      <c r="A36" s="286" t="s">
        <v>191</v>
      </c>
      <c r="B36" s="287"/>
      <c r="C36" s="287"/>
      <c r="D36" s="287"/>
      <c r="E36" s="287"/>
      <c r="F36" s="287"/>
      <c r="G36" s="287"/>
      <c r="H36" s="32"/>
      <c r="I36" s="32"/>
      <c r="J36" s="32"/>
      <c r="K36" s="32"/>
      <c r="L36" s="32"/>
      <c r="M36" s="32"/>
      <c r="N36" s="32"/>
      <c r="O36" s="32"/>
      <c r="P36" s="32"/>
      <c r="Q36" s="32"/>
      <c r="R36" s="32"/>
      <c r="S36" s="32"/>
      <c r="T36" s="32"/>
      <c r="U36" s="32"/>
      <c r="V36" s="32"/>
      <c r="W36" s="32"/>
      <c r="X36" s="32"/>
      <c r="Y36" s="32"/>
      <c r="Z36" s="32"/>
      <c r="AA36" s="32"/>
      <c r="AB36" s="32"/>
      <c r="AC36" s="155"/>
    </row>
    <row r="37" spans="1:29" ht="15">
      <c r="A37" s="142" t="s">
        <v>175</v>
      </c>
      <c r="B37" s="22"/>
      <c r="C37" s="22"/>
      <c r="D37" s="21"/>
      <c r="E37" s="33">
        <f>E19/12*Assumption!$D$79</f>
        <v>58.77540410958904</v>
      </c>
      <c r="F37" s="33">
        <f>F19/12*Assumption!$D$79</f>
        <v>62.308064250000001</v>
      </c>
      <c r="G37" s="33">
        <f>G19/12*Assumption!$D$79</f>
        <v>65.87208552509999</v>
      </c>
      <c r="H37" s="33">
        <f>H19/12*Assumption!$D$79</f>
        <v>69.63996881713571</v>
      </c>
      <c r="I37" s="33">
        <f>I19/12*Assumption!$D$79</f>
        <v>73.623375033475853</v>
      </c>
      <c r="J37" s="33">
        <f>J19/12*Assumption!$D$79</f>
        <v>77.834632085390666</v>
      </c>
      <c r="K37" s="33">
        <f>K19/12*Assumption!$D$79</f>
        <v>82.286773040675016</v>
      </c>
      <c r="L37" s="33">
        <f>L19/12*Assumption!$D$79</f>
        <v>86.993576458601623</v>
      </c>
      <c r="M37" s="33">
        <f>M19/12*Assumption!$D$79</f>
        <v>91.969609032033631</v>
      </c>
      <c r="N37" s="33">
        <f>N19/12*Assumption!$D$79</f>
        <v>97.230270668665938</v>
      </c>
      <c r="O37" s="33">
        <f>O19/12*Assumption!$D$79</f>
        <v>102.79184215091362</v>
      </c>
      <c r="P37" s="33">
        <f>P19/12*Assumption!$D$79</f>
        <v>108.67153552194588</v>
      </c>
      <c r="Q37" s="33">
        <f>Q19/12*Assumption!$D$79</f>
        <v>114.8875473538012</v>
      </c>
      <c r="R37" s="33">
        <f>R19/12*Assumption!$D$79</f>
        <v>121.45911506243858</v>
      </c>
      <c r="S37" s="33">
        <f>S19/12*Assumption!$D$79</f>
        <v>128.40657644401008</v>
      </c>
      <c r="T37" s="33">
        <f>T19/12*Assumption!$D$79</f>
        <v>135.75143261660745</v>
      </c>
      <c r="U37" s="33">
        <f>U19/12*Assumption!$D$79</f>
        <v>143.51641456227739</v>
      </c>
      <c r="V37" s="33">
        <f>V19/12*Assumption!$D$79</f>
        <v>151.72555347523968</v>
      </c>
      <c r="W37" s="33">
        <f>W19/12*Assumption!$D$79</f>
        <v>160.40425513402337</v>
      </c>
      <c r="X37" s="33">
        <f>X19/12*Assumption!$D$79</f>
        <v>169.57937852768947</v>
      </c>
      <c r="Y37" s="33">
        <f>Y19/12*Assumption!$D$79</f>
        <v>179.27931897947335</v>
      </c>
      <c r="Z37" s="33">
        <f>Z19/12*Assumption!$D$79</f>
        <v>189.53409602509919</v>
      </c>
      <c r="AA37" s="33">
        <f>AA19/12*Assumption!$D$79</f>
        <v>200.37544631773486</v>
      </c>
      <c r="AB37" s="33">
        <f>AB19/12*Assumption!$D$79</f>
        <v>211.83692184710927</v>
      </c>
      <c r="AC37" s="161">
        <f>AC19/12*Assumption!$D$79</f>
        <v>223.95399377676389</v>
      </c>
    </row>
    <row r="38" spans="1:29" ht="15">
      <c r="A38" s="142" t="s">
        <v>20</v>
      </c>
      <c r="B38" s="22"/>
      <c r="C38" s="22"/>
      <c r="D38" s="21"/>
      <c r="E38" s="33">
        <f>Workings!B233/12*Assumption!$D$78</f>
        <v>494.88150645221276</v>
      </c>
      <c r="F38" s="33">
        <f>Workings!C233/12*Assumption!$D$78</f>
        <v>499.71475852759062</v>
      </c>
      <c r="G38" s="33">
        <f>Workings!D233/12*Assumption!$D$78</f>
        <v>504.59142693820786</v>
      </c>
      <c r="H38" s="33">
        <f>Workings!E233/12*Assumption!$D$78</f>
        <v>506.73525117014464</v>
      </c>
      <c r="I38" s="33">
        <f>Workings!F233/12*Assumption!$D$78</f>
        <v>510.28239792833551</v>
      </c>
      <c r="J38" s="33">
        <f>Workings!G233/12*Assumption!$D$78</f>
        <v>513.85437471383398</v>
      </c>
      <c r="K38" s="33">
        <f>Workings!H233/12*Assumption!$D$78</f>
        <v>518.86903028295899</v>
      </c>
      <c r="L38" s="33">
        <f>Workings!I233/12*Assumption!$D$78</f>
        <v>521.07351482418846</v>
      </c>
      <c r="M38" s="33">
        <f>Workings!J233/12*Assumption!$D$78</f>
        <v>524.72102942795789</v>
      </c>
      <c r="N38" s="33">
        <f>Workings!K233/12*Assumption!$D$78</f>
        <v>528.39407663395343</v>
      </c>
      <c r="O38" s="33">
        <f>Workings!L233/12*Assumption!$D$78</f>
        <v>533.55062375989905</v>
      </c>
      <c r="P38" s="33">
        <f>Workings!M233/12*Assumption!$D$78</f>
        <v>535.81748501658376</v>
      </c>
      <c r="Q38" s="33">
        <f>Workings!N233/12*Assumption!$D$78</f>
        <v>539.56820741169975</v>
      </c>
      <c r="R38" s="33">
        <f>Workings!O233/12*Assumption!$D$78</f>
        <v>543.34518486358172</v>
      </c>
      <c r="S38" s="33">
        <f>Workings!P233/12*Assumption!$D$78</f>
        <v>548.6476384210722</v>
      </c>
      <c r="T38" s="33">
        <f>Workings!Q233/12*Assumption!$D$78</f>
        <v>550.97864136572991</v>
      </c>
      <c r="U38" s="33">
        <f>Workings!R233/12*Assumption!$D$78</f>
        <v>554.83549185529012</v>
      </c>
      <c r="V38" s="33">
        <f>Workings!S233/12*Assumption!$D$78</f>
        <v>558.71934029827696</v>
      </c>
      <c r="W38" s="33">
        <f>Workings!T233/12*Assumption!$D$78</f>
        <v>564.17182876442075</v>
      </c>
      <c r="X38" s="33">
        <f>Workings!U233/12*Assumption!$D$78</f>
        <v>566.56878831012727</v>
      </c>
      <c r="Y38" s="33">
        <f>Workings!V233/12*Assumption!$D$78</f>
        <v>570.53476982829818</v>
      </c>
      <c r="Z38" s="33">
        <f>Workings!W233/12*Assumption!$D$78</f>
        <v>574.52851321709602</v>
      </c>
      <c r="AA38" s="33">
        <f>Workings!X233/12*Assumption!$D$78</f>
        <v>580.13528188580653</v>
      </c>
      <c r="AB38" s="33">
        <f>Workings!Y233/12*Assumption!$D$78</f>
        <v>582.60006429928296</v>
      </c>
      <c r="AC38" s="161">
        <f>Workings!Z233/12*Assumption!$D$78</f>
        <v>586.67826474937795</v>
      </c>
    </row>
    <row r="39" spans="1:29" ht="15">
      <c r="A39" s="142" t="s">
        <v>21</v>
      </c>
      <c r="B39" s="22"/>
      <c r="C39" s="22"/>
      <c r="D39" s="21"/>
      <c r="E39" s="33">
        <f>E19*Assumption!$D$80</f>
        <v>211.59145479452056</v>
      </c>
      <c r="F39" s="33">
        <f>F19*Assumption!$D$80</f>
        <v>224.30903129999999</v>
      </c>
      <c r="G39" s="33">
        <f>G19*Assumption!$D$80</f>
        <v>237.13950789035997</v>
      </c>
      <c r="H39" s="33">
        <f>H19*Assumption!$D$80</f>
        <v>250.70388774168853</v>
      </c>
      <c r="I39" s="33">
        <f>I19*Assumption!$D$80</f>
        <v>265.04415012051305</v>
      </c>
      <c r="J39" s="33">
        <f>J19*Assumption!$D$80</f>
        <v>280.20467550740636</v>
      </c>
      <c r="K39" s="33">
        <f>K19*Assumption!$D$80</f>
        <v>296.23238294643005</v>
      </c>
      <c r="L39" s="33">
        <f>L19*Assumption!$D$80</f>
        <v>313.17687525096579</v>
      </c>
      <c r="M39" s="33">
        <f>M19*Assumption!$D$80</f>
        <v>331.09059251532102</v>
      </c>
      <c r="N39" s="33">
        <f>N19*Assumption!$D$80</f>
        <v>350.02897440719738</v>
      </c>
      <c r="O39" s="33">
        <f>O19*Assumption!$D$80</f>
        <v>370.05063174328905</v>
      </c>
      <c r="P39" s="33">
        <f>P19*Assumption!$D$80</f>
        <v>391.21752787900516</v>
      </c>
      <c r="Q39" s="33">
        <f>Q19*Assumption!$D$80</f>
        <v>413.59517047368428</v>
      </c>
      <c r="R39" s="33">
        <f>R19*Assumption!$D$80</f>
        <v>437.25281422477889</v>
      </c>
      <c r="S39" s="33">
        <f>S19*Assumption!$D$80</f>
        <v>462.26367519843632</v>
      </c>
      <c r="T39" s="33">
        <f>T19*Assumption!$D$80</f>
        <v>488.70515741978681</v>
      </c>
      <c r="U39" s="33">
        <f>U19*Assumption!$D$80</f>
        <v>516.65909242419866</v>
      </c>
      <c r="V39" s="33">
        <f>V19*Assumption!$D$80</f>
        <v>546.21199251086284</v>
      </c>
      <c r="W39" s="33">
        <f>W19*Assumption!$D$80</f>
        <v>577.45531848248413</v>
      </c>
      <c r="X39" s="33">
        <f>X19*Assumption!$D$80</f>
        <v>610.48576269968203</v>
      </c>
      <c r="Y39" s="33">
        <f>Y19*Assumption!$D$80</f>
        <v>645.40554832610394</v>
      </c>
      <c r="Z39" s="33">
        <f>Z19*Assumption!$D$80</f>
        <v>682.32274569035701</v>
      </c>
      <c r="AA39" s="33">
        <f>AA19*Assumption!$D$80</f>
        <v>721.35160674384554</v>
      </c>
      <c r="AB39" s="33">
        <f>AB19*Assumption!$D$80</f>
        <v>762.61291864959333</v>
      </c>
      <c r="AC39" s="161">
        <f>AC19*Assumption!$D$80</f>
        <v>806.23437759634999</v>
      </c>
    </row>
    <row r="40" spans="1:29" ht="15">
      <c r="A40" s="142" t="s">
        <v>69</v>
      </c>
      <c r="B40" s="22"/>
      <c r="C40" s="22"/>
      <c r="D40" s="21"/>
      <c r="E40" s="33">
        <f ca="1">E12*Assumption!$D$77/12</f>
        <v>1706.7643258634305</v>
      </c>
      <c r="F40" s="33">
        <f ca="1">F12*Assumption!$D$77/12</f>
        <v>1711.4532388465716</v>
      </c>
      <c r="G40" s="33">
        <f ca="1">G12*Assumption!$D$77/12</f>
        <v>1716.1421518297132</v>
      </c>
      <c r="H40" s="33">
        <f ca="1">H12*Assumption!$D$77/12</f>
        <v>1711.4532388465716</v>
      </c>
      <c r="I40" s="33">
        <f ca="1">I12*Assumption!$D$77/12</f>
        <v>1711.4532388465716</v>
      </c>
      <c r="J40" s="33">
        <f ca="1">J12*Assumption!$D$77/12</f>
        <v>1711.4532388465716</v>
      </c>
      <c r="K40" s="33">
        <f ca="1">K12*Assumption!$D$77/12</f>
        <v>1716.1421518297132</v>
      </c>
      <c r="L40" s="33">
        <f ca="1">L12*Assumption!$D$77/12</f>
        <v>1711.4532388465716</v>
      </c>
      <c r="M40" s="33">
        <f ca="1">M12*Assumption!$D$77/12</f>
        <v>1711.4532388465716</v>
      </c>
      <c r="N40" s="33">
        <f ca="1">N12*Assumption!$D$77/12</f>
        <v>1711.4532388465716</v>
      </c>
      <c r="O40" s="33">
        <f ca="1">O12*Assumption!$D$77/12</f>
        <v>1716.1421518297132</v>
      </c>
      <c r="P40" s="33">
        <f ca="1">P12*Assumption!$D$77/12</f>
        <v>1711.4532388465716</v>
      </c>
      <c r="Q40" s="33">
        <f ca="1">Q12*Assumption!$D$77/12</f>
        <v>1711.4532388465716</v>
      </c>
      <c r="R40" s="33">
        <f ca="1">R12*Assumption!$D$77/12</f>
        <v>1711.4532388465716</v>
      </c>
      <c r="S40" s="33">
        <f ca="1">S12*Assumption!$D$77/12</f>
        <v>1716.1421518297132</v>
      </c>
      <c r="T40" s="33">
        <f ca="1">T12*Assumption!$D$77/12</f>
        <v>1711.4532388465716</v>
      </c>
      <c r="U40" s="33">
        <f ca="1">U12*Assumption!$D$77/12</f>
        <v>1711.4532388465716</v>
      </c>
      <c r="V40" s="33">
        <f ca="1">V12*Assumption!$D$77/12</f>
        <v>1711.4532388465716</v>
      </c>
      <c r="W40" s="33">
        <f ca="1">W12*Assumption!$D$77/12</f>
        <v>1716.1421518297132</v>
      </c>
      <c r="X40" s="33">
        <f ca="1">X12*Assumption!$D$77/12</f>
        <v>1711.4532388465716</v>
      </c>
      <c r="Y40" s="33">
        <f ca="1">Y12*Assumption!$D$77/12</f>
        <v>1711.4532388465716</v>
      </c>
      <c r="Z40" s="33">
        <f ca="1">Z12*Assumption!$D$77/12</f>
        <v>1711.4532388465716</v>
      </c>
      <c r="AA40" s="33">
        <f ca="1">AA12*Assumption!$D$77/12</f>
        <v>1716.1421518297132</v>
      </c>
      <c r="AB40" s="33">
        <f ca="1">AB12*Assumption!$D$77/12</f>
        <v>1711.4532388465716</v>
      </c>
      <c r="AC40" s="161">
        <f ca="1">AC12*Assumption!$D$77/12</f>
        <v>1711.4532388465716</v>
      </c>
    </row>
    <row r="41" spans="1:29" ht="15">
      <c r="A41" s="142" t="s">
        <v>22</v>
      </c>
      <c r="B41" s="22"/>
      <c r="C41" s="22"/>
      <c r="D41" s="21"/>
      <c r="E41" s="33">
        <f t="shared" ref="E41:AC41" ca="1" si="8">SUM(E37:E40)</f>
        <v>2472.0126912197529</v>
      </c>
      <c r="F41" s="33">
        <f t="shared" ca="1" si="8"/>
        <v>2497.7850929241622</v>
      </c>
      <c r="G41" s="33">
        <f t="shared" ca="1" si="8"/>
        <v>2523.7451721833809</v>
      </c>
      <c r="H41" s="33">
        <f t="shared" ca="1" si="8"/>
        <v>2538.5323465755405</v>
      </c>
      <c r="I41" s="33">
        <f t="shared" ca="1" si="8"/>
        <v>2560.4031619288962</v>
      </c>
      <c r="J41" s="33">
        <f t="shared" ca="1" si="8"/>
        <v>2583.3469211532029</v>
      </c>
      <c r="K41" s="33">
        <f t="shared" ca="1" si="8"/>
        <v>2613.5303380997775</v>
      </c>
      <c r="L41" s="33">
        <f t="shared" ca="1" si="8"/>
        <v>2632.6972053803274</v>
      </c>
      <c r="M41" s="33">
        <f t="shared" ca="1" si="8"/>
        <v>2659.234469821884</v>
      </c>
      <c r="N41" s="33">
        <f t="shared" ca="1" si="8"/>
        <v>2687.1065605563881</v>
      </c>
      <c r="O41" s="33">
        <f t="shared" ca="1" si="8"/>
        <v>2722.5352494838148</v>
      </c>
      <c r="P41" s="33">
        <f t="shared" ca="1" si="8"/>
        <v>2747.1597872641064</v>
      </c>
      <c r="Q41" s="33">
        <f t="shared" ca="1" si="8"/>
        <v>2779.5041640857571</v>
      </c>
      <c r="R41" s="33">
        <f t="shared" ca="1" si="8"/>
        <v>2813.5103529973708</v>
      </c>
      <c r="S41" s="33">
        <f t="shared" ca="1" si="8"/>
        <v>2855.4600418932314</v>
      </c>
      <c r="T41" s="33">
        <f t="shared" ca="1" si="8"/>
        <v>2886.8884702486957</v>
      </c>
      <c r="U41" s="33">
        <f t="shared" ca="1" si="8"/>
        <v>2926.4642376883376</v>
      </c>
      <c r="V41" s="33">
        <f t="shared" ca="1" si="8"/>
        <v>2968.110125130951</v>
      </c>
      <c r="W41" s="33">
        <f t="shared" ca="1" si="8"/>
        <v>3018.1735542106417</v>
      </c>
      <c r="X41" s="33">
        <f t="shared" ca="1" si="8"/>
        <v>3058.0871683840705</v>
      </c>
      <c r="Y41" s="33">
        <f t="shared" ca="1" si="8"/>
        <v>3106.6728759804473</v>
      </c>
      <c r="Z41" s="33">
        <f t="shared" ca="1" si="8"/>
        <v>3157.8385937791236</v>
      </c>
      <c r="AA41" s="33">
        <f t="shared" ca="1" si="8"/>
        <v>3218.0044867771003</v>
      </c>
      <c r="AB41" s="33">
        <f t="shared" ca="1" si="8"/>
        <v>3268.503143642557</v>
      </c>
      <c r="AC41" s="161">
        <f t="shared" ca="1" si="8"/>
        <v>3328.3198749690637</v>
      </c>
    </row>
    <row r="42" spans="1:29" ht="15.75" thickBot="1">
      <c r="A42" s="162" t="s">
        <v>119</v>
      </c>
      <c r="B42" s="145"/>
      <c r="C42" s="145"/>
      <c r="D42" s="146"/>
      <c r="E42" s="163">
        <f ca="1">E41*Assumption!$D$81*E7/365</f>
        <v>289.66570631087347</v>
      </c>
      <c r="F42" s="163">
        <f ca="1">F41*Assumption!$D$81*F7/365</f>
        <v>293.48974841858904</v>
      </c>
      <c r="G42" s="163">
        <f ca="1">G41*Assumption!$D$81*G7/365</f>
        <v>297.35249624588022</v>
      </c>
      <c r="H42" s="163">
        <f ca="1">H41*Assumption!$D$81*H7/365</f>
        <v>298.27755072262602</v>
      </c>
      <c r="I42" s="163">
        <f ca="1">I41*Assumption!$D$81*I7/365</f>
        <v>300.8473715266453</v>
      </c>
      <c r="J42" s="163">
        <f ca="1">J41*Assumption!$D$81*J7/365</f>
        <v>303.54326323550134</v>
      </c>
      <c r="K42" s="163">
        <f ca="1">K41*Assumption!$D$81*K7/365</f>
        <v>307.93115668487923</v>
      </c>
      <c r="L42" s="163">
        <f ca="1">L41*Assumption!$D$81*L7/365</f>
        <v>309.34192163218847</v>
      </c>
      <c r="M42" s="163">
        <f ca="1">M41*Assumption!$D$81*M7/365</f>
        <v>312.46005020407136</v>
      </c>
      <c r="N42" s="163">
        <f ca="1">N41*Assumption!$D$81*N7/365</f>
        <v>315.73502086537559</v>
      </c>
      <c r="O42" s="163">
        <f ca="1">O41*Assumption!$D$81*O7/365</f>
        <v>320.77432439466151</v>
      </c>
      <c r="P42" s="163">
        <f ca="1">P41*Assumption!$D$81*P7/365</f>
        <v>322.79127500353246</v>
      </c>
      <c r="Q42" s="163">
        <f ca="1">Q41*Assumption!$D$81*Q7/365</f>
        <v>326.59173928007647</v>
      </c>
      <c r="R42" s="163">
        <f ca="1">R41*Assumption!$D$81*R7/365</f>
        <v>330.58746647719107</v>
      </c>
      <c r="S42" s="163">
        <f ca="1">S41*Assumption!$D$81*S7/365</f>
        <v>336.43577836059836</v>
      </c>
      <c r="T42" s="163">
        <f ca="1">T41*Assumption!$D$81*T7/365</f>
        <v>339.2093952542217</v>
      </c>
      <c r="U42" s="163">
        <f ca="1">U41*Assumption!$D$81*U7/365</f>
        <v>343.85954792837964</v>
      </c>
      <c r="V42" s="163">
        <f ca="1">V41*Assumption!$D$81*V7/365</f>
        <v>348.75293970288675</v>
      </c>
      <c r="W42" s="163">
        <f ca="1">W41*Assumption!$D$81*W7/365</f>
        <v>355.60699643514693</v>
      </c>
      <c r="X42" s="163">
        <f ca="1">X41*Assumption!$D$81*X7/365</f>
        <v>359.32524228512824</v>
      </c>
      <c r="Y42" s="163">
        <f ca="1">Y41*Assumption!$D$81*Y7/365</f>
        <v>365.03406292770251</v>
      </c>
      <c r="Z42" s="163">
        <f ca="1">Z41*Assumption!$D$81*Z7/365</f>
        <v>371.04603476904703</v>
      </c>
      <c r="AA42" s="163">
        <f ca="1">AA41*Assumption!$D$81*AA7/365</f>
        <v>379.15146014753202</v>
      </c>
      <c r="AB42" s="163">
        <f ca="1">AB41*Assumption!$D$81*AB7/365</f>
        <v>384.0491193780004</v>
      </c>
      <c r="AC42" s="164">
        <f ca="1">AC41*Assumption!$D$81*AC7/365</f>
        <v>391.07758530886497</v>
      </c>
    </row>
    <row r="44" spans="1:29" ht="14.25" customHeight="1" thickBot="1"/>
    <row r="45" spans="1:29" ht="15">
      <c r="A45" s="274" t="s">
        <v>176</v>
      </c>
      <c r="B45" s="275"/>
      <c r="C45" s="275"/>
      <c r="D45" s="275"/>
      <c r="E45" s="275"/>
      <c r="F45" s="275"/>
      <c r="G45" s="275"/>
      <c r="H45" s="275"/>
      <c r="I45" s="275"/>
      <c r="J45" s="275"/>
      <c r="K45" s="275"/>
      <c r="L45" s="275"/>
      <c r="M45" s="275"/>
      <c r="N45" s="275"/>
      <c r="O45" s="275"/>
      <c r="P45" s="275"/>
      <c r="Q45" s="275"/>
      <c r="R45" s="275"/>
      <c r="S45" s="275"/>
      <c r="T45" s="275"/>
      <c r="U45" s="275"/>
      <c r="V45" s="275"/>
      <c r="W45" s="275"/>
      <c r="X45" s="275"/>
      <c r="Y45" s="275"/>
      <c r="Z45" s="275"/>
      <c r="AA45" s="275"/>
      <c r="AB45" s="275"/>
      <c r="AC45" s="276"/>
    </row>
    <row r="46" spans="1:29" ht="15">
      <c r="A46" s="142" t="s">
        <v>183</v>
      </c>
      <c r="B46" s="22"/>
      <c r="C46" s="22"/>
      <c r="D46" s="21"/>
      <c r="E46" s="29">
        <f ca="1">E33</f>
        <v>716.20764458603708</v>
      </c>
      <c r="F46" s="29">
        <f t="shared" ref="F46:AC46" ca="1" si="9">F33</f>
        <v>704.26329007113486</v>
      </c>
      <c r="G46" s="29">
        <f t="shared" ca="1" si="9"/>
        <v>750.94061941061875</v>
      </c>
      <c r="H46" s="29">
        <f t="shared" ca="1" si="9"/>
        <v>784.45359225492484</v>
      </c>
      <c r="I46" s="29">
        <f t="shared" ca="1" si="9"/>
        <v>820.87313910498051</v>
      </c>
      <c r="J46" s="29">
        <f t="shared" ca="1" si="9"/>
        <v>854.67118779765053</v>
      </c>
      <c r="K46" s="29">
        <f t="shared" ca="1" si="9"/>
        <v>891.93648930526751</v>
      </c>
      <c r="L46" s="29">
        <f t="shared" ca="1" si="9"/>
        <v>913.84536822156917</v>
      </c>
      <c r="M46" s="29">
        <f t="shared" ca="1" si="9"/>
        <v>938.92291415379214</v>
      </c>
      <c r="N46" s="29">
        <f t="shared" ca="1" si="9"/>
        <v>960.78087702504297</v>
      </c>
      <c r="O46" s="29">
        <f t="shared" ca="1" si="9"/>
        <v>986.28606591731545</v>
      </c>
      <c r="P46" s="29">
        <f t="shared" ca="1" si="9"/>
        <v>994.14327417714787</v>
      </c>
      <c r="Q46" s="29">
        <f t="shared" ca="1" si="9"/>
        <v>948.49477214650403</v>
      </c>
      <c r="R46" s="29">
        <f t="shared" ca="1" si="9"/>
        <v>842.1003998606709</v>
      </c>
      <c r="S46" s="29">
        <f t="shared" ca="1" si="9"/>
        <v>738.58169916976783</v>
      </c>
      <c r="T46" s="29">
        <f t="shared" ca="1" si="9"/>
        <v>616.54990281394453</v>
      </c>
      <c r="U46" s="29">
        <f t="shared" ca="1" si="9"/>
        <v>496.92961943240618</v>
      </c>
      <c r="V46" s="29">
        <f t="shared" ca="1" si="9"/>
        <v>372.41444973231006</v>
      </c>
      <c r="W46" s="29">
        <f t="shared" ca="1" si="9"/>
        <v>229.20740499028636</v>
      </c>
      <c r="X46" s="29">
        <f t="shared" ca="1" si="9"/>
        <v>751.66684433095361</v>
      </c>
      <c r="Y46" s="29">
        <f t="shared" ca="1" si="9"/>
        <v>633.40006099488176</v>
      </c>
      <c r="Z46" s="29">
        <f t="shared" ca="1" si="9"/>
        <v>511.25547205397595</v>
      </c>
      <c r="AA46" s="29">
        <f t="shared" ca="1" si="9"/>
        <v>389.67304928226793</v>
      </c>
      <c r="AB46" s="29">
        <f t="shared" ca="1" si="9"/>
        <v>253.71953597107785</v>
      </c>
      <c r="AC46" s="143">
        <f t="shared" ca="1" si="9"/>
        <v>117.53261655170787</v>
      </c>
    </row>
    <row r="47" spans="1:29" ht="15">
      <c r="A47" s="142" t="s">
        <v>184</v>
      </c>
      <c r="B47" s="22"/>
      <c r="C47" s="22"/>
      <c r="D47" s="21"/>
      <c r="E47" s="29">
        <f>E27</f>
        <v>943.37100940273967</v>
      </c>
      <c r="F47" s="29">
        <f t="shared" ref="F47:AC47" si="10">F27</f>
        <v>945.96268799999996</v>
      </c>
      <c r="G47" s="29">
        <f t="shared" si="10"/>
        <v>945.96268799999996</v>
      </c>
      <c r="H47" s="29">
        <f t="shared" si="10"/>
        <v>945.96268799999996</v>
      </c>
      <c r="I47" s="29">
        <f t="shared" si="10"/>
        <v>945.96268799999996</v>
      </c>
      <c r="J47" s="29">
        <f t="shared" si="10"/>
        <v>945.96268799999996</v>
      </c>
      <c r="K47" s="29">
        <f t="shared" si="10"/>
        <v>945.96268799999996</v>
      </c>
      <c r="L47" s="29">
        <f t="shared" si="10"/>
        <v>945.96268799999996</v>
      </c>
      <c r="M47" s="29">
        <f t="shared" si="10"/>
        <v>945.96268799999996</v>
      </c>
      <c r="N47" s="29">
        <f t="shared" si="10"/>
        <v>945.96268799999996</v>
      </c>
      <c r="O47" s="29">
        <f t="shared" si="10"/>
        <v>945.96268799999996</v>
      </c>
      <c r="P47" s="29">
        <f t="shared" si="10"/>
        <v>945.96268799999996</v>
      </c>
      <c r="Q47" s="29">
        <f t="shared" si="10"/>
        <v>945.96268799999996</v>
      </c>
      <c r="R47" s="29">
        <f t="shared" si="10"/>
        <v>945.96268799999996</v>
      </c>
      <c r="S47" s="29">
        <f t="shared" si="10"/>
        <v>945.96268799999996</v>
      </c>
      <c r="T47" s="29">
        <f t="shared" si="10"/>
        <v>945.96268799999996</v>
      </c>
      <c r="U47" s="29">
        <f t="shared" si="10"/>
        <v>945.96268799999996</v>
      </c>
      <c r="V47" s="29">
        <f t="shared" si="10"/>
        <v>945.96268799999996</v>
      </c>
      <c r="W47" s="29">
        <f t="shared" si="10"/>
        <v>891.22329459726461</v>
      </c>
      <c r="X47" s="29">
        <f t="shared" si="10"/>
        <v>0</v>
      </c>
      <c r="Y47" s="29">
        <f t="shared" si="10"/>
        <v>0</v>
      </c>
      <c r="Z47" s="29">
        <f t="shared" si="10"/>
        <v>0</v>
      </c>
      <c r="AA47" s="29">
        <f t="shared" si="10"/>
        <v>0</v>
      </c>
      <c r="AB47" s="29">
        <f t="shared" si="10"/>
        <v>0</v>
      </c>
      <c r="AC47" s="143">
        <f t="shared" si="10"/>
        <v>0</v>
      </c>
    </row>
    <row r="48" spans="1:29" ht="15">
      <c r="A48" s="142" t="s">
        <v>185</v>
      </c>
      <c r="B48" s="22"/>
      <c r="C48" s="22"/>
      <c r="D48" s="21"/>
      <c r="E48" s="29">
        <f>E25</f>
        <v>1500.8175149589038</v>
      </c>
      <c r="F48" s="29">
        <f t="shared" ref="F48:AC48" si="11">F25</f>
        <v>1436.5342472727275</v>
      </c>
      <c r="G48" s="29">
        <f t="shared" si="11"/>
        <v>1303.2823425354918</v>
      </c>
      <c r="H48" s="29">
        <f t="shared" si="11"/>
        <v>1162.908676363636</v>
      </c>
      <c r="I48" s="29">
        <f t="shared" si="11"/>
        <v>1026.0958909090905</v>
      </c>
      <c r="J48" s="29">
        <f t="shared" si="11"/>
        <v>889.28310545454508</v>
      </c>
      <c r="K48" s="29">
        <f t="shared" si="11"/>
        <v>754.53188252054736</v>
      </c>
      <c r="L48" s="29">
        <f t="shared" si="11"/>
        <v>615.65753454545393</v>
      </c>
      <c r="M48" s="29">
        <f t="shared" si="11"/>
        <v>478.84474909090846</v>
      </c>
      <c r="N48" s="29">
        <f t="shared" si="11"/>
        <v>342.03196363636289</v>
      </c>
      <c r="O48" s="29">
        <f t="shared" si="11"/>
        <v>205.78142250560327</v>
      </c>
      <c r="P48" s="29">
        <f t="shared" si="11"/>
        <v>68.406392727272049</v>
      </c>
      <c r="Q48" s="29">
        <f t="shared" si="11"/>
        <v>0</v>
      </c>
      <c r="R48" s="29">
        <f t="shared" si="11"/>
        <v>0</v>
      </c>
      <c r="S48" s="29">
        <f t="shared" si="11"/>
        <v>0</v>
      </c>
      <c r="T48" s="29">
        <f t="shared" si="11"/>
        <v>0</v>
      </c>
      <c r="U48" s="29">
        <f t="shared" si="11"/>
        <v>0</v>
      </c>
      <c r="V48" s="29">
        <f t="shared" si="11"/>
        <v>0</v>
      </c>
      <c r="W48" s="29">
        <f t="shared" si="11"/>
        <v>0</v>
      </c>
      <c r="X48" s="29">
        <f t="shared" si="11"/>
        <v>0</v>
      </c>
      <c r="Y48" s="29">
        <f t="shared" si="11"/>
        <v>0</v>
      </c>
      <c r="Z48" s="29">
        <f t="shared" si="11"/>
        <v>0</v>
      </c>
      <c r="AA48" s="29">
        <f t="shared" si="11"/>
        <v>0</v>
      </c>
      <c r="AB48" s="29">
        <f t="shared" si="11"/>
        <v>0</v>
      </c>
      <c r="AC48" s="143">
        <f t="shared" si="11"/>
        <v>0</v>
      </c>
    </row>
    <row r="49" spans="1:29" ht="15">
      <c r="A49" s="142" t="s">
        <v>186</v>
      </c>
      <c r="B49" s="22"/>
      <c r="C49" s="22"/>
      <c r="D49" s="21"/>
      <c r="E49" s="29">
        <f ca="1">E46+E47+E48</f>
        <v>3160.3961689476805</v>
      </c>
      <c r="F49" s="29">
        <f t="shared" ref="F49:AC49" ca="1" si="12">F46+F47+F48</f>
        <v>3086.7602253438622</v>
      </c>
      <c r="G49" s="29">
        <f t="shared" ca="1" si="12"/>
        <v>3000.1856499461105</v>
      </c>
      <c r="H49" s="29">
        <f t="shared" ca="1" si="12"/>
        <v>2893.3249566185609</v>
      </c>
      <c r="I49" s="29">
        <f t="shared" ca="1" si="12"/>
        <v>2792.9317180140711</v>
      </c>
      <c r="J49" s="29">
        <f t="shared" ca="1" si="12"/>
        <v>2689.9169812521955</v>
      </c>
      <c r="K49" s="29">
        <f t="shared" ca="1" si="12"/>
        <v>2592.4310598258148</v>
      </c>
      <c r="L49" s="29">
        <f t="shared" ca="1" si="12"/>
        <v>2475.4655907670231</v>
      </c>
      <c r="M49" s="29">
        <f t="shared" ca="1" si="12"/>
        <v>2363.7303512447006</v>
      </c>
      <c r="N49" s="29">
        <f t="shared" ca="1" si="12"/>
        <v>2248.7755286614056</v>
      </c>
      <c r="O49" s="29">
        <f t="shared" ca="1" si="12"/>
        <v>2138.0301764229184</v>
      </c>
      <c r="P49" s="29">
        <f t="shared" ca="1" si="12"/>
        <v>2008.5123549044199</v>
      </c>
      <c r="Q49" s="29">
        <f t="shared" ca="1" si="12"/>
        <v>1894.457460146504</v>
      </c>
      <c r="R49" s="29">
        <f t="shared" ca="1" si="12"/>
        <v>1788.0630878606707</v>
      </c>
      <c r="S49" s="29">
        <f t="shared" ca="1" si="12"/>
        <v>1684.5443871697678</v>
      </c>
      <c r="T49" s="29">
        <f t="shared" ca="1" si="12"/>
        <v>1562.5125908139444</v>
      </c>
      <c r="U49" s="29">
        <f t="shared" ca="1" si="12"/>
        <v>1442.8923074324061</v>
      </c>
      <c r="V49" s="29">
        <f t="shared" ca="1" si="12"/>
        <v>1318.3771377323101</v>
      </c>
      <c r="W49" s="29">
        <f t="shared" ca="1" si="12"/>
        <v>1120.4306995875509</v>
      </c>
      <c r="X49" s="29">
        <f t="shared" ca="1" si="12"/>
        <v>751.66684433095361</v>
      </c>
      <c r="Y49" s="29">
        <f t="shared" ca="1" si="12"/>
        <v>633.40006099488176</v>
      </c>
      <c r="Z49" s="29">
        <f t="shared" ca="1" si="12"/>
        <v>511.25547205397595</v>
      </c>
      <c r="AA49" s="29">
        <f t="shared" ca="1" si="12"/>
        <v>389.67304928226793</v>
      </c>
      <c r="AB49" s="29">
        <f t="shared" ca="1" si="12"/>
        <v>253.71953597107785</v>
      </c>
      <c r="AC49" s="143">
        <f t="shared" ca="1" si="12"/>
        <v>117.53261655170787</v>
      </c>
    </row>
    <row r="50" spans="1:29" ht="15">
      <c r="A50" s="142" t="s">
        <v>187</v>
      </c>
      <c r="B50" s="22"/>
      <c r="C50" s="22"/>
      <c r="D50" s="21"/>
      <c r="E50" s="29">
        <v>0</v>
      </c>
      <c r="F50" s="29">
        <v>0</v>
      </c>
      <c r="G50" s="29">
        <v>0</v>
      </c>
      <c r="H50" s="29">
        <v>0</v>
      </c>
      <c r="I50" s="29">
        <v>0</v>
      </c>
      <c r="J50" s="29">
        <v>0</v>
      </c>
      <c r="K50" s="29">
        <v>0</v>
      </c>
      <c r="L50" s="29">
        <v>0</v>
      </c>
      <c r="M50" s="29">
        <v>0</v>
      </c>
      <c r="N50" s="29">
        <v>0</v>
      </c>
      <c r="O50" s="29">
        <v>0</v>
      </c>
      <c r="P50" s="29">
        <v>0</v>
      </c>
      <c r="Q50" s="29">
        <v>0</v>
      </c>
      <c r="R50" s="29">
        <v>0</v>
      </c>
      <c r="S50" s="29">
        <v>0</v>
      </c>
      <c r="T50" s="29">
        <v>0</v>
      </c>
      <c r="U50" s="29">
        <v>0</v>
      </c>
      <c r="V50" s="29">
        <v>0</v>
      </c>
      <c r="W50" s="29">
        <v>0</v>
      </c>
      <c r="X50" s="29">
        <v>0</v>
      </c>
      <c r="Y50" s="29">
        <v>0</v>
      </c>
      <c r="Z50" s="29">
        <v>0</v>
      </c>
      <c r="AA50" s="29">
        <v>0</v>
      </c>
      <c r="AB50" s="29">
        <v>0</v>
      </c>
      <c r="AC50" s="143">
        <f>Assumption!$D$11*Assumption!$D$38</f>
        <v>1791.596</v>
      </c>
    </row>
    <row r="51" spans="1:29" ht="15">
      <c r="A51" s="142" t="s">
        <v>188</v>
      </c>
      <c r="B51" s="93">
        <f>Assumption!$C$85*-1</f>
        <v>-6940.2240617098341</v>
      </c>
      <c r="C51" s="93">
        <f>Assumption!$C$86*-1</f>
        <v>-7743.4121278342955</v>
      </c>
      <c r="D51" s="37">
        <f>Assumption!C87*-1</f>
        <v>-3232.3238104558691</v>
      </c>
      <c r="E51" s="29">
        <f ca="1">E49+E50-Assumption!C88</f>
        <v>3160.3961689476805</v>
      </c>
      <c r="F51" s="29">
        <f t="shared" ref="F51:AC51" ca="1" si="13">F49+F50</f>
        <v>3086.7602253438622</v>
      </c>
      <c r="G51" s="29">
        <f t="shared" ca="1" si="13"/>
        <v>3000.1856499461105</v>
      </c>
      <c r="H51" s="29">
        <f t="shared" ca="1" si="13"/>
        <v>2893.3249566185609</v>
      </c>
      <c r="I51" s="29">
        <f t="shared" ca="1" si="13"/>
        <v>2792.9317180140711</v>
      </c>
      <c r="J51" s="29">
        <f t="shared" ca="1" si="13"/>
        <v>2689.9169812521955</v>
      </c>
      <c r="K51" s="29">
        <f t="shared" ca="1" si="13"/>
        <v>2592.4310598258148</v>
      </c>
      <c r="L51" s="29">
        <f t="shared" ca="1" si="13"/>
        <v>2475.4655907670231</v>
      </c>
      <c r="M51" s="29">
        <f t="shared" ca="1" si="13"/>
        <v>2363.7303512447006</v>
      </c>
      <c r="N51" s="29">
        <f t="shared" ca="1" si="13"/>
        <v>2248.7755286614056</v>
      </c>
      <c r="O51" s="29">
        <f t="shared" ca="1" si="13"/>
        <v>2138.0301764229184</v>
      </c>
      <c r="P51" s="29">
        <f t="shared" ca="1" si="13"/>
        <v>2008.5123549044199</v>
      </c>
      <c r="Q51" s="29">
        <f t="shared" ca="1" si="13"/>
        <v>1894.457460146504</v>
      </c>
      <c r="R51" s="29">
        <f t="shared" ca="1" si="13"/>
        <v>1788.0630878606707</v>
      </c>
      <c r="S51" s="29">
        <f t="shared" ca="1" si="13"/>
        <v>1684.5443871697678</v>
      </c>
      <c r="T51" s="29">
        <f t="shared" ca="1" si="13"/>
        <v>1562.5125908139444</v>
      </c>
      <c r="U51" s="29">
        <f t="shared" ca="1" si="13"/>
        <v>1442.8923074324061</v>
      </c>
      <c r="V51" s="29">
        <f t="shared" ca="1" si="13"/>
        <v>1318.3771377323101</v>
      </c>
      <c r="W51" s="29">
        <f t="shared" ca="1" si="13"/>
        <v>1120.4306995875509</v>
      </c>
      <c r="X51" s="29">
        <f t="shared" ca="1" si="13"/>
        <v>751.66684433095361</v>
      </c>
      <c r="Y51" s="29">
        <f t="shared" ca="1" si="13"/>
        <v>633.40006099488176</v>
      </c>
      <c r="Z51" s="29">
        <f t="shared" ca="1" si="13"/>
        <v>511.25547205397595</v>
      </c>
      <c r="AA51" s="29">
        <f t="shared" ca="1" si="13"/>
        <v>389.67304928226793</v>
      </c>
      <c r="AB51" s="29">
        <f t="shared" ca="1" si="13"/>
        <v>253.71953597107785</v>
      </c>
      <c r="AC51" s="143">
        <f t="shared" ca="1" si="13"/>
        <v>1909.1286165517079</v>
      </c>
    </row>
    <row r="52" spans="1:29" ht="14.25" customHeight="1" thickBot="1">
      <c r="A52" s="144" t="s">
        <v>179</v>
      </c>
      <c r="B52" s="277">
        <f ca="1">IRR(B51:AC51)</f>
        <v>0.11015813914981459</v>
      </c>
      <c r="C52" s="278"/>
      <c r="D52" s="278"/>
      <c r="E52" s="278"/>
      <c r="F52" s="278"/>
      <c r="G52" s="278"/>
      <c r="H52" s="278"/>
      <c r="I52" s="278"/>
      <c r="J52" s="278"/>
      <c r="K52" s="278"/>
      <c r="L52" s="278"/>
      <c r="M52" s="278"/>
      <c r="N52" s="278"/>
      <c r="O52" s="278"/>
      <c r="P52" s="278"/>
      <c r="Q52" s="278"/>
      <c r="R52" s="278"/>
      <c r="S52" s="278"/>
      <c r="T52" s="278"/>
      <c r="U52" s="278"/>
      <c r="V52" s="278"/>
      <c r="W52" s="278"/>
      <c r="X52" s="278"/>
      <c r="Y52" s="278"/>
      <c r="Z52" s="278"/>
      <c r="AA52" s="278"/>
      <c r="AB52" s="278"/>
      <c r="AC52" s="279"/>
    </row>
    <row r="53" spans="1:29" ht="14.25" customHeight="1" thickBot="1"/>
    <row r="54" spans="1:29" ht="14.25" customHeight="1">
      <c r="A54" s="280" t="s">
        <v>123</v>
      </c>
      <c r="B54" s="281"/>
      <c r="C54" s="281"/>
      <c r="D54" s="281"/>
      <c r="E54" s="281"/>
      <c r="F54" s="281"/>
      <c r="G54" s="281"/>
      <c r="H54" s="281"/>
      <c r="I54" s="281"/>
      <c r="J54" s="281"/>
      <c r="K54" s="281"/>
      <c r="L54" s="281"/>
      <c r="M54" s="281"/>
      <c r="N54" s="281"/>
      <c r="O54" s="281"/>
      <c r="P54" s="281"/>
      <c r="Q54" s="281"/>
      <c r="R54" s="281"/>
      <c r="S54" s="281"/>
      <c r="T54" s="281"/>
      <c r="U54" s="281"/>
      <c r="V54" s="281"/>
      <c r="W54" s="281"/>
      <c r="X54" s="281"/>
      <c r="Y54" s="281"/>
      <c r="Z54" s="282"/>
    </row>
    <row r="55" spans="1:29" ht="14.25" customHeight="1">
      <c r="A55" s="166" t="s">
        <v>57</v>
      </c>
      <c r="B55" s="21">
        <v>1</v>
      </c>
      <c r="C55" s="21">
        <f t="shared" ref="C55:Z55" si="14">B55+1</f>
        <v>2</v>
      </c>
      <c r="D55" s="21">
        <f t="shared" si="14"/>
        <v>3</v>
      </c>
      <c r="E55" s="21">
        <f t="shared" si="14"/>
        <v>4</v>
      </c>
      <c r="F55" s="21">
        <f t="shared" si="14"/>
        <v>5</v>
      </c>
      <c r="G55" s="21">
        <f t="shared" si="14"/>
        <v>6</v>
      </c>
      <c r="H55" s="21">
        <f t="shared" si="14"/>
        <v>7</v>
      </c>
      <c r="I55" s="21">
        <f t="shared" si="14"/>
        <v>8</v>
      </c>
      <c r="J55" s="21">
        <f t="shared" si="14"/>
        <v>9</v>
      </c>
      <c r="K55" s="21">
        <f t="shared" si="14"/>
        <v>10</v>
      </c>
      <c r="L55" s="21">
        <f t="shared" si="14"/>
        <v>11</v>
      </c>
      <c r="M55" s="21">
        <f t="shared" si="14"/>
        <v>12</v>
      </c>
      <c r="N55" s="21">
        <f t="shared" si="14"/>
        <v>13</v>
      </c>
      <c r="O55" s="21">
        <f t="shared" si="14"/>
        <v>14</v>
      </c>
      <c r="P55" s="21">
        <f t="shared" si="14"/>
        <v>15</v>
      </c>
      <c r="Q55" s="21">
        <f t="shared" si="14"/>
        <v>16</v>
      </c>
      <c r="R55" s="21">
        <f t="shared" si="14"/>
        <v>17</v>
      </c>
      <c r="S55" s="21">
        <f t="shared" si="14"/>
        <v>18</v>
      </c>
      <c r="T55" s="21">
        <f t="shared" si="14"/>
        <v>19</v>
      </c>
      <c r="U55" s="21">
        <f t="shared" si="14"/>
        <v>20</v>
      </c>
      <c r="V55" s="21">
        <f t="shared" si="14"/>
        <v>21</v>
      </c>
      <c r="W55" s="21">
        <f t="shared" si="14"/>
        <v>22</v>
      </c>
      <c r="X55" s="21">
        <f t="shared" si="14"/>
        <v>23</v>
      </c>
      <c r="Y55" s="21">
        <f t="shared" si="14"/>
        <v>24</v>
      </c>
      <c r="Z55" s="148">
        <f t="shared" si="14"/>
        <v>25</v>
      </c>
    </row>
    <row r="56" spans="1:29" ht="14.25" customHeight="1">
      <c r="A56" s="166" t="s">
        <v>152</v>
      </c>
      <c r="B56" s="21">
        <v>365</v>
      </c>
      <c r="C56" s="21">
        <f t="shared" ref="C56:Z56" si="15">C57</f>
        <v>365</v>
      </c>
      <c r="D56" s="21">
        <f t="shared" si="15"/>
        <v>366</v>
      </c>
      <c r="E56" s="21">
        <f t="shared" si="15"/>
        <v>365</v>
      </c>
      <c r="F56" s="21">
        <f t="shared" si="15"/>
        <v>365</v>
      </c>
      <c r="G56" s="21">
        <f t="shared" si="15"/>
        <v>365</v>
      </c>
      <c r="H56" s="21">
        <f t="shared" si="15"/>
        <v>366</v>
      </c>
      <c r="I56" s="21">
        <f t="shared" si="15"/>
        <v>365</v>
      </c>
      <c r="J56" s="21">
        <f t="shared" si="15"/>
        <v>365</v>
      </c>
      <c r="K56" s="21">
        <f t="shared" si="15"/>
        <v>365</v>
      </c>
      <c r="L56" s="21">
        <f t="shared" si="15"/>
        <v>366</v>
      </c>
      <c r="M56" s="21">
        <f t="shared" si="15"/>
        <v>365</v>
      </c>
      <c r="N56" s="21">
        <f t="shared" si="15"/>
        <v>365</v>
      </c>
      <c r="O56" s="21">
        <f t="shared" si="15"/>
        <v>365</v>
      </c>
      <c r="P56" s="21">
        <f t="shared" si="15"/>
        <v>366</v>
      </c>
      <c r="Q56" s="21">
        <f t="shared" si="15"/>
        <v>365</v>
      </c>
      <c r="R56" s="21">
        <f t="shared" si="15"/>
        <v>365</v>
      </c>
      <c r="S56" s="21">
        <f t="shared" si="15"/>
        <v>365</v>
      </c>
      <c r="T56" s="21">
        <f t="shared" si="15"/>
        <v>366</v>
      </c>
      <c r="U56" s="21">
        <f t="shared" si="15"/>
        <v>365</v>
      </c>
      <c r="V56" s="21">
        <f t="shared" si="15"/>
        <v>365</v>
      </c>
      <c r="W56" s="21">
        <f t="shared" si="15"/>
        <v>365</v>
      </c>
      <c r="X56" s="21">
        <f t="shared" si="15"/>
        <v>366</v>
      </c>
      <c r="Y56" s="21">
        <f t="shared" si="15"/>
        <v>365</v>
      </c>
      <c r="Z56" s="148">
        <f t="shared" si="15"/>
        <v>365</v>
      </c>
    </row>
    <row r="57" spans="1:29" ht="14.25" customHeight="1">
      <c r="A57" s="166" t="s">
        <v>2</v>
      </c>
      <c r="B57" s="21">
        <f>Assumption!D24</f>
        <v>364</v>
      </c>
      <c r="C57" s="21">
        <f>Assumption!$D$25</f>
        <v>365</v>
      </c>
      <c r="D57" s="21">
        <f>Assumption!$D$25+1</f>
        <v>366</v>
      </c>
      <c r="E57" s="21">
        <f>Assumption!$D$25</f>
        <v>365</v>
      </c>
      <c r="F57" s="21">
        <f>Assumption!$D$25</f>
        <v>365</v>
      </c>
      <c r="G57" s="21">
        <f>Assumption!$D$25</f>
        <v>365</v>
      </c>
      <c r="H57" s="21">
        <f>Assumption!$D$25+1</f>
        <v>366</v>
      </c>
      <c r="I57" s="21">
        <f>Assumption!$D$25</f>
        <v>365</v>
      </c>
      <c r="J57" s="21">
        <f>Assumption!$D$25</f>
        <v>365</v>
      </c>
      <c r="K57" s="21">
        <f>Assumption!$D$25</f>
        <v>365</v>
      </c>
      <c r="L57" s="21">
        <f>Assumption!$D$25+1</f>
        <v>366</v>
      </c>
      <c r="M57" s="21">
        <f>Assumption!$D$25</f>
        <v>365</v>
      </c>
      <c r="N57" s="21">
        <f>Assumption!$D$25</f>
        <v>365</v>
      </c>
      <c r="O57" s="21">
        <f>Assumption!$D$25</f>
        <v>365</v>
      </c>
      <c r="P57" s="21">
        <f>Assumption!$D$25+1</f>
        <v>366</v>
      </c>
      <c r="Q57" s="21">
        <f>Assumption!$D$25</f>
        <v>365</v>
      </c>
      <c r="R57" s="21">
        <f>Assumption!$D$25</f>
        <v>365</v>
      </c>
      <c r="S57" s="21">
        <f>Assumption!$D$25</f>
        <v>365</v>
      </c>
      <c r="T57" s="21">
        <f>Assumption!$D$25+1</f>
        <v>366</v>
      </c>
      <c r="U57" s="21">
        <f>Assumption!$D$25</f>
        <v>365</v>
      </c>
      <c r="V57" s="21">
        <f>Assumption!$D$25</f>
        <v>365</v>
      </c>
      <c r="W57" s="21">
        <f>Assumption!$D$25</f>
        <v>365</v>
      </c>
      <c r="X57" s="21">
        <f>Assumption!$D$25+1</f>
        <v>366</v>
      </c>
      <c r="Y57" s="21">
        <f>Assumption!$D$25</f>
        <v>365</v>
      </c>
      <c r="Z57" s="148">
        <f>Assumption!$D$25</f>
        <v>365</v>
      </c>
    </row>
    <row r="58" spans="1:29" ht="14.25" customHeight="1">
      <c r="A58" s="166" t="s">
        <v>0</v>
      </c>
      <c r="B58" s="24">
        <f>DATE(2014,3,31)</f>
        <v>41729</v>
      </c>
      <c r="C58" s="24">
        <f t="shared" ref="C58:Z58" si="16">DATE((YEAR(B58)+1),MONTH(B58),DAY(B58))</f>
        <v>42094</v>
      </c>
      <c r="D58" s="24">
        <f t="shared" si="16"/>
        <v>42460</v>
      </c>
      <c r="E58" s="24">
        <f t="shared" si="16"/>
        <v>42825</v>
      </c>
      <c r="F58" s="24">
        <f t="shared" si="16"/>
        <v>43190</v>
      </c>
      <c r="G58" s="24">
        <f t="shared" si="16"/>
        <v>43555</v>
      </c>
      <c r="H58" s="24">
        <f t="shared" si="16"/>
        <v>43921</v>
      </c>
      <c r="I58" s="24">
        <f t="shared" si="16"/>
        <v>44286</v>
      </c>
      <c r="J58" s="24">
        <f t="shared" si="16"/>
        <v>44651</v>
      </c>
      <c r="K58" s="24">
        <f t="shared" si="16"/>
        <v>45016</v>
      </c>
      <c r="L58" s="24">
        <f t="shared" si="16"/>
        <v>45382</v>
      </c>
      <c r="M58" s="24">
        <f t="shared" si="16"/>
        <v>45747</v>
      </c>
      <c r="N58" s="24">
        <f t="shared" si="16"/>
        <v>46112</v>
      </c>
      <c r="O58" s="24">
        <f t="shared" si="16"/>
        <v>46477</v>
      </c>
      <c r="P58" s="24">
        <f t="shared" si="16"/>
        <v>46843</v>
      </c>
      <c r="Q58" s="24">
        <f t="shared" si="16"/>
        <v>47208</v>
      </c>
      <c r="R58" s="24">
        <f t="shared" si="16"/>
        <v>47573</v>
      </c>
      <c r="S58" s="24">
        <f t="shared" si="16"/>
        <v>47938</v>
      </c>
      <c r="T58" s="24">
        <f t="shared" si="16"/>
        <v>48304</v>
      </c>
      <c r="U58" s="24">
        <f t="shared" si="16"/>
        <v>48669</v>
      </c>
      <c r="V58" s="24">
        <f t="shared" si="16"/>
        <v>49034</v>
      </c>
      <c r="W58" s="24">
        <f t="shared" si="16"/>
        <v>49399</v>
      </c>
      <c r="X58" s="24">
        <f t="shared" si="16"/>
        <v>49765</v>
      </c>
      <c r="Y58" s="24">
        <f t="shared" si="16"/>
        <v>50130</v>
      </c>
      <c r="Z58" s="150">
        <f t="shared" si="16"/>
        <v>50495</v>
      </c>
    </row>
    <row r="59" spans="1:29" ht="14.25" customHeight="1">
      <c r="A59" s="165" t="s">
        <v>1</v>
      </c>
      <c r="B59" s="32"/>
      <c r="C59" s="32"/>
      <c r="D59" s="32"/>
      <c r="E59" s="32"/>
      <c r="F59" s="32"/>
      <c r="G59" s="32"/>
      <c r="H59" s="32"/>
      <c r="I59" s="32"/>
      <c r="J59" s="32"/>
      <c r="K59" s="32"/>
      <c r="L59" s="32"/>
      <c r="M59" s="32"/>
      <c r="N59" s="32"/>
      <c r="O59" s="32"/>
      <c r="P59" s="32"/>
      <c r="Q59" s="32"/>
      <c r="R59" s="32"/>
      <c r="S59" s="32"/>
      <c r="T59" s="32"/>
      <c r="U59" s="32"/>
      <c r="V59" s="32"/>
      <c r="W59" s="32"/>
      <c r="X59" s="32"/>
      <c r="Y59" s="32"/>
      <c r="Z59" s="155"/>
    </row>
    <row r="60" spans="1:29" ht="14.25" customHeight="1">
      <c r="A60" s="166" t="s">
        <v>248</v>
      </c>
      <c r="B60" s="28">
        <f t="shared" ref="B60:Z60" si="17">B72</f>
        <v>17915.96</v>
      </c>
      <c r="C60" s="28">
        <f t="shared" si="17"/>
        <v>17915.96</v>
      </c>
      <c r="D60" s="28">
        <f t="shared" si="17"/>
        <v>17915.96</v>
      </c>
      <c r="E60" s="28">
        <f t="shared" si="17"/>
        <v>17915.96</v>
      </c>
      <c r="F60" s="28">
        <f t="shared" si="17"/>
        <v>17915.96</v>
      </c>
      <c r="G60" s="28">
        <f t="shared" si="17"/>
        <v>17915.96</v>
      </c>
      <c r="H60" s="28">
        <f t="shared" si="17"/>
        <v>17915.96</v>
      </c>
      <c r="I60" s="28">
        <f t="shared" si="17"/>
        <v>17915.96</v>
      </c>
      <c r="J60" s="28">
        <f t="shared" si="17"/>
        <v>17915.96</v>
      </c>
      <c r="K60" s="28">
        <f t="shared" si="17"/>
        <v>17915.96</v>
      </c>
      <c r="L60" s="28">
        <f t="shared" si="17"/>
        <v>17915.96</v>
      </c>
      <c r="M60" s="28">
        <f t="shared" si="17"/>
        <v>17915.96</v>
      </c>
      <c r="N60" s="28">
        <f t="shared" si="17"/>
        <v>17915.96</v>
      </c>
      <c r="O60" s="28">
        <f t="shared" si="17"/>
        <v>17915.96</v>
      </c>
      <c r="P60" s="28">
        <f t="shared" si="17"/>
        <v>17915.96</v>
      </c>
      <c r="Q60" s="28">
        <f t="shared" si="17"/>
        <v>17915.96</v>
      </c>
      <c r="R60" s="28">
        <f t="shared" si="17"/>
        <v>17915.96</v>
      </c>
      <c r="S60" s="28">
        <f t="shared" si="17"/>
        <v>17915.96</v>
      </c>
      <c r="T60" s="28">
        <f t="shared" si="17"/>
        <v>17915.96</v>
      </c>
      <c r="U60" s="28">
        <f t="shared" si="17"/>
        <v>17915.96</v>
      </c>
      <c r="V60" s="28">
        <f t="shared" si="17"/>
        <v>17915.96</v>
      </c>
      <c r="W60" s="28">
        <f t="shared" si="17"/>
        <v>17915.96</v>
      </c>
      <c r="X60" s="28">
        <f t="shared" si="17"/>
        <v>17915.96</v>
      </c>
      <c r="Y60" s="28">
        <f t="shared" si="17"/>
        <v>17915.96</v>
      </c>
      <c r="Z60" s="156">
        <f t="shared" si="17"/>
        <v>17915.96</v>
      </c>
    </row>
    <row r="61" spans="1:29" ht="14.25" customHeight="1">
      <c r="A61" s="166" t="s">
        <v>249</v>
      </c>
      <c r="B61" s="28">
        <f t="shared" ref="B61:Z61" si="18">B77</f>
        <v>943.37100940273967</v>
      </c>
      <c r="C61" s="28">
        <f t="shared" si="18"/>
        <v>945.96268799999996</v>
      </c>
      <c r="D61" s="28">
        <f t="shared" si="18"/>
        <v>945.96268799999996</v>
      </c>
      <c r="E61" s="28">
        <f t="shared" si="18"/>
        <v>945.96268799999996</v>
      </c>
      <c r="F61" s="28">
        <f t="shared" si="18"/>
        <v>945.96268799999996</v>
      </c>
      <c r="G61" s="28">
        <f t="shared" si="18"/>
        <v>945.96268799999996</v>
      </c>
      <c r="H61" s="28">
        <f t="shared" si="18"/>
        <v>945.96268799999996</v>
      </c>
      <c r="I61" s="28">
        <f t="shared" si="18"/>
        <v>945.96268799999996</v>
      </c>
      <c r="J61" s="28">
        <f t="shared" si="18"/>
        <v>945.96268799999996</v>
      </c>
      <c r="K61" s="28">
        <f t="shared" si="18"/>
        <v>945.96268799999996</v>
      </c>
      <c r="L61" s="28">
        <f t="shared" si="18"/>
        <v>945.96268799999996</v>
      </c>
      <c r="M61" s="28">
        <f t="shared" si="18"/>
        <v>945.96268799999996</v>
      </c>
      <c r="N61" s="28">
        <f t="shared" si="18"/>
        <v>367.33872481517403</v>
      </c>
      <c r="O61" s="28">
        <f t="shared" si="18"/>
        <v>367.33872481517403</v>
      </c>
      <c r="P61" s="28">
        <f t="shared" si="18"/>
        <v>367.33872481517403</v>
      </c>
      <c r="Q61" s="28">
        <f t="shared" si="18"/>
        <v>367.33872481517403</v>
      </c>
      <c r="R61" s="28">
        <f t="shared" si="18"/>
        <v>367.33872481517403</v>
      </c>
      <c r="S61" s="28">
        <f t="shared" si="18"/>
        <v>367.33872481517403</v>
      </c>
      <c r="T61" s="28">
        <f t="shared" si="18"/>
        <v>367.33872481517403</v>
      </c>
      <c r="U61" s="28">
        <f t="shared" si="18"/>
        <v>367.33872481517403</v>
      </c>
      <c r="V61" s="28">
        <f t="shared" si="18"/>
        <v>367.33872481517403</v>
      </c>
      <c r="W61" s="28">
        <f t="shared" si="18"/>
        <v>367.33872481517403</v>
      </c>
      <c r="X61" s="28">
        <f t="shared" si="18"/>
        <v>367.33872481517403</v>
      </c>
      <c r="Y61" s="28">
        <f t="shared" si="18"/>
        <v>367.33872481517403</v>
      </c>
      <c r="Z61" s="156">
        <f t="shared" si="18"/>
        <v>367.33872481517403</v>
      </c>
    </row>
    <row r="62" spans="1:29" ht="14.25" customHeight="1">
      <c r="A62" s="166" t="s">
        <v>250</v>
      </c>
      <c r="B62" s="28">
        <f>B61</f>
        <v>943.37100940273967</v>
      </c>
      <c r="C62" s="28">
        <f t="shared" ref="C62:Z62" si="19">B62+C61</f>
        <v>1889.3336974027397</v>
      </c>
      <c r="D62" s="28">
        <f t="shared" si="19"/>
        <v>2835.2963854027398</v>
      </c>
      <c r="E62" s="28">
        <f t="shared" si="19"/>
        <v>3781.2590734027399</v>
      </c>
      <c r="F62" s="28">
        <f t="shared" si="19"/>
        <v>4727.2217614027395</v>
      </c>
      <c r="G62" s="28">
        <f t="shared" si="19"/>
        <v>5673.1844494027391</v>
      </c>
      <c r="H62" s="28">
        <f t="shared" si="19"/>
        <v>6619.1471374027387</v>
      </c>
      <c r="I62" s="28">
        <f t="shared" si="19"/>
        <v>7565.1098254027384</v>
      </c>
      <c r="J62" s="28">
        <f t="shared" si="19"/>
        <v>8511.072513402738</v>
      </c>
      <c r="K62" s="28">
        <f t="shared" si="19"/>
        <v>9457.0352014027376</v>
      </c>
      <c r="L62" s="28">
        <f t="shared" si="19"/>
        <v>10402.997889402737</v>
      </c>
      <c r="M62" s="28">
        <f t="shared" si="19"/>
        <v>11348.960577402737</v>
      </c>
      <c r="N62" s="28">
        <f t="shared" si="19"/>
        <v>11716.299302217911</v>
      </c>
      <c r="O62" s="28">
        <f t="shared" si="19"/>
        <v>12083.638027033085</v>
      </c>
      <c r="P62" s="28">
        <f t="shared" si="19"/>
        <v>12450.976751848259</v>
      </c>
      <c r="Q62" s="28">
        <f t="shared" si="19"/>
        <v>12818.315476663432</v>
      </c>
      <c r="R62" s="28">
        <f t="shared" si="19"/>
        <v>13185.654201478606</v>
      </c>
      <c r="S62" s="28">
        <f t="shared" si="19"/>
        <v>13552.99292629378</v>
      </c>
      <c r="T62" s="28">
        <f t="shared" si="19"/>
        <v>13920.331651108954</v>
      </c>
      <c r="U62" s="28">
        <f t="shared" si="19"/>
        <v>14287.670375924128</v>
      </c>
      <c r="V62" s="28">
        <f t="shared" si="19"/>
        <v>14655.009100739302</v>
      </c>
      <c r="W62" s="28">
        <f t="shared" si="19"/>
        <v>15022.347825554476</v>
      </c>
      <c r="X62" s="28">
        <f t="shared" si="19"/>
        <v>15389.68655036965</v>
      </c>
      <c r="Y62" s="28">
        <f t="shared" si="19"/>
        <v>15757.025275184824</v>
      </c>
      <c r="Z62" s="156">
        <f t="shared" si="19"/>
        <v>16124.363999999998</v>
      </c>
    </row>
    <row r="63" spans="1:29" ht="14.25" customHeight="1">
      <c r="A63" s="165"/>
      <c r="B63" s="32"/>
      <c r="C63" s="32"/>
      <c r="D63" s="32"/>
      <c r="E63" s="32"/>
      <c r="F63" s="32"/>
      <c r="G63" s="32"/>
      <c r="H63" s="32"/>
      <c r="I63" s="32"/>
      <c r="J63" s="32"/>
      <c r="K63" s="32"/>
      <c r="L63" s="32"/>
      <c r="M63" s="32"/>
      <c r="N63" s="32"/>
      <c r="O63" s="32"/>
      <c r="P63" s="32"/>
      <c r="Q63" s="32"/>
      <c r="R63" s="32"/>
      <c r="S63" s="32"/>
      <c r="T63" s="32"/>
      <c r="U63" s="32"/>
      <c r="V63" s="32"/>
      <c r="W63" s="32"/>
      <c r="X63" s="32"/>
      <c r="Y63" s="32"/>
      <c r="Z63" s="155"/>
    </row>
    <row r="64" spans="1:29" ht="14.25" customHeight="1">
      <c r="A64" s="165" t="s">
        <v>84</v>
      </c>
      <c r="B64" s="32"/>
      <c r="C64" s="32"/>
      <c r="D64" s="32"/>
      <c r="E64" s="32"/>
      <c r="F64" s="32"/>
      <c r="G64" s="32"/>
      <c r="H64" s="32"/>
      <c r="I64" s="32"/>
      <c r="J64" s="32"/>
      <c r="K64" s="32"/>
      <c r="L64" s="32"/>
      <c r="M64" s="32"/>
      <c r="N64" s="32"/>
      <c r="O64" s="32"/>
      <c r="P64" s="32"/>
      <c r="Q64" s="32"/>
      <c r="R64" s="32"/>
      <c r="S64" s="32"/>
      <c r="T64" s="32"/>
      <c r="U64" s="32"/>
      <c r="V64" s="32"/>
      <c r="W64" s="32"/>
      <c r="X64" s="32"/>
      <c r="Y64" s="32"/>
      <c r="Z64" s="155"/>
    </row>
    <row r="65" spans="1:26" ht="14.25" customHeight="1">
      <c r="A65" s="166" t="s">
        <v>251</v>
      </c>
      <c r="B65" s="28">
        <f>Assumption!D11</f>
        <v>17915.96</v>
      </c>
      <c r="C65" s="28">
        <f t="shared" ref="C65:Z65" si="20">B67</f>
        <v>15228.565999999999</v>
      </c>
      <c r="D65" s="28">
        <f t="shared" si="20"/>
        <v>12944.2811</v>
      </c>
      <c r="E65" s="28">
        <f t="shared" si="20"/>
        <v>11002.638935000001</v>
      </c>
      <c r="F65" s="28">
        <f t="shared" si="20"/>
        <v>9352.2430947500015</v>
      </c>
      <c r="G65" s="28">
        <f t="shared" si="20"/>
        <v>7949.4066305375018</v>
      </c>
      <c r="H65" s="28">
        <f t="shared" si="20"/>
        <v>6756.9956359568769</v>
      </c>
      <c r="I65" s="28">
        <f t="shared" si="20"/>
        <v>5743.4462905633454</v>
      </c>
      <c r="J65" s="28">
        <f t="shared" si="20"/>
        <v>4881.9293469788436</v>
      </c>
      <c r="K65" s="28">
        <f t="shared" si="20"/>
        <v>4149.639944932017</v>
      </c>
      <c r="L65" s="28">
        <f t="shared" si="20"/>
        <v>3527.1939531922144</v>
      </c>
      <c r="M65" s="28">
        <f t="shared" si="20"/>
        <v>2998.1148602133821</v>
      </c>
      <c r="N65" s="28">
        <f t="shared" si="20"/>
        <v>2548.3976311813749</v>
      </c>
      <c r="O65" s="28">
        <f t="shared" si="20"/>
        <v>2166.1379865041686</v>
      </c>
      <c r="P65" s="28">
        <f t="shared" si="20"/>
        <v>1841.2172885285433</v>
      </c>
      <c r="Q65" s="28">
        <f t="shared" si="20"/>
        <v>1565.0346952492619</v>
      </c>
      <c r="R65" s="28">
        <f t="shared" si="20"/>
        <v>1330.2794909618726</v>
      </c>
      <c r="S65" s="28">
        <f t="shared" si="20"/>
        <v>1130.7375673175918</v>
      </c>
      <c r="T65" s="28">
        <f t="shared" si="20"/>
        <v>961.12693221995301</v>
      </c>
      <c r="U65" s="28">
        <f t="shared" si="20"/>
        <v>816.95789238696011</v>
      </c>
      <c r="V65" s="28">
        <f t="shared" si="20"/>
        <v>694.41420852891611</v>
      </c>
      <c r="W65" s="28">
        <f t="shared" si="20"/>
        <v>590.25207724957863</v>
      </c>
      <c r="X65" s="28">
        <f t="shared" si="20"/>
        <v>501.71426566214183</v>
      </c>
      <c r="Y65" s="28">
        <f t="shared" si="20"/>
        <v>426.45712581282055</v>
      </c>
      <c r="Z65" s="156">
        <f t="shared" si="20"/>
        <v>362.48855694089747</v>
      </c>
    </row>
    <row r="66" spans="1:26" ht="14.25" customHeight="1">
      <c r="A66" s="166" t="s">
        <v>252</v>
      </c>
      <c r="B66" s="28">
        <f>(B65*Assumption!$D$34)</f>
        <v>2687.3939999999998</v>
      </c>
      <c r="C66" s="28">
        <f>(C65*Assumption!$D$34)</f>
        <v>2284.2848999999997</v>
      </c>
      <c r="D66" s="28">
        <f>(D65*Assumption!$D$34)</f>
        <v>1941.642165</v>
      </c>
      <c r="E66" s="28">
        <f>(E65*Assumption!$D$34)</f>
        <v>1650.39584025</v>
      </c>
      <c r="F66" s="28">
        <f>(F65*Assumption!$D$34)</f>
        <v>1402.8364642125002</v>
      </c>
      <c r="G66" s="28">
        <f>(G65*Assumption!$D$34)</f>
        <v>1192.4109945806251</v>
      </c>
      <c r="H66" s="28">
        <f>(H65*Assumption!$D$34)</f>
        <v>1013.5493453935314</v>
      </c>
      <c r="I66" s="28">
        <f>(I65*Assumption!$D$34)</f>
        <v>861.51694358450175</v>
      </c>
      <c r="J66" s="28">
        <f>(J65*Assumption!$D$34)</f>
        <v>732.28940204682647</v>
      </c>
      <c r="K66" s="28">
        <f>(K65*Assumption!$D$34)</f>
        <v>622.44599173980248</v>
      </c>
      <c r="L66" s="28">
        <f>(L65*Assumption!$D$34)</f>
        <v>529.07909297883214</v>
      </c>
      <c r="M66" s="28">
        <f>(M65*Assumption!$D$34)</f>
        <v>449.71722903200731</v>
      </c>
      <c r="N66" s="28">
        <f>(N65*Assumption!$D$34)</f>
        <v>382.25964467720621</v>
      </c>
      <c r="O66" s="28">
        <f>(O65*Assumption!$D$34)</f>
        <v>324.92069797562527</v>
      </c>
      <c r="P66" s="28">
        <f>(P65*Assumption!$D$34)</f>
        <v>276.18259327928149</v>
      </c>
      <c r="Q66" s="28">
        <f>(Q65*Assumption!$D$34)</f>
        <v>234.75520428738926</v>
      </c>
      <c r="R66" s="28">
        <f>(R65*Assumption!$D$34)</f>
        <v>199.5419236442809</v>
      </c>
      <c r="S66" s="28">
        <f>(S65*Assumption!$D$34)</f>
        <v>169.61063509763878</v>
      </c>
      <c r="T66" s="28">
        <f>(T65*Assumption!$D$34)</f>
        <v>144.16903983299295</v>
      </c>
      <c r="U66" s="28">
        <f>(U65*Assumption!$D$34)</f>
        <v>122.54368385804401</v>
      </c>
      <c r="V66" s="28">
        <f>(V65*Assumption!$D$34)</f>
        <v>104.16213127933742</v>
      </c>
      <c r="W66" s="28">
        <f>(W65*Assumption!$D$34)</f>
        <v>88.537811587436792</v>
      </c>
      <c r="X66" s="28">
        <f>(X65*Assumption!$D$34)</f>
        <v>75.257139849321277</v>
      </c>
      <c r="Y66" s="28">
        <f>(Y65*Assumption!$D$34)</f>
        <v>63.968568871923082</v>
      </c>
      <c r="Z66" s="156">
        <f>(Z65*Assumption!$D$34)</f>
        <v>54.373283541134619</v>
      </c>
    </row>
    <row r="67" spans="1:26" ht="14.25" customHeight="1">
      <c r="A67" s="166" t="s">
        <v>253</v>
      </c>
      <c r="B67" s="28">
        <f t="shared" ref="B67:Z67" si="21">B65-B66</f>
        <v>15228.565999999999</v>
      </c>
      <c r="C67" s="28">
        <f t="shared" si="21"/>
        <v>12944.2811</v>
      </c>
      <c r="D67" s="28">
        <f t="shared" si="21"/>
        <v>11002.638935000001</v>
      </c>
      <c r="E67" s="28">
        <f t="shared" si="21"/>
        <v>9352.2430947500015</v>
      </c>
      <c r="F67" s="28">
        <f t="shared" si="21"/>
        <v>7949.4066305375018</v>
      </c>
      <c r="G67" s="28">
        <f t="shared" si="21"/>
        <v>6756.9956359568769</v>
      </c>
      <c r="H67" s="28">
        <f t="shared" si="21"/>
        <v>5743.4462905633454</v>
      </c>
      <c r="I67" s="28">
        <f t="shared" si="21"/>
        <v>4881.9293469788436</v>
      </c>
      <c r="J67" s="28">
        <f t="shared" si="21"/>
        <v>4149.639944932017</v>
      </c>
      <c r="K67" s="28">
        <f t="shared" si="21"/>
        <v>3527.1939531922144</v>
      </c>
      <c r="L67" s="28">
        <f t="shared" si="21"/>
        <v>2998.1148602133821</v>
      </c>
      <c r="M67" s="28">
        <f t="shared" si="21"/>
        <v>2548.3976311813749</v>
      </c>
      <c r="N67" s="28">
        <f t="shared" si="21"/>
        <v>2166.1379865041686</v>
      </c>
      <c r="O67" s="28">
        <f t="shared" si="21"/>
        <v>1841.2172885285433</v>
      </c>
      <c r="P67" s="28">
        <f t="shared" si="21"/>
        <v>1565.0346952492619</v>
      </c>
      <c r="Q67" s="28">
        <f t="shared" si="21"/>
        <v>1330.2794909618726</v>
      </c>
      <c r="R67" s="28">
        <f t="shared" si="21"/>
        <v>1130.7375673175918</v>
      </c>
      <c r="S67" s="28">
        <f t="shared" si="21"/>
        <v>961.12693221995301</v>
      </c>
      <c r="T67" s="28">
        <f t="shared" si="21"/>
        <v>816.95789238696011</v>
      </c>
      <c r="U67" s="28">
        <f t="shared" si="21"/>
        <v>694.41420852891611</v>
      </c>
      <c r="V67" s="28">
        <f t="shared" si="21"/>
        <v>590.25207724957863</v>
      </c>
      <c r="W67" s="28">
        <f t="shared" si="21"/>
        <v>501.71426566214183</v>
      </c>
      <c r="X67" s="28">
        <f t="shared" si="21"/>
        <v>426.45712581282055</v>
      </c>
      <c r="Y67" s="28">
        <f t="shared" si="21"/>
        <v>362.48855694089747</v>
      </c>
      <c r="Z67" s="156">
        <f t="shared" si="21"/>
        <v>308.11527339976283</v>
      </c>
    </row>
    <row r="68" spans="1:26" ht="14.25" customHeight="1">
      <c r="A68" s="165"/>
      <c r="B68" s="32"/>
      <c r="C68" s="32"/>
      <c r="D68" s="32"/>
      <c r="E68" s="32"/>
      <c r="F68" s="32"/>
      <c r="G68" s="32"/>
      <c r="H68" s="32"/>
      <c r="I68" s="32"/>
      <c r="J68" s="32"/>
      <c r="K68" s="32"/>
      <c r="L68" s="32"/>
      <c r="M68" s="32"/>
      <c r="N68" s="32"/>
      <c r="O68" s="32"/>
      <c r="P68" s="32"/>
      <c r="Q68" s="32"/>
      <c r="R68" s="32"/>
      <c r="S68" s="32"/>
      <c r="T68" s="32"/>
      <c r="U68" s="32"/>
      <c r="V68" s="32"/>
      <c r="W68" s="32"/>
      <c r="X68" s="32"/>
      <c r="Y68" s="32"/>
      <c r="Z68" s="155"/>
    </row>
    <row r="69" spans="1:26" ht="14.25" customHeight="1">
      <c r="A69" s="165" t="s">
        <v>46</v>
      </c>
      <c r="B69" s="32"/>
      <c r="C69" s="32"/>
      <c r="D69" s="32"/>
      <c r="E69" s="32"/>
      <c r="F69" s="32"/>
      <c r="G69" s="32"/>
      <c r="H69" s="32"/>
      <c r="I69" s="32"/>
      <c r="J69" s="32"/>
      <c r="K69" s="32"/>
      <c r="L69" s="32"/>
      <c r="M69" s="32"/>
      <c r="N69" s="32"/>
      <c r="O69" s="32"/>
      <c r="P69" s="32"/>
      <c r="Q69" s="32"/>
      <c r="R69" s="32"/>
      <c r="S69" s="32"/>
      <c r="T69" s="32"/>
      <c r="U69" s="32"/>
      <c r="V69" s="32"/>
      <c r="W69" s="32"/>
      <c r="X69" s="32"/>
      <c r="Y69" s="32"/>
      <c r="Z69" s="155"/>
    </row>
    <row r="70" spans="1:26" ht="14.25" customHeight="1">
      <c r="A70" s="166" t="s">
        <v>58</v>
      </c>
      <c r="B70" s="24">
        <f t="shared" ref="B70:Z70" si="22">B58</f>
        <v>41729</v>
      </c>
      <c r="C70" s="24">
        <f t="shared" si="22"/>
        <v>42094</v>
      </c>
      <c r="D70" s="24">
        <f t="shared" si="22"/>
        <v>42460</v>
      </c>
      <c r="E70" s="24">
        <f t="shared" si="22"/>
        <v>42825</v>
      </c>
      <c r="F70" s="24">
        <f t="shared" si="22"/>
        <v>43190</v>
      </c>
      <c r="G70" s="24">
        <f t="shared" si="22"/>
        <v>43555</v>
      </c>
      <c r="H70" s="24">
        <f t="shared" si="22"/>
        <v>43921</v>
      </c>
      <c r="I70" s="24">
        <f t="shared" si="22"/>
        <v>44286</v>
      </c>
      <c r="J70" s="24">
        <f t="shared" si="22"/>
        <v>44651</v>
      </c>
      <c r="K70" s="24">
        <f t="shared" si="22"/>
        <v>45016</v>
      </c>
      <c r="L70" s="24">
        <f t="shared" si="22"/>
        <v>45382</v>
      </c>
      <c r="M70" s="24">
        <f t="shared" si="22"/>
        <v>45747</v>
      </c>
      <c r="N70" s="24">
        <f t="shared" si="22"/>
        <v>46112</v>
      </c>
      <c r="O70" s="24">
        <f t="shared" si="22"/>
        <v>46477</v>
      </c>
      <c r="P70" s="24">
        <f t="shared" si="22"/>
        <v>46843</v>
      </c>
      <c r="Q70" s="24">
        <f t="shared" si="22"/>
        <v>47208</v>
      </c>
      <c r="R70" s="24">
        <f t="shared" si="22"/>
        <v>47573</v>
      </c>
      <c r="S70" s="24">
        <f t="shared" si="22"/>
        <v>47938</v>
      </c>
      <c r="T70" s="24">
        <f t="shared" si="22"/>
        <v>48304</v>
      </c>
      <c r="U70" s="24">
        <f t="shared" si="22"/>
        <v>48669</v>
      </c>
      <c r="V70" s="24">
        <f t="shared" si="22"/>
        <v>49034</v>
      </c>
      <c r="W70" s="24">
        <f t="shared" si="22"/>
        <v>49399</v>
      </c>
      <c r="X70" s="24">
        <f t="shared" si="22"/>
        <v>49765</v>
      </c>
      <c r="Y70" s="24">
        <f t="shared" si="22"/>
        <v>50130</v>
      </c>
      <c r="Z70" s="150">
        <f t="shared" si="22"/>
        <v>50495</v>
      </c>
    </row>
    <row r="71" spans="1:26" ht="14.25" customHeight="1">
      <c r="A71" s="166" t="s">
        <v>254</v>
      </c>
      <c r="B71" s="28">
        <f>Assumption!D11</f>
        <v>17915.96</v>
      </c>
      <c r="C71" s="28">
        <f t="shared" ref="C71:Z71" si="23">B71</f>
        <v>17915.96</v>
      </c>
      <c r="D71" s="28">
        <f t="shared" si="23"/>
        <v>17915.96</v>
      </c>
      <c r="E71" s="28">
        <f t="shared" si="23"/>
        <v>17915.96</v>
      </c>
      <c r="F71" s="28">
        <f t="shared" si="23"/>
        <v>17915.96</v>
      </c>
      <c r="G71" s="28">
        <f t="shared" si="23"/>
        <v>17915.96</v>
      </c>
      <c r="H71" s="28">
        <f t="shared" si="23"/>
        <v>17915.96</v>
      </c>
      <c r="I71" s="28">
        <f t="shared" si="23"/>
        <v>17915.96</v>
      </c>
      <c r="J71" s="28">
        <f t="shared" si="23"/>
        <v>17915.96</v>
      </c>
      <c r="K71" s="28">
        <f t="shared" si="23"/>
        <v>17915.96</v>
      </c>
      <c r="L71" s="28">
        <f t="shared" si="23"/>
        <v>17915.96</v>
      </c>
      <c r="M71" s="28">
        <f t="shared" si="23"/>
        <v>17915.96</v>
      </c>
      <c r="N71" s="28">
        <f t="shared" si="23"/>
        <v>17915.96</v>
      </c>
      <c r="O71" s="28">
        <f t="shared" si="23"/>
        <v>17915.96</v>
      </c>
      <c r="P71" s="28">
        <f t="shared" si="23"/>
        <v>17915.96</v>
      </c>
      <c r="Q71" s="28">
        <f t="shared" si="23"/>
        <v>17915.96</v>
      </c>
      <c r="R71" s="28">
        <f t="shared" si="23"/>
        <v>17915.96</v>
      </c>
      <c r="S71" s="28">
        <f t="shared" si="23"/>
        <v>17915.96</v>
      </c>
      <c r="T71" s="28">
        <f t="shared" si="23"/>
        <v>17915.96</v>
      </c>
      <c r="U71" s="28">
        <f t="shared" si="23"/>
        <v>17915.96</v>
      </c>
      <c r="V71" s="28">
        <f t="shared" si="23"/>
        <v>17915.96</v>
      </c>
      <c r="W71" s="28">
        <f t="shared" si="23"/>
        <v>17915.96</v>
      </c>
      <c r="X71" s="28">
        <f t="shared" si="23"/>
        <v>17915.96</v>
      </c>
      <c r="Y71" s="28">
        <f t="shared" si="23"/>
        <v>17915.96</v>
      </c>
      <c r="Z71" s="156">
        <f t="shared" si="23"/>
        <v>17915.96</v>
      </c>
    </row>
    <row r="72" spans="1:26" ht="14.25" customHeight="1">
      <c r="A72" s="166"/>
      <c r="B72" s="28">
        <f t="shared" ref="B72:Z72" si="24">SUM(B71:B71)</f>
        <v>17915.96</v>
      </c>
      <c r="C72" s="28">
        <f t="shared" si="24"/>
        <v>17915.96</v>
      </c>
      <c r="D72" s="28">
        <f t="shared" si="24"/>
        <v>17915.96</v>
      </c>
      <c r="E72" s="28">
        <f t="shared" si="24"/>
        <v>17915.96</v>
      </c>
      <c r="F72" s="28">
        <f t="shared" si="24"/>
        <v>17915.96</v>
      </c>
      <c r="G72" s="28">
        <f t="shared" si="24"/>
        <v>17915.96</v>
      </c>
      <c r="H72" s="28">
        <f t="shared" si="24"/>
        <v>17915.96</v>
      </c>
      <c r="I72" s="28">
        <f t="shared" si="24"/>
        <v>17915.96</v>
      </c>
      <c r="J72" s="28">
        <f t="shared" si="24"/>
        <v>17915.96</v>
      </c>
      <c r="K72" s="28">
        <f t="shared" si="24"/>
        <v>17915.96</v>
      </c>
      <c r="L72" s="28">
        <f t="shared" si="24"/>
        <v>17915.96</v>
      </c>
      <c r="M72" s="28">
        <f t="shared" si="24"/>
        <v>17915.96</v>
      </c>
      <c r="N72" s="28">
        <f t="shared" si="24"/>
        <v>17915.96</v>
      </c>
      <c r="O72" s="28">
        <f t="shared" si="24"/>
        <v>17915.96</v>
      </c>
      <c r="P72" s="28">
        <f t="shared" si="24"/>
        <v>17915.96</v>
      </c>
      <c r="Q72" s="28">
        <f t="shared" si="24"/>
        <v>17915.96</v>
      </c>
      <c r="R72" s="28">
        <f t="shared" si="24"/>
        <v>17915.96</v>
      </c>
      <c r="S72" s="28">
        <f t="shared" si="24"/>
        <v>17915.96</v>
      </c>
      <c r="T72" s="28">
        <f t="shared" si="24"/>
        <v>17915.96</v>
      </c>
      <c r="U72" s="28">
        <f t="shared" si="24"/>
        <v>17915.96</v>
      </c>
      <c r="V72" s="28">
        <f t="shared" si="24"/>
        <v>17915.96</v>
      </c>
      <c r="W72" s="28">
        <f t="shared" si="24"/>
        <v>17915.96</v>
      </c>
      <c r="X72" s="28">
        <f t="shared" si="24"/>
        <v>17915.96</v>
      </c>
      <c r="Y72" s="28">
        <f t="shared" si="24"/>
        <v>17915.96</v>
      </c>
      <c r="Z72" s="156">
        <f t="shared" si="24"/>
        <v>17915.96</v>
      </c>
    </row>
    <row r="73" spans="1:26" ht="14.25" customHeight="1">
      <c r="A73" s="165"/>
      <c r="B73" s="98"/>
      <c r="C73" s="32"/>
      <c r="D73" s="32"/>
      <c r="E73" s="32"/>
      <c r="F73" s="32"/>
      <c r="G73" s="32"/>
      <c r="H73" s="32"/>
      <c r="I73" s="32"/>
      <c r="J73" s="32"/>
      <c r="K73" s="32"/>
      <c r="L73" s="32"/>
      <c r="M73" s="32"/>
      <c r="N73" s="32"/>
      <c r="O73" s="32"/>
      <c r="P73" s="32"/>
      <c r="Q73" s="32"/>
      <c r="R73" s="32"/>
      <c r="S73" s="32"/>
      <c r="T73" s="32"/>
      <c r="U73" s="32"/>
      <c r="V73" s="32"/>
      <c r="W73" s="32"/>
      <c r="X73" s="32"/>
      <c r="Y73" s="32"/>
      <c r="Z73" s="155"/>
    </row>
    <row r="74" spans="1:26" ht="14.25" customHeight="1">
      <c r="A74" s="165" t="s">
        <v>54</v>
      </c>
      <c r="B74" s="98"/>
      <c r="C74" s="32"/>
      <c r="D74" s="32"/>
      <c r="E74" s="32"/>
      <c r="F74" s="32"/>
      <c r="G74" s="32"/>
      <c r="H74" s="32"/>
      <c r="I74" s="32"/>
      <c r="J74" s="32"/>
      <c r="K74" s="32"/>
      <c r="L74" s="32"/>
      <c r="M74" s="32"/>
      <c r="N74" s="32"/>
      <c r="O74" s="32"/>
      <c r="P74" s="32"/>
      <c r="Q74" s="32"/>
      <c r="R74" s="32"/>
      <c r="S74" s="32"/>
      <c r="T74" s="32"/>
      <c r="U74" s="32"/>
      <c r="V74" s="32"/>
      <c r="W74" s="32"/>
      <c r="X74" s="32"/>
      <c r="Y74" s="32"/>
      <c r="Z74" s="155"/>
    </row>
    <row r="75" spans="1:26" ht="14.25" customHeight="1">
      <c r="A75" s="166" t="str">
        <f t="shared" ref="A75:Z75" si="25">A70</f>
        <v>Year ending on</v>
      </c>
      <c r="B75" s="24">
        <f t="shared" si="25"/>
        <v>41729</v>
      </c>
      <c r="C75" s="24">
        <f t="shared" si="25"/>
        <v>42094</v>
      </c>
      <c r="D75" s="24">
        <f t="shared" si="25"/>
        <v>42460</v>
      </c>
      <c r="E75" s="24">
        <f t="shared" si="25"/>
        <v>42825</v>
      </c>
      <c r="F75" s="24">
        <f t="shared" si="25"/>
        <v>43190</v>
      </c>
      <c r="G75" s="24">
        <f t="shared" si="25"/>
        <v>43555</v>
      </c>
      <c r="H75" s="24">
        <f t="shared" si="25"/>
        <v>43921</v>
      </c>
      <c r="I75" s="24">
        <f t="shared" si="25"/>
        <v>44286</v>
      </c>
      <c r="J75" s="24">
        <f t="shared" si="25"/>
        <v>44651</v>
      </c>
      <c r="K75" s="24">
        <f t="shared" si="25"/>
        <v>45016</v>
      </c>
      <c r="L75" s="24">
        <f t="shared" si="25"/>
        <v>45382</v>
      </c>
      <c r="M75" s="24">
        <f t="shared" si="25"/>
        <v>45747</v>
      </c>
      <c r="N75" s="24">
        <f t="shared" si="25"/>
        <v>46112</v>
      </c>
      <c r="O75" s="24">
        <f t="shared" si="25"/>
        <v>46477</v>
      </c>
      <c r="P75" s="24">
        <f t="shared" si="25"/>
        <v>46843</v>
      </c>
      <c r="Q75" s="24">
        <f t="shared" si="25"/>
        <v>47208</v>
      </c>
      <c r="R75" s="24">
        <f t="shared" si="25"/>
        <v>47573</v>
      </c>
      <c r="S75" s="24">
        <f t="shared" si="25"/>
        <v>47938</v>
      </c>
      <c r="T75" s="24">
        <f t="shared" si="25"/>
        <v>48304</v>
      </c>
      <c r="U75" s="24">
        <f t="shared" si="25"/>
        <v>48669</v>
      </c>
      <c r="V75" s="24">
        <f t="shared" si="25"/>
        <v>49034</v>
      </c>
      <c r="W75" s="24">
        <f t="shared" si="25"/>
        <v>49399</v>
      </c>
      <c r="X75" s="24">
        <f t="shared" si="25"/>
        <v>49765</v>
      </c>
      <c r="Y75" s="24">
        <f t="shared" si="25"/>
        <v>50130</v>
      </c>
      <c r="Z75" s="150">
        <f t="shared" si="25"/>
        <v>50495</v>
      </c>
    </row>
    <row r="76" spans="1:26" ht="14.25" customHeight="1">
      <c r="A76" s="167" t="s">
        <v>254</v>
      </c>
      <c r="B76" s="47">
        <f>IF(B55&lt;=12,B71*Assumption!$D$29*Workings!B57/B56,(Assumption!$D$11-(Assumption!$D$11*Assumption!$D$30)-SUM($B$76:$M$76))/13)</f>
        <v>943.37100940273967</v>
      </c>
      <c r="C76" s="47">
        <f>IF(C55&lt;=12,C71*Assumption!$D$29*Workings!C57/C56,(Assumption!$D$11-(Assumption!$D$11*Assumption!$D$30)-SUM($B$76:$M$76))/13)</f>
        <v>945.96268799999996</v>
      </c>
      <c r="D76" s="47">
        <f>IF(D55&lt;=12,D71*Assumption!$D$29*Workings!D57/D56,(Assumption!$D$11-(Assumption!$D$11*Assumption!$D$30)-SUM($B$76:$M$76))/13)</f>
        <v>945.96268799999996</v>
      </c>
      <c r="E76" s="47">
        <f>IF(E55&lt;=12,E71*Assumption!$D$29*Workings!E57/E56,(Assumption!$D$11-(Assumption!$D$11*Assumption!$D$30)-SUM($B$76:$M$76))/13)</f>
        <v>945.96268799999996</v>
      </c>
      <c r="F76" s="47">
        <f>IF(F55&lt;=12,F71*Assumption!$D$29*Workings!F57/F56,(Assumption!$D$11-(Assumption!$D$11*Assumption!$D$30)-SUM($B$76:$M$76))/13)</f>
        <v>945.96268799999996</v>
      </c>
      <c r="G76" s="47">
        <f>IF(G55&lt;=12,G71*Assumption!$D$29*Workings!G57/G56,(Assumption!$D$11-(Assumption!$D$11*Assumption!$D$30)-SUM($B$76:$M$76))/13)</f>
        <v>945.96268799999996</v>
      </c>
      <c r="H76" s="47">
        <f>IF(H55&lt;=12,H71*Assumption!$D$29*Workings!H57/H56,(Assumption!$D$11-(Assumption!$D$11*Assumption!$D$30)-SUM($B$76:$M$76))/13)</f>
        <v>945.96268799999996</v>
      </c>
      <c r="I76" s="47">
        <f>IF(I55&lt;=12,I71*Assumption!$D$29*Workings!I57/I56,(Assumption!$D$11-(Assumption!$D$11*Assumption!$D$30)-SUM($B$76:$M$76))/13)</f>
        <v>945.96268799999996</v>
      </c>
      <c r="J76" s="47">
        <f>IF(J55&lt;=12,J71*Assumption!$D$29*Workings!J57/J56,(Assumption!$D$11-(Assumption!$D$11*Assumption!$D$30)-SUM($B$76:$M$76))/13)</f>
        <v>945.96268799999996</v>
      </c>
      <c r="K76" s="47">
        <f>IF(K55&lt;=12,K71*Assumption!$D$29*Workings!K57/K56,(Assumption!$D$11-(Assumption!$D$11*Assumption!$D$30)-SUM($B$76:$M$76))/13)</f>
        <v>945.96268799999996</v>
      </c>
      <c r="L76" s="47">
        <f>IF(L55&lt;=12,L71*Assumption!$D$29*Workings!L57/L56,(Assumption!$D$11-(Assumption!$D$11*Assumption!$D$30)-SUM($B$76:$M$76))/13)</f>
        <v>945.96268799999996</v>
      </c>
      <c r="M76" s="47">
        <f>IF(M55&lt;=12,M71*Assumption!$D$29*Workings!M57/M56,(Assumption!$D$11-(Assumption!$D$11*Assumption!$D$30)-SUM($B$76:$M$76))/13)</f>
        <v>945.96268799999996</v>
      </c>
      <c r="N76" s="47">
        <f>IF(N55&lt;=12,N71*Assumption!$D$29*Workings!N57/N56,(Assumption!$D$11-(Assumption!$D$11*Assumption!$D$30)-SUM($B$76:$M$76))/13)</f>
        <v>367.33872481517403</v>
      </c>
      <c r="O76" s="47">
        <f>IF(O55&lt;=12,O71*Assumption!$D$29*Workings!O57/O56,(Assumption!$D$11-(Assumption!$D$11*Assumption!$D$30)-SUM($B$76:$M$76))/13)</f>
        <v>367.33872481517403</v>
      </c>
      <c r="P76" s="47">
        <f>IF(P55&lt;=12,P71*Assumption!$D$29*Workings!P57/P56,(Assumption!$D$11-(Assumption!$D$11*Assumption!$D$30)-SUM($B$76:$M$76))/13)</f>
        <v>367.33872481517403</v>
      </c>
      <c r="Q76" s="47">
        <f>IF(Q55&lt;=12,Q71*Assumption!$D$29*Workings!Q57/Q56,(Assumption!$D$11-(Assumption!$D$11*Assumption!$D$30)-SUM($B$76:$M$76))/13)</f>
        <v>367.33872481517403</v>
      </c>
      <c r="R76" s="47">
        <f>IF(R55&lt;=12,R71*Assumption!$D$29*Workings!R57/R56,(Assumption!$D$11-(Assumption!$D$11*Assumption!$D$30)-SUM($B$76:$M$76))/13)</f>
        <v>367.33872481517403</v>
      </c>
      <c r="S76" s="47">
        <f>IF(S55&lt;=12,S71*Assumption!$D$29*Workings!S57/S56,(Assumption!$D$11-(Assumption!$D$11*Assumption!$D$30)-SUM($B$76:$M$76))/13)</f>
        <v>367.33872481517403</v>
      </c>
      <c r="T76" s="47">
        <f>IF(T55&lt;=12,T71*Assumption!$D$29*Workings!T57/T56,(Assumption!$D$11-(Assumption!$D$11*Assumption!$D$30)-SUM($B$76:$M$76))/13)</f>
        <v>367.33872481517403</v>
      </c>
      <c r="U76" s="47">
        <f>IF(U55&lt;=12,U71*Assumption!$D$29*Workings!U57/U56,(Assumption!$D$11-(Assumption!$D$11*Assumption!$D$30)-SUM($B$76:$M$76))/13)</f>
        <v>367.33872481517403</v>
      </c>
      <c r="V76" s="47">
        <f>IF(V55&lt;=12,V71*Assumption!$D$29*Workings!V57/V56,(Assumption!$D$11-(Assumption!$D$11*Assumption!$D$30)-SUM($B$76:$M$76))/13)</f>
        <v>367.33872481517403</v>
      </c>
      <c r="W76" s="47">
        <f>IF(W55&lt;=12,W71*Assumption!$D$29*Workings!W57/W56,(Assumption!$D$11-(Assumption!$D$11*Assumption!$D$30)-SUM($B$76:$M$76))/13)</f>
        <v>367.33872481517403</v>
      </c>
      <c r="X76" s="47">
        <f>IF(X55&lt;=12,X71*Assumption!$D$29*Workings!X57/X56,(Assumption!$D$11-(Assumption!$D$11*Assumption!$D$30)-SUM($B$76:$M$76))/13)</f>
        <v>367.33872481517403</v>
      </c>
      <c r="Y76" s="47">
        <f>IF(Y55&lt;=12,Y71*Assumption!$D$29*Workings!Y57/Y56,(Assumption!$D$11-(Assumption!$D$11*Assumption!$D$30)-SUM($B$76:$M$76))/13)</f>
        <v>367.33872481517403</v>
      </c>
      <c r="Z76" s="168">
        <f>IF(Z55&lt;=12,Z71*Assumption!$D$29*Workings!Z57/Z56,(Assumption!$D$11-(Assumption!$D$11*Assumption!$D$30)-SUM($B$76:$M$76))/13)</f>
        <v>367.33872481517403</v>
      </c>
    </row>
    <row r="77" spans="1:26" ht="14.25" customHeight="1">
      <c r="A77" s="166"/>
      <c r="B77" s="47">
        <f t="shared" ref="B77:Z77" si="26">SUM(B76:B76)</f>
        <v>943.37100940273967</v>
      </c>
      <c r="C77" s="28">
        <f t="shared" si="26"/>
        <v>945.96268799999996</v>
      </c>
      <c r="D77" s="28">
        <f t="shared" si="26"/>
        <v>945.96268799999996</v>
      </c>
      <c r="E77" s="28">
        <f t="shared" si="26"/>
        <v>945.96268799999996</v>
      </c>
      <c r="F77" s="28">
        <f t="shared" si="26"/>
        <v>945.96268799999996</v>
      </c>
      <c r="G77" s="28">
        <f t="shared" si="26"/>
        <v>945.96268799999996</v>
      </c>
      <c r="H77" s="28">
        <f t="shared" si="26"/>
        <v>945.96268799999996</v>
      </c>
      <c r="I77" s="28">
        <f t="shared" si="26"/>
        <v>945.96268799999996</v>
      </c>
      <c r="J77" s="28">
        <f t="shared" si="26"/>
        <v>945.96268799999996</v>
      </c>
      <c r="K77" s="28">
        <f t="shared" si="26"/>
        <v>945.96268799999996</v>
      </c>
      <c r="L77" s="28">
        <f t="shared" si="26"/>
        <v>945.96268799999996</v>
      </c>
      <c r="M77" s="28">
        <f t="shared" si="26"/>
        <v>945.96268799999996</v>
      </c>
      <c r="N77" s="28">
        <f t="shared" si="26"/>
        <v>367.33872481517403</v>
      </c>
      <c r="O77" s="28">
        <f t="shared" si="26"/>
        <v>367.33872481517403</v>
      </c>
      <c r="P77" s="28">
        <f t="shared" si="26"/>
        <v>367.33872481517403</v>
      </c>
      <c r="Q77" s="28">
        <f t="shared" si="26"/>
        <v>367.33872481517403</v>
      </c>
      <c r="R77" s="28">
        <f t="shared" si="26"/>
        <v>367.33872481517403</v>
      </c>
      <c r="S77" s="28">
        <f t="shared" si="26"/>
        <v>367.33872481517403</v>
      </c>
      <c r="T77" s="28">
        <f t="shared" si="26"/>
        <v>367.33872481517403</v>
      </c>
      <c r="U77" s="28">
        <f t="shared" si="26"/>
        <v>367.33872481517403</v>
      </c>
      <c r="V77" s="28">
        <f t="shared" si="26"/>
        <v>367.33872481517403</v>
      </c>
      <c r="W77" s="28">
        <f t="shared" si="26"/>
        <v>367.33872481517403</v>
      </c>
      <c r="X77" s="28">
        <f t="shared" si="26"/>
        <v>367.33872481517403</v>
      </c>
      <c r="Y77" s="28">
        <f t="shared" si="26"/>
        <v>367.33872481517403</v>
      </c>
      <c r="Z77" s="156">
        <f t="shared" si="26"/>
        <v>367.33872481517403</v>
      </c>
    </row>
    <row r="78" spans="1:26" ht="14.25" customHeight="1">
      <c r="A78" s="165" t="s">
        <v>125</v>
      </c>
      <c r="B78" s="32"/>
      <c r="C78" s="32"/>
      <c r="D78" s="32"/>
      <c r="E78" s="32"/>
      <c r="F78" s="32"/>
      <c r="G78" s="32"/>
      <c r="H78" s="32"/>
      <c r="I78" s="32"/>
      <c r="J78" s="32"/>
      <c r="K78" s="32"/>
      <c r="L78" s="32"/>
      <c r="M78" s="32"/>
      <c r="N78" s="32"/>
      <c r="O78" s="32"/>
      <c r="P78" s="32"/>
      <c r="Q78" s="32"/>
      <c r="R78" s="32"/>
      <c r="S78" s="32"/>
      <c r="T78" s="32"/>
      <c r="U78" s="32"/>
      <c r="V78" s="32"/>
      <c r="W78" s="32"/>
      <c r="X78" s="32"/>
      <c r="Y78" s="32"/>
      <c r="Z78" s="155"/>
    </row>
    <row r="79" spans="1:26" ht="14.25" customHeight="1">
      <c r="A79" s="166"/>
      <c r="B79" s="24">
        <f t="shared" ref="B79:Z79" si="27">B75</f>
        <v>41729</v>
      </c>
      <c r="C79" s="24">
        <f t="shared" si="27"/>
        <v>42094</v>
      </c>
      <c r="D79" s="24">
        <f t="shared" si="27"/>
        <v>42460</v>
      </c>
      <c r="E79" s="24">
        <f t="shared" si="27"/>
        <v>42825</v>
      </c>
      <c r="F79" s="24">
        <f t="shared" si="27"/>
        <v>43190</v>
      </c>
      <c r="G79" s="24">
        <f t="shared" si="27"/>
        <v>43555</v>
      </c>
      <c r="H79" s="24">
        <f t="shared" si="27"/>
        <v>43921</v>
      </c>
      <c r="I79" s="24">
        <f t="shared" si="27"/>
        <v>44286</v>
      </c>
      <c r="J79" s="24">
        <f t="shared" si="27"/>
        <v>44651</v>
      </c>
      <c r="K79" s="24">
        <f t="shared" si="27"/>
        <v>45016</v>
      </c>
      <c r="L79" s="24">
        <f t="shared" si="27"/>
        <v>45382</v>
      </c>
      <c r="M79" s="24">
        <f t="shared" si="27"/>
        <v>45747</v>
      </c>
      <c r="N79" s="24">
        <f t="shared" si="27"/>
        <v>46112</v>
      </c>
      <c r="O79" s="24">
        <f t="shared" si="27"/>
        <v>46477</v>
      </c>
      <c r="P79" s="24">
        <f t="shared" si="27"/>
        <v>46843</v>
      </c>
      <c r="Q79" s="24">
        <f t="shared" si="27"/>
        <v>47208</v>
      </c>
      <c r="R79" s="24">
        <f t="shared" si="27"/>
        <v>47573</v>
      </c>
      <c r="S79" s="24">
        <f t="shared" si="27"/>
        <v>47938</v>
      </c>
      <c r="T79" s="24">
        <f t="shared" si="27"/>
        <v>48304</v>
      </c>
      <c r="U79" s="24">
        <f t="shared" si="27"/>
        <v>48669</v>
      </c>
      <c r="V79" s="24">
        <f t="shared" si="27"/>
        <v>49034</v>
      </c>
      <c r="W79" s="24">
        <f t="shared" si="27"/>
        <v>49399</v>
      </c>
      <c r="X79" s="24">
        <f t="shared" si="27"/>
        <v>49765</v>
      </c>
      <c r="Y79" s="24">
        <f t="shared" si="27"/>
        <v>50130</v>
      </c>
      <c r="Z79" s="150">
        <f t="shared" si="27"/>
        <v>50495</v>
      </c>
    </row>
    <row r="80" spans="1:26" ht="14.25" customHeight="1">
      <c r="A80" s="167" t="s">
        <v>254</v>
      </c>
      <c r="B80" s="47">
        <f>MAX(MIN(B72*Assumption!$D$35*Workings!B57/B56,B72-$B$84),0)</f>
        <v>943.37100940273967</v>
      </c>
      <c r="C80" s="47">
        <f>MAX(MIN(C72*Assumption!$D$35*Workings!C57/C56,(C72-$B$84-B82)),0)</f>
        <v>945.96268799999996</v>
      </c>
      <c r="D80" s="47">
        <f>MAX(MIN(D72*Assumption!$D$35*Workings!D57/D56,(D72-$B$84-C82)),0)</f>
        <v>945.96268799999996</v>
      </c>
      <c r="E80" s="47">
        <f>MAX(MIN(E72*Assumption!$D$35*Workings!E57/E56,(E72-$B$84-D82)),0)</f>
        <v>945.96268799999996</v>
      </c>
      <c r="F80" s="47">
        <f>MAX(MIN(F72*Assumption!$D$35*Workings!F57/F56,(F72-$B$84-E82)),0)</f>
        <v>945.96268799999996</v>
      </c>
      <c r="G80" s="47">
        <f>MAX(MIN(G72*Assumption!$D$35*Workings!G57/G56,(G72-$B$84-F82)),0)</f>
        <v>945.96268799999996</v>
      </c>
      <c r="H80" s="47">
        <f>MAX(MIN(H72*Assumption!$D$35*Workings!H57/H56,(H72-$B$84-G82)),0)</f>
        <v>945.96268799999996</v>
      </c>
      <c r="I80" s="47">
        <f>MAX(MIN(I72*Assumption!$D$35*Workings!I57/I56,(I72-$B$84-H82)),0)</f>
        <v>945.96268799999996</v>
      </c>
      <c r="J80" s="47">
        <f>MAX(MIN(J72*Assumption!$D$35*Workings!J57/J56,(J72-$B$84-I82)),0)</f>
        <v>945.96268799999996</v>
      </c>
      <c r="K80" s="47">
        <f>MAX(MIN(K72*Assumption!$D$35*Workings!K57/K56,(K72-$B$84-J82)),0)</f>
        <v>945.96268799999996</v>
      </c>
      <c r="L80" s="47">
        <f>MAX(MIN(L72*Assumption!$D$35*Workings!L57/L56,(L72-$B$84-K82)),0)</f>
        <v>945.96268799999996</v>
      </c>
      <c r="M80" s="47">
        <f>MAX(MIN(M72*Assumption!$D$35*Workings!M57/M56,(M72-$B$84-L82)),0)</f>
        <v>945.96268799999996</v>
      </c>
      <c r="N80" s="47">
        <f>MAX(MIN(N72*Assumption!$D$35*Workings!N57/N56,(N72-$B$84-M82)),0)</f>
        <v>945.96268799999996</v>
      </c>
      <c r="O80" s="47">
        <f>MAX(MIN(O72*Assumption!$D$35*Workings!O57/O56,(O72-$B$84-N82)),0)</f>
        <v>945.96268799999996</v>
      </c>
      <c r="P80" s="47">
        <f>MAX(MIN(P72*Assumption!$D$35*Workings!P57/P56,(P72-$B$84-O82)),0)</f>
        <v>945.96268799999996</v>
      </c>
      <c r="Q80" s="47">
        <f>MAX(MIN(Q72*Assumption!$D$35*Workings!Q57/Q56,(Q72-$B$84-P82)),0)</f>
        <v>945.96268799999996</v>
      </c>
      <c r="R80" s="47">
        <f>MAX(MIN(R72*Assumption!$D$35*Workings!R57/R56,(R72-$B$84-Q82)),0)</f>
        <v>945.96268799999996</v>
      </c>
      <c r="S80" s="47">
        <f>MAX(MIN(S72*Assumption!$D$35*Workings!S57/S56,(S72-$B$84-R82)),0)</f>
        <v>945.96268799999996</v>
      </c>
      <c r="T80" s="47">
        <f>MAX(MIN(T72*Assumption!$D$35*Workings!T57/365,S83-$B$84),0)</f>
        <v>891.22329459726461</v>
      </c>
      <c r="U80" s="47">
        <f>MAX(MIN(U72*Assumption!$D$35*Workings!U57/365,T83-$B$84),0)</f>
        <v>0</v>
      </c>
      <c r="V80" s="47">
        <f>MAX(MIN(V72*Assumption!$D$35*Workings!V57/365,U83-$B$84),0)</f>
        <v>0</v>
      </c>
      <c r="W80" s="47">
        <f>MAX(MIN(W72*Assumption!$D$35*Workings!W57/365,V83-$B$84),0)</f>
        <v>0</v>
      </c>
      <c r="X80" s="47">
        <f>MAX(MIN(X72*Assumption!$D$35*Workings!X57/365,W83-$B$84),0)</f>
        <v>0</v>
      </c>
      <c r="Y80" s="47">
        <f>MAX(MIN(Y72*Assumption!$D$35*Workings!Y57/365,X83-$B$84),0)</f>
        <v>0</v>
      </c>
      <c r="Z80" s="168">
        <f>MAX(MIN(Z72*Assumption!$D$35*Workings!Z57/365,Y83-$B$84),0)</f>
        <v>0</v>
      </c>
    </row>
    <row r="81" spans="1:26" ht="14.25" customHeight="1">
      <c r="A81" s="166" t="s">
        <v>249</v>
      </c>
      <c r="B81" s="47">
        <f t="shared" ref="B81:Z81" si="28">SUM(B80:B80)</f>
        <v>943.37100940273967</v>
      </c>
      <c r="C81" s="28">
        <f t="shared" si="28"/>
        <v>945.96268799999996</v>
      </c>
      <c r="D81" s="28">
        <f t="shared" si="28"/>
        <v>945.96268799999996</v>
      </c>
      <c r="E81" s="28">
        <f t="shared" si="28"/>
        <v>945.96268799999996</v>
      </c>
      <c r="F81" s="28">
        <f t="shared" si="28"/>
        <v>945.96268799999996</v>
      </c>
      <c r="G81" s="28">
        <f t="shared" si="28"/>
        <v>945.96268799999996</v>
      </c>
      <c r="H81" s="28">
        <f t="shared" si="28"/>
        <v>945.96268799999996</v>
      </c>
      <c r="I81" s="28">
        <f t="shared" si="28"/>
        <v>945.96268799999996</v>
      </c>
      <c r="J81" s="28">
        <f t="shared" si="28"/>
        <v>945.96268799999996</v>
      </c>
      <c r="K81" s="28">
        <f t="shared" si="28"/>
        <v>945.96268799999996</v>
      </c>
      <c r="L81" s="28">
        <f t="shared" si="28"/>
        <v>945.96268799999996</v>
      </c>
      <c r="M81" s="28">
        <f t="shared" si="28"/>
        <v>945.96268799999996</v>
      </c>
      <c r="N81" s="28">
        <f t="shared" si="28"/>
        <v>945.96268799999996</v>
      </c>
      <c r="O81" s="28">
        <f t="shared" si="28"/>
        <v>945.96268799999996</v>
      </c>
      <c r="P81" s="28">
        <f t="shared" si="28"/>
        <v>945.96268799999996</v>
      </c>
      <c r="Q81" s="28">
        <f t="shared" si="28"/>
        <v>945.96268799999996</v>
      </c>
      <c r="R81" s="28">
        <f t="shared" si="28"/>
        <v>945.96268799999996</v>
      </c>
      <c r="S81" s="28">
        <f t="shared" si="28"/>
        <v>945.96268799999996</v>
      </c>
      <c r="T81" s="28">
        <f t="shared" si="28"/>
        <v>891.22329459726461</v>
      </c>
      <c r="U81" s="28">
        <f t="shared" si="28"/>
        <v>0</v>
      </c>
      <c r="V81" s="28">
        <f t="shared" si="28"/>
        <v>0</v>
      </c>
      <c r="W81" s="28">
        <f t="shared" si="28"/>
        <v>0</v>
      </c>
      <c r="X81" s="28">
        <f t="shared" si="28"/>
        <v>0</v>
      </c>
      <c r="Y81" s="28">
        <f t="shared" si="28"/>
        <v>0</v>
      </c>
      <c r="Z81" s="156">
        <f t="shared" si="28"/>
        <v>0</v>
      </c>
    </row>
    <row r="82" spans="1:26" ht="14.25" customHeight="1">
      <c r="A82" s="166" t="s">
        <v>250</v>
      </c>
      <c r="B82" s="28">
        <f>B81</f>
        <v>943.37100940273967</v>
      </c>
      <c r="C82" s="28">
        <f t="shared" ref="C82:Z82" si="29">B82+C81</f>
        <v>1889.3336974027397</v>
      </c>
      <c r="D82" s="28">
        <f t="shared" si="29"/>
        <v>2835.2963854027398</v>
      </c>
      <c r="E82" s="28">
        <f t="shared" si="29"/>
        <v>3781.2590734027399</v>
      </c>
      <c r="F82" s="28">
        <f t="shared" si="29"/>
        <v>4727.2217614027395</v>
      </c>
      <c r="G82" s="28">
        <f t="shared" si="29"/>
        <v>5673.1844494027391</v>
      </c>
      <c r="H82" s="28">
        <f t="shared" si="29"/>
        <v>6619.1471374027387</v>
      </c>
      <c r="I82" s="28">
        <f t="shared" si="29"/>
        <v>7565.1098254027384</v>
      </c>
      <c r="J82" s="28">
        <f t="shared" si="29"/>
        <v>8511.072513402738</v>
      </c>
      <c r="K82" s="28">
        <f t="shared" si="29"/>
        <v>9457.0352014027376</v>
      </c>
      <c r="L82" s="28">
        <f t="shared" si="29"/>
        <v>10402.997889402737</v>
      </c>
      <c r="M82" s="28">
        <f t="shared" si="29"/>
        <v>11348.960577402737</v>
      </c>
      <c r="N82" s="28">
        <f t="shared" si="29"/>
        <v>12294.923265402736</v>
      </c>
      <c r="O82" s="28">
        <f t="shared" si="29"/>
        <v>13240.885953402736</v>
      </c>
      <c r="P82" s="28">
        <f t="shared" si="29"/>
        <v>14186.848641402736</v>
      </c>
      <c r="Q82" s="28">
        <f t="shared" si="29"/>
        <v>15132.811329402735</v>
      </c>
      <c r="R82" s="28">
        <f t="shared" si="29"/>
        <v>16078.774017402735</v>
      </c>
      <c r="S82" s="28">
        <f t="shared" si="29"/>
        <v>17024.736705402735</v>
      </c>
      <c r="T82" s="28">
        <f t="shared" si="29"/>
        <v>17915.96</v>
      </c>
      <c r="U82" s="28">
        <f t="shared" si="29"/>
        <v>17915.96</v>
      </c>
      <c r="V82" s="28">
        <f t="shared" si="29"/>
        <v>17915.96</v>
      </c>
      <c r="W82" s="28">
        <f t="shared" si="29"/>
        <v>17915.96</v>
      </c>
      <c r="X82" s="28">
        <f t="shared" si="29"/>
        <v>17915.96</v>
      </c>
      <c r="Y82" s="28">
        <f t="shared" si="29"/>
        <v>17915.96</v>
      </c>
      <c r="Z82" s="156">
        <f t="shared" si="29"/>
        <v>17915.96</v>
      </c>
    </row>
    <row r="83" spans="1:26" ht="14.25" customHeight="1">
      <c r="A83" s="166" t="s">
        <v>126</v>
      </c>
      <c r="B83" s="28">
        <f t="shared" ref="B83:Z83" si="30">B72-B82</f>
        <v>16972.588990597258</v>
      </c>
      <c r="C83" s="28">
        <f t="shared" si="30"/>
        <v>16026.626302597258</v>
      </c>
      <c r="D83" s="28">
        <f t="shared" si="30"/>
        <v>15080.663614597259</v>
      </c>
      <c r="E83" s="28">
        <f t="shared" si="30"/>
        <v>14134.700926597259</v>
      </c>
      <c r="F83" s="28">
        <f t="shared" si="30"/>
        <v>13188.73823859726</v>
      </c>
      <c r="G83" s="28">
        <f t="shared" si="30"/>
        <v>12242.77555059726</v>
      </c>
      <c r="H83" s="28">
        <f t="shared" si="30"/>
        <v>11296.81286259726</v>
      </c>
      <c r="I83" s="28">
        <f t="shared" si="30"/>
        <v>10350.850174597261</v>
      </c>
      <c r="J83" s="28">
        <f t="shared" si="30"/>
        <v>9404.8874865972612</v>
      </c>
      <c r="K83" s="28">
        <f t="shared" si="30"/>
        <v>8458.9247985972615</v>
      </c>
      <c r="L83" s="28">
        <f t="shared" si="30"/>
        <v>7512.9621105972619</v>
      </c>
      <c r="M83" s="28">
        <f t="shared" si="30"/>
        <v>6566.9994225972623</v>
      </c>
      <c r="N83" s="28">
        <f t="shared" si="30"/>
        <v>5621.0367345972627</v>
      </c>
      <c r="O83" s="28">
        <f t="shared" si="30"/>
        <v>4675.0740465972631</v>
      </c>
      <c r="P83" s="28">
        <f t="shared" si="30"/>
        <v>3729.1113585972635</v>
      </c>
      <c r="Q83" s="28">
        <f t="shared" si="30"/>
        <v>2783.1486705972638</v>
      </c>
      <c r="R83" s="28">
        <f t="shared" si="30"/>
        <v>1837.1859825972642</v>
      </c>
      <c r="S83" s="28">
        <f t="shared" si="30"/>
        <v>891.22329459726461</v>
      </c>
      <c r="T83" s="28">
        <f t="shared" si="30"/>
        <v>0</v>
      </c>
      <c r="U83" s="28">
        <f t="shared" si="30"/>
        <v>0</v>
      </c>
      <c r="V83" s="28">
        <f t="shared" si="30"/>
        <v>0</v>
      </c>
      <c r="W83" s="28">
        <f t="shared" si="30"/>
        <v>0</v>
      </c>
      <c r="X83" s="28">
        <f t="shared" si="30"/>
        <v>0</v>
      </c>
      <c r="Y83" s="28">
        <f t="shared" si="30"/>
        <v>0</v>
      </c>
      <c r="Z83" s="156">
        <f t="shared" si="30"/>
        <v>0</v>
      </c>
    </row>
    <row r="84" spans="1:26" ht="14.25" customHeight="1" thickBot="1">
      <c r="A84" s="127" t="s">
        <v>255</v>
      </c>
      <c r="B84" s="130">
        <f>Workings!C207*Assumption!D36</f>
        <v>0</v>
      </c>
      <c r="C84" s="146"/>
      <c r="D84" s="146"/>
      <c r="E84" s="146"/>
      <c r="F84" s="146"/>
      <c r="G84" s="146"/>
      <c r="H84" s="146"/>
      <c r="I84" s="146"/>
      <c r="J84" s="146"/>
      <c r="K84" s="146"/>
      <c r="L84" s="146"/>
      <c r="M84" s="146"/>
      <c r="N84" s="146"/>
      <c r="O84" s="146"/>
      <c r="P84" s="146"/>
      <c r="Q84" s="169"/>
      <c r="R84" s="169"/>
      <c r="S84" s="169"/>
      <c r="T84" s="146"/>
      <c r="U84" s="146"/>
      <c r="V84" s="146"/>
      <c r="W84" s="146"/>
      <c r="X84" s="146"/>
      <c r="Y84" s="146"/>
      <c r="Z84" s="147"/>
    </row>
    <row r="91" spans="1:26" ht="14.25" customHeight="1" thickBot="1">
      <c r="A91" s="20"/>
      <c r="B91" s="20"/>
      <c r="C91" s="20"/>
    </row>
    <row r="92" spans="1:26" ht="14.25" customHeight="1">
      <c r="A92" s="268" t="s">
        <v>273</v>
      </c>
      <c r="B92" s="269"/>
      <c r="C92" s="269"/>
      <c r="D92" s="269"/>
      <c r="E92" s="269"/>
      <c r="F92" s="269"/>
      <c r="G92" s="269"/>
      <c r="H92" s="269"/>
      <c r="I92" s="269"/>
      <c r="J92" s="269"/>
      <c r="K92" s="269"/>
      <c r="L92" s="269"/>
      <c r="M92" s="269"/>
      <c r="N92" s="269"/>
      <c r="O92" s="269"/>
      <c r="P92" s="269"/>
      <c r="Q92" s="269"/>
      <c r="R92" s="269"/>
      <c r="S92" s="269"/>
      <c r="T92" s="269"/>
      <c r="U92" s="269"/>
      <c r="V92" s="269"/>
      <c r="W92" s="269"/>
      <c r="X92" s="269"/>
      <c r="Y92" s="269"/>
      <c r="Z92" s="270"/>
    </row>
    <row r="93" spans="1:26" ht="14.25" customHeight="1">
      <c r="A93" s="166" t="s">
        <v>3</v>
      </c>
      <c r="B93" s="24">
        <f>Workings!B226</f>
        <v>41729</v>
      </c>
      <c r="C93" s="24">
        <f>Workings!C226</f>
        <v>42094</v>
      </c>
      <c r="D93" s="24">
        <f>Workings!D226</f>
        <v>42460</v>
      </c>
      <c r="E93" s="24">
        <f>Workings!E226</f>
        <v>42825</v>
      </c>
      <c r="F93" s="24">
        <f>Workings!F226</f>
        <v>43190</v>
      </c>
      <c r="G93" s="24">
        <f>Workings!G226</f>
        <v>43555</v>
      </c>
      <c r="H93" s="24">
        <f>Workings!H226</f>
        <v>43921</v>
      </c>
      <c r="I93" s="24">
        <f>Workings!I226</f>
        <v>44286</v>
      </c>
      <c r="J93" s="24">
        <f>Workings!J226</f>
        <v>44651</v>
      </c>
      <c r="K93" s="24">
        <f>Workings!K226</f>
        <v>45016</v>
      </c>
      <c r="L93" s="24">
        <f>Workings!L226</f>
        <v>45382</v>
      </c>
      <c r="M93" s="24">
        <f>Workings!M226</f>
        <v>45747</v>
      </c>
      <c r="N93" s="24">
        <f>Workings!N226</f>
        <v>46112</v>
      </c>
      <c r="O93" s="24">
        <f>Workings!O226</f>
        <v>46477</v>
      </c>
      <c r="P93" s="24">
        <f>Workings!P226</f>
        <v>46843</v>
      </c>
      <c r="Q93" s="24">
        <f>Workings!Q226</f>
        <v>47208</v>
      </c>
      <c r="R93" s="24">
        <f>Workings!R226</f>
        <v>47573</v>
      </c>
      <c r="S93" s="24">
        <f>Workings!S226</f>
        <v>47938</v>
      </c>
      <c r="T93" s="24">
        <f>Workings!T226</f>
        <v>48304</v>
      </c>
      <c r="U93" s="24">
        <f>Workings!U226</f>
        <v>48669</v>
      </c>
      <c r="V93" s="24">
        <f>Workings!V226</f>
        <v>49034</v>
      </c>
      <c r="W93" s="24">
        <f>Workings!W226</f>
        <v>49399</v>
      </c>
      <c r="X93" s="24">
        <f>Workings!X226</f>
        <v>49765</v>
      </c>
      <c r="Y93" s="24">
        <f>Workings!Y226</f>
        <v>50130</v>
      </c>
      <c r="Z93" s="150">
        <f>Workings!Z226</f>
        <v>50495</v>
      </c>
    </row>
    <row r="94" spans="1:26" ht="14.25" customHeight="1">
      <c r="A94" s="166" t="s">
        <v>14</v>
      </c>
      <c r="B94" s="21"/>
      <c r="C94" s="21"/>
      <c r="D94" s="21"/>
      <c r="E94" s="21"/>
      <c r="F94" s="21"/>
      <c r="G94" s="21"/>
      <c r="H94" s="21"/>
      <c r="I94" s="21"/>
      <c r="J94" s="21"/>
      <c r="K94" s="21"/>
      <c r="L94" s="21"/>
      <c r="M94" s="21"/>
      <c r="N94" s="21"/>
      <c r="O94" s="21"/>
      <c r="P94" s="21"/>
      <c r="Q94" s="21"/>
      <c r="R94" s="21"/>
      <c r="S94" s="21"/>
      <c r="T94" s="21"/>
      <c r="U94" s="21"/>
      <c r="V94" s="21"/>
      <c r="W94" s="21"/>
      <c r="X94" s="21"/>
      <c r="Y94" s="21"/>
      <c r="Z94" s="148"/>
    </row>
    <row r="95" spans="1:26" ht="14.25" customHeight="1">
      <c r="A95" s="166" t="s">
        <v>269</v>
      </c>
      <c r="B95" s="28">
        <f>Workings!B233</f>
        <v>5938.5780774265531</v>
      </c>
      <c r="C95" s="28">
        <f>Workings!C233</f>
        <v>5996.5771023310872</v>
      </c>
      <c r="D95" s="28">
        <f>Workings!D233</f>
        <v>6055.0971232584943</v>
      </c>
      <c r="E95" s="28">
        <f>Workings!E233</f>
        <v>6080.8230140417354</v>
      </c>
      <c r="F95" s="28">
        <f>Workings!F233</f>
        <v>6123.3887751400262</v>
      </c>
      <c r="G95" s="28">
        <f>Workings!G233</f>
        <v>6166.2524965660077</v>
      </c>
      <c r="H95" s="28">
        <f>Workings!H233</f>
        <v>6226.4283633955083</v>
      </c>
      <c r="I95" s="28">
        <f>Workings!I233</f>
        <v>6252.882177890262</v>
      </c>
      <c r="J95" s="28">
        <f>Workings!J233</f>
        <v>6296.6523531354942</v>
      </c>
      <c r="K95" s="28">
        <f>Workings!K233</f>
        <v>6340.7289196074407</v>
      </c>
      <c r="L95" s="28">
        <f>Workings!L233</f>
        <v>6402.6074851187886</v>
      </c>
      <c r="M95" s="28">
        <f>Workings!M233</f>
        <v>6429.8098201990051</v>
      </c>
      <c r="N95" s="28">
        <f>Workings!N233</f>
        <v>6474.8184889403974</v>
      </c>
      <c r="O95" s="28">
        <f>Workings!O233</f>
        <v>6520.1422183629802</v>
      </c>
      <c r="P95" s="28">
        <f>Workings!P233</f>
        <v>6583.771661052866</v>
      </c>
      <c r="Q95" s="28">
        <f>Workings!Q233</f>
        <v>6611.7436963887594</v>
      </c>
      <c r="R95" s="28">
        <f>Workings!R233</f>
        <v>6658.0259022634809</v>
      </c>
      <c r="S95" s="28">
        <f>Workings!S233</f>
        <v>6704.632083579324</v>
      </c>
      <c r="T95" s="28">
        <f>Workings!T233</f>
        <v>6770.061945173049</v>
      </c>
      <c r="U95" s="28">
        <f>Workings!U233</f>
        <v>6798.8254597215273</v>
      </c>
      <c r="V95" s="28">
        <f>Workings!V233</f>
        <v>6846.4172379395786</v>
      </c>
      <c r="W95" s="28">
        <f>Workings!W233</f>
        <v>6894.3421586051527</v>
      </c>
      <c r="X95" s="28">
        <f>Workings!X233</f>
        <v>6961.6233826296784</v>
      </c>
      <c r="Y95" s="28">
        <f>Workings!Y233</f>
        <v>6991.200771591396</v>
      </c>
      <c r="Z95" s="156">
        <f>Workings!Z233</f>
        <v>7040.1391769925349</v>
      </c>
    </row>
    <row r="96" spans="1:26" ht="14.25" customHeight="1">
      <c r="A96" s="166" t="s">
        <v>66</v>
      </c>
      <c r="B96" s="28">
        <f>(B95/Workings!B262)</f>
        <v>2.1554986038921107</v>
      </c>
      <c r="C96" s="28">
        <f>(C95/Workings!C262)</f>
        <v>2.1705870941193548</v>
      </c>
      <c r="D96" s="28">
        <f>(D95/Workings!D262)</f>
        <v>2.1857812037781899</v>
      </c>
      <c r="E96" s="28">
        <f>(E95/Workings!E262)</f>
        <v>2.2010816722046371</v>
      </c>
      <c r="F96" s="28">
        <f>(F95/Workings!F262)</f>
        <v>2.2164892439100687</v>
      </c>
      <c r="G96" s="28">
        <f>(G95/Workings!G262)</f>
        <v>2.23200466861744</v>
      </c>
      <c r="H96" s="28">
        <f>(H95/Workings!H262)</f>
        <v>2.2476287012977614</v>
      </c>
      <c r="I96" s="28">
        <f>(I95/Workings!I262)</f>
        <v>2.263362102206846</v>
      </c>
      <c r="J96" s="28">
        <f>(J95/Workings!J262)</f>
        <v>2.2792056369222937</v>
      </c>
      <c r="K96" s="28">
        <f>(K95/Workings!K262)</f>
        <v>2.2951600763807494</v>
      </c>
      <c r="L96" s="28">
        <f>(L95/Workings!L262)</f>
        <v>2.3112261969154142</v>
      </c>
      <c r="M96" s="28">
        <f>(M95/Workings!M262)</f>
        <v>2.327404780293822</v>
      </c>
      <c r="N96" s="28">
        <f>(N95/Workings!N262)</f>
        <v>2.3436966137558786</v>
      </c>
      <c r="O96" s="28">
        <f>(O95/Workings!O262)</f>
        <v>2.3601024900521699</v>
      </c>
      <c r="P96" s="28">
        <f>(P95/Workings!P262)</f>
        <v>2.3766232074825342</v>
      </c>
      <c r="Q96" s="28">
        <f>(Q95/Workings!Q262)</f>
        <v>2.3932595699349117</v>
      </c>
      <c r="R96" s="28">
        <f>(R95/Workings!R262)</f>
        <v>2.4100123869244565</v>
      </c>
      <c r="S96" s="28">
        <f>(S95/Workings!S262)</f>
        <v>2.4268824736329271</v>
      </c>
      <c r="T96" s="28">
        <f>(T95/Workings!T262)</f>
        <v>2.4438706509483574</v>
      </c>
      <c r="U96" s="28">
        <f>(U95/Workings!U262)</f>
        <v>2.4609777455049953</v>
      </c>
      <c r="V96" s="28">
        <f>(V95/Workings!V262)</f>
        <v>2.4782045897235303</v>
      </c>
      <c r="W96" s="28">
        <f>(W95/Workings!W262)</f>
        <v>2.4955520218515939</v>
      </c>
      <c r="X96" s="28">
        <f>(X95/Workings!X262)</f>
        <v>2.5130208860045551</v>
      </c>
      <c r="Y96" s="28">
        <f>(Y95/Workings!Y262)</f>
        <v>2.5306120322065868</v>
      </c>
      <c r="Z96" s="156">
        <f>(Z95/Workings!Z262)</f>
        <v>2.5483263164320324</v>
      </c>
    </row>
    <row r="97" spans="1:26" ht="14.25" customHeight="1">
      <c r="A97" s="166"/>
      <c r="B97" s="21"/>
      <c r="C97" s="21"/>
      <c r="D97" s="21"/>
      <c r="E97" s="21"/>
      <c r="F97" s="21"/>
      <c r="G97" s="21"/>
      <c r="H97" s="21"/>
      <c r="I97" s="21"/>
      <c r="J97" s="21"/>
      <c r="K97" s="21"/>
      <c r="L97" s="21"/>
      <c r="M97" s="21"/>
      <c r="N97" s="21"/>
      <c r="O97" s="21"/>
      <c r="P97" s="21"/>
      <c r="Q97" s="21"/>
      <c r="R97" s="21"/>
      <c r="S97" s="21"/>
      <c r="T97" s="21"/>
      <c r="U97" s="21"/>
      <c r="V97" s="21"/>
      <c r="W97" s="21"/>
      <c r="X97" s="21"/>
      <c r="Y97" s="21"/>
      <c r="Z97" s="148"/>
    </row>
    <row r="98" spans="1:26" ht="14.25" customHeight="1">
      <c r="A98" s="166" t="s">
        <v>270</v>
      </c>
      <c r="B98" s="21"/>
      <c r="C98" s="21"/>
      <c r="D98" s="21"/>
      <c r="E98" s="21"/>
      <c r="F98" s="21"/>
      <c r="G98" s="21"/>
      <c r="H98" s="21"/>
      <c r="I98" s="21"/>
      <c r="J98" s="21"/>
      <c r="K98" s="21"/>
      <c r="L98" s="21"/>
      <c r="M98" s="21"/>
      <c r="N98" s="21"/>
      <c r="O98" s="21"/>
      <c r="P98" s="21"/>
      <c r="Q98" s="21"/>
      <c r="R98" s="21"/>
      <c r="S98" s="21"/>
      <c r="T98" s="21"/>
      <c r="U98" s="21"/>
      <c r="V98" s="21"/>
      <c r="W98" s="21"/>
      <c r="X98" s="21"/>
      <c r="Y98" s="21"/>
      <c r="Z98" s="148"/>
    </row>
    <row r="99" spans="1:26" ht="14.25" customHeight="1">
      <c r="A99" s="166" t="s">
        <v>16</v>
      </c>
      <c r="B99" s="28">
        <f>Workings!E186</f>
        <v>1444.3703290812166</v>
      </c>
      <c r="C99" s="28">
        <f>Workings!E187</f>
        <v>1334.9783575916711</v>
      </c>
      <c r="D99" s="28">
        <f>Workings!E188</f>
        <v>1224.8093085523058</v>
      </c>
      <c r="E99" s="25">
        <f>Workings!E189</f>
        <v>1107.9473124716712</v>
      </c>
      <c r="F99" s="25">
        <f>Workings!E190</f>
        <v>994.43178991167122</v>
      </c>
      <c r="G99" s="25">
        <f>Workings!E191</f>
        <v>880.91626735167131</v>
      </c>
      <c r="H99" s="25">
        <f>Workings!E192</f>
        <v>769.5032125856211</v>
      </c>
      <c r="I99" s="25">
        <f>Workings!E193</f>
        <v>653.88522223167138</v>
      </c>
      <c r="J99" s="25">
        <f>Workings!E194</f>
        <v>540.36969967167147</v>
      </c>
      <c r="K99" s="25">
        <f>Workings!E195</f>
        <v>426.85417711167139</v>
      </c>
      <c r="L99" s="25">
        <f>Workings!E196</f>
        <v>314.19711661893632</v>
      </c>
      <c r="M99" s="25">
        <f>Workings!E197</f>
        <v>199.82313199167143</v>
      </c>
      <c r="N99" s="25">
        <f>Workings!E198</f>
        <v>121.02504722276097</v>
      </c>
      <c r="O99" s="25">
        <f>Workings!E199</f>
        <v>76.944400244940084</v>
      </c>
      <c r="P99" s="25">
        <f>Workings!E200</f>
        <v>32.953790947303098</v>
      </c>
      <c r="Q99" s="25">
        <f>Workings!E201</f>
        <v>5.4117148891043838</v>
      </c>
      <c r="R99" s="25">
        <f>Workings!E202</f>
        <v>0</v>
      </c>
      <c r="S99" s="25">
        <f>Workings!E203</f>
        <v>0</v>
      </c>
      <c r="T99" s="37">
        <v>0</v>
      </c>
      <c r="U99" s="37">
        <v>0</v>
      </c>
      <c r="V99" s="37">
        <v>0</v>
      </c>
      <c r="W99" s="37">
        <v>0</v>
      </c>
      <c r="X99" s="37">
        <v>0</v>
      </c>
      <c r="Y99" s="37">
        <v>0</v>
      </c>
      <c r="Z99" s="154">
        <v>0</v>
      </c>
    </row>
    <row r="100" spans="1:26" ht="14.25" customHeight="1">
      <c r="A100" s="166" t="s">
        <v>4</v>
      </c>
      <c r="B100" s="28">
        <f>Workings!B61</f>
        <v>943.37100940273967</v>
      </c>
      <c r="C100" s="28">
        <f>Workings!C61</f>
        <v>945.96268799999996</v>
      </c>
      <c r="D100" s="28">
        <f>Workings!D61</f>
        <v>945.96268799999996</v>
      </c>
      <c r="E100" s="28">
        <f>Workings!E61</f>
        <v>945.96268799999996</v>
      </c>
      <c r="F100" s="28">
        <f>Workings!F61</f>
        <v>945.96268799999996</v>
      </c>
      <c r="G100" s="28">
        <f>Workings!G61</f>
        <v>945.96268799999996</v>
      </c>
      <c r="H100" s="28">
        <f>Workings!H61</f>
        <v>945.96268799999996</v>
      </c>
      <c r="I100" s="28">
        <f>Workings!I61</f>
        <v>945.96268799999996</v>
      </c>
      <c r="J100" s="28">
        <f>Workings!J61</f>
        <v>945.96268799999996</v>
      </c>
      <c r="K100" s="28">
        <f>Workings!K61</f>
        <v>945.96268799999996</v>
      </c>
      <c r="L100" s="28">
        <f>Workings!L61</f>
        <v>945.96268799999996</v>
      </c>
      <c r="M100" s="28">
        <f>Workings!M61</f>
        <v>945.96268799999996</v>
      </c>
      <c r="N100" s="28">
        <f>Workings!N61</f>
        <v>367.33872481517403</v>
      </c>
      <c r="O100" s="28">
        <f>Workings!O61</f>
        <v>367.33872481517403</v>
      </c>
      <c r="P100" s="28">
        <f>Workings!P61</f>
        <v>367.33872481517403</v>
      </c>
      <c r="Q100" s="28">
        <f>Workings!Q61</f>
        <v>367.33872481517403</v>
      </c>
      <c r="R100" s="28">
        <f>Workings!R61</f>
        <v>367.33872481517403</v>
      </c>
      <c r="S100" s="28">
        <f>Workings!S61</f>
        <v>367.33872481517403</v>
      </c>
      <c r="T100" s="28">
        <f>Workings!T61</f>
        <v>367.33872481517403</v>
      </c>
      <c r="U100" s="28">
        <f>Workings!U61</f>
        <v>367.33872481517403</v>
      </c>
      <c r="V100" s="28">
        <f>Workings!V61</f>
        <v>367.33872481517403</v>
      </c>
      <c r="W100" s="28">
        <f>Workings!W61</f>
        <v>367.33872481517403</v>
      </c>
      <c r="X100" s="28">
        <f>Workings!X61</f>
        <v>367.33872481517403</v>
      </c>
      <c r="Y100" s="28">
        <f>Workings!Y61</f>
        <v>367.33872481517403</v>
      </c>
      <c r="Z100" s="156">
        <f>Workings!Z61</f>
        <v>367.33872481517403</v>
      </c>
    </row>
    <row r="101" spans="1:26" ht="14.25" customHeight="1">
      <c r="A101" s="166" t="s">
        <v>17</v>
      </c>
      <c r="B101" s="28">
        <f>Workings!B216*Assumption!$D$6*Workings!B57/Workings!B56</f>
        <v>705.30484931506851</v>
      </c>
      <c r="C101" s="28">
        <f>Workings!C216*Assumption!$D$6*Workings!C57/Workings!C56</f>
        <v>747.69677100000001</v>
      </c>
      <c r="D101" s="28">
        <f>Workings!D216*Assumption!$D$6*Workings!D57/Workings!D56</f>
        <v>790.46502630119994</v>
      </c>
      <c r="E101" s="28">
        <f>Workings!E216*Assumption!$D$6*Workings!E57/Workings!E56</f>
        <v>835.67962580562846</v>
      </c>
      <c r="F101" s="28">
        <f>Workings!F216*Assumption!$D$6*Workings!F57/Workings!F56</f>
        <v>883.48050040171017</v>
      </c>
      <c r="G101" s="28">
        <f>Workings!G216*Assumption!$D$6*Workings!G57/Workings!G56</f>
        <v>934.01558502468799</v>
      </c>
      <c r="H101" s="28">
        <f>Workings!H216*Assumption!$D$6*Workings!H57/Workings!H56</f>
        <v>987.44127648810013</v>
      </c>
      <c r="I101" s="28">
        <f>Workings!I216*Assumption!$D$6*Workings!I57/Workings!I56</f>
        <v>1043.9229175032194</v>
      </c>
      <c r="J101" s="28">
        <f>Workings!J216*Assumption!$D$6*Workings!J57/Workings!J56</f>
        <v>1103.6353083844035</v>
      </c>
      <c r="K101" s="28">
        <f>Workings!K216*Assumption!$D$6*Workings!K57/Workings!K56</f>
        <v>1166.7632480239913</v>
      </c>
      <c r="L101" s="28">
        <f>Workings!L216*Assumption!$D$6*Workings!L57/Workings!L56</f>
        <v>1233.5021058109635</v>
      </c>
      <c r="M101" s="28">
        <f>Workings!M216*Assumption!$D$6*Workings!M57/Workings!M56</f>
        <v>1304.0584262633506</v>
      </c>
      <c r="N101" s="28">
        <f>Workings!N216*Assumption!$D$6*Workings!N57/Workings!N56</f>
        <v>1378.6505682456143</v>
      </c>
      <c r="O101" s="28">
        <f>Workings!O216*Assumption!$D$6*Workings!O57/Workings!O56</f>
        <v>1457.5093807492631</v>
      </c>
      <c r="P101" s="28">
        <f>Workings!P216*Assumption!$D$6*Workings!P57/Workings!P56</f>
        <v>1540.8789173281211</v>
      </c>
      <c r="Q101" s="28">
        <f>Workings!Q216*Assumption!$D$6*Workings!Q57/Workings!Q56</f>
        <v>1629.0171913992895</v>
      </c>
      <c r="R101" s="28">
        <f>Workings!R216*Assumption!$D$6*Workings!R57/Workings!R56</f>
        <v>1722.1969747473288</v>
      </c>
      <c r="S101" s="28">
        <f>Workings!S216*Assumption!$D$6*Workings!S57/Workings!S56</f>
        <v>1820.7066417028761</v>
      </c>
      <c r="T101" s="28">
        <f>Workings!T216*Assumption!$D$6*Workings!T57/Workings!T56</f>
        <v>1924.8510616082804</v>
      </c>
      <c r="U101" s="28">
        <f>Workings!U216*Assumption!$D$6*Workings!U57/Workings!U56</f>
        <v>2034.9525423322737</v>
      </c>
      <c r="V101" s="28">
        <f>Workings!V216*Assumption!$D$6*Workings!V57/Workings!V56</f>
        <v>2151.35182775368</v>
      </c>
      <c r="W101" s="28">
        <f>Workings!W216*Assumption!$D$6*Workings!W57/Workings!W56</f>
        <v>2274.4091523011903</v>
      </c>
      <c r="X101" s="28">
        <f>Workings!X216*Assumption!$D$6*Workings!X57/Workings!X56</f>
        <v>2404.5053558128184</v>
      </c>
      <c r="Y101" s="28">
        <f>Workings!Y216*Assumption!$D$6*Workings!Y57/Workings!Y56</f>
        <v>2542.0430621653113</v>
      </c>
      <c r="Z101" s="156">
        <f>Workings!Z216*Assumption!$D$6*Workings!Z57/Workings!Z56</f>
        <v>2687.4479253211666</v>
      </c>
    </row>
    <row r="102" spans="1:26" ht="14.25" customHeight="1">
      <c r="A102" s="166" t="s">
        <v>19</v>
      </c>
      <c r="B102" s="28">
        <f>Workings!$C$209*Workings!B180*Workings!B57/Workings!B56</f>
        <v>1000.915240986473</v>
      </c>
      <c r="C102" s="28">
        <f>Workings!$C$209*Workings!C180*Workings!C57/Workings!C56</f>
        <v>1003.6650081320402</v>
      </c>
      <c r="D102" s="28">
        <f>Workings!$C$209*Workings!D180*Workings!D57/Workings!D56</f>
        <v>1003.6650081320402</v>
      </c>
      <c r="E102" s="28">
        <f>Workings!$C$209*Workings!E180*Workings!E57/Workings!E56</f>
        <v>1003.6650081320402</v>
      </c>
      <c r="F102" s="28">
        <f>Workings!$C$209*Workings!F180*Workings!F57/Workings!F56</f>
        <v>1003.6650081320402</v>
      </c>
      <c r="G102" s="28">
        <f>Workings!$C$209*Workings!G180*Workings!G57/Workings!G56</f>
        <v>1003.6650081320402</v>
      </c>
      <c r="H102" s="28">
        <f>Workings!$C$209*Workings!H180*Workings!H57/Workings!H56</f>
        <v>1003.6650081320402</v>
      </c>
      <c r="I102" s="28">
        <f>Workings!$C$209*Workings!I180*Workings!I57/Workings!I56</f>
        <v>1003.6650081320402</v>
      </c>
      <c r="J102" s="28">
        <f>Workings!$C$209*Workings!J180*Workings!J57/Workings!J56</f>
        <v>1003.6650081320402</v>
      </c>
      <c r="K102" s="28">
        <f>Workings!$C$209*Workings!K180*Workings!K57/Workings!K56</f>
        <v>1003.6650081320402</v>
      </c>
      <c r="L102" s="28">
        <f>Workings!$C$209*Workings!L180*Workings!L57/Workings!L56</f>
        <v>1003.6650081320402</v>
      </c>
      <c r="M102" s="28">
        <f>Workings!$C$209*Workings!M180*Workings!M57/Workings!M56</f>
        <v>1003.6650081320402</v>
      </c>
      <c r="N102" s="28">
        <f>Workings!$C$209*Workings!N180*Workings!N57/Workings!N56</f>
        <v>1003.6650081320402</v>
      </c>
      <c r="O102" s="28">
        <f>Workings!$C$209*Workings!O180*Workings!O57/Workings!O56</f>
        <v>1003.6650081320402</v>
      </c>
      <c r="P102" s="28">
        <f>Workings!$C$209*Workings!P180*Workings!P57/Workings!P56</f>
        <v>1003.6650081320402</v>
      </c>
      <c r="Q102" s="28">
        <f>Workings!$C$209*Workings!Q180*Workings!Q57/Workings!Q56</f>
        <v>1003.6650081320402</v>
      </c>
      <c r="R102" s="28">
        <f>Workings!$C$209*Workings!R180*Workings!R57/Workings!R56</f>
        <v>1003.6650081320402</v>
      </c>
      <c r="S102" s="28">
        <f>Workings!$C$209*Workings!S180*Workings!S57/Workings!S56</f>
        <v>1003.6650081320402</v>
      </c>
      <c r="T102" s="28">
        <f>Workings!$C$209*Workings!T180*Workings!T57/Workings!T56</f>
        <v>1262.069595515831</v>
      </c>
      <c r="U102" s="28">
        <f>Workings!$C$209*Workings!U180*Workings!U57/Workings!U56</f>
        <v>1262.069595515831</v>
      </c>
      <c r="V102" s="28">
        <f>Workings!$C$209*Workings!V180*Workings!V57/Workings!V56</f>
        <v>1262.069595515831</v>
      </c>
      <c r="W102" s="28">
        <f>Workings!$C$209*Workings!W180*Workings!W57/Workings!W56</f>
        <v>1262.069595515831</v>
      </c>
      <c r="X102" s="28">
        <f>Workings!$C$209*Workings!X180*Workings!X57/Workings!X56</f>
        <v>1262.069595515831</v>
      </c>
      <c r="Y102" s="28">
        <f>Workings!$C$209*Workings!Y180*Workings!Y57/Workings!Y56</f>
        <v>1262.069595515831</v>
      </c>
      <c r="Z102" s="156">
        <f>Workings!$C$209*Workings!Z180*Workings!Z57/Workings!Z56</f>
        <v>1262.069595515831</v>
      </c>
    </row>
    <row r="103" spans="1:26" ht="14.25" customHeight="1">
      <c r="A103" s="166" t="s">
        <v>237</v>
      </c>
      <c r="B103" s="28">
        <v>0</v>
      </c>
      <c r="C103" s="28">
        <v>0</v>
      </c>
      <c r="D103" s="28">
        <v>0</v>
      </c>
      <c r="E103" s="28">
        <v>0</v>
      </c>
      <c r="F103" s="28">
        <v>0</v>
      </c>
      <c r="G103" s="28">
        <v>0</v>
      </c>
      <c r="H103" s="28">
        <v>0</v>
      </c>
      <c r="I103" s="28">
        <v>0</v>
      </c>
      <c r="J103" s="28">
        <v>0</v>
      </c>
      <c r="K103" s="28">
        <v>0</v>
      </c>
      <c r="L103" s="28">
        <v>0</v>
      </c>
      <c r="M103" s="28">
        <v>0</v>
      </c>
      <c r="N103" s="28">
        <v>0</v>
      </c>
      <c r="O103" s="28">
        <v>0</v>
      </c>
      <c r="P103" s="28">
        <v>0</v>
      </c>
      <c r="Q103" s="28">
        <v>0</v>
      </c>
      <c r="R103" s="28">
        <v>0</v>
      </c>
      <c r="S103" s="28">
        <v>0</v>
      </c>
      <c r="T103" s="28">
        <v>0</v>
      </c>
      <c r="U103" s="28">
        <v>0</v>
      </c>
      <c r="V103" s="28">
        <v>0</v>
      </c>
      <c r="W103" s="28">
        <v>0</v>
      </c>
      <c r="X103" s="28">
        <v>0</v>
      </c>
      <c r="Y103" s="28">
        <v>0</v>
      </c>
      <c r="Z103" s="156">
        <f>-Assumption!$D$38*Assumption!$D$11</f>
        <v>-1791.596</v>
      </c>
    </row>
    <row r="104" spans="1:26" ht="14.25" customHeight="1">
      <c r="A104" s="166" t="s">
        <v>67</v>
      </c>
      <c r="B104" s="28">
        <f t="shared" ref="B104:Z104" ca="1" si="31">B133</f>
        <v>291.29145466411558</v>
      </c>
      <c r="C104" s="28">
        <f t="shared" ca="1" si="31"/>
        <v>294.56138521948833</v>
      </c>
      <c r="D104" s="28">
        <f t="shared" ca="1" si="31"/>
        <v>297.76309258760352</v>
      </c>
      <c r="E104" s="28">
        <f t="shared" ca="1" si="31"/>
        <v>298.35017333479379</v>
      </c>
      <c r="F104" s="28">
        <f t="shared" ca="1" si="31"/>
        <v>300.50893757064659</v>
      </c>
      <c r="G104" s="28">
        <f t="shared" ca="1" si="31"/>
        <v>302.85685700338587</v>
      </c>
      <c r="H104" s="28">
        <f t="shared" ca="1" si="31"/>
        <v>306.81103695903454</v>
      </c>
      <c r="I104" s="28">
        <f t="shared" ca="1" si="31"/>
        <v>308.16223765792915</v>
      </c>
      <c r="J104" s="28">
        <f t="shared" ca="1" si="31"/>
        <v>311.14224599628034</v>
      </c>
      <c r="K104" s="28">
        <f t="shared" ca="1" si="31"/>
        <v>314.35657315907355</v>
      </c>
      <c r="L104" s="28">
        <f t="shared" ca="1" si="31"/>
        <v>319.24913193462379</v>
      </c>
      <c r="M104" s="28">
        <f t="shared" ca="1" si="31"/>
        <v>321.54068982545255</v>
      </c>
      <c r="N104" s="28">
        <f t="shared" ca="1" si="31"/>
        <v>314.6743558322064</v>
      </c>
      <c r="O104" s="28">
        <f t="shared" ca="1" si="31"/>
        <v>320.34989103647769</v>
      </c>
      <c r="P104" s="28">
        <f t="shared" ca="1" si="31"/>
        <v>327.78650467814214</v>
      </c>
      <c r="Q104" s="28">
        <f t="shared" ca="1" si="31"/>
        <v>332.97068552050325</v>
      </c>
      <c r="R104" s="28">
        <f t="shared" ca="1" si="31"/>
        <v>340.39130996234809</v>
      </c>
      <c r="S104" s="28">
        <f t="shared" ca="1" si="31"/>
        <v>348.28106139778055</v>
      </c>
      <c r="T104" s="28">
        <f t="shared" ca="1" si="31"/>
        <v>363.28012008822424</v>
      </c>
      <c r="U104" s="28">
        <f t="shared" ca="1" si="31"/>
        <v>370.38696357061644</v>
      </c>
      <c r="V104" s="28">
        <f t="shared" ca="1" si="31"/>
        <v>379.48545465996312</v>
      </c>
      <c r="W104" s="28">
        <f t="shared" ca="1" si="31"/>
        <v>389.03279760269231</v>
      </c>
      <c r="X104" s="28">
        <f t="shared" ca="1" si="31"/>
        <v>400.74085384410699</v>
      </c>
      <c r="Y104" s="28">
        <f t="shared" ca="1" si="31"/>
        <v>409.57616846348935</v>
      </c>
      <c r="Z104" s="156">
        <f t="shared" ca="1" si="31"/>
        <v>384.84069878913891</v>
      </c>
    </row>
    <row r="105" spans="1:26" ht="14.25" customHeight="1">
      <c r="A105" s="166" t="s">
        <v>22</v>
      </c>
      <c r="B105" s="28">
        <f t="shared" ref="B105:Z105" ca="1" si="32">SUM(B99:B104)</f>
        <v>4385.2528834496143</v>
      </c>
      <c r="C105" s="28">
        <f t="shared" ca="1" si="32"/>
        <v>4326.8642099431991</v>
      </c>
      <c r="D105" s="29">
        <f t="shared" ca="1" si="32"/>
        <v>4262.6651235731497</v>
      </c>
      <c r="E105" s="29">
        <f t="shared" ca="1" si="32"/>
        <v>4191.6048077441337</v>
      </c>
      <c r="F105" s="29">
        <f t="shared" ca="1" si="32"/>
        <v>4128.0489240160678</v>
      </c>
      <c r="G105" s="29">
        <f t="shared" ca="1" si="32"/>
        <v>4067.4164055117853</v>
      </c>
      <c r="H105" s="29">
        <f t="shared" ca="1" si="32"/>
        <v>4013.3832221647958</v>
      </c>
      <c r="I105" s="29">
        <f t="shared" ca="1" si="32"/>
        <v>3955.5980735248604</v>
      </c>
      <c r="J105" s="29">
        <f t="shared" ca="1" si="32"/>
        <v>3904.7749501843955</v>
      </c>
      <c r="K105" s="29">
        <f t="shared" ca="1" si="32"/>
        <v>3857.6016944267767</v>
      </c>
      <c r="L105" s="29">
        <f t="shared" ca="1" si="32"/>
        <v>3816.5760504965638</v>
      </c>
      <c r="M105" s="29">
        <f t="shared" ca="1" si="32"/>
        <v>3775.0499442125147</v>
      </c>
      <c r="N105" s="29">
        <f t="shared" ca="1" si="32"/>
        <v>3185.353704247796</v>
      </c>
      <c r="O105" s="29">
        <f t="shared" ca="1" si="32"/>
        <v>3225.8074049778952</v>
      </c>
      <c r="P105" s="28">
        <f t="shared" ca="1" si="32"/>
        <v>3272.6229459007805</v>
      </c>
      <c r="Q105" s="28">
        <f t="shared" ca="1" si="32"/>
        <v>3338.403324756111</v>
      </c>
      <c r="R105" s="28">
        <f t="shared" ca="1" si="32"/>
        <v>3433.5920176568911</v>
      </c>
      <c r="S105" s="28">
        <f t="shared" ca="1" si="32"/>
        <v>3539.991436047871</v>
      </c>
      <c r="T105" s="28">
        <f t="shared" ca="1" si="32"/>
        <v>3917.5395020275091</v>
      </c>
      <c r="U105" s="28">
        <f t="shared" ca="1" si="32"/>
        <v>4034.747826233895</v>
      </c>
      <c r="V105" s="28">
        <f t="shared" ca="1" si="32"/>
        <v>4160.2456027446478</v>
      </c>
      <c r="W105" s="28">
        <f t="shared" ca="1" si="32"/>
        <v>4292.8502702348869</v>
      </c>
      <c r="X105" s="28">
        <f t="shared" ca="1" si="32"/>
        <v>4434.6545299879299</v>
      </c>
      <c r="Y105" s="28">
        <f t="shared" ca="1" si="32"/>
        <v>4581.027550959805</v>
      </c>
      <c r="Z105" s="156">
        <f t="shared" ca="1" si="32"/>
        <v>2910.1009444413103</v>
      </c>
    </row>
    <row r="106" spans="1:26" ht="14.25" customHeight="1">
      <c r="A106" s="166"/>
      <c r="B106" s="28"/>
      <c r="C106" s="28"/>
      <c r="D106" s="29"/>
      <c r="E106" s="29"/>
      <c r="F106" s="29"/>
      <c r="G106" s="29"/>
      <c r="H106" s="29"/>
      <c r="I106" s="29"/>
      <c r="J106" s="29"/>
      <c r="K106" s="29"/>
      <c r="L106" s="29"/>
      <c r="M106" s="29"/>
      <c r="N106" s="29"/>
      <c r="O106" s="29"/>
      <c r="P106" s="21"/>
      <c r="Q106" s="21"/>
      <c r="R106" s="21"/>
      <c r="S106" s="21"/>
      <c r="T106" s="21"/>
      <c r="U106" s="21"/>
      <c r="V106" s="21"/>
      <c r="W106" s="21"/>
      <c r="X106" s="21"/>
      <c r="Y106" s="21"/>
      <c r="Z106" s="148"/>
    </row>
    <row r="107" spans="1:26" ht="14.25" customHeight="1">
      <c r="A107" s="166" t="s">
        <v>98</v>
      </c>
      <c r="B107" s="41">
        <f>Assumption!$D$56</f>
        <v>0.85</v>
      </c>
      <c r="C107" s="41">
        <f>Assumption!$D$56</f>
        <v>0.85</v>
      </c>
      <c r="D107" s="41">
        <f>Assumption!$D$56</f>
        <v>0.85</v>
      </c>
      <c r="E107" s="41">
        <f>Assumption!$D$56</f>
        <v>0.85</v>
      </c>
      <c r="F107" s="41">
        <f>Assumption!$D$56</f>
        <v>0.85</v>
      </c>
      <c r="G107" s="41">
        <f>Assumption!$D$56</f>
        <v>0.85</v>
      </c>
      <c r="H107" s="41">
        <f>Assumption!$D$56</f>
        <v>0.85</v>
      </c>
      <c r="I107" s="41">
        <f>Assumption!$D$56</f>
        <v>0.85</v>
      </c>
      <c r="J107" s="41">
        <f>Assumption!$D$56</f>
        <v>0.85</v>
      </c>
      <c r="K107" s="41">
        <f>Assumption!$D$56</f>
        <v>0.85</v>
      </c>
      <c r="L107" s="41">
        <f>Assumption!$D$56</f>
        <v>0.85</v>
      </c>
      <c r="M107" s="41">
        <f>Assumption!$D$56</f>
        <v>0.85</v>
      </c>
      <c r="N107" s="41">
        <f>Assumption!$D$56</f>
        <v>0.85</v>
      </c>
      <c r="O107" s="41">
        <f>Assumption!$D$56</f>
        <v>0.85</v>
      </c>
      <c r="P107" s="41">
        <f>Assumption!$D$56</f>
        <v>0.85</v>
      </c>
      <c r="Q107" s="41">
        <f>Assumption!$D$56</f>
        <v>0.85</v>
      </c>
      <c r="R107" s="41">
        <f>Assumption!$D$56</f>
        <v>0.85</v>
      </c>
      <c r="S107" s="41">
        <f>Assumption!$D$56</f>
        <v>0.85</v>
      </c>
      <c r="T107" s="41">
        <f>Assumption!$D$56</f>
        <v>0.85</v>
      </c>
      <c r="U107" s="41">
        <f>Assumption!$D$56</f>
        <v>0.85</v>
      </c>
      <c r="V107" s="41">
        <f>Assumption!$D$56</f>
        <v>0.85</v>
      </c>
      <c r="W107" s="41">
        <f>Assumption!$D$56</f>
        <v>0.85</v>
      </c>
      <c r="X107" s="41">
        <f>Assumption!$D$56</f>
        <v>0.85</v>
      </c>
      <c r="Y107" s="41">
        <f>Assumption!$D$56</f>
        <v>0.85</v>
      </c>
      <c r="Z107" s="195">
        <f>Assumption!$D$56</f>
        <v>0.85</v>
      </c>
    </row>
    <row r="108" spans="1:26" ht="14.25" customHeight="1">
      <c r="A108" s="166"/>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148"/>
    </row>
    <row r="109" spans="1:26" ht="14.25" customHeight="1">
      <c r="A109" s="166" t="s">
        <v>51</v>
      </c>
      <c r="B109" s="28">
        <f t="shared" ref="B109:Z109" ca="1" si="33">B105</f>
        <v>4385.2528834496143</v>
      </c>
      <c r="C109" s="28">
        <f t="shared" ca="1" si="33"/>
        <v>4326.8642099431991</v>
      </c>
      <c r="D109" s="28">
        <f t="shared" ca="1" si="33"/>
        <v>4262.6651235731497</v>
      </c>
      <c r="E109" s="28">
        <f t="shared" ca="1" si="33"/>
        <v>4191.6048077441337</v>
      </c>
      <c r="F109" s="28">
        <f t="shared" ca="1" si="33"/>
        <v>4128.0489240160678</v>
      </c>
      <c r="G109" s="28">
        <f t="shared" ca="1" si="33"/>
        <v>4067.4164055117853</v>
      </c>
      <c r="H109" s="28">
        <f t="shared" ca="1" si="33"/>
        <v>4013.3832221647958</v>
      </c>
      <c r="I109" s="28">
        <f t="shared" ca="1" si="33"/>
        <v>3955.5980735248604</v>
      </c>
      <c r="J109" s="28">
        <f t="shared" ca="1" si="33"/>
        <v>3904.7749501843955</v>
      </c>
      <c r="K109" s="28">
        <f t="shared" ca="1" si="33"/>
        <v>3857.6016944267767</v>
      </c>
      <c r="L109" s="28">
        <f t="shared" ca="1" si="33"/>
        <v>3816.5760504965638</v>
      </c>
      <c r="M109" s="28">
        <f t="shared" ca="1" si="33"/>
        <v>3775.0499442125147</v>
      </c>
      <c r="N109" s="28">
        <f t="shared" ca="1" si="33"/>
        <v>3185.353704247796</v>
      </c>
      <c r="O109" s="28">
        <f t="shared" ca="1" si="33"/>
        <v>3225.8074049778952</v>
      </c>
      <c r="P109" s="28">
        <f t="shared" ca="1" si="33"/>
        <v>3272.6229459007805</v>
      </c>
      <c r="Q109" s="28">
        <f t="shared" ca="1" si="33"/>
        <v>3338.403324756111</v>
      </c>
      <c r="R109" s="28">
        <f t="shared" ca="1" si="33"/>
        <v>3433.5920176568911</v>
      </c>
      <c r="S109" s="28">
        <f t="shared" ca="1" si="33"/>
        <v>3539.991436047871</v>
      </c>
      <c r="T109" s="28">
        <f t="shared" ca="1" si="33"/>
        <v>3917.5395020275091</v>
      </c>
      <c r="U109" s="28">
        <f t="shared" ca="1" si="33"/>
        <v>4034.747826233895</v>
      </c>
      <c r="V109" s="28">
        <f t="shared" ca="1" si="33"/>
        <v>4160.2456027446478</v>
      </c>
      <c r="W109" s="28">
        <f t="shared" ca="1" si="33"/>
        <v>4292.8502702348869</v>
      </c>
      <c r="X109" s="28">
        <f t="shared" ca="1" si="33"/>
        <v>4434.6545299879299</v>
      </c>
      <c r="Y109" s="28">
        <f t="shared" ca="1" si="33"/>
        <v>4581.027550959805</v>
      </c>
      <c r="Z109" s="156">
        <f t="shared" ca="1" si="33"/>
        <v>2910.1009444413103</v>
      </c>
    </row>
    <row r="110" spans="1:26" ht="14.25" customHeight="1">
      <c r="A110" s="178" t="s">
        <v>70</v>
      </c>
      <c r="B110" s="37">
        <f ca="1">B109/Workings!B262</f>
        <v>1.591695241647078</v>
      </c>
      <c r="C110" s="37">
        <f ca="1">C109/Workings!C262</f>
        <v>1.5661994254119902</v>
      </c>
      <c r="D110" s="37">
        <f ca="1">D109/Workings!D262</f>
        <v>1.5387454759921395</v>
      </c>
      <c r="E110" s="37">
        <f ca="1">E109/Workings!E262</f>
        <v>1.5172394424481324</v>
      </c>
      <c r="F110" s="37">
        <f ca="1">F109/Workings!F262</f>
        <v>1.4942340547709083</v>
      </c>
      <c r="G110" s="37">
        <f ca="1">G109/Workings!G262</f>
        <v>1.4722868405679612</v>
      </c>
      <c r="H110" s="37">
        <f ca="1">H109/Workings!H262</f>
        <v>1.448759191140073</v>
      </c>
      <c r="I110" s="37">
        <f ca="1">I109/Workings!I262</f>
        <v>1.4318118455574875</v>
      </c>
      <c r="J110" s="37">
        <f ca="1">J109/Workings!J262</f>
        <v>1.4134153480684839</v>
      </c>
      <c r="K110" s="37">
        <f ca="1">K109/Workings!K262</f>
        <v>1.3963399968493235</v>
      </c>
      <c r="L110" s="37">
        <f ca="1">L109/Workings!L262</f>
        <v>1.3777153403405875</v>
      </c>
      <c r="M110" s="37">
        <f ca="1">M109/Workings!M262</f>
        <v>1.3664586561187282</v>
      </c>
      <c r="N110" s="37">
        <f ca="1">N109/Workings!N262</f>
        <v>1.1530057102005391</v>
      </c>
      <c r="O110" s="37">
        <f ca="1">O109/Workings!O262</f>
        <v>1.1676487772729169</v>
      </c>
      <c r="P110" s="37">
        <f ca="1">P109/Workings!P262</f>
        <v>1.1813580486969442</v>
      </c>
      <c r="Q110" s="37">
        <f ca="1">Q109/Workings!Q262</f>
        <v>1.2084052365246603</v>
      </c>
      <c r="R110" s="37">
        <f ca="1">R109/Workings!R262</f>
        <v>1.2428607842130581</v>
      </c>
      <c r="S110" s="37">
        <f ca="1">S109/Workings!S262</f>
        <v>1.2813742895745566</v>
      </c>
      <c r="T110" s="37">
        <f ca="1">T109/Workings!T262</f>
        <v>1.414161331235966</v>
      </c>
      <c r="U110" s="37">
        <f ca="1">U109/Workings!U262</f>
        <v>1.4604617618015701</v>
      </c>
      <c r="V110" s="37">
        <f ca="1">V109/Workings!V262</f>
        <v>1.5058883192169699</v>
      </c>
      <c r="W110" s="37">
        <f ca="1">W109/Workings!W262</f>
        <v>1.5538873651664351</v>
      </c>
      <c r="X110" s="37">
        <f ca="1">X109/Workings!X262</f>
        <v>1.6008305597055599</v>
      </c>
      <c r="Y110" s="37">
        <f ca="1">Y109/Workings!Y262</f>
        <v>1.6581991876754389</v>
      </c>
      <c r="Z110" s="154">
        <f ca="1">Z109/Workings!Z262</f>
        <v>1.0533721896335413</v>
      </c>
    </row>
    <row r="111" spans="1:26" ht="14.25" customHeight="1">
      <c r="A111" s="166"/>
      <c r="B111" s="55"/>
      <c r="C111" s="55"/>
      <c r="D111" s="55"/>
      <c r="E111" s="55"/>
      <c r="F111" s="55"/>
      <c r="G111" s="55"/>
      <c r="H111" s="55"/>
      <c r="I111" s="55"/>
      <c r="J111" s="55"/>
      <c r="K111" s="55"/>
      <c r="L111" s="55"/>
      <c r="M111" s="55"/>
      <c r="N111" s="55"/>
      <c r="O111" s="55"/>
      <c r="P111" s="55"/>
      <c r="Q111" s="21"/>
      <c r="R111" s="21"/>
      <c r="S111" s="21"/>
      <c r="T111" s="21"/>
      <c r="U111" s="21"/>
      <c r="V111" s="21"/>
      <c r="W111" s="21"/>
      <c r="X111" s="21"/>
      <c r="Y111" s="21"/>
      <c r="Z111" s="148"/>
    </row>
    <row r="112" spans="1:26" ht="14.25" customHeight="1">
      <c r="A112" s="166"/>
      <c r="B112" s="55"/>
      <c r="C112" s="55"/>
      <c r="D112" s="55"/>
      <c r="E112" s="55"/>
      <c r="F112" s="55"/>
      <c r="G112" s="55"/>
      <c r="H112" s="55"/>
      <c r="I112" s="55"/>
      <c r="J112" s="55"/>
      <c r="K112" s="55"/>
      <c r="L112" s="55"/>
      <c r="M112" s="55"/>
      <c r="N112" s="55"/>
      <c r="O112" s="55"/>
      <c r="P112" s="55"/>
      <c r="Q112" s="21"/>
      <c r="R112" s="21"/>
      <c r="S112" s="21"/>
      <c r="T112" s="21"/>
      <c r="U112" s="21"/>
      <c r="V112" s="21"/>
      <c r="W112" s="21"/>
      <c r="X112" s="21"/>
      <c r="Y112" s="21"/>
      <c r="Z112" s="148"/>
    </row>
    <row r="113" spans="1:26" ht="14.25" customHeight="1">
      <c r="A113" s="166" t="s">
        <v>271</v>
      </c>
      <c r="B113" s="28">
        <f t="shared" ref="B113:Z113" ca="1" si="34">B110+B96</f>
        <v>3.7471938455391887</v>
      </c>
      <c r="C113" s="28">
        <f t="shared" ca="1" si="34"/>
        <v>3.736786519531345</v>
      </c>
      <c r="D113" s="28">
        <f t="shared" ca="1" si="34"/>
        <v>3.7245266797703294</v>
      </c>
      <c r="E113" s="28">
        <f t="shared" ca="1" si="34"/>
        <v>3.7183211146527695</v>
      </c>
      <c r="F113" s="28">
        <f t="shared" ca="1" si="34"/>
        <v>3.7107232986809771</v>
      </c>
      <c r="G113" s="28">
        <f t="shared" ca="1" si="34"/>
        <v>3.704291509185401</v>
      </c>
      <c r="H113" s="28">
        <f t="shared" ca="1" si="34"/>
        <v>3.6963878924378344</v>
      </c>
      <c r="I113" s="28">
        <f t="shared" ca="1" si="34"/>
        <v>3.6951739477643333</v>
      </c>
      <c r="J113" s="28">
        <f t="shared" ca="1" si="34"/>
        <v>3.6926209849907776</v>
      </c>
      <c r="K113" s="28">
        <f t="shared" ca="1" si="34"/>
        <v>3.6915000732300731</v>
      </c>
      <c r="L113" s="28">
        <f t="shared" ca="1" si="34"/>
        <v>3.6889415372560017</v>
      </c>
      <c r="M113" s="28">
        <f t="shared" ca="1" si="34"/>
        <v>3.69386343641255</v>
      </c>
      <c r="N113" s="28">
        <f t="shared" ca="1" si="34"/>
        <v>3.4967023239564177</v>
      </c>
      <c r="O113" s="28">
        <f t="shared" ca="1" si="34"/>
        <v>3.5277512673250868</v>
      </c>
      <c r="P113" s="28">
        <f t="shared" ca="1" si="34"/>
        <v>3.5579812561794784</v>
      </c>
      <c r="Q113" s="28">
        <f t="shared" ca="1" si="34"/>
        <v>3.601664806459572</v>
      </c>
      <c r="R113" s="28">
        <f t="shared" ca="1" si="34"/>
        <v>3.6528731711375144</v>
      </c>
      <c r="S113" s="28">
        <f t="shared" ca="1" si="34"/>
        <v>3.7082567632074834</v>
      </c>
      <c r="T113" s="28">
        <f t="shared" ca="1" si="34"/>
        <v>3.8580319821843236</v>
      </c>
      <c r="U113" s="28">
        <f t="shared" ca="1" si="34"/>
        <v>3.9214395073065651</v>
      </c>
      <c r="V113" s="28">
        <f t="shared" ca="1" si="34"/>
        <v>3.9840929089405002</v>
      </c>
      <c r="W113" s="28">
        <f t="shared" ca="1" si="34"/>
        <v>4.0494393870180287</v>
      </c>
      <c r="X113" s="28">
        <f t="shared" ca="1" si="34"/>
        <v>4.1138514457101145</v>
      </c>
      <c r="Y113" s="28">
        <f t="shared" ca="1" si="34"/>
        <v>4.1888112198820258</v>
      </c>
      <c r="Z113" s="156">
        <f t="shared" ca="1" si="34"/>
        <v>3.6016985060655737</v>
      </c>
    </row>
    <row r="114" spans="1:26" ht="14.25" customHeight="1">
      <c r="A114" s="166"/>
      <c r="B114" s="55"/>
      <c r="C114" s="55"/>
      <c r="D114" s="55"/>
      <c r="E114" s="55"/>
      <c r="F114" s="55"/>
      <c r="G114" s="55"/>
      <c r="H114" s="55"/>
      <c r="I114" s="55"/>
      <c r="J114" s="55"/>
      <c r="K114" s="55"/>
      <c r="L114" s="55"/>
      <c r="M114" s="55"/>
      <c r="N114" s="55"/>
      <c r="O114" s="55"/>
      <c r="P114" s="55"/>
      <c r="Q114" s="21"/>
      <c r="R114" s="21"/>
      <c r="S114" s="21"/>
      <c r="T114" s="21"/>
      <c r="U114" s="21"/>
      <c r="V114" s="21"/>
      <c r="W114" s="21"/>
      <c r="X114" s="21"/>
      <c r="Y114" s="21"/>
      <c r="Z114" s="148"/>
    </row>
    <row r="115" spans="1:26" ht="14.25" customHeight="1">
      <c r="A115" s="166" t="s">
        <v>52</v>
      </c>
      <c r="B115" s="55"/>
      <c r="C115" s="55"/>
      <c r="D115" s="55"/>
      <c r="E115" s="55"/>
      <c r="F115" s="55"/>
      <c r="G115" s="55"/>
      <c r="H115" s="55"/>
      <c r="I115" s="55"/>
      <c r="J115" s="55"/>
      <c r="K115" s="55"/>
      <c r="L115" s="55"/>
      <c r="M115" s="55"/>
      <c r="N115" s="55"/>
      <c r="O115" s="55"/>
      <c r="P115" s="55"/>
      <c r="Q115" s="21"/>
      <c r="R115" s="21"/>
      <c r="S115" s="21"/>
      <c r="T115" s="21"/>
      <c r="U115" s="21"/>
      <c r="V115" s="21"/>
      <c r="W115" s="21"/>
      <c r="X115" s="21"/>
      <c r="Y115" s="21"/>
      <c r="Z115" s="148"/>
    </row>
    <row r="116" spans="1:26" ht="14.25" customHeight="1">
      <c r="A116" s="166" t="s">
        <v>15</v>
      </c>
      <c r="B116" s="55"/>
      <c r="C116" s="55"/>
      <c r="D116" s="55"/>
      <c r="E116" s="55"/>
      <c r="F116" s="55"/>
      <c r="G116" s="55"/>
      <c r="H116" s="55"/>
      <c r="I116" s="55"/>
      <c r="J116" s="55"/>
      <c r="K116" s="55"/>
      <c r="L116" s="55"/>
      <c r="M116" s="55"/>
      <c r="N116" s="55"/>
      <c r="O116" s="55"/>
      <c r="P116" s="55"/>
      <c r="Q116" s="21"/>
      <c r="R116" s="21"/>
      <c r="S116" s="21"/>
      <c r="T116" s="21"/>
      <c r="U116" s="21"/>
      <c r="V116" s="21"/>
      <c r="W116" s="21"/>
      <c r="X116" s="21"/>
      <c r="Y116" s="21"/>
      <c r="Z116" s="148"/>
    </row>
    <row r="117" spans="1:26" ht="14.25" customHeight="1">
      <c r="A117" s="178" t="s">
        <v>48</v>
      </c>
      <c r="B117" s="37">
        <v>1</v>
      </c>
      <c r="C117" s="37">
        <f>B117/Assumption!$D$69</f>
        <v>0.90752336872674466</v>
      </c>
      <c r="D117" s="37">
        <f>C117/Assumption!$D$69</f>
        <v>0.82359866478513888</v>
      </c>
      <c r="E117" s="37">
        <f>D117/Assumption!$D$69</f>
        <v>0.74743503474465811</v>
      </c>
      <c r="F117" s="37">
        <f>E117/Assumption!$D$69</f>
        <v>0.6783147606358636</v>
      </c>
      <c r="G117" s="37">
        <f>F117/Assumption!$D$69</f>
        <v>0.6155864966293344</v>
      </c>
      <c r="H117" s="37">
        <f>G117/Assumption!$D$69</f>
        <v>0.55865913116374843</v>
      </c>
      <c r="I117" s="37">
        <f>H117/Assumption!$D$69</f>
        <v>0.50699621668368122</v>
      </c>
      <c r="J117" s="37">
        <f>I117/Assumption!$D$69</f>
        <v>0.46011091449648894</v>
      </c>
      <c r="K117" s="37">
        <f>J117/Assumption!$D$69</f>
        <v>0.41756140711179679</v>
      </c>
      <c r="L117" s="37">
        <f>K117/Assumption!$D$69</f>
        <v>0.37894673483237751</v>
      </c>
      <c r="M117" s="37">
        <f>L117/Assumption!$D$69</f>
        <v>0.34390301736307965</v>
      </c>
      <c r="N117" s="37">
        <f>M117/Assumption!$D$69</f>
        <v>0.31210002483263422</v>
      </c>
      <c r="O117" s="37">
        <f>N117/Assumption!$D$69</f>
        <v>0.28323806591581285</v>
      </c>
      <c r="P117" s="37">
        <f>O117/Assumption!$D$69</f>
        <v>0.25704516373156622</v>
      </c>
      <c r="Q117" s="37">
        <f>P117/Assumption!$D$69</f>
        <v>0.23327449290458863</v>
      </c>
      <c r="R117" s="37">
        <f>Q117/Assumption!$D$69</f>
        <v>0.21170205363879535</v>
      </c>
      <c r="S117" s="37">
        <f>R117/Assumption!$D$69</f>
        <v>0.19212456088464955</v>
      </c>
      <c r="T117" s="37">
        <f>S117/Assumption!$D$69</f>
        <v>0.17435752870918372</v>
      </c>
      <c r="U117" s="37">
        <f>T117/Assumption!$D$69</f>
        <v>0.15823353181702851</v>
      </c>
      <c r="V117" s="37">
        <f>U117/Assumption!$D$69</f>
        <v>0.14360062784012023</v>
      </c>
      <c r="W117" s="37">
        <f>V117/Assumption!$D$69</f>
        <v>0.13032092552874147</v>
      </c>
      <c r="X117" s="37">
        <f>W117/Assumption!$D$69</f>
        <v>0.11826928535143068</v>
      </c>
      <c r="Y117" s="37">
        <f>X117/Assumption!$D$69</f>
        <v>0.10733214025903499</v>
      </c>
      <c r="Z117" s="154">
        <f>Y117/Assumption!$D$69</f>
        <v>9.7406425500530885E-2</v>
      </c>
    </row>
    <row r="118" spans="1:26" ht="14.25" customHeight="1">
      <c r="A118" s="178" t="s">
        <v>39</v>
      </c>
      <c r="B118" s="37">
        <f t="shared" ref="B118:Z118" ca="1" si="35">B110*B117</f>
        <v>1.591695241647078</v>
      </c>
      <c r="C118" s="37">
        <f t="shared" ca="1" si="35"/>
        <v>1.4213625786477813</v>
      </c>
      <c r="D118" s="37">
        <f t="shared" ca="1" si="35"/>
        <v>1.2673087194712991</v>
      </c>
      <c r="E118" s="37">
        <f t="shared" ca="1" si="35"/>
        <v>1.1340379153821856</v>
      </c>
      <c r="F118" s="37">
        <f t="shared" ca="1" si="35"/>
        <v>1.0135610151958845</v>
      </c>
      <c r="G118" s="37">
        <f t="shared" ca="1" si="35"/>
        <v>0.90631989821870262</v>
      </c>
      <c r="H118" s="37">
        <f t="shared" ca="1" si="35"/>
        <v>0.80936255098780818</v>
      </c>
      <c r="I118" s="37">
        <f t="shared" ca="1" si="35"/>
        <v>0.72592318870052541</v>
      </c>
      <c r="J118" s="37">
        <f t="shared" ca="1" si="35"/>
        <v>0.65032782836316338</v>
      </c>
      <c r="K118" s="37">
        <f t="shared" ca="1" si="35"/>
        <v>0.58305769389088546</v>
      </c>
      <c r="L118" s="37">
        <f t="shared" ca="1" si="35"/>
        <v>0.52208072975054332</v>
      </c>
      <c r="M118" s="37">
        <f t="shared" ca="1" si="35"/>
        <v>0.46992925494112947</v>
      </c>
      <c r="N118" s="37">
        <f t="shared" ca="1" si="35"/>
        <v>0.35985311078575732</v>
      </c>
      <c r="O118" s="37">
        <f t="shared" ca="1" si="35"/>
        <v>0.33072258134374471</v>
      </c>
      <c r="P118" s="37">
        <f t="shared" ca="1" si="35"/>
        <v>0.30366237305290961</v>
      </c>
      <c r="Q118" s="37">
        <f t="shared" ca="1" si="35"/>
        <v>0.28189011877353959</v>
      </c>
      <c r="R118" s="37">
        <f t="shared" ca="1" si="35"/>
        <v>0.2631161804050281</v>
      </c>
      <c r="S118" s="37">
        <f t="shared" ca="1" si="35"/>
        <v>0.24618347271339144</v>
      </c>
      <c r="T118" s="37">
        <f t="shared" ca="1" si="35"/>
        <v>0.24656967491039242</v>
      </c>
      <c r="U118" s="37">
        <f t="shared" ca="1" si="35"/>
        <v>0.23109402265358225</v>
      </c>
      <c r="V118" s="37">
        <f t="shared" ca="1" si="35"/>
        <v>0.21624650809666027</v>
      </c>
      <c r="W118" s="37">
        <f t="shared" ca="1" si="35"/>
        <v>0.20250403959590729</v>
      </c>
      <c r="X118" s="37">
        <f t="shared" ca="1" si="35"/>
        <v>0.18932908626510733</v>
      </c>
      <c r="Y118" s="37">
        <f t="shared" ca="1" si="35"/>
        <v>0.17797806778899811</v>
      </c>
      <c r="Z118" s="154">
        <f t="shared" ca="1" si="35"/>
        <v>0.10260521971387063</v>
      </c>
    </row>
    <row r="119" spans="1:26" ht="14.25" customHeight="1">
      <c r="A119" s="166" t="s">
        <v>72</v>
      </c>
      <c r="B119" s="28">
        <f ca="1">SUM(B118:Z118)/SUM(B117:Z117)</f>
        <v>1.445246554104084</v>
      </c>
      <c r="C119" s="288" t="s">
        <v>71</v>
      </c>
      <c r="D119" s="288"/>
      <c r="E119" s="55"/>
      <c r="F119" s="55"/>
      <c r="G119" s="55"/>
      <c r="H119" s="55"/>
      <c r="I119" s="55"/>
      <c r="J119" s="55"/>
      <c r="K119" s="55"/>
      <c r="L119" s="55"/>
      <c r="M119" s="55"/>
      <c r="N119" s="55"/>
      <c r="O119" s="55"/>
      <c r="P119" s="55"/>
      <c r="Q119" s="21"/>
      <c r="R119" s="21"/>
      <c r="S119" s="21"/>
      <c r="T119" s="21"/>
      <c r="U119" s="21"/>
      <c r="V119" s="21"/>
      <c r="W119" s="21"/>
      <c r="X119" s="21"/>
      <c r="Y119" s="21"/>
      <c r="Z119" s="148"/>
    </row>
    <row r="120" spans="1:26" ht="14.25" customHeight="1">
      <c r="A120" s="166"/>
      <c r="B120" s="21"/>
      <c r="C120" s="55"/>
      <c r="D120" s="55"/>
      <c r="E120" s="55"/>
      <c r="F120" s="55"/>
      <c r="G120" s="55"/>
      <c r="H120" s="55"/>
      <c r="I120" s="55"/>
      <c r="J120" s="55"/>
      <c r="K120" s="55"/>
      <c r="L120" s="55"/>
      <c r="M120" s="55"/>
      <c r="N120" s="55"/>
      <c r="O120" s="55"/>
      <c r="P120" s="55"/>
      <c r="Q120" s="21"/>
      <c r="R120" s="21"/>
      <c r="S120" s="21"/>
      <c r="T120" s="21"/>
      <c r="U120" s="21"/>
      <c r="V120" s="21"/>
      <c r="W120" s="21"/>
      <c r="X120" s="21"/>
      <c r="Y120" s="21"/>
      <c r="Z120" s="148"/>
    </row>
    <row r="121" spans="1:26" ht="14.25" customHeight="1">
      <c r="A121" s="166" t="s">
        <v>42</v>
      </c>
      <c r="B121" s="21"/>
      <c r="C121" s="55"/>
      <c r="D121" s="55"/>
      <c r="E121" s="55"/>
      <c r="F121" s="55"/>
      <c r="G121" s="55"/>
      <c r="H121" s="55"/>
      <c r="I121" s="55"/>
      <c r="J121" s="55"/>
      <c r="K121" s="55"/>
      <c r="L121" s="55"/>
      <c r="M121" s="55"/>
      <c r="N121" s="55"/>
      <c r="O121" s="55"/>
      <c r="P121" s="55"/>
      <c r="Q121" s="21"/>
      <c r="R121" s="21"/>
      <c r="S121" s="21"/>
      <c r="T121" s="21"/>
      <c r="U121" s="21"/>
      <c r="V121" s="21"/>
      <c r="W121" s="21"/>
      <c r="X121" s="21"/>
      <c r="Y121" s="21"/>
      <c r="Z121" s="148"/>
    </row>
    <row r="122" spans="1:26" ht="14.25" customHeight="1">
      <c r="A122" s="178" t="s">
        <v>48</v>
      </c>
      <c r="B122" s="37">
        <v>1</v>
      </c>
      <c r="C122" s="37">
        <f>B122/Assumption!$D$69</f>
        <v>0.90752336872674466</v>
      </c>
      <c r="D122" s="37">
        <f>C122/Assumption!$D$69</f>
        <v>0.82359866478513888</v>
      </c>
      <c r="E122" s="37">
        <f>D122/Assumption!$D$69</f>
        <v>0.74743503474465811</v>
      </c>
      <c r="F122" s="37">
        <f>E122/Assumption!$D$69</f>
        <v>0.6783147606358636</v>
      </c>
      <c r="G122" s="37">
        <f>F122/Assumption!$D$69</f>
        <v>0.6155864966293344</v>
      </c>
      <c r="H122" s="37">
        <f>G122/Assumption!$D$69</f>
        <v>0.55865913116374843</v>
      </c>
      <c r="I122" s="37">
        <f>H122/Assumption!$D$69</f>
        <v>0.50699621668368122</v>
      </c>
      <c r="J122" s="37">
        <f>I122/Assumption!$D$69</f>
        <v>0.46011091449648894</v>
      </c>
      <c r="K122" s="37">
        <f>J122/Assumption!$D$69</f>
        <v>0.41756140711179679</v>
      </c>
      <c r="L122" s="37">
        <f>K122/Assumption!$D$69</f>
        <v>0.37894673483237751</v>
      </c>
      <c r="M122" s="37">
        <f>L122/Assumption!$D$69</f>
        <v>0.34390301736307965</v>
      </c>
      <c r="N122" s="37">
        <f>M122/Assumption!$D$69</f>
        <v>0.31210002483263422</v>
      </c>
      <c r="O122" s="37">
        <f>N122/Assumption!$D$69</f>
        <v>0.28323806591581285</v>
      </c>
      <c r="P122" s="37">
        <f>O122/Assumption!$D$69</f>
        <v>0.25704516373156622</v>
      </c>
      <c r="Q122" s="37">
        <f>P122/Assumption!$D$69</f>
        <v>0.23327449290458863</v>
      </c>
      <c r="R122" s="37">
        <f>Q122/Assumption!$D$69</f>
        <v>0.21170205363879535</v>
      </c>
      <c r="S122" s="37">
        <f>R122/Assumption!$D$69</f>
        <v>0.19212456088464955</v>
      </c>
      <c r="T122" s="37">
        <f>S122/Assumption!$D$69</f>
        <v>0.17435752870918372</v>
      </c>
      <c r="U122" s="37">
        <f>T122/Assumption!$D$69</f>
        <v>0.15823353181702851</v>
      </c>
      <c r="V122" s="37">
        <f>U122/Assumption!$D$69</f>
        <v>0.14360062784012023</v>
      </c>
      <c r="W122" s="37">
        <f>V122/Assumption!$D$69</f>
        <v>0.13032092552874147</v>
      </c>
      <c r="X122" s="37">
        <f>W122/Assumption!$D$69</f>
        <v>0.11826928535143068</v>
      </c>
      <c r="Y122" s="37">
        <f>X122/Assumption!$D$69</f>
        <v>0.10733214025903499</v>
      </c>
      <c r="Z122" s="154">
        <f>Y122/Assumption!$D$69</f>
        <v>9.7406425500530885E-2</v>
      </c>
    </row>
    <row r="123" spans="1:26" ht="14.25" customHeight="1">
      <c r="A123" s="178" t="s">
        <v>39</v>
      </c>
      <c r="B123" s="37">
        <f t="shared" ref="B123:Z123" si="36">B122*B96</f>
        <v>2.1554986038921107</v>
      </c>
      <c r="C123" s="37">
        <f t="shared" si="36"/>
        <v>1.9698585117699925</v>
      </c>
      <c r="D123" s="37">
        <f t="shared" si="36"/>
        <v>1.8002064809441707</v>
      </c>
      <c r="E123" s="37">
        <f t="shared" si="36"/>
        <v>1.6451655561401031</v>
      </c>
      <c r="F123" s="37">
        <f t="shared" si="36"/>
        <v>1.5034773709348246</v>
      </c>
      <c r="G123" s="37">
        <f t="shared" si="36"/>
        <v>1.3739919344145284</v>
      </c>
      <c r="H123" s="37">
        <f t="shared" si="36"/>
        <v>1.2556582974457116</v>
      </c>
      <c r="I123" s="37">
        <f t="shared" si="36"/>
        <v>1.1475160228040944</v>
      </c>
      <c r="J123" s="37">
        <f t="shared" si="36"/>
        <v>1.0486873899298692</v>
      </c>
      <c r="K123" s="37">
        <f t="shared" si="36"/>
        <v>0.95837027104036465</v>
      </c>
      <c r="L123" s="37">
        <f t="shared" si="36"/>
        <v>0.87583162078014976</v>
      </c>
      <c r="M123" s="37">
        <f t="shared" si="36"/>
        <v>0.80040152656830088</v>
      </c>
      <c r="N123" s="37">
        <f t="shared" si="36"/>
        <v>0.73146777135337038</v>
      </c>
      <c r="O123" s="37">
        <f t="shared" si="36"/>
        <v>0.66847086464547056</v>
      </c>
      <c r="P123" s="37">
        <f t="shared" si="36"/>
        <v>0.61089950149558803</v>
      </c>
      <c r="Q123" s="37">
        <f t="shared" si="36"/>
        <v>0.55828641256562039</v>
      </c>
      <c r="R123" s="37">
        <f t="shared" si="36"/>
        <v>0.51020457160684252</v>
      </c>
      <c r="S123" s="37">
        <f t="shared" si="36"/>
        <v>0.4662637295653782</v>
      </c>
      <c r="T123" s="37">
        <f t="shared" si="36"/>
        <v>0.42610724718425974</v>
      </c>
      <c r="U123" s="37">
        <f t="shared" si="36"/>
        <v>0.38940920039436377</v>
      </c>
      <c r="V123" s="37">
        <f t="shared" si="36"/>
        <v>0.35587173500056651</v>
      </c>
      <c r="W123" s="37">
        <f t="shared" si="36"/>
        <v>0.32522264919282179</v>
      </c>
      <c r="X123" s="37">
        <f t="shared" si="36"/>
        <v>0.29721318426097787</v>
      </c>
      <c r="Y123" s="37">
        <f t="shared" si="36"/>
        <v>0.27161600558199894</v>
      </c>
      <c r="Z123" s="154">
        <f t="shared" si="36"/>
        <v>0.24822335749257907</v>
      </c>
    </row>
    <row r="124" spans="1:26" ht="14.25" customHeight="1">
      <c r="A124" s="178" t="s">
        <v>73</v>
      </c>
      <c r="B124" s="28">
        <f>SUM(B123:Z123)/SUM(B122:Z122)</f>
        <v>2.2717322313283965</v>
      </c>
      <c r="C124" s="55" t="s">
        <v>71</v>
      </c>
      <c r="D124" s="21"/>
      <c r="E124" s="21"/>
      <c r="F124" s="21"/>
      <c r="G124" s="21"/>
      <c r="H124" s="21"/>
      <c r="I124" s="21"/>
      <c r="J124" s="21"/>
      <c r="K124" s="21"/>
      <c r="L124" s="21"/>
      <c r="M124" s="21"/>
      <c r="N124" s="21"/>
      <c r="O124" s="21"/>
      <c r="P124" s="21"/>
      <c r="Q124" s="21"/>
      <c r="R124" s="21"/>
      <c r="S124" s="21"/>
      <c r="T124" s="21"/>
      <c r="U124" s="21"/>
      <c r="V124" s="21"/>
      <c r="W124" s="21"/>
      <c r="X124" s="21"/>
      <c r="Y124" s="21"/>
      <c r="Z124" s="148"/>
    </row>
    <row r="125" spans="1:26" ht="14.25" customHeight="1">
      <c r="A125" s="166"/>
      <c r="B125" s="21"/>
      <c r="C125" s="55"/>
      <c r="D125" s="55"/>
      <c r="E125" s="55"/>
      <c r="F125" s="55"/>
      <c r="G125" s="55"/>
      <c r="H125" s="55"/>
      <c r="I125" s="55"/>
      <c r="J125" s="55"/>
      <c r="K125" s="55"/>
      <c r="L125" s="55"/>
      <c r="M125" s="55"/>
      <c r="N125" s="55"/>
      <c r="O125" s="55"/>
      <c r="P125" s="55"/>
      <c r="Q125" s="21"/>
      <c r="R125" s="21"/>
      <c r="S125" s="21"/>
      <c r="T125" s="21"/>
      <c r="U125" s="21"/>
      <c r="V125" s="21"/>
      <c r="W125" s="21"/>
      <c r="X125" s="21"/>
      <c r="Y125" s="21"/>
      <c r="Z125" s="148"/>
    </row>
    <row r="126" spans="1:26" ht="14.25" customHeight="1">
      <c r="A126" s="166"/>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148"/>
    </row>
    <row r="127" spans="1:26" ht="14.25" customHeight="1">
      <c r="A127" s="166" t="s">
        <v>272</v>
      </c>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148"/>
    </row>
    <row r="128" spans="1:26" ht="14.25" customHeight="1">
      <c r="A128" s="166" t="s">
        <v>174</v>
      </c>
      <c r="B128" s="28">
        <f>B101/12*Assumption!$D$79</f>
        <v>58.77540410958904</v>
      </c>
      <c r="C128" s="28">
        <f>C101/12*Assumption!$D$79</f>
        <v>62.308064250000001</v>
      </c>
      <c r="D128" s="28">
        <f>D101/12*Assumption!$D$79</f>
        <v>65.87208552509999</v>
      </c>
      <c r="E128" s="28">
        <f>E101/12*Assumption!$D$79</f>
        <v>69.63996881713571</v>
      </c>
      <c r="F128" s="28">
        <f>F101/12*Assumption!$D$79</f>
        <v>73.623375033475853</v>
      </c>
      <c r="G128" s="28">
        <f>G101/12*Assumption!$D$79</f>
        <v>77.834632085390666</v>
      </c>
      <c r="H128" s="28">
        <f>H101/12*Assumption!$D$79</f>
        <v>82.286773040675016</v>
      </c>
      <c r="I128" s="28">
        <f>I101/12*Assumption!$D$79</f>
        <v>86.993576458601623</v>
      </c>
      <c r="J128" s="28">
        <f>J101/12*Assumption!$D$79</f>
        <v>91.969609032033631</v>
      </c>
      <c r="K128" s="28">
        <f>K101/12*Assumption!$D$79</f>
        <v>97.230270668665938</v>
      </c>
      <c r="L128" s="28">
        <f>L101/12*Assumption!$D$79</f>
        <v>102.79184215091362</v>
      </c>
      <c r="M128" s="28">
        <f>M101/12*Assumption!$D$79</f>
        <v>108.67153552194588</v>
      </c>
      <c r="N128" s="28">
        <f>N101/12*Assumption!$D$79</f>
        <v>114.8875473538012</v>
      </c>
      <c r="O128" s="28">
        <f>O101/12*Assumption!$D$79</f>
        <v>121.45911506243858</v>
      </c>
      <c r="P128" s="28">
        <f>P101/12*Assumption!$D$79</f>
        <v>128.40657644401008</v>
      </c>
      <c r="Q128" s="28">
        <f>Q101/12*Assumption!$D$79</f>
        <v>135.75143261660745</v>
      </c>
      <c r="R128" s="28">
        <f>R101/12*Assumption!$D$79</f>
        <v>143.51641456227739</v>
      </c>
      <c r="S128" s="28">
        <f>S101/12*Assumption!$D$79</f>
        <v>151.72555347523968</v>
      </c>
      <c r="T128" s="28">
        <f>T101/12*Assumption!$D$79</f>
        <v>160.40425513402337</v>
      </c>
      <c r="U128" s="28">
        <f>U101/12*Assumption!$D$79</f>
        <v>169.57937852768947</v>
      </c>
      <c r="V128" s="28">
        <f>V101/12*Assumption!$D$79</f>
        <v>179.27931897947335</v>
      </c>
      <c r="W128" s="28">
        <f>W101/12*Assumption!$D$79</f>
        <v>189.53409602509919</v>
      </c>
      <c r="X128" s="28">
        <f>X101/12*Assumption!$D$79</f>
        <v>200.37544631773486</v>
      </c>
      <c r="Y128" s="28">
        <f>Y101/12*Assumption!$D$79</f>
        <v>211.83692184710927</v>
      </c>
      <c r="Z128" s="156">
        <f>Z101/12*Assumption!$D$79</f>
        <v>223.95399377676389</v>
      </c>
    </row>
    <row r="129" spans="1:26" ht="14.25" customHeight="1">
      <c r="A129" s="166" t="s">
        <v>20</v>
      </c>
      <c r="B129" s="28">
        <f>Workings!B233*Assumption!$D$78/12</f>
        <v>494.88150645221276</v>
      </c>
      <c r="C129" s="28">
        <f>Workings!C233*Assumption!$D$78/12</f>
        <v>499.71475852759062</v>
      </c>
      <c r="D129" s="28">
        <f>Workings!D233*Assumption!$D$78/12</f>
        <v>504.59142693820786</v>
      </c>
      <c r="E129" s="28">
        <f>Workings!E233*Assumption!$D$78/12</f>
        <v>506.73525117014464</v>
      </c>
      <c r="F129" s="28">
        <f>Workings!F233*Assumption!$D$78/12</f>
        <v>510.28239792833551</v>
      </c>
      <c r="G129" s="28">
        <f>Workings!G233*Assumption!$D$78/12</f>
        <v>513.85437471383398</v>
      </c>
      <c r="H129" s="28">
        <f>Workings!H233*Assumption!$D$78/12</f>
        <v>518.86903028295899</v>
      </c>
      <c r="I129" s="28">
        <f>Workings!I233*Assumption!$D$78/12</f>
        <v>521.07351482418846</v>
      </c>
      <c r="J129" s="28">
        <f>Workings!J233*Assumption!$D$78/12</f>
        <v>524.72102942795789</v>
      </c>
      <c r="K129" s="28">
        <f>Workings!K233*Assumption!$D$78/12</f>
        <v>528.39407663395343</v>
      </c>
      <c r="L129" s="28">
        <f>Workings!L233*Assumption!$D$78/12</f>
        <v>533.55062375989905</v>
      </c>
      <c r="M129" s="28">
        <f>Workings!M233*Assumption!$D$78/12</f>
        <v>535.81748501658376</v>
      </c>
      <c r="N129" s="28">
        <f>Workings!N233*Assumption!$D$78/12</f>
        <v>539.56820741169975</v>
      </c>
      <c r="O129" s="28">
        <f>Workings!O233*Assumption!$D$78/12</f>
        <v>543.34518486358172</v>
      </c>
      <c r="P129" s="28">
        <f>Workings!P233*Assumption!$D$78/12</f>
        <v>548.6476384210722</v>
      </c>
      <c r="Q129" s="28">
        <f>Workings!Q233*Assumption!$D$78/12</f>
        <v>550.97864136572991</v>
      </c>
      <c r="R129" s="28">
        <f>Workings!R233*Assumption!$D$78/12</f>
        <v>554.83549185529012</v>
      </c>
      <c r="S129" s="28">
        <f>Workings!S233*Assumption!$D$78/12</f>
        <v>558.71934029827696</v>
      </c>
      <c r="T129" s="28">
        <f>Workings!T233*Assumption!$D$78/12</f>
        <v>564.17182876442075</v>
      </c>
      <c r="U129" s="28">
        <f>Workings!U233*Assumption!$D$78/12</f>
        <v>566.56878831012727</v>
      </c>
      <c r="V129" s="28">
        <f>Workings!V233*Assumption!$D$78/12</f>
        <v>570.53476982829818</v>
      </c>
      <c r="W129" s="28">
        <f>Workings!W233*Assumption!$D$78/12</f>
        <v>574.52851321709602</v>
      </c>
      <c r="X129" s="28">
        <f>Workings!X233*Assumption!$D$78/12</f>
        <v>580.13528188580653</v>
      </c>
      <c r="Y129" s="28">
        <f>Workings!Y233*Assumption!$D$78/12</f>
        <v>582.60006429928296</v>
      </c>
      <c r="Z129" s="156">
        <f>Workings!Z233*Assumption!$D$78/12</f>
        <v>586.67826474937795</v>
      </c>
    </row>
    <row r="130" spans="1:26" ht="14.25" customHeight="1">
      <c r="A130" s="166" t="s">
        <v>21</v>
      </c>
      <c r="B130" s="28">
        <f>B101*Assumption!$D$80</f>
        <v>211.59145479452056</v>
      </c>
      <c r="C130" s="28">
        <f>C101*Assumption!$D$80</f>
        <v>224.30903129999999</v>
      </c>
      <c r="D130" s="28">
        <f>D101*Assumption!$D$80</f>
        <v>237.13950789035997</v>
      </c>
      <c r="E130" s="28">
        <f>E101*Assumption!$D$80</f>
        <v>250.70388774168853</v>
      </c>
      <c r="F130" s="28">
        <f>F101*Assumption!$D$80</f>
        <v>265.04415012051305</v>
      </c>
      <c r="G130" s="28">
        <f>G101*Assumption!$D$80</f>
        <v>280.20467550740636</v>
      </c>
      <c r="H130" s="28">
        <f>H101*Assumption!$D$80</f>
        <v>296.23238294643005</v>
      </c>
      <c r="I130" s="28">
        <f>I101*Assumption!$D$80</f>
        <v>313.17687525096579</v>
      </c>
      <c r="J130" s="28">
        <f>J101*Assumption!$D$80</f>
        <v>331.09059251532102</v>
      </c>
      <c r="K130" s="28">
        <f>K101*Assumption!$D$80</f>
        <v>350.02897440719738</v>
      </c>
      <c r="L130" s="28">
        <f>L101*Assumption!$D$80</f>
        <v>370.05063174328905</v>
      </c>
      <c r="M130" s="28">
        <f>M101*Assumption!$D$80</f>
        <v>391.21752787900516</v>
      </c>
      <c r="N130" s="28">
        <f>N101*Assumption!$D$80</f>
        <v>413.59517047368428</v>
      </c>
      <c r="O130" s="28">
        <f>O101*Assumption!$D$80</f>
        <v>437.25281422477889</v>
      </c>
      <c r="P130" s="28">
        <f>P101*Assumption!$D$80</f>
        <v>462.26367519843632</v>
      </c>
      <c r="Q130" s="28">
        <f>Q101*Assumption!$D$80</f>
        <v>488.70515741978681</v>
      </c>
      <c r="R130" s="28">
        <f>R101*Assumption!$D$80</f>
        <v>516.65909242419866</v>
      </c>
      <c r="S130" s="28">
        <f>S101*Assumption!$D$80</f>
        <v>546.21199251086284</v>
      </c>
      <c r="T130" s="28">
        <f>T101*Assumption!$D$80</f>
        <v>577.45531848248413</v>
      </c>
      <c r="U130" s="28">
        <f>U101*Assumption!$D$80</f>
        <v>610.48576269968203</v>
      </c>
      <c r="V130" s="28">
        <f>V101*Assumption!$D$80</f>
        <v>645.40554832610394</v>
      </c>
      <c r="W130" s="28">
        <f>W101*Assumption!$D$80</f>
        <v>682.32274569035701</v>
      </c>
      <c r="X130" s="28">
        <f>X101*Assumption!$D$80</f>
        <v>721.35160674384554</v>
      </c>
      <c r="Y130" s="28">
        <f>Y101*Assumption!$D$80</f>
        <v>762.61291864959333</v>
      </c>
      <c r="Z130" s="156">
        <f>Z101*Assumption!$D$80</f>
        <v>806.23437759634999</v>
      </c>
    </row>
    <row r="131" spans="1:26" ht="14.25" customHeight="1">
      <c r="A131" s="166" t="s">
        <v>69</v>
      </c>
      <c r="B131" s="28">
        <f ca="1">(B95+B105)*Assumption!$D$77/12</f>
        <v>1720.6384934793612</v>
      </c>
      <c r="C131" s="28">
        <f ca="1">(C105+C95)*Assumption!$D$77/12</f>
        <v>1720.5735520457145</v>
      </c>
      <c r="D131" s="28">
        <f ca="1">(D105+D95)*Assumption!$D$77/12</f>
        <v>1719.6270411386074</v>
      </c>
      <c r="E131" s="28">
        <f ca="1">(E105+E95)*Assumption!$D$77/12</f>
        <v>1712.0713036309783</v>
      </c>
      <c r="F131" s="28">
        <f ca="1">(F105+F95)*Assumption!$D$77/12</f>
        <v>1708.5729498593489</v>
      </c>
      <c r="G131" s="28">
        <f ca="1">(G105+G95)*Assumption!$D$77/12</f>
        <v>1705.6114836796321</v>
      </c>
      <c r="H131" s="28">
        <f ca="1">(H105+H95)*Assumption!$D$77/12</f>
        <v>1706.6352642600507</v>
      </c>
      <c r="I131" s="28">
        <f ca="1">(I105+I95)*Assumption!$D$77/12</f>
        <v>1701.4133752358539</v>
      </c>
      <c r="J131" s="28">
        <f ca="1">(J105+J95)*Assumption!$D$77/12</f>
        <v>1700.2378838866482</v>
      </c>
      <c r="K131" s="28">
        <f ca="1">(K105+K95)*Assumption!$D$77/12</f>
        <v>1699.721769005703</v>
      </c>
      <c r="L131" s="28">
        <f ca="1">(L105+L95)*Assumption!$D$77/12</f>
        <v>1703.1972559358921</v>
      </c>
      <c r="M131" s="28">
        <f ca="1">(M105+M95)*Assumption!$D$77/12</f>
        <v>1700.8099607352533</v>
      </c>
      <c r="N131" s="28">
        <f ca="1">(N105+N95)*Assumption!$D$77/12</f>
        <v>1610.0286988646988</v>
      </c>
      <c r="O131" s="28">
        <f ca="1">(O105+O95)*Assumption!$D$77/12</f>
        <v>1624.3249372234793</v>
      </c>
      <c r="P131" s="28">
        <f ca="1">(P105+P95)*Assumption!$D$77/12</f>
        <v>1642.7324344922745</v>
      </c>
      <c r="Q131" s="28">
        <f ca="1">(Q105+Q95)*Assumption!$D$77/12</f>
        <v>1658.3578368574783</v>
      </c>
      <c r="R131" s="28">
        <f ca="1">(R105+R95)*Assumption!$D$77/12</f>
        <v>1681.9363199867287</v>
      </c>
      <c r="S131" s="28">
        <f ca="1">(S105+S95)*Assumption!$D$77/12</f>
        <v>1707.4372532711993</v>
      </c>
      <c r="T131" s="28">
        <f ca="1">(T105+T95)*Assumption!$D$77/12</f>
        <v>1781.2669078667598</v>
      </c>
      <c r="U131" s="28">
        <f ca="1">(U105+U95)*Assumption!$D$77/12</f>
        <v>1805.5955476592371</v>
      </c>
      <c r="V131" s="28">
        <f ca="1">(V105+V95)*Assumption!$D$77/12</f>
        <v>1834.4438067807043</v>
      </c>
      <c r="W131" s="28">
        <f ca="1">(W105+W95)*Assumption!$D$77/12</f>
        <v>1864.53207147334</v>
      </c>
      <c r="X131" s="28">
        <f ca="1">(X105+X95)*Assumption!$D$77/12</f>
        <v>1899.3796521029346</v>
      </c>
      <c r="Y131" s="28">
        <f ca="1">(Y105+Y95)*Assumption!$D$77/12</f>
        <v>1928.7047204252001</v>
      </c>
      <c r="Z131" s="156">
        <f ca="1">(Z105+Z95)*Assumption!$D$77/12</f>
        <v>1658.3733535723077</v>
      </c>
    </row>
    <row r="132" spans="1:26" ht="14.25" customHeight="1">
      <c r="A132" s="166" t="s">
        <v>22</v>
      </c>
      <c r="B132" s="28">
        <f t="shared" ref="B132:Z132" ca="1" si="37">SUM(B128:B131)</f>
        <v>2485.8868588356836</v>
      </c>
      <c r="C132" s="28">
        <f t="shared" ca="1" si="37"/>
        <v>2506.9054061233051</v>
      </c>
      <c r="D132" s="28">
        <f t="shared" ca="1" si="37"/>
        <v>2527.2300614922751</v>
      </c>
      <c r="E132" s="28">
        <f t="shared" ca="1" si="37"/>
        <v>2539.1504113599472</v>
      </c>
      <c r="F132" s="28">
        <f t="shared" ca="1" si="37"/>
        <v>2557.5228729416731</v>
      </c>
      <c r="G132" s="28">
        <f t="shared" ca="1" si="37"/>
        <v>2577.5051659862629</v>
      </c>
      <c r="H132" s="28">
        <f t="shared" ca="1" si="37"/>
        <v>2604.023450530115</v>
      </c>
      <c r="I132" s="28">
        <f t="shared" ca="1" si="37"/>
        <v>2622.65734176961</v>
      </c>
      <c r="J132" s="28">
        <f t="shared" ca="1" si="37"/>
        <v>2648.0191148619606</v>
      </c>
      <c r="K132" s="28">
        <f t="shared" ca="1" si="37"/>
        <v>2675.3750907155199</v>
      </c>
      <c r="L132" s="28">
        <f t="shared" ca="1" si="37"/>
        <v>2709.5903535899938</v>
      </c>
      <c r="M132" s="28">
        <f t="shared" ca="1" si="37"/>
        <v>2736.5165091527879</v>
      </c>
      <c r="N132" s="28">
        <f t="shared" ca="1" si="37"/>
        <v>2678.0796241038843</v>
      </c>
      <c r="O132" s="28">
        <f t="shared" ca="1" si="37"/>
        <v>2726.3820513742785</v>
      </c>
      <c r="P132" s="28">
        <f t="shared" ca="1" si="37"/>
        <v>2782.0503245557929</v>
      </c>
      <c r="Q132" s="28">
        <f t="shared" ca="1" si="37"/>
        <v>2833.7930682596025</v>
      </c>
      <c r="R132" s="28">
        <f t="shared" ca="1" si="37"/>
        <v>2896.9473188284946</v>
      </c>
      <c r="S132" s="28">
        <f t="shared" ca="1" si="37"/>
        <v>2964.0941395555792</v>
      </c>
      <c r="T132" s="28">
        <f t="shared" ca="1" si="37"/>
        <v>3083.2983102476883</v>
      </c>
      <c r="U132" s="28">
        <f t="shared" ca="1" si="37"/>
        <v>3152.2294771967358</v>
      </c>
      <c r="V132" s="28">
        <f t="shared" ca="1" si="37"/>
        <v>3229.6634439145801</v>
      </c>
      <c r="W132" s="28">
        <f t="shared" ca="1" si="37"/>
        <v>3310.917426405892</v>
      </c>
      <c r="X132" s="28">
        <f t="shared" ca="1" si="37"/>
        <v>3401.2419870503218</v>
      </c>
      <c r="Y132" s="28">
        <f t="shared" ca="1" si="37"/>
        <v>3485.754625221186</v>
      </c>
      <c r="Z132" s="156">
        <f t="shared" ca="1" si="37"/>
        <v>3275.2399896947995</v>
      </c>
    </row>
    <row r="133" spans="1:26" ht="14.25" customHeight="1">
      <c r="A133" s="166" t="s">
        <v>23</v>
      </c>
      <c r="B133" s="28">
        <f ca="1">B132*Assumption!$D$81*Workings!B57/365</f>
        <v>291.29145466411558</v>
      </c>
      <c r="C133" s="28">
        <f ca="1">C132*Assumption!$D$81*Workings!C57/365</f>
        <v>294.56138521948833</v>
      </c>
      <c r="D133" s="28">
        <f ca="1">D132*Assumption!$D$81*Workings!D57/365</f>
        <v>297.76309258760352</v>
      </c>
      <c r="E133" s="28">
        <f ca="1">E132*Assumption!$D$81*Workings!E57/365</f>
        <v>298.35017333479379</v>
      </c>
      <c r="F133" s="28">
        <f ca="1">F132*Assumption!$D$81*Workings!F57/365</f>
        <v>300.50893757064659</v>
      </c>
      <c r="G133" s="28">
        <f ca="1">G132*Assumption!$D$81*Workings!G57/365</f>
        <v>302.85685700338587</v>
      </c>
      <c r="H133" s="28">
        <f ca="1">H132*Assumption!$D$81*Workings!H57/365</f>
        <v>306.81103695903454</v>
      </c>
      <c r="I133" s="28">
        <f ca="1">I132*Assumption!$D$81*Workings!I57/365</f>
        <v>308.16223765792915</v>
      </c>
      <c r="J133" s="28">
        <f ca="1">J132*Assumption!$D$81*Workings!J57/365</f>
        <v>311.14224599628034</v>
      </c>
      <c r="K133" s="28">
        <f ca="1">K132*Assumption!$D$81*Workings!K57/365</f>
        <v>314.35657315907355</v>
      </c>
      <c r="L133" s="28">
        <f ca="1">L132*Assumption!$D$81*Workings!L57/365</f>
        <v>319.24913193462379</v>
      </c>
      <c r="M133" s="28">
        <f ca="1">M132*Assumption!$D$81*Workings!M57/365</f>
        <v>321.54068982545255</v>
      </c>
      <c r="N133" s="28">
        <f ca="1">N132*Assumption!$D$81*Workings!N57/365</f>
        <v>314.6743558322064</v>
      </c>
      <c r="O133" s="28">
        <f ca="1">O132*Assumption!$D$81*Workings!O57/365</f>
        <v>320.34989103647769</v>
      </c>
      <c r="P133" s="28">
        <f ca="1">P132*Assumption!$D$81*Workings!P57/365</f>
        <v>327.78650467814214</v>
      </c>
      <c r="Q133" s="28">
        <f ca="1">Q132*Assumption!$D$81*Workings!Q57/365</f>
        <v>332.97068552050325</v>
      </c>
      <c r="R133" s="28">
        <f ca="1">R132*Assumption!$D$81*Workings!R57/365</f>
        <v>340.39130996234809</v>
      </c>
      <c r="S133" s="28">
        <f ca="1">S132*Assumption!$D$81*Workings!S57/365</f>
        <v>348.28106139778055</v>
      </c>
      <c r="T133" s="28">
        <f ca="1">T132*Assumption!$D$81*Workings!T57/365</f>
        <v>363.28012008822424</v>
      </c>
      <c r="U133" s="28">
        <f ca="1">U132*Assumption!$D$81*Workings!U57/365</f>
        <v>370.38696357061644</v>
      </c>
      <c r="V133" s="28">
        <f ca="1">V132*Assumption!$D$81*Workings!V57/365</f>
        <v>379.48545465996312</v>
      </c>
      <c r="W133" s="28">
        <f ca="1">W132*Assumption!$D$81*Workings!W57/365</f>
        <v>389.03279760269231</v>
      </c>
      <c r="X133" s="28">
        <f ca="1">X132*Assumption!$D$81*Workings!X57/365</f>
        <v>400.74085384410699</v>
      </c>
      <c r="Y133" s="28">
        <f ca="1">Y132*Assumption!$D$81*Workings!Y57/365</f>
        <v>409.57616846348935</v>
      </c>
      <c r="Z133" s="156">
        <f ca="1">Z132*Assumption!$D$81*Workings!Z57/365</f>
        <v>384.84069878913891</v>
      </c>
    </row>
    <row r="134" spans="1:26" ht="14.25" customHeight="1" thickBot="1"/>
    <row r="135" spans="1:26" ht="14.25" customHeight="1">
      <c r="A135" s="283" t="s">
        <v>274</v>
      </c>
      <c r="B135" s="284"/>
      <c r="C135" s="284"/>
      <c r="D135" s="284"/>
      <c r="E135" s="284"/>
      <c r="F135" s="284"/>
      <c r="G135" s="284"/>
      <c r="H135" s="284"/>
      <c r="I135" s="284"/>
      <c r="J135" s="284"/>
      <c r="K135" s="284"/>
      <c r="L135" s="284"/>
      <c r="M135" s="284"/>
      <c r="N135" s="284"/>
      <c r="O135" s="284"/>
      <c r="P135" s="284"/>
      <c r="Q135" s="284"/>
      <c r="R135" s="284"/>
      <c r="S135" s="284"/>
      <c r="T135" s="284"/>
      <c r="U135" s="284"/>
      <c r="V135" s="284"/>
      <c r="W135" s="284"/>
      <c r="X135" s="284"/>
      <c r="Y135" s="284"/>
      <c r="Z135" s="285"/>
    </row>
    <row r="136" spans="1:26" ht="14.25" customHeight="1">
      <c r="A136" s="170" t="str">
        <f>Workings!A93</f>
        <v>Year</v>
      </c>
      <c r="B136" s="24">
        <f>Workings!B93</f>
        <v>41729</v>
      </c>
      <c r="C136" s="24">
        <f>Workings!C93</f>
        <v>42094</v>
      </c>
      <c r="D136" s="24">
        <f>Workings!D93</f>
        <v>42460</v>
      </c>
      <c r="E136" s="24">
        <f>Workings!E93</f>
        <v>42825</v>
      </c>
      <c r="F136" s="24">
        <f>Workings!F93</f>
        <v>43190</v>
      </c>
      <c r="G136" s="24">
        <f>Workings!G93</f>
        <v>43555</v>
      </c>
      <c r="H136" s="24">
        <f>Workings!H93</f>
        <v>43921</v>
      </c>
      <c r="I136" s="24">
        <f>Workings!I93</f>
        <v>44286</v>
      </c>
      <c r="J136" s="24">
        <f>Workings!J93</f>
        <v>44651</v>
      </c>
      <c r="K136" s="24">
        <f>Workings!K93</f>
        <v>45016</v>
      </c>
      <c r="L136" s="24">
        <f>Workings!L93</f>
        <v>45382</v>
      </c>
      <c r="M136" s="24">
        <f>Workings!M93</f>
        <v>45747</v>
      </c>
      <c r="N136" s="24">
        <f>Workings!N93</f>
        <v>46112</v>
      </c>
      <c r="O136" s="24">
        <f>Workings!O93</f>
        <v>46477</v>
      </c>
      <c r="P136" s="24">
        <f>Workings!P93</f>
        <v>46843</v>
      </c>
      <c r="Q136" s="24">
        <f>Workings!Q93</f>
        <v>47208</v>
      </c>
      <c r="R136" s="24">
        <f>Workings!R93</f>
        <v>47573</v>
      </c>
      <c r="S136" s="24">
        <f>Workings!S93</f>
        <v>47938</v>
      </c>
      <c r="T136" s="24">
        <f>Workings!T93</f>
        <v>48304</v>
      </c>
      <c r="U136" s="24">
        <f>Workings!U93</f>
        <v>48669</v>
      </c>
      <c r="V136" s="24">
        <f>Workings!V93</f>
        <v>49034</v>
      </c>
      <c r="W136" s="24">
        <f>Workings!W93</f>
        <v>49399</v>
      </c>
      <c r="X136" s="24">
        <f>Workings!X93</f>
        <v>49765</v>
      </c>
      <c r="Y136" s="24">
        <f>Workings!Y93</f>
        <v>50130</v>
      </c>
      <c r="Z136" s="150">
        <f>Workings!Z93</f>
        <v>50495</v>
      </c>
    </row>
    <row r="137" spans="1:26" ht="14.25" customHeight="1">
      <c r="A137" s="171" t="str">
        <f>Workings!A29</f>
        <v>Operating profit (PBT)</v>
      </c>
      <c r="B137" s="35">
        <f ca="1">Workings!E29</f>
        <v>862.84879776644425</v>
      </c>
      <c r="C137" s="35">
        <f ca="1">Workings!F29</f>
        <v>848.45887605702649</v>
      </c>
      <c r="D137" s="35">
        <f ca="1">Workings!G29</f>
        <v>904.6932346372131</v>
      </c>
      <c r="E137" s="35">
        <f ca="1">Workings!H29</f>
        <v>945.06787814580423</v>
      </c>
      <c r="F137" s="35">
        <f ca="1">Workings!I29</f>
        <v>988.94420710195834</v>
      </c>
      <c r="G137" s="35">
        <f ca="1">Workings!J29</f>
        <v>1029.6622947986875</v>
      </c>
      <c r="H137" s="35">
        <f ca="1">Workings!K29</f>
        <v>1074.5575438892447</v>
      </c>
      <c r="I137" s="35">
        <f ca="1">Workings!L29</f>
        <v>1100.9521935083058</v>
      </c>
      <c r="J137" s="35">
        <f ca="1">Workings!M29</f>
        <v>1131.1642842645529</v>
      </c>
      <c r="K137" s="35">
        <f ca="1">Workings!N29</f>
        <v>1157.4975929462598</v>
      </c>
      <c r="L137" s="35">
        <f ca="1">Workings!O29</f>
        <v>1188.2248851482627</v>
      </c>
      <c r="M137" s="35">
        <f ca="1">Workings!P29</f>
        <v>1197.6908308862694</v>
      </c>
      <c r="N137" s="35">
        <f ca="1">Workings!Q29</f>
        <v>1142.6959486133414</v>
      </c>
      <c r="O137" s="35">
        <f ca="1">Workings!R29</f>
        <v>1014.5176794899957</v>
      </c>
      <c r="P137" s="35">
        <f ca="1">Workings!S29</f>
        <v>889.80386623669403</v>
      </c>
      <c r="Q137" s="35">
        <f ca="1">Workings!T29</f>
        <v>742.78646203715982</v>
      </c>
      <c r="R137" s="35">
        <f ca="1">Workings!U29</f>
        <v>598.67432014023996</v>
      </c>
      <c r="S137" s="35">
        <f ca="1">Workings!V29</f>
        <v>448.66508009434381</v>
      </c>
      <c r="T137" s="35">
        <f ca="1">Workings!W29</f>
        <v>355.10961316453859</v>
      </c>
      <c r="U137" s="35">
        <f ca="1">Workings!X29</f>
        <v>1075.6161887405005</v>
      </c>
      <c r="V137" s="35">
        <f ca="1">Workings!Y29</f>
        <v>905.9163044584684</v>
      </c>
      <c r="W137" s="35">
        <f ca="1">Workings!Z29</f>
        <v>728.92208740403908</v>
      </c>
      <c r="X137" s="35">
        <f ca="1">Workings!AA29</f>
        <v>551.57271238824967</v>
      </c>
      <c r="Y137" s="35">
        <f ca="1">Workings!AB29</f>
        <v>351.4264799447223</v>
      </c>
      <c r="Z137" s="172">
        <f ca="1">Workings!AC29</f>
        <v>150.05474545686445</v>
      </c>
    </row>
    <row r="138" spans="1:26" ht="14.25" customHeight="1">
      <c r="A138" s="171" t="str">
        <f>Workings!A27</f>
        <v xml:space="preserve">Book Depreciation </v>
      </c>
      <c r="B138" s="35">
        <f>Workings!E27</f>
        <v>943.37100940273967</v>
      </c>
      <c r="C138" s="35">
        <f>Workings!F27</f>
        <v>945.96268799999996</v>
      </c>
      <c r="D138" s="35">
        <f>Workings!G27</f>
        <v>945.96268799999996</v>
      </c>
      <c r="E138" s="35">
        <f>Workings!H27</f>
        <v>945.96268799999996</v>
      </c>
      <c r="F138" s="35">
        <f>Workings!I27</f>
        <v>945.96268799999996</v>
      </c>
      <c r="G138" s="35">
        <f>Workings!J27</f>
        <v>945.96268799999996</v>
      </c>
      <c r="H138" s="35">
        <f>Workings!K27</f>
        <v>945.96268799999996</v>
      </c>
      <c r="I138" s="35">
        <f>Workings!L27</f>
        <v>945.96268799999996</v>
      </c>
      <c r="J138" s="35">
        <f>Workings!M27</f>
        <v>945.96268799999996</v>
      </c>
      <c r="K138" s="35">
        <f>Workings!N27</f>
        <v>945.96268799999996</v>
      </c>
      <c r="L138" s="35">
        <f>Workings!O27</f>
        <v>945.96268799999996</v>
      </c>
      <c r="M138" s="35">
        <f>Workings!P27</f>
        <v>945.96268799999996</v>
      </c>
      <c r="N138" s="35">
        <f>Workings!Q27</f>
        <v>945.96268799999996</v>
      </c>
      <c r="O138" s="35">
        <f>Workings!R27</f>
        <v>945.96268799999996</v>
      </c>
      <c r="P138" s="35">
        <f>Workings!S27</f>
        <v>945.96268799999996</v>
      </c>
      <c r="Q138" s="35">
        <f>Workings!T27</f>
        <v>945.96268799999996</v>
      </c>
      <c r="R138" s="35">
        <f>Workings!U27</f>
        <v>945.96268799999996</v>
      </c>
      <c r="S138" s="35">
        <f>Workings!V27</f>
        <v>945.96268799999996</v>
      </c>
      <c r="T138" s="35">
        <f>Workings!W27</f>
        <v>891.22329459726461</v>
      </c>
      <c r="U138" s="35">
        <f>Workings!X27</f>
        <v>0</v>
      </c>
      <c r="V138" s="35">
        <f>Workings!Y27</f>
        <v>0</v>
      </c>
      <c r="W138" s="35">
        <f>Workings!Z27</f>
        <v>0</v>
      </c>
      <c r="X138" s="35">
        <f>Workings!AA27</f>
        <v>0</v>
      </c>
      <c r="Y138" s="35">
        <f>Workings!AB27</f>
        <v>0</v>
      </c>
      <c r="Z138" s="172">
        <f>Workings!AC27</f>
        <v>0</v>
      </c>
    </row>
    <row r="139" spans="1:26" ht="14.25" customHeight="1">
      <c r="A139" s="171" t="str">
        <f>Workings!A64</f>
        <v>Tax Depreciation</v>
      </c>
      <c r="B139" s="35">
        <f>Workings!B66</f>
        <v>2687.3939999999998</v>
      </c>
      <c r="C139" s="35">
        <f>Workings!C66</f>
        <v>2284.2848999999997</v>
      </c>
      <c r="D139" s="35">
        <f>Workings!D66</f>
        <v>1941.642165</v>
      </c>
      <c r="E139" s="35">
        <f>Workings!E66</f>
        <v>1650.39584025</v>
      </c>
      <c r="F139" s="35">
        <f>Workings!F66</f>
        <v>1402.8364642125002</v>
      </c>
      <c r="G139" s="35">
        <f>Workings!G66</f>
        <v>1192.4109945806251</v>
      </c>
      <c r="H139" s="35">
        <f>Workings!H66</f>
        <v>1013.5493453935314</v>
      </c>
      <c r="I139" s="35">
        <f>Workings!I66</f>
        <v>861.51694358450175</v>
      </c>
      <c r="J139" s="35">
        <f>Workings!J66</f>
        <v>732.28940204682647</v>
      </c>
      <c r="K139" s="35">
        <f>Workings!K66</f>
        <v>622.44599173980248</v>
      </c>
      <c r="L139" s="35">
        <f>Workings!L66</f>
        <v>529.07909297883214</v>
      </c>
      <c r="M139" s="35">
        <f>Workings!M66</f>
        <v>449.71722903200731</v>
      </c>
      <c r="N139" s="35">
        <f>Workings!N66</f>
        <v>382.25964467720621</v>
      </c>
      <c r="O139" s="35">
        <f>Workings!O66</f>
        <v>324.92069797562527</v>
      </c>
      <c r="P139" s="35">
        <f>Workings!P66</f>
        <v>276.18259327928149</v>
      </c>
      <c r="Q139" s="35">
        <f>Workings!Q66</f>
        <v>234.75520428738926</v>
      </c>
      <c r="R139" s="35">
        <f>Workings!R66</f>
        <v>199.5419236442809</v>
      </c>
      <c r="S139" s="35">
        <f>Workings!S66</f>
        <v>169.61063509763878</v>
      </c>
      <c r="T139" s="35">
        <f>Workings!T66</f>
        <v>144.16903983299295</v>
      </c>
      <c r="U139" s="35">
        <f>Workings!U66</f>
        <v>122.54368385804401</v>
      </c>
      <c r="V139" s="35">
        <f>Workings!V66</f>
        <v>104.16213127933742</v>
      </c>
      <c r="W139" s="35">
        <f>Workings!W66</f>
        <v>88.537811587436792</v>
      </c>
      <c r="X139" s="35">
        <f>Workings!X66</f>
        <v>75.257139849321277</v>
      </c>
      <c r="Y139" s="35">
        <f>Workings!Y66</f>
        <v>63.968568871923082</v>
      </c>
      <c r="Z139" s="172">
        <f>Workings!Z66</f>
        <v>54.373283541134619</v>
      </c>
    </row>
    <row r="140" spans="1:26" ht="14.25" customHeight="1">
      <c r="A140" s="171" t="s">
        <v>91</v>
      </c>
      <c r="B140" s="35"/>
      <c r="C140" s="35"/>
      <c r="D140" s="35"/>
      <c r="E140" s="35"/>
      <c r="F140" s="35"/>
      <c r="G140" s="35"/>
      <c r="H140" s="35"/>
      <c r="I140" s="35"/>
      <c r="J140" s="35"/>
      <c r="K140" s="35"/>
      <c r="L140" s="35"/>
      <c r="M140" s="35"/>
      <c r="N140" s="35"/>
      <c r="O140" s="35"/>
      <c r="P140" s="35"/>
      <c r="Q140" s="35"/>
      <c r="R140" s="35"/>
      <c r="S140" s="35"/>
      <c r="T140" s="35"/>
      <c r="U140" s="35"/>
      <c r="V140" s="35"/>
      <c r="W140" s="35"/>
      <c r="X140" s="35"/>
      <c r="Y140" s="35"/>
      <c r="Z140" s="172"/>
    </row>
    <row r="141" spans="1:26" ht="14.25" customHeight="1">
      <c r="A141" s="171" t="s">
        <v>92</v>
      </c>
      <c r="B141" s="35">
        <f t="shared" ref="B141:Z141" ca="1" si="38">B137+B138-B139</f>
        <v>-881.17419283081585</v>
      </c>
      <c r="C141" s="35">
        <f t="shared" ca="1" si="38"/>
        <v>-489.86333594297321</v>
      </c>
      <c r="D141" s="35">
        <f t="shared" ca="1" si="38"/>
        <v>-90.986242362786925</v>
      </c>
      <c r="E141" s="35">
        <f t="shared" ca="1" si="38"/>
        <v>240.63472589580419</v>
      </c>
      <c r="F141" s="35">
        <f t="shared" ca="1" si="38"/>
        <v>532.07043088945807</v>
      </c>
      <c r="G141" s="35">
        <f t="shared" ca="1" si="38"/>
        <v>783.21398821806247</v>
      </c>
      <c r="H141" s="35">
        <f t="shared" ca="1" si="38"/>
        <v>1006.9708864957133</v>
      </c>
      <c r="I141" s="35">
        <f t="shared" ca="1" si="38"/>
        <v>1185.397937923804</v>
      </c>
      <c r="J141" s="35">
        <f t="shared" ca="1" si="38"/>
        <v>1344.8375702177264</v>
      </c>
      <c r="K141" s="35">
        <f t="shared" ca="1" si="38"/>
        <v>1481.0142892064573</v>
      </c>
      <c r="L141" s="35">
        <f t="shared" ca="1" si="38"/>
        <v>1605.1084801694305</v>
      </c>
      <c r="M141" s="35">
        <f t="shared" ca="1" si="38"/>
        <v>1693.9362898542622</v>
      </c>
      <c r="N141" s="35">
        <f t="shared" ca="1" si="38"/>
        <v>1706.3989919361352</v>
      </c>
      <c r="O141" s="35">
        <f t="shared" ca="1" si="38"/>
        <v>1635.5596695143704</v>
      </c>
      <c r="P141" s="35">
        <f t="shared" ca="1" si="38"/>
        <v>1559.5839609574125</v>
      </c>
      <c r="Q141" s="35">
        <f t="shared" ca="1" si="38"/>
        <v>1453.9939457497705</v>
      </c>
      <c r="R141" s="35">
        <f t="shared" ca="1" si="38"/>
        <v>1345.0950844959591</v>
      </c>
      <c r="S141" s="35">
        <f t="shared" ca="1" si="38"/>
        <v>1225.017132996705</v>
      </c>
      <c r="T141" s="35">
        <f t="shared" ca="1" si="38"/>
        <v>1102.1638679288103</v>
      </c>
      <c r="U141" s="35">
        <f t="shared" ca="1" si="38"/>
        <v>953.07250488245654</v>
      </c>
      <c r="V141" s="35">
        <f t="shared" ca="1" si="38"/>
        <v>801.75417317913093</v>
      </c>
      <c r="W141" s="35">
        <f t="shared" ca="1" si="38"/>
        <v>640.38427581660233</v>
      </c>
      <c r="X141" s="35">
        <f t="shared" ca="1" si="38"/>
        <v>476.31557253892839</v>
      </c>
      <c r="Y141" s="35">
        <f t="shared" ca="1" si="38"/>
        <v>287.45791107279922</v>
      </c>
      <c r="Z141" s="172">
        <f t="shared" ca="1" si="38"/>
        <v>95.681461915729841</v>
      </c>
    </row>
    <row r="142" spans="1:26" ht="14.25" customHeight="1">
      <c r="A142" s="171" t="s">
        <v>86</v>
      </c>
      <c r="B142" s="35">
        <f t="shared" ref="B142:Z142" si="39">B172</f>
        <v>0</v>
      </c>
      <c r="C142" s="35">
        <f t="shared" ca="1" si="39"/>
        <v>-881.17419283081585</v>
      </c>
      <c r="D142" s="35">
        <f t="shared" ca="1" si="39"/>
        <v>-1371.0375287737891</v>
      </c>
      <c r="E142" s="35">
        <f t="shared" ca="1" si="39"/>
        <v>-1462.023771136576</v>
      </c>
      <c r="F142" s="35">
        <f t="shared" ca="1" si="39"/>
        <v>-1221.3890452407718</v>
      </c>
      <c r="G142" s="35">
        <f t="shared" ca="1" si="39"/>
        <v>-689.31861435131373</v>
      </c>
      <c r="H142" s="35">
        <f t="shared" ca="1" si="39"/>
        <v>0</v>
      </c>
      <c r="I142" s="35">
        <f t="shared" ca="1" si="39"/>
        <v>0</v>
      </c>
      <c r="J142" s="35">
        <f t="shared" ca="1" si="39"/>
        <v>0</v>
      </c>
      <c r="K142" s="35">
        <f t="shared" ca="1" si="39"/>
        <v>0</v>
      </c>
      <c r="L142" s="35">
        <f t="shared" ca="1" si="39"/>
        <v>0</v>
      </c>
      <c r="M142" s="35">
        <f t="shared" ca="1" si="39"/>
        <v>0</v>
      </c>
      <c r="N142" s="35">
        <f t="shared" ca="1" si="39"/>
        <v>0</v>
      </c>
      <c r="O142" s="35">
        <f t="shared" ca="1" si="39"/>
        <v>0</v>
      </c>
      <c r="P142" s="35">
        <f t="shared" ca="1" si="39"/>
        <v>0</v>
      </c>
      <c r="Q142" s="35">
        <f t="shared" ca="1" si="39"/>
        <v>0</v>
      </c>
      <c r="R142" s="35">
        <f t="shared" ca="1" si="39"/>
        <v>0</v>
      </c>
      <c r="S142" s="35">
        <f t="shared" ca="1" si="39"/>
        <v>0</v>
      </c>
      <c r="T142" s="35">
        <f t="shared" ca="1" si="39"/>
        <v>0</v>
      </c>
      <c r="U142" s="35">
        <f t="shared" ca="1" si="39"/>
        <v>0</v>
      </c>
      <c r="V142" s="35">
        <f t="shared" ca="1" si="39"/>
        <v>0</v>
      </c>
      <c r="W142" s="35">
        <f t="shared" ca="1" si="39"/>
        <v>0</v>
      </c>
      <c r="X142" s="35">
        <f t="shared" ca="1" si="39"/>
        <v>0</v>
      </c>
      <c r="Y142" s="35">
        <f t="shared" ca="1" si="39"/>
        <v>0</v>
      </c>
      <c r="Z142" s="172">
        <f t="shared" ca="1" si="39"/>
        <v>0</v>
      </c>
    </row>
    <row r="143" spans="1:26" ht="14.25" customHeight="1">
      <c r="A143" s="171" t="s">
        <v>85</v>
      </c>
      <c r="B143" s="35">
        <f t="shared" ref="B143:Z143" ca="1" si="40">IF(B141&lt;0,B141,0)</f>
        <v>-881.17419283081585</v>
      </c>
      <c r="C143" s="35">
        <f t="shared" ca="1" si="40"/>
        <v>-489.86333594297321</v>
      </c>
      <c r="D143" s="35">
        <f t="shared" ca="1" si="40"/>
        <v>-90.986242362786925</v>
      </c>
      <c r="E143" s="35">
        <f t="shared" ca="1" si="40"/>
        <v>0</v>
      </c>
      <c r="F143" s="35">
        <f t="shared" ca="1" si="40"/>
        <v>0</v>
      </c>
      <c r="G143" s="35">
        <f t="shared" ca="1" si="40"/>
        <v>0</v>
      </c>
      <c r="H143" s="35">
        <f t="shared" ca="1" si="40"/>
        <v>0</v>
      </c>
      <c r="I143" s="35">
        <f t="shared" ca="1" si="40"/>
        <v>0</v>
      </c>
      <c r="J143" s="35">
        <f t="shared" ca="1" si="40"/>
        <v>0</v>
      </c>
      <c r="K143" s="35">
        <f t="shared" ca="1" si="40"/>
        <v>0</v>
      </c>
      <c r="L143" s="35">
        <f t="shared" ca="1" si="40"/>
        <v>0</v>
      </c>
      <c r="M143" s="35">
        <f t="shared" ca="1" si="40"/>
        <v>0</v>
      </c>
      <c r="N143" s="35">
        <f t="shared" ca="1" si="40"/>
        <v>0</v>
      </c>
      <c r="O143" s="35">
        <f t="shared" ca="1" si="40"/>
        <v>0</v>
      </c>
      <c r="P143" s="35">
        <f t="shared" ca="1" si="40"/>
        <v>0</v>
      </c>
      <c r="Q143" s="35">
        <f t="shared" ca="1" si="40"/>
        <v>0</v>
      </c>
      <c r="R143" s="35">
        <f t="shared" ca="1" si="40"/>
        <v>0</v>
      </c>
      <c r="S143" s="35">
        <f t="shared" ca="1" si="40"/>
        <v>0</v>
      </c>
      <c r="T143" s="35">
        <f t="shared" ca="1" si="40"/>
        <v>0</v>
      </c>
      <c r="U143" s="35">
        <f t="shared" ca="1" si="40"/>
        <v>0</v>
      </c>
      <c r="V143" s="35">
        <f t="shared" ca="1" si="40"/>
        <v>0</v>
      </c>
      <c r="W143" s="35">
        <f t="shared" ca="1" si="40"/>
        <v>0</v>
      </c>
      <c r="X143" s="35">
        <f t="shared" ca="1" si="40"/>
        <v>0</v>
      </c>
      <c r="Y143" s="35">
        <f t="shared" ca="1" si="40"/>
        <v>0</v>
      </c>
      <c r="Z143" s="172">
        <f t="shared" ca="1" si="40"/>
        <v>0</v>
      </c>
    </row>
    <row r="144" spans="1:26" ht="14.25" customHeight="1">
      <c r="A144" s="171" t="s">
        <v>93</v>
      </c>
      <c r="B144" s="35">
        <f t="shared" ref="B144:Z144" ca="1" si="41">IF(B141&gt;0, MIN(B141,ABS(B142)),0)</f>
        <v>0</v>
      </c>
      <c r="C144" s="35">
        <f t="shared" ca="1" si="41"/>
        <v>0</v>
      </c>
      <c r="D144" s="35">
        <f t="shared" ca="1" si="41"/>
        <v>0</v>
      </c>
      <c r="E144" s="35">
        <f t="shared" ca="1" si="41"/>
        <v>240.63472589580419</v>
      </c>
      <c r="F144" s="35">
        <f t="shared" ca="1" si="41"/>
        <v>532.07043088945807</v>
      </c>
      <c r="G144" s="35">
        <f t="shared" ca="1" si="41"/>
        <v>689.31861435131373</v>
      </c>
      <c r="H144" s="35">
        <f t="shared" ca="1" si="41"/>
        <v>0</v>
      </c>
      <c r="I144" s="35">
        <f t="shared" ca="1" si="41"/>
        <v>0</v>
      </c>
      <c r="J144" s="35">
        <f t="shared" ca="1" si="41"/>
        <v>0</v>
      </c>
      <c r="K144" s="35">
        <f t="shared" ca="1" si="41"/>
        <v>0</v>
      </c>
      <c r="L144" s="35">
        <f t="shared" ca="1" si="41"/>
        <v>0</v>
      </c>
      <c r="M144" s="35">
        <f t="shared" ca="1" si="41"/>
        <v>0</v>
      </c>
      <c r="N144" s="35">
        <f t="shared" ca="1" si="41"/>
        <v>0</v>
      </c>
      <c r="O144" s="35">
        <f t="shared" ca="1" si="41"/>
        <v>0</v>
      </c>
      <c r="P144" s="35">
        <f t="shared" ca="1" si="41"/>
        <v>0</v>
      </c>
      <c r="Q144" s="35">
        <f t="shared" ca="1" si="41"/>
        <v>0</v>
      </c>
      <c r="R144" s="35">
        <f t="shared" ca="1" si="41"/>
        <v>0</v>
      </c>
      <c r="S144" s="35">
        <f t="shared" ca="1" si="41"/>
        <v>0</v>
      </c>
      <c r="T144" s="35">
        <f t="shared" ca="1" si="41"/>
        <v>0</v>
      </c>
      <c r="U144" s="35">
        <f t="shared" ca="1" si="41"/>
        <v>0</v>
      </c>
      <c r="V144" s="35">
        <f t="shared" ca="1" si="41"/>
        <v>0</v>
      </c>
      <c r="W144" s="35">
        <f t="shared" ca="1" si="41"/>
        <v>0</v>
      </c>
      <c r="X144" s="35">
        <f t="shared" ca="1" si="41"/>
        <v>0</v>
      </c>
      <c r="Y144" s="35">
        <f t="shared" ca="1" si="41"/>
        <v>0</v>
      </c>
      <c r="Z144" s="172">
        <f t="shared" ca="1" si="41"/>
        <v>0</v>
      </c>
    </row>
    <row r="145" spans="1:26" ht="14.25" customHeight="1">
      <c r="A145" s="171" t="s">
        <v>87</v>
      </c>
      <c r="B145" s="35">
        <f t="shared" ref="B145:Z145" ca="1" si="42">B142+B143+B144</f>
        <v>-881.17419283081585</v>
      </c>
      <c r="C145" s="35">
        <f t="shared" ca="1" si="42"/>
        <v>-1371.0375287737891</v>
      </c>
      <c r="D145" s="35">
        <f t="shared" ca="1" si="42"/>
        <v>-1462.023771136576</v>
      </c>
      <c r="E145" s="35">
        <f t="shared" ca="1" si="42"/>
        <v>-1221.3890452407718</v>
      </c>
      <c r="F145" s="35">
        <f t="shared" ca="1" si="42"/>
        <v>-689.31861435131373</v>
      </c>
      <c r="G145" s="35">
        <f t="shared" ca="1" si="42"/>
        <v>0</v>
      </c>
      <c r="H145" s="35">
        <f t="shared" ca="1" si="42"/>
        <v>0</v>
      </c>
      <c r="I145" s="35">
        <f t="shared" ca="1" si="42"/>
        <v>0</v>
      </c>
      <c r="J145" s="35">
        <f t="shared" ca="1" si="42"/>
        <v>0</v>
      </c>
      <c r="K145" s="35">
        <f t="shared" ca="1" si="42"/>
        <v>0</v>
      </c>
      <c r="L145" s="35">
        <f t="shared" ca="1" si="42"/>
        <v>0</v>
      </c>
      <c r="M145" s="35">
        <f t="shared" ca="1" si="42"/>
        <v>0</v>
      </c>
      <c r="N145" s="35">
        <f t="shared" ca="1" si="42"/>
        <v>0</v>
      </c>
      <c r="O145" s="35">
        <f t="shared" ca="1" si="42"/>
        <v>0</v>
      </c>
      <c r="P145" s="35">
        <f t="shared" ca="1" si="42"/>
        <v>0</v>
      </c>
      <c r="Q145" s="35">
        <f t="shared" ca="1" si="42"/>
        <v>0</v>
      </c>
      <c r="R145" s="35">
        <f t="shared" ca="1" si="42"/>
        <v>0</v>
      </c>
      <c r="S145" s="35">
        <f t="shared" ca="1" si="42"/>
        <v>0</v>
      </c>
      <c r="T145" s="35">
        <f t="shared" ca="1" si="42"/>
        <v>0</v>
      </c>
      <c r="U145" s="35">
        <f t="shared" ca="1" si="42"/>
        <v>0</v>
      </c>
      <c r="V145" s="35">
        <f t="shared" ca="1" si="42"/>
        <v>0</v>
      </c>
      <c r="W145" s="35">
        <f t="shared" ca="1" si="42"/>
        <v>0</v>
      </c>
      <c r="X145" s="35">
        <f t="shared" ca="1" si="42"/>
        <v>0</v>
      </c>
      <c r="Y145" s="35">
        <f t="shared" ca="1" si="42"/>
        <v>0</v>
      </c>
      <c r="Z145" s="172">
        <f t="shared" ca="1" si="42"/>
        <v>0</v>
      </c>
    </row>
    <row r="146" spans="1:26" ht="14.25" customHeight="1">
      <c r="A146" s="171" t="s">
        <v>94</v>
      </c>
      <c r="B146" s="35">
        <f t="shared" ref="B146:Z146" ca="1" si="43">B141-B144</f>
        <v>-881.17419283081585</v>
      </c>
      <c r="C146" s="35">
        <f t="shared" ca="1" si="43"/>
        <v>-489.86333594297321</v>
      </c>
      <c r="D146" s="35">
        <f t="shared" ca="1" si="43"/>
        <v>-90.986242362786925</v>
      </c>
      <c r="E146" s="35">
        <f t="shared" ca="1" si="43"/>
        <v>0</v>
      </c>
      <c r="F146" s="35">
        <f t="shared" ca="1" si="43"/>
        <v>0</v>
      </c>
      <c r="G146" s="35">
        <f t="shared" ca="1" si="43"/>
        <v>93.895373866748741</v>
      </c>
      <c r="H146" s="35">
        <f t="shared" ca="1" si="43"/>
        <v>1006.9708864957133</v>
      </c>
      <c r="I146" s="35">
        <f t="shared" ca="1" si="43"/>
        <v>1185.397937923804</v>
      </c>
      <c r="J146" s="35">
        <f t="shared" ca="1" si="43"/>
        <v>1344.8375702177264</v>
      </c>
      <c r="K146" s="35">
        <f t="shared" ca="1" si="43"/>
        <v>1481.0142892064573</v>
      </c>
      <c r="L146" s="35">
        <f t="shared" ca="1" si="43"/>
        <v>1605.1084801694305</v>
      </c>
      <c r="M146" s="35">
        <f t="shared" ca="1" si="43"/>
        <v>1693.9362898542622</v>
      </c>
      <c r="N146" s="35">
        <f t="shared" ca="1" si="43"/>
        <v>1706.3989919361352</v>
      </c>
      <c r="O146" s="35">
        <f t="shared" ca="1" si="43"/>
        <v>1635.5596695143704</v>
      </c>
      <c r="P146" s="35">
        <f t="shared" ca="1" si="43"/>
        <v>1559.5839609574125</v>
      </c>
      <c r="Q146" s="35">
        <f t="shared" ca="1" si="43"/>
        <v>1453.9939457497705</v>
      </c>
      <c r="R146" s="35">
        <f t="shared" ca="1" si="43"/>
        <v>1345.0950844959591</v>
      </c>
      <c r="S146" s="35">
        <f t="shared" ca="1" si="43"/>
        <v>1225.017132996705</v>
      </c>
      <c r="T146" s="35">
        <f t="shared" ca="1" si="43"/>
        <v>1102.1638679288103</v>
      </c>
      <c r="U146" s="35">
        <f t="shared" ca="1" si="43"/>
        <v>953.07250488245654</v>
      </c>
      <c r="V146" s="35">
        <f t="shared" ca="1" si="43"/>
        <v>801.75417317913093</v>
      </c>
      <c r="W146" s="35">
        <f t="shared" ca="1" si="43"/>
        <v>640.38427581660233</v>
      </c>
      <c r="X146" s="35">
        <f t="shared" ca="1" si="43"/>
        <v>476.31557253892839</v>
      </c>
      <c r="Y146" s="35">
        <f t="shared" ca="1" si="43"/>
        <v>287.45791107279922</v>
      </c>
      <c r="Z146" s="172">
        <f t="shared" ca="1" si="43"/>
        <v>95.681461915729841</v>
      </c>
    </row>
    <row r="147" spans="1:26" ht="14.25" customHeight="1">
      <c r="A147" s="173" t="s">
        <v>88</v>
      </c>
      <c r="B147" s="36">
        <f ca="1">IF(B146&lt;=0,0,(B146)*Assumption!$D$72)</f>
        <v>0</v>
      </c>
      <c r="C147" s="36">
        <f ca="1">IF(C146&lt;=0,0,(C146)*Assumption!$D$72)</f>
        <v>0</v>
      </c>
      <c r="D147" s="36">
        <f ca="1">IF(D146&lt;=0,0,(D146)*Assumption!$D$72)</f>
        <v>0</v>
      </c>
      <c r="E147" s="36">
        <f ca="1">IF(E146&lt;=0,0,(E146)*Assumption!$D$72)</f>
        <v>0</v>
      </c>
      <c r="F147" s="36">
        <f ca="1">IF(F146&lt;=0,0,(F146)*Assumption!$D$72)</f>
        <v>0</v>
      </c>
      <c r="G147" s="36">
        <f ca="1">IF(G146&lt;=0,0,(G146)*Assumption!$D$72)</f>
        <v>31.915037577307899</v>
      </c>
      <c r="H147" s="36">
        <f ca="1">IF(H146&lt;=0,0,(H146)*Assumption!$D$72)</f>
        <v>342.269404319893</v>
      </c>
      <c r="I147" s="36">
        <f ca="1">IF(I146&lt;=0,0,(I146)*Assumption!$D$72)</f>
        <v>402.91675910030102</v>
      </c>
      <c r="J147" s="36">
        <f ca="1">IF(J146&lt;=0,0,(J146)*Assumption!$D$72)</f>
        <v>457.11029011700521</v>
      </c>
      <c r="K147" s="36">
        <f ca="1">IF(K146&lt;=0,0,(K146)*Assumption!$D$72)</f>
        <v>503.3967569012749</v>
      </c>
      <c r="L147" s="36">
        <f ca="1">IF(L146&lt;=0,0,(L146)*Assumption!$D$72)</f>
        <v>545.57637240958945</v>
      </c>
      <c r="M147" s="36">
        <f ca="1">IF(M146&lt;=0,0,(M146)*Assumption!$D$72)</f>
        <v>575.7689449214638</v>
      </c>
      <c r="N147" s="36">
        <f ca="1">IF(N146&lt;=0,0,(N146)*Assumption!$D$72)</f>
        <v>580.00501735909245</v>
      </c>
      <c r="O147" s="36">
        <f ca="1">IF(O146&lt;=0,0,(O146)*Assumption!$D$72)</f>
        <v>555.92673166793452</v>
      </c>
      <c r="P147" s="36">
        <f ca="1">IF(P146&lt;=0,0,(P146)*Assumption!$D$72)</f>
        <v>530.10258832942452</v>
      </c>
      <c r="Q147" s="36">
        <f ca="1">IF(Q146&lt;=0,0,(Q146)*Assumption!$D$72)</f>
        <v>494.21254216034708</v>
      </c>
      <c r="R147" s="36">
        <f ca="1">IF(R146&lt;=0,0,(R146)*Assumption!$D$72)</f>
        <v>457.19781922017654</v>
      </c>
      <c r="S147" s="36">
        <f ca="1">IF(S146&lt;=0,0,(S146)*Assumption!$D$72)</f>
        <v>416.38332350558005</v>
      </c>
      <c r="T147" s="36">
        <f ca="1">IF(T146&lt;=0,0,(T146)*Assumption!$D$72)</f>
        <v>374.62549870900267</v>
      </c>
      <c r="U147" s="36">
        <f ca="1">IF(U146&lt;=0,0,(U146)*Assumption!$D$72)</f>
        <v>323.949344409547</v>
      </c>
      <c r="V147" s="36">
        <f ca="1">IF(V146&lt;=0,0,(V146)*Assumption!$D$72)</f>
        <v>272.51624346358665</v>
      </c>
      <c r="W147" s="36">
        <f ca="1">IF(W146&lt;=0,0,(W146)*Assumption!$D$72)</f>
        <v>217.66661535006315</v>
      </c>
      <c r="X147" s="36">
        <f ca="1">IF(X146&lt;=0,0,(X146)*Assumption!$D$72)</f>
        <v>161.89966310598177</v>
      </c>
      <c r="Y147" s="36">
        <f ca="1">IF(Y146&lt;=0,0,(Y146)*Assumption!$D$72)</f>
        <v>97.706943973644471</v>
      </c>
      <c r="Z147" s="174">
        <f ca="1">IF(Z146&lt;=0,0,(Z146)*Assumption!$D$72)</f>
        <v>32.522128905156578</v>
      </c>
    </row>
    <row r="148" spans="1:26" ht="14.25" customHeight="1">
      <c r="A148" s="173"/>
      <c r="B148" s="36"/>
      <c r="C148" s="36"/>
      <c r="D148" s="36"/>
      <c r="E148" s="36"/>
      <c r="F148" s="36"/>
      <c r="G148" s="36"/>
      <c r="H148" s="36"/>
      <c r="I148" s="36"/>
      <c r="J148" s="36"/>
      <c r="K148" s="36"/>
      <c r="L148" s="36"/>
      <c r="M148" s="36"/>
      <c r="N148" s="36"/>
      <c r="O148" s="36"/>
      <c r="P148" s="36"/>
      <c r="Q148" s="36"/>
      <c r="R148" s="36"/>
      <c r="S148" s="36"/>
      <c r="T148" s="36"/>
      <c r="U148" s="36"/>
      <c r="V148" s="36"/>
      <c r="W148" s="36"/>
      <c r="X148" s="36"/>
      <c r="Y148" s="36"/>
      <c r="Z148" s="174"/>
    </row>
    <row r="149" spans="1:26" ht="14.25" customHeight="1">
      <c r="A149" s="173" t="s">
        <v>219</v>
      </c>
      <c r="B149" s="111" t="str">
        <f t="shared" ref="B149:Z149" ca="1" si="44">IF(OR(B146&lt;=0,B136&gt;$P$136),"N","Y")</f>
        <v>N</v>
      </c>
      <c r="C149" s="111" t="str">
        <f t="shared" ca="1" si="44"/>
        <v>N</v>
      </c>
      <c r="D149" s="111" t="str">
        <f t="shared" ca="1" si="44"/>
        <v>N</v>
      </c>
      <c r="E149" s="111" t="str">
        <f t="shared" ca="1" si="44"/>
        <v>N</v>
      </c>
      <c r="F149" s="111" t="str">
        <f t="shared" ca="1" si="44"/>
        <v>N</v>
      </c>
      <c r="G149" s="111" t="str">
        <f t="shared" ca="1" si="44"/>
        <v>Y</v>
      </c>
      <c r="H149" s="111" t="str">
        <f t="shared" ca="1" si="44"/>
        <v>Y</v>
      </c>
      <c r="I149" s="111" t="str">
        <f t="shared" ca="1" si="44"/>
        <v>Y</v>
      </c>
      <c r="J149" s="111" t="str">
        <f t="shared" ca="1" si="44"/>
        <v>Y</v>
      </c>
      <c r="K149" s="111" t="str">
        <f t="shared" ca="1" si="44"/>
        <v>Y</v>
      </c>
      <c r="L149" s="111" t="str">
        <f t="shared" ca="1" si="44"/>
        <v>Y</v>
      </c>
      <c r="M149" s="111" t="str">
        <f t="shared" ca="1" si="44"/>
        <v>Y</v>
      </c>
      <c r="N149" s="111" t="str">
        <f t="shared" ca="1" si="44"/>
        <v>Y</v>
      </c>
      <c r="O149" s="111" t="str">
        <f t="shared" ca="1" si="44"/>
        <v>Y</v>
      </c>
      <c r="P149" s="111" t="str">
        <f t="shared" ca="1" si="44"/>
        <v>Y</v>
      </c>
      <c r="Q149" s="111" t="str">
        <f t="shared" ca="1" si="44"/>
        <v>N</v>
      </c>
      <c r="R149" s="111" t="str">
        <f t="shared" ca="1" si="44"/>
        <v>N</v>
      </c>
      <c r="S149" s="111" t="str">
        <f t="shared" ca="1" si="44"/>
        <v>N</v>
      </c>
      <c r="T149" s="111" t="str">
        <f t="shared" ca="1" si="44"/>
        <v>N</v>
      </c>
      <c r="U149" s="111" t="str">
        <f t="shared" ca="1" si="44"/>
        <v>N</v>
      </c>
      <c r="V149" s="111" t="str">
        <f t="shared" ca="1" si="44"/>
        <v>N</v>
      </c>
      <c r="W149" s="111" t="str">
        <f t="shared" ca="1" si="44"/>
        <v>N</v>
      </c>
      <c r="X149" s="111" t="str">
        <f t="shared" ca="1" si="44"/>
        <v>N</v>
      </c>
      <c r="Y149" s="111" t="str">
        <f t="shared" ca="1" si="44"/>
        <v>N</v>
      </c>
      <c r="Z149" s="175" t="str">
        <f t="shared" ca="1" si="44"/>
        <v>N</v>
      </c>
    </row>
    <row r="150" spans="1:26" ht="14.25" customHeight="1">
      <c r="A150" s="173" t="s">
        <v>220</v>
      </c>
      <c r="B150" s="36">
        <f t="shared" ref="B150:Z150" ca="1" si="45">IF(B149="Y",0,B147)</f>
        <v>0</v>
      </c>
      <c r="C150" s="36">
        <f t="shared" ca="1" si="45"/>
        <v>0</v>
      </c>
      <c r="D150" s="36">
        <f t="shared" ca="1" si="45"/>
        <v>0</v>
      </c>
      <c r="E150" s="36">
        <f t="shared" ca="1" si="45"/>
        <v>0</v>
      </c>
      <c r="F150" s="36">
        <f t="shared" ca="1" si="45"/>
        <v>0</v>
      </c>
      <c r="G150" s="36">
        <f t="shared" ca="1" si="45"/>
        <v>0</v>
      </c>
      <c r="H150" s="36">
        <f t="shared" ca="1" si="45"/>
        <v>0</v>
      </c>
      <c r="I150" s="36">
        <f t="shared" ca="1" si="45"/>
        <v>0</v>
      </c>
      <c r="J150" s="36">
        <f t="shared" ca="1" si="45"/>
        <v>0</v>
      </c>
      <c r="K150" s="36">
        <f t="shared" ca="1" si="45"/>
        <v>0</v>
      </c>
      <c r="L150" s="36">
        <f t="shared" ca="1" si="45"/>
        <v>0</v>
      </c>
      <c r="M150" s="36">
        <f t="shared" ca="1" si="45"/>
        <v>0</v>
      </c>
      <c r="N150" s="36">
        <f t="shared" ca="1" si="45"/>
        <v>0</v>
      </c>
      <c r="O150" s="36">
        <f t="shared" ca="1" si="45"/>
        <v>0</v>
      </c>
      <c r="P150" s="36">
        <f t="shared" ca="1" si="45"/>
        <v>0</v>
      </c>
      <c r="Q150" s="36">
        <f t="shared" ca="1" si="45"/>
        <v>494.21254216034708</v>
      </c>
      <c r="R150" s="36">
        <f t="shared" ca="1" si="45"/>
        <v>457.19781922017654</v>
      </c>
      <c r="S150" s="36">
        <f t="shared" ca="1" si="45"/>
        <v>416.38332350558005</v>
      </c>
      <c r="T150" s="36">
        <f t="shared" ca="1" si="45"/>
        <v>374.62549870900267</v>
      </c>
      <c r="U150" s="36">
        <f t="shared" ca="1" si="45"/>
        <v>323.949344409547</v>
      </c>
      <c r="V150" s="36">
        <f t="shared" ca="1" si="45"/>
        <v>272.51624346358665</v>
      </c>
      <c r="W150" s="36">
        <f t="shared" ca="1" si="45"/>
        <v>217.66661535006315</v>
      </c>
      <c r="X150" s="36">
        <f t="shared" ca="1" si="45"/>
        <v>161.89966310598177</v>
      </c>
      <c r="Y150" s="36">
        <f t="shared" ca="1" si="45"/>
        <v>97.706943973644471</v>
      </c>
      <c r="Z150" s="174">
        <f t="shared" ca="1" si="45"/>
        <v>32.522128905156578</v>
      </c>
    </row>
    <row r="151" spans="1:26" ht="14.25" customHeight="1">
      <c r="A151" s="173"/>
      <c r="B151" s="36"/>
      <c r="C151" s="36"/>
      <c r="D151" s="36"/>
      <c r="E151" s="36"/>
      <c r="F151" s="36"/>
      <c r="G151" s="36"/>
      <c r="H151" s="36"/>
      <c r="I151" s="36"/>
      <c r="J151" s="36"/>
      <c r="K151" s="36"/>
      <c r="L151" s="36"/>
      <c r="M151" s="36"/>
      <c r="N151" s="36"/>
      <c r="O151" s="36"/>
      <c r="P151" s="36"/>
      <c r="Q151" s="36"/>
      <c r="R151" s="36"/>
      <c r="S151" s="36"/>
      <c r="T151" s="36"/>
      <c r="U151" s="36"/>
      <c r="V151" s="36"/>
      <c r="W151" s="36"/>
      <c r="X151" s="36"/>
      <c r="Y151" s="36"/>
      <c r="Z151" s="174"/>
    </row>
    <row r="152" spans="1:26" ht="14.25" customHeight="1">
      <c r="A152" s="171" t="s">
        <v>95</v>
      </c>
      <c r="B152" s="35"/>
      <c r="C152" s="35"/>
      <c r="D152" s="35"/>
      <c r="E152" s="35"/>
      <c r="F152" s="35"/>
      <c r="G152" s="35"/>
      <c r="H152" s="35"/>
      <c r="I152" s="35"/>
      <c r="J152" s="35"/>
      <c r="K152" s="35"/>
      <c r="L152" s="35"/>
      <c r="M152" s="35"/>
      <c r="N152" s="35"/>
      <c r="O152" s="35"/>
      <c r="P152" s="35"/>
      <c r="Q152" s="35"/>
      <c r="R152" s="35"/>
      <c r="S152" s="35"/>
      <c r="T152" s="35"/>
      <c r="U152" s="35"/>
      <c r="V152" s="35"/>
      <c r="W152" s="35"/>
      <c r="X152" s="35"/>
      <c r="Y152" s="35"/>
      <c r="Z152" s="172"/>
    </row>
    <row r="153" spans="1:26" ht="14.25" customHeight="1">
      <c r="A153" s="171" t="s">
        <v>80</v>
      </c>
      <c r="B153" s="35">
        <f t="shared" ref="B153:Z153" ca="1" si="46">B137</f>
        <v>862.84879776644425</v>
      </c>
      <c r="C153" s="35">
        <f t="shared" ca="1" si="46"/>
        <v>848.45887605702649</v>
      </c>
      <c r="D153" s="35">
        <f t="shared" ca="1" si="46"/>
        <v>904.6932346372131</v>
      </c>
      <c r="E153" s="35">
        <f t="shared" ca="1" si="46"/>
        <v>945.06787814580423</v>
      </c>
      <c r="F153" s="35">
        <f t="shared" ca="1" si="46"/>
        <v>988.94420710195834</v>
      </c>
      <c r="G153" s="35">
        <f t="shared" ca="1" si="46"/>
        <v>1029.6622947986875</v>
      </c>
      <c r="H153" s="35">
        <f t="shared" ca="1" si="46"/>
        <v>1074.5575438892447</v>
      </c>
      <c r="I153" s="35">
        <f t="shared" ca="1" si="46"/>
        <v>1100.9521935083058</v>
      </c>
      <c r="J153" s="35">
        <f t="shared" ca="1" si="46"/>
        <v>1131.1642842645529</v>
      </c>
      <c r="K153" s="35">
        <f t="shared" ca="1" si="46"/>
        <v>1157.4975929462598</v>
      </c>
      <c r="L153" s="35">
        <f t="shared" ca="1" si="46"/>
        <v>1188.2248851482627</v>
      </c>
      <c r="M153" s="35">
        <f t="shared" ca="1" si="46"/>
        <v>1197.6908308862694</v>
      </c>
      <c r="N153" s="35">
        <f t="shared" ca="1" si="46"/>
        <v>1142.6959486133414</v>
      </c>
      <c r="O153" s="35">
        <f t="shared" ca="1" si="46"/>
        <v>1014.5176794899957</v>
      </c>
      <c r="P153" s="35">
        <f t="shared" ca="1" si="46"/>
        <v>889.80386623669403</v>
      </c>
      <c r="Q153" s="35">
        <f t="shared" ca="1" si="46"/>
        <v>742.78646203715982</v>
      </c>
      <c r="R153" s="35">
        <f t="shared" ca="1" si="46"/>
        <v>598.67432014023996</v>
      </c>
      <c r="S153" s="35">
        <f t="shared" ca="1" si="46"/>
        <v>448.66508009434381</v>
      </c>
      <c r="T153" s="35">
        <f t="shared" ca="1" si="46"/>
        <v>355.10961316453859</v>
      </c>
      <c r="U153" s="35">
        <f t="shared" ca="1" si="46"/>
        <v>1075.6161887405005</v>
      </c>
      <c r="V153" s="35">
        <f t="shared" ca="1" si="46"/>
        <v>905.9163044584684</v>
      </c>
      <c r="W153" s="35">
        <f t="shared" ca="1" si="46"/>
        <v>728.92208740403908</v>
      </c>
      <c r="X153" s="35">
        <f t="shared" ca="1" si="46"/>
        <v>551.57271238824967</v>
      </c>
      <c r="Y153" s="35">
        <f t="shared" ca="1" si="46"/>
        <v>351.4264799447223</v>
      </c>
      <c r="Z153" s="172">
        <f t="shared" ca="1" si="46"/>
        <v>150.05474545686445</v>
      </c>
    </row>
    <row r="154" spans="1:26" ht="14.25" customHeight="1">
      <c r="A154" s="173" t="s">
        <v>89</v>
      </c>
      <c r="B154" s="36">
        <f ca="1">B153*Assumption!$D$73</f>
        <v>146.64115318040723</v>
      </c>
      <c r="C154" s="36">
        <f ca="1">C153*Assumption!$D$73</f>
        <v>144.19558598589165</v>
      </c>
      <c r="D154" s="36">
        <f ca="1">D153*Assumption!$D$73</f>
        <v>153.75261522659437</v>
      </c>
      <c r="E154" s="36">
        <f ca="1">E153*Assumption!$D$73</f>
        <v>160.61428589087944</v>
      </c>
      <c r="F154" s="36">
        <f ca="1">F153*Assumption!$D$73</f>
        <v>168.07106799697783</v>
      </c>
      <c r="G154" s="36">
        <f ca="1">G153*Assumption!$D$73</f>
        <v>174.99110700103697</v>
      </c>
      <c r="H154" s="36">
        <f ca="1">H153*Assumption!$D$73</f>
        <v>182.62105458397716</v>
      </c>
      <c r="I154" s="36">
        <f ca="1">I153*Assumption!$D$73</f>
        <v>187.10682528673658</v>
      </c>
      <c r="J154" s="36">
        <f ca="1">J153*Assumption!$D$73</f>
        <v>192.24137011076078</v>
      </c>
      <c r="K154" s="36">
        <f ca="1">K153*Assumption!$D$73</f>
        <v>196.71671592121689</v>
      </c>
      <c r="L154" s="36">
        <f ca="1">L153*Assumption!$D$73</f>
        <v>201.93881923094727</v>
      </c>
      <c r="M154" s="36">
        <f ca="1">M153*Assumption!$D$73</f>
        <v>203.54755670912149</v>
      </c>
      <c r="N154" s="36">
        <f ca="1">N153*Assumption!$D$73</f>
        <v>194.20117646683741</v>
      </c>
      <c r="O154" s="36">
        <f ca="1">O153*Assumption!$D$73</f>
        <v>172.41727962932478</v>
      </c>
      <c r="P154" s="36">
        <f ca="1">P153*Assumption!$D$73</f>
        <v>151.22216706692618</v>
      </c>
      <c r="Q154" s="36">
        <f ca="1">Q153*Assumption!$D$73</f>
        <v>126.23655922321532</v>
      </c>
      <c r="R154" s="36">
        <f ca="1">R153*Assumption!$D$73</f>
        <v>101.74470070783379</v>
      </c>
      <c r="S154" s="36">
        <f ca="1">S153*Assumption!$D$73</f>
        <v>76.250630362033732</v>
      </c>
      <c r="T154" s="36">
        <f ca="1">T153*Assumption!$D$73</f>
        <v>60.350878757313339</v>
      </c>
      <c r="U154" s="36">
        <f ca="1">U153*Assumption!$D$73</f>
        <v>182.80097127644808</v>
      </c>
      <c r="V154" s="36">
        <f ca="1">V153*Assumption!$D$73</f>
        <v>153.96047594271673</v>
      </c>
      <c r="W154" s="36">
        <f ca="1">W153*Assumption!$D$73</f>
        <v>123.88030875431646</v>
      </c>
      <c r="X154" s="36">
        <f ca="1">X153*Assumption!$D$73</f>
        <v>93.739782470383048</v>
      </c>
      <c r="Y154" s="36">
        <f ca="1">Y153*Assumption!$D$73</f>
        <v>59.724930266605561</v>
      </c>
      <c r="Z154" s="174">
        <f ca="1">Z153*Assumption!$D$73</f>
        <v>25.501803990394116</v>
      </c>
    </row>
    <row r="155" spans="1:26" ht="14.25" customHeight="1">
      <c r="A155" s="176" t="s">
        <v>96</v>
      </c>
      <c r="B155" s="4">
        <f t="shared" ref="B155:Z155" ca="1" si="47">MAX(B154,B150)</f>
        <v>146.64115318040723</v>
      </c>
      <c r="C155" s="4">
        <f t="shared" ca="1" si="47"/>
        <v>144.19558598589165</v>
      </c>
      <c r="D155" s="4">
        <f t="shared" ca="1" si="47"/>
        <v>153.75261522659437</v>
      </c>
      <c r="E155" s="4">
        <f t="shared" ca="1" si="47"/>
        <v>160.61428589087944</v>
      </c>
      <c r="F155" s="4">
        <f t="shared" ca="1" si="47"/>
        <v>168.07106799697783</v>
      </c>
      <c r="G155" s="4">
        <f t="shared" ca="1" si="47"/>
        <v>174.99110700103697</v>
      </c>
      <c r="H155" s="4">
        <f t="shared" ca="1" si="47"/>
        <v>182.62105458397716</v>
      </c>
      <c r="I155" s="4">
        <f t="shared" ca="1" si="47"/>
        <v>187.10682528673658</v>
      </c>
      <c r="J155" s="4">
        <f t="shared" ca="1" si="47"/>
        <v>192.24137011076078</v>
      </c>
      <c r="K155" s="4">
        <f t="shared" ca="1" si="47"/>
        <v>196.71671592121689</v>
      </c>
      <c r="L155" s="4">
        <f t="shared" ca="1" si="47"/>
        <v>201.93881923094727</v>
      </c>
      <c r="M155" s="4">
        <f t="shared" ca="1" si="47"/>
        <v>203.54755670912149</v>
      </c>
      <c r="N155" s="4">
        <f t="shared" ca="1" si="47"/>
        <v>194.20117646683741</v>
      </c>
      <c r="O155" s="4">
        <f t="shared" ca="1" si="47"/>
        <v>172.41727962932478</v>
      </c>
      <c r="P155" s="4">
        <f t="shared" ca="1" si="47"/>
        <v>151.22216706692618</v>
      </c>
      <c r="Q155" s="4">
        <f t="shared" ca="1" si="47"/>
        <v>494.21254216034708</v>
      </c>
      <c r="R155" s="4">
        <f t="shared" ca="1" si="47"/>
        <v>457.19781922017654</v>
      </c>
      <c r="S155" s="4">
        <f t="shared" ca="1" si="47"/>
        <v>416.38332350558005</v>
      </c>
      <c r="T155" s="4">
        <f t="shared" ca="1" si="47"/>
        <v>374.62549870900267</v>
      </c>
      <c r="U155" s="4">
        <f t="shared" ca="1" si="47"/>
        <v>323.949344409547</v>
      </c>
      <c r="V155" s="4">
        <f t="shared" ca="1" si="47"/>
        <v>272.51624346358665</v>
      </c>
      <c r="W155" s="4">
        <f t="shared" ca="1" si="47"/>
        <v>217.66661535006315</v>
      </c>
      <c r="X155" s="4">
        <f t="shared" ca="1" si="47"/>
        <v>161.89966310598177</v>
      </c>
      <c r="Y155" s="4">
        <f t="shared" ca="1" si="47"/>
        <v>97.706943973644471</v>
      </c>
      <c r="Z155" s="177">
        <f t="shared" ca="1" si="47"/>
        <v>32.522128905156578</v>
      </c>
    </row>
    <row r="156" spans="1:26" ht="14.25" customHeight="1">
      <c r="A156" s="178" t="s">
        <v>81</v>
      </c>
      <c r="B156" s="38" t="s">
        <v>89</v>
      </c>
      <c r="C156" s="38" t="s">
        <v>89</v>
      </c>
      <c r="D156" s="38" t="s">
        <v>89</v>
      </c>
      <c r="E156" s="38" t="s">
        <v>89</v>
      </c>
      <c r="F156" s="38" t="s">
        <v>89</v>
      </c>
      <c r="G156" s="38" t="s">
        <v>89</v>
      </c>
      <c r="H156" s="38" t="s">
        <v>89</v>
      </c>
      <c r="I156" s="38" t="s">
        <v>89</v>
      </c>
      <c r="J156" s="38" t="s">
        <v>89</v>
      </c>
      <c r="K156" s="38" t="s">
        <v>89</v>
      </c>
      <c r="L156" s="38" t="s">
        <v>89</v>
      </c>
      <c r="M156" s="38" t="s">
        <v>89</v>
      </c>
      <c r="N156" s="38" t="s">
        <v>89</v>
      </c>
      <c r="O156" s="38" t="s">
        <v>89</v>
      </c>
      <c r="P156" s="38" t="s">
        <v>89</v>
      </c>
      <c r="Q156" s="38" t="s">
        <v>333</v>
      </c>
      <c r="R156" s="38" t="s">
        <v>333</v>
      </c>
      <c r="S156" s="38" t="s">
        <v>333</v>
      </c>
      <c r="T156" s="38" t="s">
        <v>333</v>
      </c>
      <c r="U156" s="38" t="s">
        <v>333</v>
      </c>
      <c r="V156" s="38" t="s">
        <v>333</v>
      </c>
      <c r="W156" s="38" t="s">
        <v>333</v>
      </c>
      <c r="X156" s="38" t="s">
        <v>333</v>
      </c>
      <c r="Y156" s="38" t="s">
        <v>333</v>
      </c>
      <c r="Z156" s="38" t="s">
        <v>333</v>
      </c>
    </row>
    <row r="157" spans="1:26" ht="14.25" customHeight="1">
      <c r="A157" s="176" t="s">
        <v>197</v>
      </c>
      <c r="B157" s="4">
        <f t="shared" ref="B157:Z157" ca="1" si="48">IF(B155=B154,(B154-B150),0)</f>
        <v>146.64115318040723</v>
      </c>
      <c r="C157" s="4">
        <f t="shared" ca="1" si="48"/>
        <v>144.19558598589165</v>
      </c>
      <c r="D157" s="4">
        <f t="shared" ca="1" si="48"/>
        <v>153.75261522659437</v>
      </c>
      <c r="E157" s="4">
        <f t="shared" ca="1" si="48"/>
        <v>160.61428589087944</v>
      </c>
      <c r="F157" s="4">
        <f t="shared" ca="1" si="48"/>
        <v>168.07106799697783</v>
      </c>
      <c r="G157" s="4">
        <f t="shared" ca="1" si="48"/>
        <v>174.99110700103697</v>
      </c>
      <c r="H157" s="4">
        <f t="shared" ca="1" si="48"/>
        <v>182.62105458397716</v>
      </c>
      <c r="I157" s="4">
        <f t="shared" ca="1" si="48"/>
        <v>187.10682528673658</v>
      </c>
      <c r="J157" s="4">
        <f t="shared" ca="1" si="48"/>
        <v>192.24137011076078</v>
      </c>
      <c r="K157" s="4">
        <f t="shared" ca="1" si="48"/>
        <v>196.71671592121689</v>
      </c>
      <c r="L157" s="4">
        <f t="shared" ca="1" si="48"/>
        <v>201.93881923094727</v>
      </c>
      <c r="M157" s="4">
        <f t="shared" ca="1" si="48"/>
        <v>203.54755670912149</v>
      </c>
      <c r="N157" s="4">
        <f t="shared" ca="1" si="48"/>
        <v>194.20117646683741</v>
      </c>
      <c r="O157" s="4">
        <f t="shared" ca="1" si="48"/>
        <v>172.41727962932478</v>
      </c>
      <c r="P157" s="4">
        <f t="shared" ca="1" si="48"/>
        <v>151.22216706692618</v>
      </c>
      <c r="Q157" s="4">
        <f t="shared" ca="1" si="48"/>
        <v>0</v>
      </c>
      <c r="R157" s="4">
        <f t="shared" ca="1" si="48"/>
        <v>0</v>
      </c>
      <c r="S157" s="4">
        <f t="shared" ca="1" si="48"/>
        <v>0</v>
      </c>
      <c r="T157" s="4">
        <f t="shared" ca="1" si="48"/>
        <v>0</v>
      </c>
      <c r="U157" s="4">
        <f t="shared" ca="1" si="48"/>
        <v>0</v>
      </c>
      <c r="V157" s="4">
        <f t="shared" ca="1" si="48"/>
        <v>0</v>
      </c>
      <c r="W157" s="4">
        <f t="shared" ca="1" si="48"/>
        <v>0</v>
      </c>
      <c r="X157" s="4">
        <f t="shared" ca="1" si="48"/>
        <v>0</v>
      </c>
      <c r="Y157" s="4">
        <f t="shared" ca="1" si="48"/>
        <v>0</v>
      </c>
      <c r="Z157" s="177">
        <f t="shared" ca="1" si="48"/>
        <v>0</v>
      </c>
    </row>
    <row r="158" spans="1:26" ht="14.25" customHeight="1">
      <c r="A158" s="176" t="s">
        <v>82</v>
      </c>
      <c r="B158" s="109">
        <f t="shared" ref="B158:Z158" si="49">DATE(YEAR(B136)+7,MONTH(B136),DAY(B136))</f>
        <v>44286</v>
      </c>
      <c r="C158" s="109">
        <f t="shared" si="49"/>
        <v>44651</v>
      </c>
      <c r="D158" s="109">
        <f t="shared" si="49"/>
        <v>45016</v>
      </c>
      <c r="E158" s="109">
        <f t="shared" si="49"/>
        <v>45382</v>
      </c>
      <c r="F158" s="109">
        <f t="shared" si="49"/>
        <v>45747</v>
      </c>
      <c r="G158" s="109">
        <f t="shared" si="49"/>
        <v>46112</v>
      </c>
      <c r="H158" s="109">
        <f t="shared" si="49"/>
        <v>46477</v>
      </c>
      <c r="I158" s="109">
        <f t="shared" si="49"/>
        <v>46843</v>
      </c>
      <c r="J158" s="109">
        <f t="shared" si="49"/>
        <v>47208</v>
      </c>
      <c r="K158" s="109">
        <f t="shared" si="49"/>
        <v>47573</v>
      </c>
      <c r="L158" s="109">
        <f t="shared" si="49"/>
        <v>47938</v>
      </c>
      <c r="M158" s="109">
        <f t="shared" si="49"/>
        <v>48304</v>
      </c>
      <c r="N158" s="109">
        <f t="shared" si="49"/>
        <v>48669</v>
      </c>
      <c r="O158" s="109">
        <f t="shared" si="49"/>
        <v>49034</v>
      </c>
      <c r="P158" s="109">
        <f t="shared" si="49"/>
        <v>49399</v>
      </c>
      <c r="Q158" s="109">
        <f t="shared" si="49"/>
        <v>49765</v>
      </c>
      <c r="R158" s="109">
        <f t="shared" si="49"/>
        <v>50130</v>
      </c>
      <c r="S158" s="109">
        <f t="shared" si="49"/>
        <v>50495</v>
      </c>
      <c r="T158" s="109">
        <f t="shared" si="49"/>
        <v>50860</v>
      </c>
      <c r="U158" s="109">
        <f t="shared" si="49"/>
        <v>51226</v>
      </c>
      <c r="V158" s="109">
        <f t="shared" si="49"/>
        <v>51591</v>
      </c>
      <c r="W158" s="109">
        <f t="shared" si="49"/>
        <v>51956</v>
      </c>
      <c r="X158" s="109">
        <f t="shared" si="49"/>
        <v>52321</v>
      </c>
      <c r="Y158" s="109">
        <f t="shared" si="49"/>
        <v>52687</v>
      </c>
      <c r="Z158" s="179">
        <f t="shared" si="49"/>
        <v>53052</v>
      </c>
    </row>
    <row r="159" spans="1:26" ht="14.25" customHeight="1">
      <c r="A159" s="176" t="s">
        <v>195</v>
      </c>
      <c r="B159" s="110" t="str">
        <f t="shared" ref="B159:Z159" ca="1" si="50">IF(B155=B150, "Yes", "No")</f>
        <v>No</v>
      </c>
      <c r="C159" s="110" t="str">
        <f t="shared" ca="1" si="50"/>
        <v>No</v>
      </c>
      <c r="D159" s="110" t="str">
        <f t="shared" ca="1" si="50"/>
        <v>No</v>
      </c>
      <c r="E159" s="110" t="str">
        <f t="shared" ca="1" si="50"/>
        <v>No</v>
      </c>
      <c r="F159" s="110" t="str">
        <f t="shared" ca="1" si="50"/>
        <v>No</v>
      </c>
      <c r="G159" s="110" t="str">
        <f t="shared" ca="1" si="50"/>
        <v>No</v>
      </c>
      <c r="H159" s="110" t="str">
        <f t="shared" ca="1" si="50"/>
        <v>No</v>
      </c>
      <c r="I159" s="110" t="str">
        <f t="shared" ca="1" si="50"/>
        <v>No</v>
      </c>
      <c r="J159" s="110" t="str">
        <f t="shared" ca="1" si="50"/>
        <v>No</v>
      </c>
      <c r="K159" s="110" t="str">
        <f t="shared" ca="1" si="50"/>
        <v>No</v>
      </c>
      <c r="L159" s="110" t="str">
        <f t="shared" ca="1" si="50"/>
        <v>No</v>
      </c>
      <c r="M159" s="110" t="str">
        <f t="shared" ca="1" si="50"/>
        <v>No</v>
      </c>
      <c r="N159" s="110" t="str">
        <f t="shared" ca="1" si="50"/>
        <v>No</v>
      </c>
      <c r="O159" s="110" t="str">
        <f t="shared" ca="1" si="50"/>
        <v>No</v>
      </c>
      <c r="P159" s="110" t="str">
        <f t="shared" ca="1" si="50"/>
        <v>No</v>
      </c>
      <c r="Q159" s="110" t="str">
        <f t="shared" ca="1" si="50"/>
        <v>Yes</v>
      </c>
      <c r="R159" s="110" t="str">
        <f t="shared" ca="1" si="50"/>
        <v>Yes</v>
      </c>
      <c r="S159" s="110" t="str">
        <f t="shared" ca="1" si="50"/>
        <v>Yes</v>
      </c>
      <c r="T159" s="110" t="str">
        <f t="shared" ca="1" si="50"/>
        <v>Yes</v>
      </c>
      <c r="U159" s="110" t="str">
        <f t="shared" ca="1" si="50"/>
        <v>Yes</v>
      </c>
      <c r="V159" s="110" t="str">
        <f t="shared" ca="1" si="50"/>
        <v>Yes</v>
      </c>
      <c r="W159" s="110" t="str">
        <f t="shared" ca="1" si="50"/>
        <v>Yes</v>
      </c>
      <c r="X159" s="110" t="str">
        <f t="shared" ca="1" si="50"/>
        <v>Yes</v>
      </c>
      <c r="Y159" s="110" t="str">
        <f t="shared" ca="1" si="50"/>
        <v>Yes</v>
      </c>
      <c r="Z159" s="180" t="str">
        <f t="shared" ca="1" si="50"/>
        <v>Yes</v>
      </c>
    </row>
    <row r="160" spans="1:26" ht="14.25" customHeight="1">
      <c r="A160" s="176" t="s">
        <v>83</v>
      </c>
      <c r="B160" s="4">
        <f t="shared" ref="B160:Z160" si="51">IF(B156="MAT",0,(B150-B154))</f>
        <v>0</v>
      </c>
      <c r="C160" s="4">
        <f t="shared" si="51"/>
        <v>0</v>
      </c>
      <c r="D160" s="4">
        <f t="shared" si="51"/>
        <v>0</v>
      </c>
      <c r="E160" s="4">
        <f t="shared" si="51"/>
        <v>0</v>
      </c>
      <c r="F160" s="4">
        <f t="shared" si="51"/>
        <v>0</v>
      </c>
      <c r="G160" s="4">
        <f t="shared" si="51"/>
        <v>0</v>
      </c>
      <c r="H160" s="4">
        <f t="shared" si="51"/>
        <v>0</v>
      </c>
      <c r="I160" s="4">
        <f t="shared" si="51"/>
        <v>0</v>
      </c>
      <c r="J160" s="4">
        <f t="shared" si="51"/>
        <v>0</v>
      </c>
      <c r="K160" s="4">
        <f t="shared" si="51"/>
        <v>0</v>
      </c>
      <c r="L160" s="4">
        <f t="shared" si="51"/>
        <v>0</v>
      </c>
      <c r="M160" s="4">
        <f t="shared" si="51"/>
        <v>0</v>
      </c>
      <c r="N160" s="4">
        <f t="shared" si="51"/>
        <v>0</v>
      </c>
      <c r="O160" s="4">
        <f t="shared" si="51"/>
        <v>0</v>
      </c>
      <c r="P160" s="4">
        <f t="shared" si="51"/>
        <v>0</v>
      </c>
      <c r="Q160" s="4">
        <f t="shared" ca="1" si="51"/>
        <v>367.97598293713179</v>
      </c>
      <c r="R160" s="4">
        <f t="shared" ca="1" si="51"/>
        <v>355.45311851234277</v>
      </c>
      <c r="S160" s="4">
        <f t="shared" ca="1" si="51"/>
        <v>340.13269314354631</v>
      </c>
      <c r="T160" s="4">
        <f t="shared" ca="1" si="51"/>
        <v>314.27461995168932</v>
      </c>
      <c r="U160" s="4">
        <f t="shared" ca="1" si="51"/>
        <v>141.14837313309891</v>
      </c>
      <c r="V160" s="4">
        <f t="shared" ca="1" si="51"/>
        <v>118.55576752086992</v>
      </c>
      <c r="W160" s="4">
        <f t="shared" ca="1" si="51"/>
        <v>93.786306595746694</v>
      </c>
      <c r="X160" s="4">
        <f t="shared" ca="1" si="51"/>
        <v>68.159880635598725</v>
      </c>
      <c r="Y160" s="4">
        <f t="shared" ca="1" si="51"/>
        <v>37.982013707038909</v>
      </c>
      <c r="Z160" s="177">
        <f t="shared" ca="1" si="51"/>
        <v>7.0203249147624618</v>
      </c>
    </row>
    <row r="161" spans="1:26" ht="14.25" customHeight="1">
      <c r="A161" s="171" t="s">
        <v>196</v>
      </c>
      <c r="B161" s="37">
        <v>0</v>
      </c>
      <c r="C161" s="37">
        <f t="shared" ref="C161:Z161" ca="1" si="52">B166</f>
        <v>146.64115318040723</v>
      </c>
      <c r="D161" s="37">
        <f t="shared" ca="1" si="52"/>
        <v>290.83673916629891</v>
      </c>
      <c r="E161" s="37">
        <f t="shared" ca="1" si="52"/>
        <v>444.58935439289326</v>
      </c>
      <c r="F161" s="37">
        <f t="shared" ca="1" si="52"/>
        <v>605.20364028377276</v>
      </c>
      <c r="G161" s="37">
        <f t="shared" ca="1" si="52"/>
        <v>773.27470828075059</v>
      </c>
      <c r="H161" s="37">
        <f t="shared" ca="1" si="52"/>
        <v>948.26581528178758</v>
      </c>
      <c r="I161" s="37">
        <f t="shared" ca="1" si="52"/>
        <v>1130.8868698657648</v>
      </c>
      <c r="J161" s="37">
        <f t="shared" ca="1" si="52"/>
        <v>1171.3525419720943</v>
      </c>
      <c r="K161" s="37">
        <f t="shared" ca="1" si="52"/>
        <v>1219.3983260969633</v>
      </c>
      <c r="L161" s="37">
        <f t="shared" ca="1" si="52"/>
        <v>1262.3624267915859</v>
      </c>
      <c r="M161" s="37">
        <f t="shared" ca="1" si="52"/>
        <v>1303.6869601316537</v>
      </c>
      <c r="N161" s="37">
        <f t="shared" ca="1" si="52"/>
        <v>1339.1634488437971</v>
      </c>
      <c r="O161" s="37">
        <f t="shared" ca="1" si="52"/>
        <v>1358.3735183095973</v>
      </c>
      <c r="P161" s="37">
        <f t="shared" ca="1" si="52"/>
        <v>1348.169743354945</v>
      </c>
      <c r="Q161" s="37">
        <f t="shared" ca="1" si="52"/>
        <v>1312.2850851351341</v>
      </c>
      <c r="R161" s="37">
        <f t="shared" ca="1" si="52"/>
        <v>944.30910219800182</v>
      </c>
      <c r="S161" s="37">
        <f t="shared" ca="1" si="52"/>
        <v>588.85598368565638</v>
      </c>
      <c r="T161" s="37">
        <f t="shared" ca="1" si="52"/>
        <v>248.7232905419682</v>
      </c>
      <c r="U161" s="37">
        <f t="shared" ca="1" si="52"/>
        <v>0</v>
      </c>
      <c r="V161" s="37">
        <f t="shared" ca="1" si="52"/>
        <v>0</v>
      </c>
      <c r="W161" s="37">
        <f t="shared" ca="1" si="52"/>
        <v>0</v>
      </c>
      <c r="X161" s="37">
        <f t="shared" ca="1" si="52"/>
        <v>0</v>
      </c>
      <c r="Y161" s="37">
        <f t="shared" ca="1" si="52"/>
        <v>0</v>
      </c>
      <c r="Z161" s="154">
        <f t="shared" ca="1" si="52"/>
        <v>0</v>
      </c>
    </row>
    <row r="162" spans="1:26" ht="14.25" customHeight="1">
      <c r="A162" s="171" t="s">
        <v>198</v>
      </c>
      <c r="B162" s="37">
        <f t="shared" ref="B162:Z162" ca="1" si="53">B157</f>
        <v>146.64115318040723</v>
      </c>
      <c r="C162" s="37">
        <f t="shared" ca="1" si="53"/>
        <v>144.19558598589165</v>
      </c>
      <c r="D162" s="37">
        <f t="shared" ca="1" si="53"/>
        <v>153.75261522659437</v>
      </c>
      <c r="E162" s="37">
        <f t="shared" ca="1" si="53"/>
        <v>160.61428589087944</v>
      </c>
      <c r="F162" s="37">
        <f t="shared" ca="1" si="53"/>
        <v>168.07106799697783</v>
      </c>
      <c r="G162" s="37">
        <f t="shared" ca="1" si="53"/>
        <v>174.99110700103697</v>
      </c>
      <c r="H162" s="37">
        <f t="shared" ca="1" si="53"/>
        <v>182.62105458397716</v>
      </c>
      <c r="I162" s="37">
        <f t="shared" ca="1" si="53"/>
        <v>187.10682528673658</v>
      </c>
      <c r="J162" s="37">
        <f t="shared" ca="1" si="53"/>
        <v>192.24137011076078</v>
      </c>
      <c r="K162" s="37">
        <f t="shared" ca="1" si="53"/>
        <v>196.71671592121689</v>
      </c>
      <c r="L162" s="37">
        <f t="shared" ca="1" si="53"/>
        <v>201.93881923094727</v>
      </c>
      <c r="M162" s="37">
        <f t="shared" ca="1" si="53"/>
        <v>203.54755670912149</v>
      </c>
      <c r="N162" s="37">
        <f t="shared" ca="1" si="53"/>
        <v>194.20117646683741</v>
      </c>
      <c r="O162" s="37">
        <f t="shared" ca="1" si="53"/>
        <v>172.41727962932478</v>
      </c>
      <c r="P162" s="37">
        <f t="shared" ca="1" si="53"/>
        <v>151.22216706692618</v>
      </c>
      <c r="Q162" s="37">
        <f t="shared" ca="1" si="53"/>
        <v>0</v>
      </c>
      <c r="R162" s="37">
        <f t="shared" ca="1" si="53"/>
        <v>0</v>
      </c>
      <c r="S162" s="37">
        <f t="shared" ca="1" si="53"/>
        <v>0</v>
      </c>
      <c r="T162" s="37">
        <f t="shared" ca="1" si="53"/>
        <v>0</v>
      </c>
      <c r="U162" s="37">
        <f t="shared" ca="1" si="53"/>
        <v>0</v>
      </c>
      <c r="V162" s="37">
        <f t="shared" ca="1" si="53"/>
        <v>0</v>
      </c>
      <c r="W162" s="37">
        <f t="shared" ca="1" si="53"/>
        <v>0</v>
      </c>
      <c r="X162" s="37">
        <f t="shared" ca="1" si="53"/>
        <v>0</v>
      </c>
      <c r="Y162" s="37">
        <f t="shared" ca="1" si="53"/>
        <v>0</v>
      </c>
      <c r="Z162" s="154">
        <f t="shared" ca="1" si="53"/>
        <v>0</v>
      </c>
    </row>
    <row r="163" spans="1:26" ht="14.25" customHeight="1">
      <c r="A163" s="173" t="s">
        <v>221</v>
      </c>
      <c r="B163" s="4"/>
      <c r="C163" s="4"/>
      <c r="D163" s="4"/>
      <c r="E163" s="4"/>
      <c r="F163" s="4"/>
      <c r="G163" s="4"/>
      <c r="H163" s="4"/>
      <c r="I163" s="4">
        <f ca="1">IF(B162&gt;SUM($C$165:I165),B162-SUM($C$165:I165),0)</f>
        <v>146.64115318040723</v>
      </c>
      <c r="J163" s="4">
        <f ca="1">IF(C162&gt;SUM($C$165:J165),C162-SUM($C$165:J165),0)+I163</f>
        <v>290.83673916629891</v>
      </c>
      <c r="K163" s="4">
        <f ca="1">IF(D162&gt;SUM($C$165:K165),D162-SUM($C$165:K165),0)+J163</f>
        <v>444.58935439289326</v>
      </c>
      <c r="L163" s="4">
        <f ca="1">IF(E162&gt;SUM($C$165:L165),E162-SUM($C$165:L165),0)+K163</f>
        <v>605.20364028377276</v>
      </c>
      <c r="M163" s="4">
        <f ca="1">IF(F162&gt;SUM($C$165:M165),F162-SUM($C$165:M165),0)+L163</f>
        <v>773.27470828075059</v>
      </c>
      <c r="N163" s="4">
        <f ca="1">IF(G162&gt;SUM($C$165:N165),G162-SUM($C$165:N165),0)+M163</f>
        <v>948.26581528178758</v>
      </c>
      <c r="O163" s="4">
        <f ca="1">IF(H162&gt;SUM($C$165:O165),H162-SUM($C$165:O165),0)+N163</f>
        <v>1130.8868698657648</v>
      </c>
      <c r="P163" s="4">
        <f ca="1">IF(I162&gt;SUM($C$165:P165),I162-SUM($C$165:P165),0)+O163</f>
        <v>1317.9936951525015</v>
      </c>
      <c r="Q163" s="4">
        <f ca="1">IF(J162&gt;SUM($C$165:Q165),J162-SUM($C$165:Q165),0)+P163</f>
        <v>1317.9936951525015</v>
      </c>
      <c r="R163" s="4">
        <f ca="1">IF(K162&gt;SUM($C$165:R165),K162-SUM($C$165:R165),0)+Q163</f>
        <v>1317.9936951525015</v>
      </c>
      <c r="S163" s="4">
        <f ca="1">IF(L162&gt;SUM($C$165:S165),L162-SUM($C$165:S165),0)+R163</f>
        <v>1317.9936951525015</v>
      </c>
      <c r="T163" s="4">
        <f ca="1">IF(M162&gt;SUM($C$165:T165),M162-SUM($C$165:T165),0)+S163</f>
        <v>1317.9936951525015</v>
      </c>
      <c r="U163" s="4">
        <f ca="1">IF(N162&gt;SUM($C$165:U165),N162-SUM($C$165:U165),0)+T163</f>
        <v>1317.9936951525015</v>
      </c>
      <c r="V163" s="4">
        <f ca="1">IF(O162&gt;SUM($C$165:V165),O162-SUM($C$165:V165),0)+U163</f>
        <v>1317.9936951525015</v>
      </c>
      <c r="W163" s="4">
        <f ca="1">IF(P162&gt;SUM($C$165:W165),P162-SUM($C$165:W165),0)+V163</f>
        <v>1317.9936951525015</v>
      </c>
      <c r="X163" s="4">
        <f ca="1">IF(Q162&gt;SUM($C$165:X165),Q162-SUM($C$165:X165),0)+W163</f>
        <v>1317.9936951525015</v>
      </c>
      <c r="Y163" s="4">
        <f ca="1">IF(R162&gt;SUM($C$165:Y165),R162-SUM($C$165:Y165),0)+X163</f>
        <v>1317.9936951525015</v>
      </c>
      <c r="Z163" s="177">
        <f ca="1">IF(S162&gt;SUM($C$165:Z165),S162-SUM($C$165:Z165),0)+Y163</f>
        <v>1317.9936951525015</v>
      </c>
    </row>
    <row r="164" spans="1:26" ht="14.25" customHeight="1">
      <c r="A164" s="173" t="s">
        <v>90</v>
      </c>
      <c r="B164" s="4">
        <f ca="1">B161+B162</f>
        <v>146.64115318040723</v>
      </c>
      <c r="C164" s="4">
        <f t="shared" ref="C164:Z164" ca="1" si="54">C161+C162-(C163-B163)</f>
        <v>290.83673916629891</v>
      </c>
      <c r="D164" s="4">
        <f t="shared" ca="1" si="54"/>
        <v>444.58935439289326</v>
      </c>
      <c r="E164" s="4">
        <f t="shared" ca="1" si="54"/>
        <v>605.20364028377276</v>
      </c>
      <c r="F164" s="4">
        <f t="shared" ca="1" si="54"/>
        <v>773.27470828075059</v>
      </c>
      <c r="G164" s="4">
        <f t="shared" ca="1" si="54"/>
        <v>948.26581528178758</v>
      </c>
      <c r="H164" s="4">
        <f t="shared" ca="1" si="54"/>
        <v>1130.8868698657648</v>
      </c>
      <c r="I164" s="4">
        <f t="shared" ca="1" si="54"/>
        <v>1171.3525419720943</v>
      </c>
      <c r="J164" s="4">
        <f t="shared" ca="1" si="54"/>
        <v>1219.3983260969633</v>
      </c>
      <c r="K164" s="4">
        <f t="shared" ca="1" si="54"/>
        <v>1262.3624267915859</v>
      </c>
      <c r="L164" s="4">
        <f t="shared" ca="1" si="54"/>
        <v>1303.6869601316537</v>
      </c>
      <c r="M164" s="4">
        <f t="shared" ca="1" si="54"/>
        <v>1339.1634488437971</v>
      </c>
      <c r="N164" s="4">
        <f t="shared" ca="1" si="54"/>
        <v>1358.3735183095973</v>
      </c>
      <c r="O164" s="4">
        <f t="shared" ca="1" si="54"/>
        <v>1348.169743354945</v>
      </c>
      <c r="P164" s="4">
        <f t="shared" ca="1" si="54"/>
        <v>1312.2850851351345</v>
      </c>
      <c r="Q164" s="4">
        <f t="shared" ca="1" si="54"/>
        <v>1312.2850851351341</v>
      </c>
      <c r="R164" s="4">
        <f t="shared" ca="1" si="54"/>
        <v>944.30910219800182</v>
      </c>
      <c r="S164" s="4">
        <f t="shared" ca="1" si="54"/>
        <v>588.85598368565638</v>
      </c>
      <c r="T164" s="4">
        <f t="shared" ca="1" si="54"/>
        <v>248.7232905419682</v>
      </c>
      <c r="U164" s="4">
        <f t="shared" ca="1" si="54"/>
        <v>0</v>
      </c>
      <c r="V164" s="4">
        <f t="shared" ca="1" si="54"/>
        <v>0</v>
      </c>
      <c r="W164" s="4">
        <f t="shared" ca="1" si="54"/>
        <v>0</v>
      </c>
      <c r="X164" s="4">
        <f t="shared" ca="1" si="54"/>
        <v>0</v>
      </c>
      <c r="Y164" s="4">
        <f t="shared" ca="1" si="54"/>
        <v>0</v>
      </c>
      <c r="Z164" s="177">
        <f t="shared" ca="1" si="54"/>
        <v>0</v>
      </c>
    </row>
    <row r="165" spans="1:26" ht="14.25" customHeight="1">
      <c r="A165" s="171" t="s">
        <v>199</v>
      </c>
      <c r="B165" s="4">
        <f t="shared" ref="B165:Z165" si="55">IF(B156="MAT",0,IF((MIN(B160,B164)&gt;0),MIN(B160,B164),0))</f>
        <v>0</v>
      </c>
      <c r="C165" s="4">
        <f t="shared" si="55"/>
        <v>0</v>
      </c>
      <c r="D165" s="4">
        <f t="shared" si="55"/>
        <v>0</v>
      </c>
      <c r="E165" s="4">
        <f t="shared" si="55"/>
        <v>0</v>
      </c>
      <c r="F165" s="4">
        <f t="shared" si="55"/>
        <v>0</v>
      </c>
      <c r="G165" s="4">
        <f t="shared" si="55"/>
        <v>0</v>
      </c>
      <c r="H165" s="4">
        <f t="shared" si="55"/>
        <v>0</v>
      </c>
      <c r="I165" s="4">
        <f t="shared" si="55"/>
        <v>0</v>
      </c>
      <c r="J165" s="4">
        <f t="shared" si="55"/>
        <v>0</v>
      </c>
      <c r="K165" s="4">
        <f t="shared" si="55"/>
        <v>0</v>
      </c>
      <c r="L165" s="4">
        <f t="shared" si="55"/>
        <v>0</v>
      </c>
      <c r="M165" s="4">
        <f t="shared" si="55"/>
        <v>0</v>
      </c>
      <c r="N165" s="4">
        <f t="shared" si="55"/>
        <v>0</v>
      </c>
      <c r="O165" s="4">
        <f t="shared" si="55"/>
        <v>0</v>
      </c>
      <c r="P165" s="4">
        <f t="shared" si="55"/>
        <v>0</v>
      </c>
      <c r="Q165" s="4">
        <f t="shared" ca="1" si="55"/>
        <v>367.97598293713179</v>
      </c>
      <c r="R165" s="4">
        <f t="shared" ca="1" si="55"/>
        <v>355.45311851234277</v>
      </c>
      <c r="S165" s="4">
        <f t="shared" ca="1" si="55"/>
        <v>340.13269314354631</v>
      </c>
      <c r="T165" s="4">
        <f t="shared" ca="1" si="55"/>
        <v>248.7232905419682</v>
      </c>
      <c r="U165" s="4">
        <f t="shared" ca="1" si="55"/>
        <v>0</v>
      </c>
      <c r="V165" s="4">
        <f t="shared" ca="1" si="55"/>
        <v>0</v>
      </c>
      <c r="W165" s="4">
        <f t="shared" ca="1" si="55"/>
        <v>0</v>
      </c>
      <c r="X165" s="4">
        <f t="shared" ca="1" si="55"/>
        <v>0</v>
      </c>
      <c r="Y165" s="4">
        <f t="shared" ca="1" si="55"/>
        <v>0</v>
      </c>
      <c r="Z165" s="177">
        <f t="shared" ca="1" si="55"/>
        <v>0</v>
      </c>
    </row>
    <row r="166" spans="1:26" ht="14.25" customHeight="1">
      <c r="A166" s="171" t="s">
        <v>200</v>
      </c>
      <c r="B166" s="37">
        <f t="shared" ref="B166:Z166" ca="1" si="56">B164-B165</f>
        <v>146.64115318040723</v>
      </c>
      <c r="C166" s="37">
        <f t="shared" ca="1" si="56"/>
        <v>290.83673916629891</v>
      </c>
      <c r="D166" s="37">
        <f t="shared" ca="1" si="56"/>
        <v>444.58935439289326</v>
      </c>
      <c r="E166" s="37">
        <f t="shared" ca="1" si="56"/>
        <v>605.20364028377276</v>
      </c>
      <c r="F166" s="37">
        <f t="shared" ca="1" si="56"/>
        <v>773.27470828075059</v>
      </c>
      <c r="G166" s="37">
        <f t="shared" ca="1" si="56"/>
        <v>948.26581528178758</v>
      </c>
      <c r="H166" s="37">
        <f t="shared" ca="1" si="56"/>
        <v>1130.8868698657648</v>
      </c>
      <c r="I166" s="37">
        <f t="shared" ca="1" si="56"/>
        <v>1171.3525419720943</v>
      </c>
      <c r="J166" s="37">
        <f t="shared" ca="1" si="56"/>
        <v>1219.3983260969633</v>
      </c>
      <c r="K166" s="37">
        <f t="shared" ca="1" si="56"/>
        <v>1262.3624267915859</v>
      </c>
      <c r="L166" s="37">
        <f t="shared" ca="1" si="56"/>
        <v>1303.6869601316537</v>
      </c>
      <c r="M166" s="37">
        <f t="shared" ca="1" si="56"/>
        <v>1339.1634488437971</v>
      </c>
      <c r="N166" s="37">
        <f t="shared" ca="1" si="56"/>
        <v>1358.3735183095973</v>
      </c>
      <c r="O166" s="37">
        <f t="shared" ca="1" si="56"/>
        <v>1348.169743354945</v>
      </c>
      <c r="P166" s="37">
        <f t="shared" ca="1" si="56"/>
        <v>1312.2850851351345</v>
      </c>
      <c r="Q166" s="37">
        <f t="shared" ca="1" si="56"/>
        <v>944.30910219800228</v>
      </c>
      <c r="R166" s="37">
        <f t="shared" ca="1" si="56"/>
        <v>588.85598368565911</v>
      </c>
      <c r="S166" s="37">
        <f t="shared" ca="1" si="56"/>
        <v>248.72329054211008</v>
      </c>
      <c r="T166" s="37">
        <f t="shared" ca="1" si="56"/>
        <v>0</v>
      </c>
      <c r="U166" s="37">
        <f t="shared" ca="1" si="56"/>
        <v>0</v>
      </c>
      <c r="V166" s="37">
        <f t="shared" ca="1" si="56"/>
        <v>0</v>
      </c>
      <c r="W166" s="37">
        <f t="shared" ca="1" si="56"/>
        <v>0</v>
      </c>
      <c r="X166" s="37">
        <f t="shared" ca="1" si="56"/>
        <v>0</v>
      </c>
      <c r="Y166" s="37">
        <f t="shared" ca="1" si="56"/>
        <v>0</v>
      </c>
      <c r="Z166" s="154">
        <f t="shared" ca="1" si="56"/>
        <v>0</v>
      </c>
    </row>
    <row r="167" spans="1:26" ht="14.25" customHeight="1">
      <c r="A167" s="171" t="s">
        <v>201</v>
      </c>
      <c r="B167" s="37">
        <f t="shared" ref="B167:Z167" ca="1" si="57">B155-B165</f>
        <v>146.64115318040723</v>
      </c>
      <c r="C167" s="37">
        <f t="shared" ca="1" si="57"/>
        <v>144.19558598589165</v>
      </c>
      <c r="D167" s="37">
        <f t="shared" ca="1" si="57"/>
        <v>153.75261522659437</v>
      </c>
      <c r="E167" s="37">
        <f t="shared" ca="1" si="57"/>
        <v>160.61428589087944</v>
      </c>
      <c r="F167" s="37">
        <f t="shared" ca="1" si="57"/>
        <v>168.07106799697783</v>
      </c>
      <c r="G167" s="37">
        <f t="shared" ca="1" si="57"/>
        <v>174.99110700103697</v>
      </c>
      <c r="H167" s="37">
        <f t="shared" ca="1" si="57"/>
        <v>182.62105458397716</v>
      </c>
      <c r="I167" s="37">
        <f t="shared" ca="1" si="57"/>
        <v>187.10682528673658</v>
      </c>
      <c r="J167" s="37">
        <f t="shared" ca="1" si="57"/>
        <v>192.24137011076078</v>
      </c>
      <c r="K167" s="37">
        <f t="shared" ca="1" si="57"/>
        <v>196.71671592121689</v>
      </c>
      <c r="L167" s="37">
        <f t="shared" ca="1" si="57"/>
        <v>201.93881923094727</v>
      </c>
      <c r="M167" s="37">
        <f t="shared" ca="1" si="57"/>
        <v>203.54755670912149</v>
      </c>
      <c r="N167" s="37">
        <f t="shared" ca="1" si="57"/>
        <v>194.20117646683741</v>
      </c>
      <c r="O167" s="37">
        <f t="shared" ca="1" si="57"/>
        <v>172.41727962932478</v>
      </c>
      <c r="P167" s="37">
        <f t="shared" ca="1" si="57"/>
        <v>151.22216706692618</v>
      </c>
      <c r="Q167" s="37">
        <f t="shared" ca="1" si="57"/>
        <v>126.23655922321529</v>
      </c>
      <c r="R167" s="37">
        <f t="shared" ca="1" si="57"/>
        <v>101.74470070783377</v>
      </c>
      <c r="S167" s="37">
        <f t="shared" ca="1" si="57"/>
        <v>76.250630362033746</v>
      </c>
      <c r="T167" s="37">
        <f t="shared" ca="1" si="57"/>
        <v>125.90220816703447</v>
      </c>
      <c r="U167" s="37">
        <f t="shared" ca="1" si="57"/>
        <v>323.949344409547</v>
      </c>
      <c r="V167" s="37">
        <f t="shared" ca="1" si="57"/>
        <v>272.51624346358665</v>
      </c>
      <c r="W167" s="37">
        <f t="shared" ca="1" si="57"/>
        <v>217.66661535006315</v>
      </c>
      <c r="X167" s="37">
        <f t="shared" ca="1" si="57"/>
        <v>161.89966310598177</v>
      </c>
      <c r="Y167" s="37">
        <f t="shared" ca="1" si="57"/>
        <v>97.706943973644471</v>
      </c>
      <c r="Z167" s="154">
        <f t="shared" ca="1" si="57"/>
        <v>32.522128905156578</v>
      </c>
    </row>
    <row r="168" spans="1:26" ht="14.25" customHeight="1">
      <c r="A168" s="165"/>
      <c r="B168" s="32"/>
      <c r="C168" s="32"/>
      <c r="D168" s="32"/>
      <c r="E168" s="32"/>
      <c r="F168" s="32"/>
      <c r="G168" s="32"/>
      <c r="H168" s="32"/>
      <c r="I168" s="32"/>
      <c r="J168" s="32"/>
      <c r="K168" s="32"/>
      <c r="L168" s="32"/>
      <c r="M168" s="32"/>
      <c r="N168" s="32"/>
      <c r="O168" s="32"/>
      <c r="P168" s="32"/>
      <c r="Q168" s="32"/>
      <c r="R168" s="32"/>
      <c r="S168" s="32"/>
      <c r="T168" s="32"/>
      <c r="U168" s="32"/>
      <c r="V168" s="32"/>
      <c r="W168" s="32"/>
      <c r="X168" s="32"/>
      <c r="Y168" s="32"/>
      <c r="Z168" s="155"/>
    </row>
    <row r="169" spans="1:26" ht="14.25" customHeight="1">
      <c r="A169" s="173" t="s">
        <v>146</v>
      </c>
      <c r="B169" s="24">
        <f t="shared" ref="B169:Z169" si="58">DATE(YEAR(B136)+8,MONTH(B136),DAY(B136))</f>
        <v>44651</v>
      </c>
      <c r="C169" s="24">
        <f t="shared" si="58"/>
        <v>45016</v>
      </c>
      <c r="D169" s="24">
        <f t="shared" si="58"/>
        <v>45382</v>
      </c>
      <c r="E169" s="24">
        <f t="shared" si="58"/>
        <v>45747</v>
      </c>
      <c r="F169" s="24">
        <f t="shared" si="58"/>
        <v>46112</v>
      </c>
      <c r="G169" s="24">
        <f t="shared" si="58"/>
        <v>46477</v>
      </c>
      <c r="H169" s="24">
        <f t="shared" si="58"/>
        <v>46843</v>
      </c>
      <c r="I169" s="24">
        <f t="shared" si="58"/>
        <v>47208</v>
      </c>
      <c r="J169" s="24">
        <f t="shared" si="58"/>
        <v>47573</v>
      </c>
      <c r="K169" s="24">
        <f t="shared" si="58"/>
        <v>47938</v>
      </c>
      <c r="L169" s="24">
        <f t="shared" si="58"/>
        <v>48304</v>
      </c>
      <c r="M169" s="24">
        <f t="shared" si="58"/>
        <v>48669</v>
      </c>
      <c r="N169" s="24">
        <f t="shared" si="58"/>
        <v>49034</v>
      </c>
      <c r="O169" s="24">
        <f t="shared" si="58"/>
        <v>49399</v>
      </c>
      <c r="P169" s="24">
        <f t="shared" si="58"/>
        <v>49765</v>
      </c>
      <c r="Q169" s="24">
        <f t="shared" si="58"/>
        <v>50130</v>
      </c>
      <c r="R169" s="24">
        <f t="shared" si="58"/>
        <v>50495</v>
      </c>
      <c r="S169" s="24">
        <f t="shared" si="58"/>
        <v>50860</v>
      </c>
      <c r="T169" s="24">
        <f t="shared" si="58"/>
        <v>51226</v>
      </c>
      <c r="U169" s="24">
        <f t="shared" si="58"/>
        <v>51591</v>
      </c>
      <c r="V169" s="24">
        <f t="shared" si="58"/>
        <v>51956</v>
      </c>
      <c r="W169" s="24">
        <f t="shared" si="58"/>
        <v>52321</v>
      </c>
      <c r="X169" s="24">
        <f t="shared" si="58"/>
        <v>52687</v>
      </c>
      <c r="Y169" s="24">
        <f t="shared" si="58"/>
        <v>53052</v>
      </c>
      <c r="Z169" s="150">
        <f t="shared" si="58"/>
        <v>53417</v>
      </c>
    </row>
    <row r="170" spans="1:26" ht="14.25" customHeight="1">
      <c r="A170" s="171" t="s">
        <v>86</v>
      </c>
      <c r="B170" s="21">
        <v>0</v>
      </c>
      <c r="C170" s="37">
        <f t="shared" ref="C170:Z170" ca="1" si="59">B177</f>
        <v>-881.17419283081585</v>
      </c>
      <c r="D170" s="37">
        <f t="shared" ca="1" si="59"/>
        <v>-1371.0375287737891</v>
      </c>
      <c r="E170" s="37">
        <f t="shared" ca="1" si="59"/>
        <v>-1462.023771136576</v>
      </c>
      <c r="F170" s="37">
        <f t="shared" ca="1" si="59"/>
        <v>-1221.3890452407718</v>
      </c>
      <c r="G170" s="37">
        <f t="shared" ca="1" si="59"/>
        <v>-689.31861435131373</v>
      </c>
      <c r="H170" s="37">
        <f t="shared" ca="1" si="59"/>
        <v>0</v>
      </c>
      <c r="I170" s="37">
        <f t="shared" ca="1" si="59"/>
        <v>0</v>
      </c>
      <c r="J170" s="37">
        <f t="shared" ca="1" si="59"/>
        <v>0</v>
      </c>
      <c r="K170" s="37">
        <f t="shared" ca="1" si="59"/>
        <v>0</v>
      </c>
      <c r="L170" s="37">
        <f t="shared" ca="1" si="59"/>
        <v>0</v>
      </c>
      <c r="M170" s="37">
        <f t="shared" ca="1" si="59"/>
        <v>0</v>
      </c>
      <c r="N170" s="37">
        <f t="shared" ca="1" si="59"/>
        <v>0</v>
      </c>
      <c r="O170" s="37">
        <f t="shared" ca="1" si="59"/>
        <v>0</v>
      </c>
      <c r="P170" s="37">
        <f t="shared" ca="1" si="59"/>
        <v>0</v>
      </c>
      <c r="Q170" s="37">
        <f t="shared" ca="1" si="59"/>
        <v>0</v>
      </c>
      <c r="R170" s="37">
        <f t="shared" ca="1" si="59"/>
        <v>0</v>
      </c>
      <c r="S170" s="37">
        <f t="shared" ca="1" si="59"/>
        <v>0</v>
      </c>
      <c r="T170" s="37">
        <f t="shared" ca="1" si="59"/>
        <v>0</v>
      </c>
      <c r="U170" s="37">
        <f t="shared" ca="1" si="59"/>
        <v>0</v>
      </c>
      <c r="V170" s="37">
        <f t="shared" ca="1" si="59"/>
        <v>0</v>
      </c>
      <c r="W170" s="37">
        <f t="shared" ca="1" si="59"/>
        <v>0</v>
      </c>
      <c r="X170" s="37">
        <f t="shared" ca="1" si="59"/>
        <v>0</v>
      </c>
      <c r="Y170" s="37">
        <f t="shared" ca="1" si="59"/>
        <v>0</v>
      </c>
      <c r="Z170" s="154">
        <f t="shared" ca="1" si="59"/>
        <v>0</v>
      </c>
    </row>
    <row r="171" spans="1:26" ht="14.25" customHeight="1">
      <c r="A171" s="171" t="s">
        <v>147</v>
      </c>
      <c r="B171" s="35">
        <v>0</v>
      </c>
      <c r="C171" s="35">
        <v>0</v>
      </c>
      <c r="D171" s="35">
        <v>0</v>
      </c>
      <c r="E171" s="35">
        <v>0</v>
      </c>
      <c r="F171" s="35">
        <v>0</v>
      </c>
      <c r="G171" s="35">
        <v>0</v>
      </c>
      <c r="H171" s="35">
        <v>0</v>
      </c>
      <c r="I171" s="35">
        <v>0</v>
      </c>
      <c r="J171" s="35">
        <v>0</v>
      </c>
      <c r="K171" s="35">
        <f ca="1">IF(AND(ABS(J176)&gt;J175,ABS(K170)&gt;0)=TRUE,J176+J175,0)</f>
        <v>0</v>
      </c>
      <c r="L171" s="35">
        <f t="shared" ref="L171:Z171" ca="1" si="60">IF(AND(ABS(K176)&gt;K174,ABS(L170)&gt;0)=TRUE,K176+K174,0)</f>
        <v>0</v>
      </c>
      <c r="M171" s="35">
        <f t="shared" ca="1" si="60"/>
        <v>0</v>
      </c>
      <c r="N171" s="35">
        <f t="shared" ca="1" si="60"/>
        <v>0</v>
      </c>
      <c r="O171" s="35">
        <f t="shared" ca="1" si="60"/>
        <v>0</v>
      </c>
      <c r="P171" s="35">
        <f t="shared" ca="1" si="60"/>
        <v>0</v>
      </c>
      <c r="Q171" s="35">
        <f t="shared" ca="1" si="60"/>
        <v>0</v>
      </c>
      <c r="R171" s="35">
        <f t="shared" ca="1" si="60"/>
        <v>0</v>
      </c>
      <c r="S171" s="35">
        <f t="shared" ca="1" si="60"/>
        <v>0</v>
      </c>
      <c r="T171" s="35">
        <f t="shared" ca="1" si="60"/>
        <v>0</v>
      </c>
      <c r="U171" s="35">
        <f t="shared" ca="1" si="60"/>
        <v>0</v>
      </c>
      <c r="V171" s="35">
        <f t="shared" ca="1" si="60"/>
        <v>0</v>
      </c>
      <c r="W171" s="35">
        <f t="shared" ca="1" si="60"/>
        <v>0</v>
      </c>
      <c r="X171" s="35">
        <f t="shared" ca="1" si="60"/>
        <v>0</v>
      </c>
      <c r="Y171" s="35">
        <f t="shared" ca="1" si="60"/>
        <v>0</v>
      </c>
      <c r="Z171" s="172">
        <f t="shared" ca="1" si="60"/>
        <v>0</v>
      </c>
    </row>
    <row r="172" spans="1:26" ht="14.25" customHeight="1">
      <c r="A172" s="171" t="s">
        <v>148</v>
      </c>
      <c r="B172" s="35">
        <f t="shared" ref="B172:Z172" si="61">B170-B171</f>
        <v>0</v>
      </c>
      <c r="C172" s="35">
        <f t="shared" ca="1" si="61"/>
        <v>-881.17419283081585</v>
      </c>
      <c r="D172" s="35">
        <f t="shared" ca="1" si="61"/>
        <v>-1371.0375287737891</v>
      </c>
      <c r="E172" s="35">
        <f t="shared" ca="1" si="61"/>
        <v>-1462.023771136576</v>
      </c>
      <c r="F172" s="35">
        <f t="shared" ca="1" si="61"/>
        <v>-1221.3890452407718</v>
      </c>
      <c r="G172" s="35">
        <f t="shared" ca="1" si="61"/>
        <v>-689.31861435131373</v>
      </c>
      <c r="H172" s="35">
        <f t="shared" ca="1" si="61"/>
        <v>0</v>
      </c>
      <c r="I172" s="35">
        <f t="shared" ca="1" si="61"/>
        <v>0</v>
      </c>
      <c r="J172" s="35">
        <f t="shared" ca="1" si="61"/>
        <v>0</v>
      </c>
      <c r="K172" s="35">
        <f t="shared" ca="1" si="61"/>
        <v>0</v>
      </c>
      <c r="L172" s="35">
        <f t="shared" ca="1" si="61"/>
        <v>0</v>
      </c>
      <c r="M172" s="35">
        <f t="shared" ca="1" si="61"/>
        <v>0</v>
      </c>
      <c r="N172" s="35">
        <f t="shared" ca="1" si="61"/>
        <v>0</v>
      </c>
      <c r="O172" s="35">
        <f t="shared" ca="1" si="61"/>
        <v>0</v>
      </c>
      <c r="P172" s="35">
        <f t="shared" ca="1" si="61"/>
        <v>0</v>
      </c>
      <c r="Q172" s="35">
        <f t="shared" ca="1" si="61"/>
        <v>0</v>
      </c>
      <c r="R172" s="35">
        <f t="shared" ca="1" si="61"/>
        <v>0</v>
      </c>
      <c r="S172" s="35">
        <f t="shared" ca="1" si="61"/>
        <v>0</v>
      </c>
      <c r="T172" s="35">
        <f t="shared" ca="1" si="61"/>
        <v>0</v>
      </c>
      <c r="U172" s="35">
        <f t="shared" ca="1" si="61"/>
        <v>0</v>
      </c>
      <c r="V172" s="35">
        <f t="shared" ca="1" si="61"/>
        <v>0</v>
      </c>
      <c r="W172" s="35">
        <f t="shared" ca="1" si="61"/>
        <v>0</v>
      </c>
      <c r="X172" s="35">
        <f t="shared" ca="1" si="61"/>
        <v>0</v>
      </c>
      <c r="Y172" s="35">
        <f t="shared" ca="1" si="61"/>
        <v>0</v>
      </c>
      <c r="Z172" s="172">
        <f t="shared" ca="1" si="61"/>
        <v>0</v>
      </c>
    </row>
    <row r="173" spans="1:26" ht="14.25" customHeight="1">
      <c r="A173" s="171" t="s">
        <v>85</v>
      </c>
      <c r="B173" s="35">
        <f t="shared" ref="B173:Z173" ca="1" si="62">B143</f>
        <v>-881.17419283081585</v>
      </c>
      <c r="C173" s="35">
        <f t="shared" ca="1" si="62"/>
        <v>-489.86333594297321</v>
      </c>
      <c r="D173" s="35">
        <f t="shared" ca="1" si="62"/>
        <v>-90.986242362786925</v>
      </c>
      <c r="E173" s="35">
        <f t="shared" ca="1" si="62"/>
        <v>0</v>
      </c>
      <c r="F173" s="35">
        <f t="shared" ca="1" si="62"/>
        <v>0</v>
      </c>
      <c r="G173" s="35">
        <f t="shared" ca="1" si="62"/>
        <v>0</v>
      </c>
      <c r="H173" s="35">
        <f t="shared" ca="1" si="62"/>
        <v>0</v>
      </c>
      <c r="I173" s="35">
        <f t="shared" ca="1" si="62"/>
        <v>0</v>
      </c>
      <c r="J173" s="35">
        <f t="shared" ca="1" si="62"/>
        <v>0</v>
      </c>
      <c r="K173" s="35">
        <f t="shared" ca="1" si="62"/>
        <v>0</v>
      </c>
      <c r="L173" s="35">
        <f t="shared" ca="1" si="62"/>
        <v>0</v>
      </c>
      <c r="M173" s="35">
        <f t="shared" ca="1" si="62"/>
        <v>0</v>
      </c>
      <c r="N173" s="35">
        <f t="shared" ca="1" si="62"/>
        <v>0</v>
      </c>
      <c r="O173" s="35">
        <f t="shared" ca="1" si="62"/>
        <v>0</v>
      </c>
      <c r="P173" s="35">
        <f t="shared" ca="1" si="62"/>
        <v>0</v>
      </c>
      <c r="Q173" s="35">
        <f t="shared" ca="1" si="62"/>
        <v>0</v>
      </c>
      <c r="R173" s="35">
        <f t="shared" ca="1" si="62"/>
        <v>0</v>
      </c>
      <c r="S173" s="35">
        <f t="shared" ca="1" si="62"/>
        <v>0</v>
      </c>
      <c r="T173" s="35">
        <f t="shared" ca="1" si="62"/>
        <v>0</v>
      </c>
      <c r="U173" s="35">
        <f t="shared" ca="1" si="62"/>
        <v>0</v>
      </c>
      <c r="V173" s="35">
        <f t="shared" ca="1" si="62"/>
        <v>0</v>
      </c>
      <c r="W173" s="35">
        <f t="shared" ca="1" si="62"/>
        <v>0</v>
      </c>
      <c r="X173" s="35">
        <f t="shared" ca="1" si="62"/>
        <v>0</v>
      </c>
      <c r="Y173" s="35">
        <f t="shared" ca="1" si="62"/>
        <v>0</v>
      </c>
      <c r="Z173" s="172">
        <f t="shared" ca="1" si="62"/>
        <v>0</v>
      </c>
    </row>
    <row r="174" spans="1:26" ht="14.25" customHeight="1">
      <c r="A174" s="171" t="s">
        <v>93</v>
      </c>
      <c r="B174" s="35">
        <f t="shared" ref="B174:Z174" ca="1" si="63">IF(B141&gt;0, MIN(B141,ABS(B172)),0)</f>
        <v>0</v>
      </c>
      <c r="C174" s="35">
        <f t="shared" ca="1" si="63"/>
        <v>0</v>
      </c>
      <c r="D174" s="35">
        <f t="shared" ca="1" si="63"/>
        <v>0</v>
      </c>
      <c r="E174" s="35">
        <f t="shared" ca="1" si="63"/>
        <v>240.63472589580419</v>
      </c>
      <c r="F174" s="35">
        <f t="shared" ca="1" si="63"/>
        <v>532.07043088945807</v>
      </c>
      <c r="G174" s="35">
        <f t="shared" ca="1" si="63"/>
        <v>689.31861435131373</v>
      </c>
      <c r="H174" s="35">
        <f t="shared" ca="1" si="63"/>
        <v>0</v>
      </c>
      <c r="I174" s="35">
        <f t="shared" ca="1" si="63"/>
        <v>0</v>
      </c>
      <c r="J174" s="35">
        <f t="shared" ca="1" si="63"/>
        <v>0</v>
      </c>
      <c r="K174" s="35">
        <f t="shared" ca="1" si="63"/>
        <v>0</v>
      </c>
      <c r="L174" s="35">
        <f t="shared" ca="1" si="63"/>
        <v>0</v>
      </c>
      <c r="M174" s="35">
        <f t="shared" ca="1" si="63"/>
        <v>0</v>
      </c>
      <c r="N174" s="35">
        <f t="shared" ca="1" si="63"/>
        <v>0</v>
      </c>
      <c r="O174" s="35">
        <f t="shared" ca="1" si="63"/>
        <v>0</v>
      </c>
      <c r="P174" s="35">
        <f t="shared" ca="1" si="63"/>
        <v>0</v>
      </c>
      <c r="Q174" s="35">
        <f t="shared" ca="1" si="63"/>
        <v>0</v>
      </c>
      <c r="R174" s="35">
        <f t="shared" ca="1" si="63"/>
        <v>0</v>
      </c>
      <c r="S174" s="35">
        <f t="shared" ca="1" si="63"/>
        <v>0</v>
      </c>
      <c r="T174" s="35">
        <f t="shared" ca="1" si="63"/>
        <v>0</v>
      </c>
      <c r="U174" s="35">
        <f t="shared" ca="1" si="63"/>
        <v>0</v>
      </c>
      <c r="V174" s="35">
        <f t="shared" ca="1" si="63"/>
        <v>0</v>
      </c>
      <c r="W174" s="35">
        <f t="shared" ca="1" si="63"/>
        <v>0</v>
      </c>
      <c r="X174" s="35">
        <f t="shared" ca="1" si="63"/>
        <v>0</v>
      </c>
      <c r="Y174" s="35">
        <f t="shared" ca="1" si="63"/>
        <v>0</v>
      </c>
      <c r="Z174" s="172">
        <f t="shared" ca="1" si="63"/>
        <v>0</v>
      </c>
    </row>
    <row r="175" spans="1:26" ht="14.25" customHeight="1">
      <c r="A175" s="173" t="s">
        <v>149</v>
      </c>
      <c r="B175" s="35">
        <f ca="1">B174</f>
        <v>0</v>
      </c>
      <c r="C175" s="35">
        <f t="shared" ref="C175:Z175" ca="1" si="64">B175+C174</f>
        <v>0</v>
      </c>
      <c r="D175" s="35">
        <f t="shared" ca="1" si="64"/>
        <v>0</v>
      </c>
      <c r="E175" s="35">
        <f t="shared" ca="1" si="64"/>
        <v>240.63472589580419</v>
      </c>
      <c r="F175" s="35">
        <f t="shared" ca="1" si="64"/>
        <v>772.70515678526226</v>
      </c>
      <c r="G175" s="35">
        <f t="shared" ca="1" si="64"/>
        <v>1462.023771136576</v>
      </c>
      <c r="H175" s="35">
        <f t="shared" ca="1" si="64"/>
        <v>1462.023771136576</v>
      </c>
      <c r="I175" s="35">
        <f t="shared" ca="1" si="64"/>
        <v>1462.023771136576</v>
      </c>
      <c r="J175" s="35">
        <f t="shared" ca="1" si="64"/>
        <v>1462.023771136576</v>
      </c>
      <c r="K175" s="35">
        <f t="shared" ca="1" si="64"/>
        <v>1462.023771136576</v>
      </c>
      <c r="L175" s="35">
        <f t="shared" ca="1" si="64"/>
        <v>1462.023771136576</v>
      </c>
      <c r="M175" s="35">
        <f t="shared" ca="1" si="64"/>
        <v>1462.023771136576</v>
      </c>
      <c r="N175" s="35">
        <f t="shared" ca="1" si="64"/>
        <v>1462.023771136576</v>
      </c>
      <c r="O175" s="35">
        <f t="shared" ca="1" si="64"/>
        <v>1462.023771136576</v>
      </c>
      <c r="P175" s="35">
        <f t="shared" ca="1" si="64"/>
        <v>1462.023771136576</v>
      </c>
      <c r="Q175" s="35">
        <f t="shared" ca="1" si="64"/>
        <v>1462.023771136576</v>
      </c>
      <c r="R175" s="35">
        <f t="shared" ca="1" si="64"/>
        <v>1462.023771136576</v>
      </c>
      <c r="S175" s="35">
        <f t="shared" ca="1" si="64"/>
        <v>1462.023771136576</v>
      </c>
      <c r="T175" s="35">
        <f t="shared" ca="1" si="64"/>
        <v>1462.023771136576</v>
      </c>
      <c r="U175" s="35">
        <f t="shared" ca="1" si="64"/>
        <v>1462.023771136576</v>
      </c>
      <c r="V175" s="35">
        <f t="shared" ca="1" si="64"/>
        <v>1462.023771136576</v>
      </c>
      <c r="W175" s="35">
        <f t="shared" ca="1" si="64"/>
        <v>1462.023771136576</v>
      </c>
      <c r="X175" s="35">
        <f t="shared" ca="1" si="64"/>
        <v>1462.023771136576</v>
      </c>
      <c r="Y175" s="35">
        <f t="shared" ca="1" si="64"/>
        <v>1462.023771136576</v>
      </c>
      <c r="Z175" s="172">
        <f t="shared" ca="1" si="64"/>
        <v>1462.023771136576</v>
      </c>
    </row>
    <row r="176" spans="1:26" ht="14.25" customHeight="1">
      <c r="A176" s="171" t="s">
        <v>150</v>
      </c>
      <c r="B176" s="37">
        <v>0</v>
      </c>
      <c r="C176" s="37">
        <v>0</v>
      </c>
      <c r="D176" s="37">
        <v>0</v>
      </c>
      <c r="E176" s="37">
        <v>0</v>
      </c>
      <c r="F176" s="37">
        <v>0</v>
      </c>
      <c r="G176" s="37">
        <v>0</v>
      </c>
      <c r="H176" s="37">
        <v>0</v>
      </c>
      <c r="I176" s="37">
        <v>0</v>
      </c>
      <c r="J176" s="37">
        <f t="shared" ref="J176:Z176" ca="1" si="65">B173</f>
        <v>-881.17419283081585</v>
      </c>
      <c r="K176" s="37">
        <f t="shared" ca="1" si="65"/>
        <v>-489.86333594297321</v>
      </c>
      <c r="L176" s="37">
        <f t="shared" ca="1" si="65"/>
        <v>-90.986242362786925</v>
      </c>
      <c r="M176" s="37">
        <f t="shared" ca="1" si="65"/>
        <v>0</v>
      </c>
      <c r="N176" s="37">
        <f t="shared" ca="1" si="65"/>
        <v>0</v>
      </c>
      <c r="O176" s="37">
        <f t="shared" ca="1" si="65"/>
        <v>0</v>
      </c>
      <c r="P176" s="37">
        <f t="shared" ca="1" si="65"/>
        <v>0</v>
      </c>
      <c r="Q176" s="37">
        <f t="shared" ca="1" si="65"/>
        <v>0</v>
      </c>
      <c r="R176" s="37">
        <f t="shared" ca="1" si="65"/>
        <v>0</v>
      </c>
      <c r="S176" s="37">
        <f t="shared" ca="1" si="65"/>
        <v>0</v>
      </c>
      <c r="T176" s="37">
        <f t="shared" ca="1" si="65"/>
        <v>0</v>
      </c>
      <c r="U176" s="37">
        <f t="shared" ca="1" si="65"/>
        <v>0</v>
      </c>
      <c r="V176" s="37">
        <f t="shared" ca="1" si="65"/>
        <v>0</v>
      </c>
      <c r="W176" s="37">
        <f t="shared" ca="1" si="65"/>
        <v>0</v>
      </c>
      <c r="X176" s="37">
        <f t="shared" ca="1" si="65"/>
        <v>0</v>
      </c>
      <c r="Y176" s="37">
        <f t="shared" ca="1" si="65"/>
        <v>0</v>
      </c>
      <c r="Z176" s="154">
        <f t="shared" ca="1" si="65"/>
        <v>0</v>
      </c>
    </row>
    <row r="177" spans="1:26" ht="14.25" customHeight="1">
      <c r="A177" s="171" t="s">
        <v>87</v>
      </c>
      <c r="B177" s="35">
        <f t="shared" ref="B177:Z177" ca="1" si="66">B172+B173+B174</f>
        <v>-881.17419283081585</v>
      </c>
      <c r="C177" s="35">
        <f t="shared" ca="1" si="66"/>
        <v>-1371.0375287737891</v>
      </c>
      <c r="D177" s="35">
        <f t="shared" ca="1" si="66"/>
        <v>-1462.023771136576</v>
      </c>
      <c r="E177" s="35">
        <f t="shared" ca="1" si="66"/>
        <v>-1221.3890452407718</v>
      </c>
      <c r="F177" s="35">
        <f t="shared" ca="1" si="66"/>
        <v>-689.31861435131373</v>
      </c>
      <c r="G177" s="35">
        <f t="shared" ca="1" si="66"/>
        <v>0</v>
      </c>
      <c r="H177" s="35">
        <f t="shared" ca="1" si="66"/>
        <v>0</v>
      </c>
      <c r="I177" s="35">
        <f t="shared" ca="1" si="66"/>
        <v>0</v>
      </c>
      <c r="J177" s="35">
        <f t="shared" ca="1" si="66"/>
        <v>0</v>
      </c>
      <c r="K177" s="35">
        <f t="shared" ca="1" si="66"/>
        <v>0</v>
      </c>
      <c r="L177" s="35">
        <f t="shared" ca="1" si="66"/>
        <v>0</v>
      </c>
      <c r="M177" s="35">
        <f t="shared" ca="1" si="66"/>
        <v>0</v>
      </c>
      <c r="N177" s="35">
        <f t="shared" ca="1" si="66"/>
        <v>0</v>
      </c>
      <c r="O177" s="35">
        <f t="shared" ca="1" si="66"/>
        <v>0</v>
      </c>
      <c r="P177" s="35">
        <f t="shared" ca="1" si="66"/>
        <v>0</v>
      </c>
      <c r="Q177" s="35">
        <f t="shared" ca="1" si="66"/>
        <v>0</v>
      </c>
      <c r="R177" s="35">
        <f t="shared" ca="1" si="66"/>
        <v>0</v>
      </c>
      <c r="S177" s="35">
        <f t="shared" ca="1" si="66"/>
        <v>0</v>
      </c>
      <c r="T177" s="35">
        <f t="shared" ca="1" si="66"/>
        <v>0</v>
      </c>
      <c r="U177" s="35">
        <f t="shared" ca="1" si="66"/>
        <v>0</v>
      </c>
      <c r="V177" s="35">
        <f t="shared" ca="1" si="66"/>
        <v>0</v>
      </c>
      <c r="W177" s="35">
        <f t="shared" ca="1" si="66"/>
        <v>0</v>
      </c>
      <c r="X177" s="35">
        <f t="shared" ca="1" si="66"/>
        <v>0</v>
      </c>
      <c r="Y177" s="35">
        <f t="shared" ca="1" si="66"/>
        <v>0</v>
      </c>
      <c r="Z177" s="172">
        <f t="shared" ca="1" si="66"/>
        <v>0</v>
      </c>
    </row>
    <row r="178" spans="1:26" ht="14.25" customHeight="1">
      <c r="A178" s="165"/>
      <c r="B178" s="32"/>
      <c r="C178" s="181"/>
      <c r="D178" s="32"/>
      <c r="E178" s="32"/>
      <c r="F178" s="32"/>
      <c r="G178" s="32"/>
      <c r="H178" s="32"/>
      <c r="I178" s="32"/>
      <c r="J178" s="32"/>
      <c r="K178" s="32"/>
      <c r="L178" s="32"/>
      <c r="M178" s="32"/>
      <c r="N178" s="32"/>
      <c r="O178" s="32"/>
      <c r="P178" s="32"/>
      <c r="Q178" s="32"/>
      <c r="R178" s="32"/>
      <c r="S178" s="32"/>
      <c r="T178" s="32"/>
      <c r="U178" s="32"/>
      <c r="V178" s="32"/>
      <c r="W178" s="32"/>
      <c r="X178" s="32"/>
      <c r="Y178" s="32"/>
      <c r="Z178" s="155"/>
    </row>
    <row r="179" spans="1:26" ht="14.25" customHeight="1">
      <c r="A179" s="173" t="s">
        <v>194</v>
      </c>
      <c r="B179" s="97">
        <v>0.16995000000000002</v>
      </c>
      <c r="C179" s="97">
        <v>0.16995000000000002</v>
      </c>
      <c r="D179" s="97">
        <v>0.16995000000000002</v>
      </c>
      <c r="E179" s="97">
        <v>0.16995000000000002</v>
      </c>
      <c r="F179" s="97">
        <v>0.16995000000000002</v>
      </c>
      <c r="G179" s="97">
        <v>0.16995000000000002</v>
      </c>
      <c r="H179" s="97">
        <v>0.16995000000000002</v>
      </c>
      <c r="I179" s="97">
        <v>0.16995000000000002</v>
      </c>
      <c r="J179" s="97">
        <v>0.16995000000000002</v>
      </c>
      <c r="K179" s="97">
        <v>0.16995000000000002</v>
      </c>
      <c r="L179" s="97">
        <v>0.16995000000000002</v>
      </c>
      <c r="M179" s="97">
        <v>0.16995000000000002</v>
      </c>
      <c r="N179" s="97">
        <v>0.16995000000000002</v>
      </c>
      <c r="O179" s="97">
        <v>0.16995000000000002</v>
      </c>
      <c r="P179" s="97">
        <v>0.16995000000000002</v>
      </c>
      <c r="Q179" s="97">
        <v>0.16995000000000002</v>
      </c>
      <c r="R179" s="97">
        <v>0.16995000000000002</v>
      </c>
      <c r="S179" s="97">
        <v>0.16995000000000002</v>
      </c>
      <c r="T179" s="97">
        <v>0.33990000000000004</v>
      </c>
      <c r="U179" s="97">
        <v>0.33990000000000004</v>
      </c>
      <c r="V179" s="97">
        <v>0.33990000000000004</v>
      </c>
      <c r="W179" s="97">
        <v>0.33990000000000004</v>
      </c>
      <c r="X179" s="97">
        <v>0.33990000000000004</v>
      </c>
      <c r="Y179" s="97">
        <v>0.33990000000000004</v>
      </c>
      <c r="Z179" s="97">
        <v>0.33990000000000004</v>
      </c>
    </row>
    <row r="180" spans="1:26" ht="14.25" customHeight="1" thickBot="1">
      <c r="A180" s="182" t="s">
        <v>151</v>
      </c>
      <c r="B180" s="94">
        <f>Assumption!$D$68/(1-B179)</f>
        <v>0.18673573881091501</v>
      </c>
      <c r="C180" s="94">
        <f>Assumption!$D$68/(1-C179)</f>
        <v>0.18673573881091501</v>
      </c>
      <c r="D180" s="94">
        <f>Assumption!$D$68/(1-D179)</f>
        <v>0.18673573881091501</v>
      </c>
      <c r="E180" s="94">
        <f>Assumption!$D$68/(1-E179)</f>
        <v>0.18673573881091501</v>
      </c>
      <c r="F180" s="94">
        <f>Assumption!$D$68/(1-F179)</f>
        <v>0.18673573881091501</v>
      </c>
      <c r="G180" s="94">
        <f>Assumption!$D$68/(1-G179)</f>
        <v>0.18673573881091501</v>
      </c>
      <c r="H180" s="94">
        <f>Assumption!$D$68/(1-H179)</f>
        <v>0.18673573881091501</v>
      </c>
      <c r="I180" s="94">
        <f>Assumption!$D$68/(1-I179)</f>
        <v>0.18673573881091501</v>
      </c>
      <c r="J180" s="94">
        <f>Assumption!$D$68/(1-J179)</f>
        <v>0.18673573881091501</v>
      </c>
      <c r="K180" s="94">
        <f>Assumption!$D$68/(1-K179)</f>
        <v>0.18673573881091501</v>
      </c>
      <c r="L180" s="94">
        <f>Assumption!$D$68/(1-L179)</f>
        <v>0.18673573881091501</v>
      </c>
      <c r="M180" s="94">
        <f>Assumption!$D$68/(1-M179)</f>
        <v>0.18673573881091501</v>
      </c>
      <c r="N180" s="94">
        <f>Assumption!$D$68/(1-N179)</f>
        <v>0.18673573881091501</v>
      </c>
      <c r="O180" s="94">
        <f>Assumption!$D$68/(1-O179)</f>
        <v>0.18673573881091501</v>
      </c>
      <c r="P180" s="94">
        <f>Assumption!$D$68/(1-P179)</f>
        <v>0.18673573881091501</v>
      </c>
      <c r="Q180" s="94">
        <f>Assumption!$D$68/(1-Q179)</f>
        <v>0.18673573881091501</v>
      </c>
      <c r="R180" s="94">
        <f>Assumption!$D$68/(1-R179)</f>
        <v>0.18673573881091501</v>
      </c>
      <c r="S180" s="94">
        <f>Assumption!$D$68/(1-S179)</f>
        <v>0.18673573881091501</v>
      </c>
      <c r="T180" s="94">
        <f>Assumption!$D$68/(1-T179)</f>
        <v>0.23481290713528255</v>
      </c>
      <c r="U180" s="94">
        <f>Assumption!$D$68/(1-U179)</f>
        <v>0.23481290713528255</v>
      </c>
      <c r="V180" s="94">
        <f>Assumption!$D$68/(1-V179)</f>
        <v>0.23481290713528255</v>
      </c>
      <c r="W180" s="94">
        <f>Assumption!$D$68/(1-W179)</f>
        <v>0.23481290713528255</v>
      </c>
      <c r="X180" s="94">
        <f>Assumption!$D$68/(1-X179)</f>
        <v>0.23481290713528255</v>
      </c>
      <c r="Y180" s="94">
        <f>Assumption!$D$68/(1-Y179)</f>
        <v>0.23481290713528255</v>
      </c>
      <c r="Z180" s="116">
        <f>Assumption!$D$68/(1-Z179)</f>
        <v>0.23481290713528255</v>
      </c>
    </row>
    <row r="181" spans="1:26" ht="14.25" customHeight="1" thickBot="1"/>
    <row r="182" spans="1:26" ht="14.25" customHeight="1">
      <c r="A182" s="274" t="s">
        <v>275</v>
      </c>
      <c r="B182" s="275"/>
      <c r="C182" s="275"/>
      <c r="D182" s="275"/>
      <c r="E182" s="275"/>
      <c r="F182" s="275"/>
      <c r="G182" s="275"/>
      <c r="H182" s="275"/>
      <c r="I182" s="275"/>
      <c r="J182" s="275"/>
      <c r="K182" s="275"/>
      <c r="L182" s="275"/>
      <c r="M182" s="275"/>
      <c r="N182" s="275"/>
      <c r="O182" s="275"/>
      <c r="P182" s="275"/>
      <c r="Q182" s="276"/>
    </row>
    <row r="183" spans="1:26" ht="14.25" customHeight="1">
      <c r="A183" s="261" t="s">
        <v>120</v>
      </c>
      <c r="B183" s="262"/>
      <c r="C183" s="262"/>
      <c r="D183" s="262"/>
      <c r="E183" s="262"/>
      <c r="F183" s="290" t="s">
        <v>226</v>
      </c>
      <c r="G183" s="262" t="s">
        <v>121</v>
      </c>
      <c r="H183" s="262"/>
      <c r="I183" s="262"/>
      <c r="J183" s="262"/>
      <c r="K183" s="262"/>
      <c r="L183" s="262"/>
      <c r="M183" s="262"/>
      <c r="N183" s="262"/>
      <c r="O183" s="262"/>
      <c r="P183" s="262"/>
      <c r="Q183" s="289"/>
    </row>
    <row r="184" spans="1:26" ht="14.25" customHeight="1">
      <c r="A184" s="261" t="s">
        <v>37</v>
      </c>
      <c r="B184" s="262"/>
      <c r="C184" s="262"/>
      <c r="D184" s="262"/>
      <c r="E184" s="262"/>
      <c r="F184" s="290"/>
      <c r="G184" s="262" t="s">
        <v>37</v>
      </c>
      <c r="H184" s="262"/>
      <c r="I184" s="262"/>
      <c r="J184" s="262"/>
      <c r="K184" s="262"/>
      <c r="L184" s="262"/>
      <c r="M184" s="262"/>
      <c r="N184" s="262"/>
      <c r="O184" s="262"/>
      <c r="P184" s="262"/>
      <c r="Q184" s="289"/>
    </row>
    <row r="185" spans="1:26" ht="98.25" customHeight="1">
      <c r="A185" s="183" t="s">
        <v>3</v>
      </c>
      <c r="B185" s="60" t="s">
        <v>256</v>
      </c>
      <c r="C185" s="60" t="s">
        <v>257</v>
      </c>
      <c r="D185" s="60" t="s">
        <v>258</v>
      </c>
      <c r="E185" s="60" t="s">
        <v>259</v>
      </c>
      <c r="F185" s="290"/>
      <c r="G185" s="60" t="s">
        <v>3</v>
      </c>
      <c r="H185" s="60" t="s">
        <v>256</v>
      </c>
      <c r="I185" s="60" t="s">
        <v>260</v>
      </c>
      <c r="J185" s="60" t="s">
        <v>261</v>
      </c>
      <c r="K185" s="60" t="s">
        <v>262</v>
      </c>
      <c r="L185" s="60" t="s">
        <v>261</v>
      </c>
      <c r="M185" s="60" t="s">
        <v>263</v>
      </c>
      <c r="N185" s="60" t="s">
        <v>261</v>
      </c>
      <c r="O185" s="60" t="s">
        <v>264</v>
      </c>
      <c r="P185" s="60" t="s">
        <v>261</v>
      </c>
      <c r="Q185" s="184" t="s">
        <v>259</v>
      </c>
    </row>
    <row r="186" spans="1:26" ht="14.25" customHeight="1">
      <c r="A186" s="166">
        <v>2013</v>
      </c>
      <c r="B186" s="25">
        <f>C208</f>
        <v>12541.171999999999</v>
      </c>
      <c r="C186" s="29">
        <f>Workings!B61</f>
        <v>943.37100940273967</v>
      </c>
      <c r="D186" s="25">
        <f t="shared" ref="D186:D203" si="67">B186-C186</f>
        <v>11597.800990597259</v>
      </c>
      <c r="E186" s="44">
        <f>((B186+D186)/2)*F186/365*Assumption!$D$15</f>
        <v>1444.3703290812166</v>
      </c>
      <c r="F186" s="21">
        <f>Workings!B57</f>
        <v>364</v>
      </c>
      <c r="G186" s="21">
        <v>2013</v>
      </c>
      <c r="H186" s="25">
        <f>C208</f>
        <v>12541.171999999999</v>
      </c>
      <c r="I186" s="25">
        <v>0</v>
      </c>
      <c r="J186" s="25">
        <f t="shared" ref="J186:J197" si="68">H186-I186</f>
        <v>12541.171999999999</v>
      </c>
      <c r="K186" s="25">
        <v>0</v>
      </c>
      <c r="L186" s="25">
        <f t="shared" ref="L186:L197" si="69">J186-K186</f>
        <v>12541.171999999999</v>
      </c>
      <c r="M186" s="25">
        <v>0</v>
      </c>
      <c r="N186" s="25">
        <f t="shared" ref="N186:N197" si="70">L186-M186</f>
        <v>12541.171999999999</v>
      </c>
      <c r="O186" s="25">
        <v>0</v>
      </c>
      <c r="P186" s="25">
        <f t="shared" ref="P186:P197" si="71">N186-O186</f>
        <v>12541.171999999999</v>
      </c>
      <c r="Q186" s="151">
        <f>AVERAGE(H186,J186,L186,N186,P186)*F186/365*Assumption!$D$15</f>
        <v>1500.8175149589038</v>
      </c>
    </row>
    <row r="187" spans="1:26" ht="14.25" customHeight="1">
      <c r="A187" s="166">
        <f t="shared" ref="A187:A203" si="72">A186+1</f>
        <v>2014</v>
      </c>
      <c r="B187" s="25">
        <f t="shared" ref="B187:B203" si="73">D186</f>
        <v>11597.800990597259</v>
      </c>
      <c r="C187" s="29">
        <f>Workings!C61</f>
        <v>945.96268799999996</v>
      </c>
      <c r="D187" s="25">
        <f t="shared" si="67"/>
        <v>10651.83830259726</v>
      </c>
      <c r="E187" s="44">
        <f>((B187+D187)/2)*F187/365*Assumption!$D$15</f>
        <v>1334.9783575916711</v>
      </c>
      <c r="F187" s="21">
        <v>365</v>
      </c>
      <c r="G187" s="21">
        <f t="shared" ref="G187:G203" si="74">G186+1</f>
        <v>2014</v>
      </c>
      <c r="H187" s="25">
        <f t="shared" ref="H187:H197" si="75">P186</f>
        <v>12541.171999999999</v>
      </c>
      <c r="I187" s="25">
        <f>Assumption!$D$19</f>
        <v>285.02663636363633</v>
      </c>
      <c r="J187" s="25">
        <f t="shared" si="68"/>
        <v>12256.145363636362</v>
      </c>
      <c r="K187" s="25">
        <f>Assumption!$D$19</f>
        <v>285.02663636363633</v>
      </c>
      <c r="L187" s="25">
        <f t="shared" si="69"/>
        <v>11971.118727272726</v>
      </c>
      <c r="M187" s="25">
        <f>Assumption!$D$19</f>
        <v>285.02663636363633</v>
      </c>
      <c r="N187" s="25">
        <f t="shared" si="70"/>
        <v>11686.092090909089</v>
      </c>
      <c r="O187" s="25">
        <f>Assumption!$D$19</f>
        <v>285.02663636363633</v>
      </c>
      <c r="P187" s="25">
        <f t="shared" si="71"/>
        <v>11401.065454545453</v>
      </c>
      <c r="Q187" s="151">
        <f>AVERAGE(H187,J187,L187,N187,P187)*F187/365*Assumption!$D$15</f>
        <v>1436.5342472727275</v>
      </c>
    </row>
    <row r="188" spans="1:26" ht="14.25" customHeight="1">
      <c r="A188" s="166">
        <f t="shared" si="72"/>
        <v>2015</v>
      </c>
      <c r="B188" s="25">
        <f t="shared" si="73"/>
        <v>10651.83830259726</v>
      </c>
      <c r="C188" s="29">
        <f t="shared" ref="C188:C197" si="76">C187</f>
        <v>945.96268799999996</v>
      </c>
      <c r="D188" s="25">
        <f t="shared" si="67"/>
        <v>9705.8756145972602</v>
      </c>
      <c r="E188" s="44">
        <f>((B188+D188)/2)*F188/365*Assumption!$D$15</f>
        <v>1224.8093085523058</v>
      </c>
      <c r="F188" s="21">
        <v>366</v>
      </c>
      <c r="G188" s="21">
        <f t="shared" si="74"/>
        <v>2015</v>
      </c>
      <c r="H188" s="25">
        <f t="shared" si="75"/>
        <v>11401.065454545453</v>
      </c>
      <c r="I188" s="25">
        <f>Assumption!$D$19</f>
        <v>285.02663636363633</v>
      </c>
      <c r="J188" s="25">
        <f t="shared" si="68"/>
        <v>11116.038818181816</v>
      </c>
      <c r="K188" s="25">
        <f>Assumption!$D$19</f>
        <v>285.02663636363633</v>
      </c>
      <c r="L188" s="25">
        <f t="shared" si="69"/>
        <v>10831.01218181818</v>
      </c>
      <c r="M188" s="25">
        <f>Assumption!$D$19</f>
        <v>285.02663636363633</v>
      </c>
      <c r="N188" s="25">
        <f t="shared" si="70"/>
        <v>10545.985545454543</v>
      </c>
      <c r="O188" s="25">
        <f>Assumption!$D$19</f>
        <v>285.02663636363633</v>
      </c>
      <c r="P188" s="25">
        <f t="shared" si="71"/>
        <v>10260.958909090907</v>
      </c>
      <c r="Q188" s="151">
        <f>AVERAGE(H188,J188,L188,N188,P188)*F188/365*Assumption!$D$15</f>
        <v>1303.2823425354918</v>
      </c>
    </row>
    <row r="189" spans="1:26" ht="14.25" customHeight="1">
      <c r="A189" s="166">
        <f t="shared" si="72"/>
        <v>2016</v>
      </c>
      <c r="B189" s="25">
        <f t="shared" si="73"/>
        <v>9705.8756145972602</v>
      </c>
      <c r="C189" s="29">
        <f t="shared" si="76"/>
        <v>945.96268799999996</v>
      </c>
      <c r="D189" s="25">
        <f t="shared" si="67"/>
        <v>8759.9129265972606</v>
      </c>
      <c r="E189" s="44">
        <f>((B189+D189)/2)*F189/365*Assumption!$D$15</f>
        <v>1107.9473124716712</v>
      </c>
      <c r="F189" s="21">
        <v>365</v>
      </c>
      <c r="G189" s="21">
        <f t="shared" si="74"/>
        <v>2016</v>
      </c>
      <c r="H189" s="25">
        <f t="shared" si="75"/>
        <v>10260.958909090907</v>
      </c>
      <c r="I189" s="25">
        <f>Assumption!$D$19</f>
        <v>285.02663636363633</v>
      </c>
      <c r="J189" s="25">
        <f t="shared" si="68"/>
        <v>9975.9322727272702</v>
      </c>
      <c r="K189" s="25">
        <f>Assumption!$D$19</f>
        <v>285.02663636363633</v>
      </c>
      <c r="L189" s="25">
        <f t="shared" si="69"/>
        <v>9690.9056363636337</v>
      </c>
      <c r="M189" s="25">
        <f>Assumption!$D$19</f>
        <v>285.02663636363633</v>
      </c>
      <c r="N189" s="25">
        <f t="shared" si="70"/>
        <v>9405.8789999999972</v>
      </c>
      <c r="O189" s="25">
        <f>Assumption!$D$19</f>
        <v>285.02663636363633</v>
      </c>
      <c r="P189" s="25">
        <f t="shared" si="71"/>
        <v>9120.8523636363607</v>
      </c>
      <c r="Q189" s="151">
        <f>AVERAGE(H189,J189,L189,N189,P189)*F189/365*Assumption!$D$15</f>
        <v>1162.908676363636</v>
      </c>
    </row>
    <row r="190" spans="1:26" ht="14.25" customHeight="1">
      <c r="A190" s="166">
        <f t="shared" si="72"/>
        <v>2017</v>
      </c>
      <c r="B190" s="25">
        <f t="shared" si="73"/>
        <v>8759.9129265972606</v>
      </c>
      <c r="C190" s="29">
        <f t="shared" si="76"/>
        <v>945.96268799999996</v>
      </c>
      <c r="D190" s="25">
        <f t="shared" si="67"/>
        <v>7813.950238597261</v>
      </c>
      <c r="E190" s="44">
        <f>((B190+D190)/2)*F190/365*Assumption!$D$15</f>
        <v>994.43178991167122</v>
      </c>
      <c r="F190" s="21">
        <v>365</v>
      </c>
      <c r="G190" s="21">
        <f t="shared" si="74"/>
        <v>2017</v>
      </c>
      <c r="H190" s="25">
        <f t="shared" si="75"/>
        <v>9120.8523636363607</v>
      </c>
      <c r="I190" s="25">
        <f>Assumption!$D$19</f>
        <v>285.02663636363633</v>
      </c>
      <c r="J190" s="25">
        <f t="shared" si="68"/>
        <v>8835.8257272727242</v>
      </c>
      <c r="K190" s="25">
        <f>Assumption!$D$19</f>
        <v>285.02663636363633</v>
      </c>
      <c r="L190" s="25">
        <f t="shared" si="69"/>
        <v>8550.7990909090877</v>
      </c>
      <c r="M190" s="25">
        <f>Assumption!$D$19</f>
        <v>285.02663636363633</v>
      </c>
      <c r="N190" s="25">
        <f t="shared" si="70"/>
        <v>8265.7724545454512</v>
      </c>
      <c r="O190" s="25">
        <f>Assumption!$D$19</f>
        <v>285.02663636363633</v>
      </c>
      <c r="P190" s="25">
        <f t="shared" si="71"/>
        <v>7980.7458181818147</v>
      </c>
      <c r="Q190" s="151">
        <f>AVERAGE(H190,J190,L190,N190,P190)*F190/365*Assumption!$D$15</f>
        <v>1026.0958909090905</v>
      </c>
    </row>
    <row r="191" spans="1:26" ht="14.25" customHeight="1">
      <c r="A191" s="166">
        <f t="shared" si="72"/>
        <v>2018</v>
      </c>
      <c r="B191" s="25">
        <f t="shared" si="73"/>
        <v>7813.950238597261</v>
      </c>
      <c r="C191" s="29">
        <f t="shared" si="76"/>
        <v>945.96268799999996</v>
      </c>
      <c r="D191" s="25">
        <f t="shared" si="67"/>
        <v>6867.9875505972614</v>
      </c>
      <c r="E191" s="44">
        <f>((B191+D191)/2)*F191/365*Assumption!$D$15</f>
        <v>880.91626735167131</v>
      </c>
      <c r="F191" s="21">
        <v>365</v>
      </c>
      <c r="G191" s="21">
        <f t="shared" si="74"/>
        <v>2018</v>
      </c>
      <c r="H191" s="25">
        <f t="shared" si="75"/>
        <v>7980.7458181818147</v>
      </c>
      <c r="I191" s="25">
        <f>Assumption!$D$19</f>
        <v>285.02663636363633</v>
      </c>
      <c r="J191" s="25">
        <f t="shared" si="68"/>
        <v>7695.7191818181782</v>
      </c>
      <c r="K191" s="25">
        <f>Assumption!$D$19</f>
        <v>285.02663636363633</v>
      </c>
      <c r="L191" s="25">
        <f t="shared" si="69"/>
        <v>7410.6925454545417</v>
      </c>
      <c r="M191" s="25">
        <f>Assumption!$D$19</f>
        <v>285.02663636363633</v>
      </c>
      <c r="N191" s="25">
        <f t="shared" si="70"/>
        <v>7125.6659090909052</v>
      </c>
      <c r="O191" s="25">
        <f>Assumption!$D$19</f>
        <v>285.02663636363633</v>
      </c>
      <c r="P191" s="25">
        <f t="shared" si="71"/>
        <v>6840.6392727272687</v>
      </c>
      <c r="Q191" s="151">
        <f>AVERAGE(H191,J191,L191,N191,P191)*F191/365*Assumption!$D$15</f>
        <v>889.28310545454508</v>
      </c>
    </row>
    <row r="192" spans="1:26" ht="14.25" customHeight="1">
      <c r="A192" s="166">
        <f t="shared" si="72"/>
        <v>2019</v>
      </c>
      <c r="B192" s="25">
        <f t="shared" si="73"/>
        <v>6867.9875505972614</v>
      </c>
      <c r="C192" s="29">
        <f t="shared" si="76"/>
        <v>945.96268799999996</v>
      </c>
      <c r="D192" s="25">
        <f t="shared" si="67"/>
        <v>5922.0248625972617</v>
      </c>
      <c r="E192" s="44">
        <f>((B192+D192)/2)*F192/365*Assumption!$D$15</f>
        <v>769.5032125856211</v>
      </c>
      <c r="F192" s="21">
        <v>366</v>
      </c>
      <c r="G192" s="21">
        <f t="shared" si="74"/>
        <v>2019</v>
      </c>
      <c r="H192" s="25">
        <f t="shared" si="75"/>
        <v>6840.6392727272687</v>
      </c>
      <c r="I192" s="25">
        <f>Assumption!$D$19</f>
        <v>285.02663636363633</v>
      </c>
      <c r="J192" s="25">
        <f t="shared" si="68"/>
        <v>6555.6126363636322</v>
      </c>
      <c r="K192" s="25">
        <f>Assumption!$D$19</f>
        <v>285.02663636363633</v>
      </c>
      <c r="L192" s="25">
        <f t="shared" si="69"/>
        <v>6270.5859999999957</v>
      </c>
      <c r="M192" s="25">
        <f>Assumption!$D$19</f>
        <v>285.02663636363633</v>
      </c>
      <c r="N192" s="25">
        <f t="shared" si="70"/>
        <v>5985.5593636363592</v>
      </c>
      <c r="O192" s="25">
        <f>Assumption!$D$19</f>
        <v>285.02663636363633</v>
      </c>
      <c r="P192" s="25">
        <f t="shared" si="71"/>
        <v>5700.5327272727227</v>
      </c>
      <c r="Q192" s="151">
        <f>AVERAGE(H192,J192,L192,N192,P192)*F192/365*Assumption!$D$15</f>
        <v>754.53188252054736</v>
      </c>
    </row>
    <row r="193" spans="1:17" ht="14.25" customHeight="1">
      <c r="A193" s="166">
        <f t="shared" si="72"/>
        <v>2020</v>
      </c>
      <c r="B193" s="25">
        <f t="shared" si="73"/>
        <v>5922.0248625972617</v>
      </c>
      <c r="C193" s="29">
        <f t="shared" si="76"/>
        <v>945.96268799999996</v>
      </c>
      <c r="D193" s="25">
        <f t="shared" si="67"/>
        <v>4976.0621745972621</v>
      </c>
      <c r="E193" s="44">
        <f>((B193+D193)/2)*F193/365*Assumption!$D$15</f>
        <v>653.88522223167138</v>
      </c>
      <c r="F193" s="21">
        <v>365</v>
      </c>
      <c r="G193" s="21">
        <f t="shared" si="74"/>
        <v>2020</v>
      </c>
      <c r="H193" s="25">
        <f t="shared" si="75"/>
        <v>5700.5327272727227</v>
      </c>
      <c r="I193" s="25">
        <f>Assumption!$D$19</f>
        <v>285.02663636363633</v>
      </c>
      <c r="J193" s="25">
        <f t="shared" si="68"/>
        <v>5415.5060909090862</v>
      </c>
      <c r="K193" s="25">
        <f>Assumption!$D$19</f>
        <v>285.02663636363633</v>
      </c>
      <c r="L193" s="25">
        <f t="shared" si="69"/>
        <v>5130.4794545454497</v>
      </c>
      <c r="M193" s="25">
        <f>Assumption!$D$19</f>
        <v>285.02663636363633</v>
      </c>
      <c r="N193" s="25">
        <f t="shared" si="70"/>
        <v>4845.4528181818132</v>
      </c>
      <c r="O193" s="25">
        <f>Assumption!$D$19</f>
        <v>285.02663636363633</v>
      </c>
      <c r="P193" s="25">
        <f t="shared" si="71"/>
        <v>4560.4261818181767</v>
      </c>
      <c r="Q193" s="151">
        <f>AVERAGE(H193,J193,L193,N193,P193)*F193/365*Assumption!$D$15</f>
        <v>615.65753454545393</v>
      </c>
    </row>
    <row r="194" spans="1:17" ht="14.25" customHeight="1">
      <c r="A194" s="166">
        <f t="shared" si="72"/>
        <v>2021</v>
      </c>
      <c r="B194" s="25">
        <f t="shared" si="73"/>
        <v>4976.0621745972621</v>
      </c>
      <c r="C194" s="29">
        <f t="shared" si="76"/>
        <v>945.96268799999996</v>
      </c>
      <c r="D194" s="25">
        <f t="shared" si="67"/>
        <v>4030.0994865972621</v>
      </c>
      <c r="E194" s="44">
        <f>((B194+D194)/2)*F194/365*Assumption!$D$15</f>
        <v>540.36969967167147</v>
      </c>
      <c r="F194" s="21">
        <v>365</v>
      </c>
      <c r="G194" s="21">
        <f t="shared" si="74"/>
        <v>2021</v>
      </c>
      <c r="H194" s="25">
        <f t="shared" si="75"/>
        <v>4560.4261818181767</v>
      </c>
      <c r="I194" s="25">
        <f>Assumption!$D$19</f>
        <v>285.02663636363633</v>
      </c>
      <c r="J194" s="25">
        <f t="shared" si="68"/>
        <v>4275.3995454545402</v>
      </c>
      <c r="K194" s="25">
        <f>Assumption!$D$19</f>
        <v>285.02663636363633</v>
      </c>
      <c r="L194" s="25">
        <f t="shared" si="69"/>
        <v>3990.3729090909037</v>
      </c>
      <c r="M194" s="25">
        <f>Assumption!$D$19</f>
        <v>285.02663636363633</v>
      </c>
      <c r="N194" s="25">
        <f t="shared" si="70"/>
        <v>3705.3462727272672</v>
      </c>
      <c r="O194" s="25">
        <f>Assumption!$D$19</f>
        <v>285.02663636363633</v>
      </c>
      <c r="P194" s="25">
        <f t="shared" si="71"/>
        <v>3420.3196363636307</v>
      </c>
      <c r="Q194" s="151">
        <f>AVERAGE(H194,J194,L194,N194,P194)*F194/365*Assumption!$D$15</f>
        <v>478.84474909090846</v>
      </c>
    </row>
    <row r="195" spans="1:17" ht="14.25" customHeight="1">
      <c r="A195" s="166">
        <f t="shared" si="72"/>
        <v>2022</v>
      </c>
      <c r="B195" s="25">
        <f t="shared" si="73"/>
        <v>4030.0994865972621</v>
      </c>
      <c r="C195" s="29">
        <f t="shared" si="76"/>
        <v>945.96268799999996</v>
      </c>
      <c r="D195" s="25">
        <f t="shared" si="67"/>
        <v>3084.136798597262</v>
      </c>
      <c r="E195" s="44">
        <f>((B195+D195)/2)*F195/365*Assumption!$D$15</f>
        <v>426.85417711167139</v>
      </c>
      <c r="F195" s="21">
        <v>365</v>
      </c>
      <c r="G195" s="21">
        <f t="shared" si="74"/>
        <v>2022</v>
      </c>
      <c r="H195" s="25">
        <f t="shared" si="75"/>
        <v>3420.3196363636307</v>
      </c>
      <c r="I195" s="25">
        <f>Assumption!$D$19</f>
        <v>285.02663636363633</v>
      </c>
      <c r="J195" s="25">
        <f t="shared" si="68"/>
        <v>3135.2929999999942</v>
      </c>
      <c r="K195" s="25">
        <f>Assumption!$D$19</f>
        <v>285.02663636363633</v>
      </c>
      <c r="L195" s="25">
        <f t="shared" si="69"/>
        <v>2850.2663636363577</v>
      </c>
      <c r="M195" s="25">
        <f>Assumption!$D$19</f>
        <v>285.02663636363633</v>
      </c>
      <c r="N195" s="25">
        <f t="shared" si="70"/>
        <v>2565.2397272727212</v>
      </c>
      <c r="O195" s="25">
        <f>Assumption!$D$19</f>
        <v>285.02663636363633</v>
      </c>
      <c r="P195" s="25">
        <f t="shared" si="71"/>
        <v>2280.2130909090847</v>
      </c>
      <c r="Q195" s="151">
        <f>AVERAGE(H195,J195,L195,N195,P195)*F195/365*Assumption!$D$15</f>
        <v>342.03196363636289</v>
      </c>
    </row>
    <row r="196" spans="1:17" ht="14.25" customHeight="1">
      <c r="A196" s="166">
        <f t="shared" si="72"/>
        <v>2023</v>
      </c>
      <c r="B196" s="25">
        <f t="shared" si="73"/>
        <v>3084.136798597262</v>
      </c>
      <c r="C196" s="29">
        <f t="shared" si="76"/>
        <v>945.96268799999996</v>
      </c>
      <c r="D196" s="25">
        <f t="shared" si="67"/>
        <v>2138.1741105972619</v>
      </c>
      <c r="E196" s="44">
        <f>((B196+D196)/2)*F196/365*Assumption!$D$15</f>
        <v>314.19711661893632</v>
      </c>
      <c r="F196" s="21">
        <v>366</v>
      </c>
      <c r="G196" s="21">
        <f t="shared" si="74"/>
        <v>2023</v>
      </c>
      <c r="H196" s="25">
        <f t="shared" si="75"/>
        <v>2280.2130909090847</v>
      </c>
      <c r="I196" s="25">
        <f>Assumption!$D$19</f>
        <v>285.02663636363633</v>
      </c>
      <c r="J196" s="25">
        <f t="shared" si="68"/>
        <v>1995.1864545454484</v>
      </c>
      <c r="K196" s="25">
        <f>Assumption!$D$19</f>
        <v>285.02663636363633</v>
      </c>
      <c r="L196" s="25">
        <f t="shared" si="69"/>
        <v>1710.1598181818122</v>
      </c>
      <c r="M196" s="25">
        <f>Assumption!$D$19</f>
        <v>285.02663636363633</v>
      </c>
      <c r="N196" s="25">
        <f t="shared" si="70"/>
        <v>1425.1331818181759</v>
      </c>
      <c r="O196" s="25">
        <f>Assumption!$D$19</f>
        <v>285.02663636363633</v>
      </c>
      <c r="P196" s="25">
        <f t="shared" si="71"/>
        <v>1140.1065454545396</v>
      </c>
      <c r="Q196" s="151">
        <f>AVERAGE(H196,J196,L196,N196,P196)*F196/365*Assumption!$D$15</f>
        <v>205.78142250560327</v>
      </c>
    </row>
    <row r="197" spans="1:17" ht="14.25" customHeight="1">
      <c r="A197" s="166">
        <f t="shared" si="72"/>
        <v>2024</v>
      </c>
      <c r="B197" s="25">
        <f t="shared" si="73"/>
        <v>2138.1741105972619</v>
      </c>
      <c r="C197" s="29">
        <f t="shared" si="76"/>
        <v>945.96268799999996</v>
      </c>
      <c r="D197" s="25">
        <f t="shared" si="67"/>
        <v>1192.2114225972618</v>
      </c>
      <c r="E197" s="44">
        <f>((B197+D197)/2)*F197/365*Assumption!$D$15</f>
        <v>199.82313199167143</v>
      </c>
      <c r="F197" s="21">
        <v>365</v>
      </c>
      <c r="G197" s="21">
        <f t="shared" si="74"/>
        <v>2024</v>
      </c>
      <c r="H197" s="25">
        <f t="shared" si="75"/>
        <v>1140.1065454545396</v>
      </c>
      <c r="I197" s="25">
        <f>Assumption!$D$19</f>
        <v>285.02663636363633</v>
      </c>
      <c r="J197" s="25">
        <f t="shared" si="68"/>
        <v>855.07990909090336</v>
      </c>
      <c r="K197" s="25">
        <f>Assumption!$D$19</f>
        <v>285.02663636363633</v>
      </c>
      <c r="L197" s="25">
        <f t="shared" si="69"/>
        <v>570.05327272726709</v>
      </c>
      <c r="M197" s="25">
        <f>Assumption!$D$19</f>
        <v>285.02663636363633</v>
      </c>
      <c r="N197" s="25">
        <f t="shared" si="70"/>
        <v>285.02663636363076</v>
      </c>
      <c r="O197" s="25">
        <f>Assumption!$D$19</f>
        <v>285.02663636363633</v>
      </c>
      <c r="P197" s="25">
        <f t="shared" si="71"/>
        <v>-5.5706550483591855E-12</v>
      </c>
      <c r="Q197" s="151">
        <f>AVERAGE(H197,J197,L197,N197,P197)*F197/365*Assumption!$D$15</f>
        <v>68.406392727272049</v>
      </c>
    </row>
    <row r="198" spans="1:17" ht="14.25" customHeight="1">
      <c r="A198" s="166">
        <f t="shared" si="72"/>
        <v>2025</v>
      </c>
      <c r="B198" s="25">
        <f t="shared" si="73"/>
        <v>1192.2114225972618</v>
      </c>
      <c r="C198" s="29">
        <f>Workings!N61</f>
        <v>367.33872481517403</v>
      </c>
      <c r="D198" s="25">
        <f t="shared" si="67"/>
        <v>824.87269778208781</v>
      </c>
      <c r="E198" s="44">
        <f>((B198+D198)/2)*F198/365*Assumption!$D$15</f>
        <v>121.02504722276097</v>
      </c>
      <c r="F198" s="21">
        <v>365</v>
      </c>
      <c r="G198" s="21">
        <f t="shared" si="74"/>
        <v>2025</v>
      </c>
      <c r="H198" s="25">
        <v>0</v>
      </c>
      <c r="I198" s="25"/>
      <c r="J198" s="25"/>
      <c r="K198" s="25"/>
      <c r="L198" s="25"/>
      <c r="M198" s="25"/>
      <c r="N198" s="25"/>
      <c r="O198" s="25"/>
      <c r="P198" s="25"/>
      <c r="Q198" s="151">
        <f>AVERAGE(H198,J198,L198,N198,P198)*F198/365*Assumption!$D$15</f>
        <v>0</v>
      </c>
    </row>
    <row r="199" spans="1:17" ht="14.25" customHeight="1">
      <c r="A199" s="166">
        <f t="shared" si="72"/>
        <v>2026</v>
      </c>
      <c r="B199" s="25">
        <f t="shared" si="73"/>
        <v>824.87269778208781</v>
      </c>
      <c r="C199" s="29">
        <f>C198</f>
        <v>367.33872481517403</v>
      </c>
      <c r="D199" s="25">
        <f t="shared" si="67"/>
        <v>457.53397296691378</v>
      </c>
      <c r="E199" s="44">
        <f>((B199+D199)/2)*F199/365*Assumption!$D$15</f>
        <v>76.944400244940084</v>
      </c>
      <c r="F199" s="21">
        <v>365</v>
      </c>
      <c r="G199" s="21">
        <f t="shared" si="74"/>
        <v>2026</v>
      </c>
      <c r="H199" s="25">
        <v>0</v>
      </c>
      <c r="I199" s="25"/>
      <c r="J199" s="25"/>
      <c r="K199" s="25"/>
      <c r="L199" s="25"/>
      <c r="M199" s="25"/>
      <c r="N199" s="25"/>
      <c r="O199" s="25"/>
      <c r="P199" s="25"/>
      <c r="Q199" s="151">
        <f>AVERAGE(H199,J199,L199,N199,P199)*F199/365*Assumption!$D$15</f>
        <v>0</v>
      </c>
    </row>
    <row r="200" spans="1:17" ht="14.25" customHeight="1">
      <c r="A200" s="166">
        <f t="shared" si="72"/>
        <v>2027</v>
      </c>
      <c r="B200" s="25">
        <f t="shared" si="73"/>
        <v>457.53397296691378</v>
      </c>
      <c r="C200" s="29">
        <f>C199</f>
        <v>367.33872481517403</v>
      </c>
      <c r="D200" s="25">
        <f t="shared" si="67"/>
        <v>90.195248151739747</v>
      </c>
      <c r="E200" s="44">
        <f>((B200+D200)/2)*F200/365*Assumption!$D$15</f>
        <v>32.953790947303098</v>
      </c>
      <c r="F200" s="21">
        <v>366</v>
      </c>
      <c r="G200" s="21">
        <f t="shared" si="74"/>
        <v>2027</v>
      </c>
      <c r="H200" s="25">
        <v>0</v>
      </c>
      <c r="I200" s="25"/>
      <c r="J200" s="25"/>
      <c r="K200" s="25"/>
      <c r="L200" s="25"/>
      <c r="M200" s="25"/>
      <c r="N200" s="25"/>
      <c r="O200" s="25"/>
      <c r="P200" s="25"/>
      <c r="Q200" s="151">
        <f>AVERAGE(H200,J200,L200,N200,P200)*F200/365*Assumption!$D$15</f>
        <v>0</v>
      </c>
    </row>
    <row r="201" spans="1:17" ht="14.25" customHeight="1">
      <c r="A201" s="166">
        <f t="shared" si="72"/>
        <v>2028</v>
      </c>
      <c r="B201" s="25">
        <f t="shared" si="73"/>
        <v>90.195248151739747</v>
      </c>
      <c r="C201" s="29">
        <f>B201</f>
        <v>90.195248151739747</v>
      </c>
      <c r="D201" s="25">
        <f t="shared" si="67"/>
        <v>0</v>
      </c>
      <c r="E201" s="44">
        <f>((B201+D201)/2)*F201/365*Assumption!$D$15</f>
        <v>5.4117148891043838</v>
      </c>
      <c r="F201" s="21">
        <v>365</v>
      </c>
      <c r="G201" s="21">
        <f t="shared" si="74"/>
        <v>2028</v>
      </c>
      <c r="H201" s="25">
        <v>0</v>
      </c>
      <c r="I201" s="25"/>
      <c r="J201" s="25"/>
      <c r="K201" s="25"/>
      <c r="L201" s="25"/>
      <c r="M201" s="25"/>
      <c r="N201" s="25"/>
      <c r="O201" s="25"/>
      <c r="P201" s="25"/>
      <c r="Q201" s="151">
        <f>AVERAGE(H201,J201,L201,N201,P201)*F201/365*Assumption!$D$15</f>
        <v>0</v>
      </c>
    </row>
    <row r="202" spans="1:17" ht="14.25" customHeight="1">
      <c r="A202" s="166">
        <f t="shared" si="72"/>
        <v>2029</v>
      </c>
      <c r="B202" s="25">
        <f t="shared" si="73"/>
        <v>0</v>
      </c>
      <c r="C202" s="29"/>
      <c r="D202" s="25">
        <f t="shared" si="67"/>
        <v>0</v>
      </c>
      <c r="E202" s="44">
        <f>((B202+D202)/2)*F202/365*Assumption!$D$15</f>
        <v>0</v>
      </c>
      <c r="F202" s="21">
        <v>365</v>
      </c>
      <c r="G202" s="21">
        <f t="shared" si="74"/>
        <v>2029</v>
      </c>
      <c r="H202" s="25">
        <v>0</v>
      </c>
      <c r="I202" s="25"/>
      <c r="J202" s="25"/>
      <c r="K202" s="25"/>
      <c r="L202" s="25"/>
      <c r="M202" s="25"/>
      <c r="N202" s="25"/>
      <c r="O202" s="25"/>
      <c r="P202" s="25"/>
      <c r="Q202" s="151">
        <f>AVERAGE(H202,J202,L202,N202,P202)*F202/365*Assumption!$D$15</f>
        <v>0</v>
      </c>
    </row>
    <row r="203" spans="1:17" ht="14.25" customHeight="1">
      <c r="A203" s="166">
        <f t="shared" si="72"/>
        <v>2030</v>
      </c>
      <c r="B203" s="25">
        <f t="shared" si="73"/>
        <v>0</v>
      </c>
      <c r="C203" s="25">
        <f>B203</f>
        <v>0</v>
      </c>
      <c r="D203" s="25">
        <f t="shared" si="67"/>
        <v>0</v>
      </c>
      <c r="E203" s="44">
        <f>((B203+D203)/2)*F203/365*Assumption!$D$15</f>
        <v>0</v>
      </c>
      <c r="F203" s="21">
        <v>365</v>
      </c>
      <c r="G203" s="21">
        <f t="shared" si="74"/>
        <v>2030</v>
      </c>
      <c r="H203" s="25">
        <v>0</v>
      </c>
      <c r="I203" s="25"/>
      <c r="J203" s="25"/>
      <c r="K203" s="25"/>
      <c r="L203" s="25"/>
      <c r="M203" s="25"/>
      <c r="N203" s="25"/>
      <c r="O203" s="25"/>
      <c r="P203" s="25"/>
      <c r="Q203" s="151">
        <f>AVERAGE(H203,J203,L203,N203,P203)*F203/365*Assumption!$D$15</f>
        <v>0</v>
      </c>
    </row>
    <row r="204" spans="1:17" ht="14.25" customHeight="1">
      <c r="A204" s="166"/>
      <c r="B204" s="21"/>
      <c r="C204" s="21"/>
      <c r="D204" s="21"/>
      <c r="E204" s="21"/>
      <c r="F204" s="21"/>
      <c r="G204" s="21"/>
      <c r="H204" s="21"/>
      <c r="I204" s="21"/>
      <c r="J204" s="21"/>
      <c r="K204" s="21"/>
      <c r="L204" s="21"/>
      <c r="M204" s="21"/>
      <c r="N204" s="21"/>
      <c r="O204" s="21"/>
      <c r="P204" s="21"/>
      <c r="Q204" s="148"/>
    </row>
    <row r="205" spans="1:17" ht="14.25" customHeight="1">
      <c r="A205" s="166"/>
      <c r="B205" s="21"/>
      <c r="C205" s="21"/>
      <c r="D205" s="21"/>
      <c r="E205" s="21"/>
      <c r="F205" s="21"/>
      <c r="G205" s="21"/>
      <c r="H205" s="21"/>
      <c r="I205" s="21"/>
      <c r="J205" s="21"/>
      <c r="K205" s="21"/>
      <c r="L205" s="21"/>
      <c r="M205" s="21"/>
      <c r="N205" s="21"/>
      <c r="O205" s="21"/>
      <c r="P205" s="21"/>
      <c r="Q205" s="148"/>
    </row>
    <row r="206" spans="1:17" ht="33.75" customHeight="1">
      <c r="A206" s="258" t="s">
        <v>1</v>
      </c>
      <c r="B206" s="242"/>
      <c r="C206" s="22" t="s">
        <v>265</v>
      </c>
      <c r="D206" s="61" t="s">
        <v>61</v>
      </c>
      <c r="E206" s="141" t="s">
        <v>155</v>
      </c>
      <c r="F206" s="21"/>
      <c r="G206" s="21"/>
      <c r="H206" s="21"/>
      <c r="I206" s="21"/>
      <c r="J206" s="21"/>
      <c r="K206" s="21"/>
      <c r="L206" s="21"/>
      <c r="M206" s="21"/>
      <c r="N206" s="21"/>
      <c r="O206" s="21"/>
      <c r="P206" s="21"/>
      <c r="Q206" s="148"/>
    </row>
    <row r="207" spans="1:17" ht="14.25" customHeight="1">
      <c r="A207" s="258" t="s">
        <v>45</v>
      </c>
      <c r="B207" s="242"/>
      <c r="C207" s="37">
        <f>Assumption!D11</f>
        <v>17915.96</v>
      </c>
      <c r="D207" s="41">
        <v>1</v>
      </c>
      <c r="E207" s="21"/>
      <c r="F207" s="21"/>
      <c r="G207" s="21"/>
      <c r="H207" s="21"/>
      <c r="I207" s="21"/>
      <c r="J207" s="21"/>
      <c r="K207" s="21"/>
      <c r="L207" s="21"/>
      <c r="M207" s="21"/>
      <c r="N207" s="21"/>
      <c r="O207" s="21"/>
      <c r="P207" s="21"/>
      <c r="Q207" s="148"/>
    </row>
    <row r="208" spans="1:17" ht="42.75" customHeight="1">
      <c r="A208" s="258" t="s">
        <v>47</v>
      </c>
      <c r="B208" s="242"/>
      <c r="C208" s="37">
        <f>C207*D208</f>
        <v>12541.171999999999</v>
      </c>
      <c r="D208" s="41">
        <v>0.7</v>
      </c>
      <c r="E208" s="263" t="s">
        <v>218</v>
      </c>
      <c r="F208" s="21"/>
      <c r="G208" s="21"/>
      <c r="H208" s="21"/>
      <c r="I208" s="21"/>
      <c r="J208" s="21"/>
      <c r="K208" s="21"/>
      <c r="L208" s="21"/>
      <c r="M208" s="21"/>
      <c r="N208" s="21"/>
      <c r="O208" s="21"/>
      <c r="P208" s="21"/>
      <c r="Q208" s="148"/>
    </row>
    <row r="209" spans="1:30" ht="47.25" customHeight="1" thickBot="1">
      <c r="A209" s="259" t="s">
        <v>18</v>
      </c>
      <c r="B209" s="260"/>
      <c r="C209" s="130">
        <f>C207*D209</f>
        <v>5374.7879999999996</v>
      </c>
      <c r="D209" s="199">
        <v>0.3</v>
      </c>
      <c r="E209" s="264"/>
      <c r="F209" s="146"/>
      <c r="G209" s="146"/>
      <c r="H209" s="146"/>
      <c r="I209" s="146"/>
      <c r="J209" s="146"/>
      <c r="K209" s="146"/>
      <c r="L209" s="146"/>
      <c r="M209" s="146"/>
      <c r="N209" s="146"/>
      <c r="O209" s="146"/>
      <c r="P209" s="146"/>
      <c r="Q209" s="147"/>
    </row>
    <row r="211" spans="1:30" ht="14.25" customHeight="1" thickBot="1">
      <c r="A211" s="20"/>
      <c r="B211" s="20"/>
      <c r="C211" s="20"/>
    </row>
    <row r="212" spans="1:30" ht="14.25" customHeight="1">
      <c r="A212" s="265" t="s">
        <v>5</v>
      </c>
      <c r="B212" s="266"/>
      <c r="C212" s="266"/>
      <c r="D212" s="266"/>
      <c r="E212" s="266"/>
      <c r="F212" s="266"/>
      <c r="G212" s="266"/>
      <c r="H212" s="266"/>
      <c r="I212" s="266"/>
      <c r="J212" s="266"/>
      <c r="K212" s="266"/>
      <c r="L212" s="266"/>
      <c r="M212" s="266"/>
      <c r="N212" s="266"/>
      <c r="O212" s="266"/>
      <c r="P212" s="266"/>
      <c r="Q212" s="266"/>
      <c r="R212" s="266"/>
      <c r="S212" s="266"/>
      <c r="T212" s="266"/>
      <c r="U212" s="266"/>
      <c r="V212" s="266"/>
      <c r="W212" s="266"/>
      <c r="X212" s="266"/>
      <c r="Y212" s="266"/>
      <c r="Z212" s="267"/>
    </row>
    <row r="213" spans="1:30" ht="14.25" customHeight="1">
      <c r="A213" s="188" t="str">
        <f>Workings!A55</f>
        <v>No. of Year</v>
      </c>
      <c r="B213" s="21">
        <f>Workings!B55</f>
        <v>1</v>
      </c>
      <c r="C213" s="21">
        <f>Workings!C55</f>
        <v>2</v>
      </c>
      <c r="D213" s="21">
        <f>Workings!D55</f>
        <v>3</v>
      </c>
      <c r="E213" s="21">
        <f>Workings!E55</f>
        <v>4</v>
      </c>
      <c r="F213" s="21">
        <f>Workings!F55</f>
        <v>5</v>
      </c>
      <c r="G213" s="21">
        <f>Workings!G55</f>
        <v>6</v>
      </c>
      <c r="H213" s="21">
        <f>Workings!H55</f>
        <v>7</v>
      </c>
      <c r="I213" s="21">
        <f>Workings!I55</f>
        <v>8</v>
      </c>
      <c r="J213" s="21">
        <f>Workings!J55</f>
        <v>9</v>
      </c>
      <c r="K213" s="21">
        <f>Workings!K55</f>
        <v>10</v>
      </c>
      <c r="L213" s="21">
        <f>Workings!L55</f>
        <v>11</v>
      </c>
      <c r="M213" s="21">
        <f>Workings!M55</f>
        <v>12</v>
      </c>
      <c r="N213" s="21">
        <f>Workings!N55</f>
        <v>13</v>
      </c>
      <c r="O213" s="21">
        <f>Workings!O55</f>
        <v>14</v>
      </c>
      <c r="P213" s="21">
        <f>Workings!P55</f>
        <v>15</v>
      </c>
      <c r="Q213" s="21">
        <f>Workings!Q55</f>
        <v>16</v>
      </c>
      <c r="R213" s="21">
        <f>Workings!R55</f>
        <v>17</v>
      </c>
      <c r="S213" s="21">
        <f>Workings!S55</f>
        <v>18</v>
      </c>
      <c r="T213" s="21">
        <f>Workings!T55</f>
        <v>19</v>
      </c>
      <c r="U213" s="21">
        <f>Workings!U55</f>
        <v>20</v>
      </c>
      <c r="V213" s="21">
        <f>Workings!V55</f>
        <v>21</v>
      </c>
      <c r="W213" s="21">
        <f>Workings!W55</f>
        <v>22</v>
      </c>
      <c r="X213" s="21">
        <f>Workings!X55</f>
        <v>23</v>
      </c>
      <c r="Y213" s="21">
        <f>Workings!Y55</f>
        <v>24</v>
      </c>
      <c r="Z213" s="148">
        <f>Workings!Z55</f>
        <v>25</v>
      </c>
    </row>
    <row r="214" spans="1:30" ht="14.25" customHeight="1">
      <c r="A214" s="188" t="str">
        <f>Workings!A57</f>
        <v>Operative Days</v>
      </c>
      <c r="B214" s="21">
        <f>Workings!B57</f>
        <v>364</v>
      </c>
      <c r="C214" s="21">
        <f>Workings!C57</f>
        <v>365</v>
      </c>
      <c r="D214" s="21">
        <f>Workings!D57</f>
        <v>366</v>
      </c>
      <c r="E214" s="21">
        <f>Workings!E57</f>
        <v>365</v>
      </c>
      <c r="F214" s="21">
        <f>Workings!F57</f>
        <v>365</v>
      </c>
      <c r="G214" s="21">
        <f>Workings!G57</f>
        <v>365</v>
      </c>
      <c r="H214" s="21">
        <f>Workings!H57</f>
        <v>366</v>
      </c>
      <c r="I214" s="21">
        <f>Workings!I57</f>
        <v>365</v>
      </c>
      <c r="J214" s="21">
        <f>Workings!J57</f>
        <v>365</v>
      </c>
      <c r="K214" s="21">
        <f>Workings!K57</f>
        <v>365</v>
      </c>
      <c r="L214" s="21">
        <f>Workings!L57</f>
        <v>366</v>
      </c>
      <c r="M214" s="21">
        <f>Workings!M57</f>
        <v>365</v>
      </c>
      <c r="N214" s="21">
        <f>Workings!N57</f>
        <v>365</v>
      </c>
      <c r="O214" s="21">
        <f>Workings!O57</f>
        <v>365</v>
      </c>
      <c r="P214" s="21">
        <f>Workings!P57</f>
        <v>366</v>
      </c>
      <c r="Q214" s="21">
        <f>Workings!Q57</f>
        <v>365</v>
      </c>
      <c r="R214" s="21">
        <f>Workings!R57</f>
        <v>365</v>
      </c>
      <c r="S214" s="21">
        <f>Workings!S57</f>
        <v>365</v>
      </c>
      <c r="T214" s="21">
        <f>Workings!T57</f>
        <v>366</v>
      </c>
      <c r="U214" s="21">
        <f>Workings!U57</f>
        <v>365</v>
      </c>
      <c r="V214" s="21">
        <f>Workings!V57</f>
        <v>365</v>
      </c>
      <c r="W214" s="21">
        <f>Workings!W57</f>
        <v>365</v>
      </c>
      <c r="X214" s="21">
        <f>Workings!X57</f>
        <v>366</v>
      </c>
      <c r="Y214" s="21">
        <f>Workings!Y57</f>
        <v>365</v>
      </c>
      <c r="Z214" s="148">
        <f>Workings!Z57</f>
        <v>365</v>
      </c>
    </row>
    <row r="215" spans="1:30" ht="14.25" customHeight="1">
      <c r="A215" s="188" t="str">
        <f>Workings!A58</f>
        <v>Year Ending</v>
      </c>
      <c r="B215" s="24">
        <f>Workings!B58</f>
        <v>41729</v>
      </c>
      <c r="C215" s="24">
        <f>Workings!C58</f>
        <v>42094</v>
      </c>
      <c r="D215" s="24">
        <f>Workings!D58</f>
        <v>42460</v>
      </c>
      <c r="E215" s="24">
        <f>Workings!E58</f>
        <v>42825</v>
      </c>
      <c r="F215" s="24">
        <f>Workings!F58</f>
        <v>43190</v>
      </c>
      <c r="G215" s="24">
        <f>Workings!G58</f>
        <v>43555</v>
      </c>
      <c r="H215" s="24">
        <f>Workings!H58</f>
        <v>43921</v>
      </c>
      <c r="I215" s="24">
        <f>Workings!I58</f>
        <v>44286</v>
      </c>
      <c r="J215" s="24">
        <f>Workings!J58</f>
        <v>44651</v>
      </c>
      <c r="K215" s="24">
        <f>Workings!K58</f>
        <v>45016</v>
      </c>
      <c r="L215" s="24">
        <f>Workings!L58</f>
        <v>45382</v>
      </c>
      <c r="M215" s="24">
        <f>Workings!M58</f>
        <v>45747</v>
      </c>
      <c r="N215" s="24">
        <f>Workings!N58</f>
        <v>46112</v>
      </c>
      <c r="O215" s="24">
        <f>Workings!O58</f>
        <v>46477</v>
      </c>
      <c r="P215" s="24">
        <f>Workings!P58</f>
        <v>46843</v>
      </c>
      <c r="Q215" s="24">
        <f>Workings!Q58</f>
        <v>47208</v>
      </c>
      <c r="R215" s="24">
        <f>Workings!R58</f>
        <v>47573</v>
      </c>
      <c r="S215" s="24">
        <f>Workings!S58</f>
        <v>47938</v>
      </c>
      <c r="T215" s="24">
        <f>Workings!T58</f>
        <v>48304</v>
      </c>
      <c r="U215" s="24">
        <f>Workings!U58</f>
        <v>48669</v>
      </c>
      <c r="V215" s="24">
        <f>Workings!V58</f>
        <v>49034</v>
      </c>
      <c r="W215" s="24">
        <f>Workings!W58</f>
        <v>49399</v>
      </c>
      <c r="X215" s="24">
        <f>Workings!X58</f>
        <v>49765</v>
      </c>
      <c r="Y215" s="24">
        <f>Workings!Y58</f>
        <v>50130</v>
      </c>
      <c r="Z215" s="150">
        <f>Workings!Z58</f>
        <v>50495</v>
      </c>
    </row>
    <row r="216" spans="1:30" ht="14.25" customHeight="1" thickBot="1">
      <c r="A216" s="185" t="s">
        <v>266</v>
      </c>
      <c r="B216" s="146">
        <f>Assumption!D66</f>
        <v>1.849</v>
      </c>
      <c r="C216" s="169">
        <f>B216*Assumption!$D$67</f>
        <v>1.9547627999999999</v>
      </c>
      <c r="D216" s="169">
        <f>C216*Assumption!$D$67</f>
        <v>2.0665752321599999</v>
      </c>
      <c r="E216" s="169">
        <f>D216*Assumption!$D$67</f>
        <v>2.1847833354395516</v>
      </c>
      <c r="F216" s="169">
        <f>E216*Assumption!$D$67</f>
        <v>2.3097529422266936</v>
      </c>
      <c r="G216" s="169">
        <f>F216*Assumption!$D$67</f>
        <v>2.4418708105220603</v>
      </c>
      <c r="H216" s="169">
        <f>G216*Assumption!$D$67</f>
        <v>2.5815458208839219</v>
      </c>
      <c r="I216" s="169">
        <f>H216*Assumption!$D$67</f>
        <v>2.7292102418384823</v>
      </c>
      <c r="J216" s="169">
        <f>I216*Assumption!$D$67</f>
        <v>2.8853210676716432</v>
      </c>
      <c r="K216" s="169">
        <f>J216*Assumption!$D$67</f>
        <v>3.0503614327424611</v>
      </c>
      <c r="L216" s="169">
        <f>K216*Assumption!$D$67</f>
        <v>3.2248421066953297</v>
      </c>
      <c r="M216" s="169">
        <f>L216*Assumption!$D$67</f>
        <v>3.4093030751983022</v>
      </c>
      <c r="N216" s="169">
        <f>M216*Assumption!$D$67</f>
        <v>3.604315211099645</v>
      </c>
      <c r="O216" s="169">
        <f>N216*Assumption!$D$67</f>
        <v>3.8104820411745446</v>
      </c>
      <c r="P216" s="169">
        <f>O216*Assumption!$D$67</f>
        <v>4.0284416139297283</v>
      </c>
      <c r="Q216" s="169">
        <f>P216*Assumption!$D$67</f>
        <v>4.2588684742465084</v>
      </c>
      <c r="R216" s="169">
        <f>Q216*Assumption!$D$67</f>
        <v>4.5024757509734084</v>
      </c>
      <c r="S216" s="169">
        <f>R216*Assumption!$D$67</f>
        <v>4.7600173639290873</v>
      </c>
      <c r="T216" s="169">
        <f>S216*Assumption!$D$67</f>
        <v>5.0322903571458308</v>
      </c>
      <c r="U216" s="169">
        <f>T216*Assumption!$D$67</f>
        <v>5.3201373655745723</v>
      </c>
      <c r="V216" s="169">
        <f>U216*Assumption!$D$67</f>
        <v>5.6244492228854375</v>
      </c>
      <c r="W216" s="169">
        <f>V216*Assumption!$D$67</f>
        <v>5.9461677184344843</v>
      </c>
      <c r="X216" s="169">
        <f>W216*Assumption!$D$67</f>
        <v>6.2862885119289365</v>
      </c>
      <c r="Y216" s="169">
        <f>X216*Assumption!$D$67</f>
        <v>6.6458642148112714</v>
      </c>
      <c r="Z216" s="189">
        <f>Y216*Assumption!$D$67</f>
        <v>7.0260076478984752</v>
      </c>
    </row>
    <row r="217" spans="1:30" ht="14.25" customHeight="1">
      <c r="A217" s="20"/>
      <c r="B217" s="20"/>
      <c r="C217" s="20"/>
    </row>
    <row r="218" spans="1:30" ht="14.25" customHeight="1" thickBot="1">
      <c r="A218" s="20"/>
      <c r="B218" s="20"/>
      <c r="C218" s="20"/>
    </row>
    <row r="219" spans="1:30" ht="14.25" customHeight="1">
      <c r="A219" s="265" t="s">
        <v>6</v>
      </c>
      <c r="B219" s="266"/>
      <c r="C219" s="266"/>
      <c r="D219" s="266"/>
      <c r="E219" s="266"/>
      <c r="F219" s="266"/>
      <c r="G219" s="266"/>
      <c r="H219" s="266"/>
      <c r="I219" s="266"/>
      <c r="J219" s="266"/>
      <c r="K219" s="266"/>
      <c r="L219" s="266"/>
      <c r="M219" s="266"/>
      <c r="N219" s="266"/>
      <c r="O219" s="266"/>
      <c r="P219" s="266"/>
      <c r="Q219" s="266"/>
      <c r="R219" s="266"/>
      <c r="S219" s="266"/>
      <c r="T219" s="266"/>
      <c r="U219" s="266"/>
      <c r="V219" s="266"/>
      <c r="W219" s="266"/>
      <c r="X219" s="266"/>
      <c r="Y219" s="266"/>
      <c r="Z219" s="266"/>
      <c r="AA219" s="266"/>
      <c r="AB219" s="266"/>
      <c r="AC219" s="266"/>
      <c r="AD219" s="267"/>
    </row>
    <row r="220" spans="1:30" ht="14.25" customHeight="1">
      <c r="A220" s="166" t="s">
        <v>3</v>
      </c>
      <c r="B220" s="21">
        <v>2010</v>
      </c>
      <c r="C220" s="21">
        <f t="shared" ref="C220:AD220" si="77">B220+1</f>
        <v>2011</v>
      </c>
      <c r="D220" s="21">
        <f t="shared" si="77"/>
        <v>2012</v>
      </c>
      <c r="E220" s="21">
        <f t="shared" si="77"/>
        <v>2013</v>
      </c>
      <c r="F220" s="21">
        <f t="shared" si="77"/>
        <v>2014</v>
      </c>
      <c r="G220" s="21">
        <f t="shared" si="77"/>
        <v>2015</v>
      </c>
      <c r="H220" s="21">
        <f t="shared" si="77"/>
        <v>2016</v>
      </c>
      <c r="I220" s="21">
        <f t="shared" si="77"/>
        <v>2017</v>
      </c>
      <c r="J220" s="21">
        <f t="shared" si="77"/>
        <v>2018</v>
      </c>
      <c r="K220" s="21">
        <f t="shared" si="77"/>
        <v>2019</v>
      </c>
      <c r="L220" s="21">
        <f t="shared" si="77"/>
        <v>2020</v>
      </c>
      <c r="M220" s="21">
        <f t="shared" si="77"/>
        <v>2021</v>
      </c>
      <c r="N220" s="21">
        <f t="shared" si="77"/>
        <v>2022</v>
      </c>
      <c r="O220" s="21">
        <f t="shared" si="77"/>
        <v>2023</v>
      </c>
      <c r="P220" s="21">
        <f t="shared" si="77"/>
        <v>2024</v>
      </c>
      <c r="Q220" s="21">
        <f t="shared" si="77"/>
        <v>2025</v>
      </c>
      <c r="R220" s="21">
        <f t="shared" si="77"/>
        <v>2026</v>
      </c>
      <c r="S220" s="21">
        <f t="shared" si="77"/>
        <v>2027</v>
      </c>
      <c r="T220" s="21">
        <f t="shared" si="77"/>
        <v>2028</v>
      </c>
      <c r="U220" s="21">
        <f t="shared" si="77"/>
        <v>2029</v>
      </c>
      <c r="V220" s="21">
        <f t="shared" si="77"/>
        <v>2030</v>
      </c>
      <c r="W220" s="21">
        <f t="shared" si="77"/>
        <v>2031</v>
      </c>
      <c r="X220" s="21">
        <f t="shared" si="77"/>
        <v>2032</v>
      </c>
      <c r="Y220" s="21">
        <f t="shared" si="77"/>
        <v>2033</v>
      </c>
      <c r="Z220" s="21">
        <f t="shared" si="77"/>
        <v>2034</v>
      </c>
      <c r="AA220" s="21">
        <f t="shared" si="77"/>
        <v>2035</v>
      </c>
      <c r="AB220" s="21">
        <f t="shared" si="77"/>
        <v>2036</v>
      </c>
      <c r="AC220" s="21">
        <f t="shared" si="77"/>
        <v>2037</v>
      </c>
      <c r="AD220" s="148">
        <f t="shared" si="77"/>
        <v>2038</v>
      </c>
    </row>
    <row r="221" spans="1:30" ht="14.25" customHeight="1">
      <c r="A221" s="166" t="s">
        <v>321</v>
      </c>
      <c r="B221" s="21">
        <f>Assumption!D40</f>
        <v>46.68</v>
      </c>
      <c r="C221" s="28">
        <f>B221*Assumption!$D$43</f>
        <v>47.006759999999993</v>
      </c>
      <c r="D221" s="28">
        <f>C221*Assumption!$D$43</f>
        <v>47.335807319999986</v>
      </c>
      <c r="E221" s="28">
        <f>D221*Assumption!$D$43</f>
        <v>47.66715797123998</v>
      </c>
      <c r="F221" s="28">
        <f>E221*Assumption!$D$43</f>
        <v>48.000828077038655</v>
      </c>
      <c r="G221" s="28">
        <f>F221*Assumption!$D$43</f>
        <v>48.336833873577923</v>
      </c>
      <c r="H221" s="28">
        <f>G221*Assumption!$D$43</f>
        <v>48.675191710692964</v>
      </c>
      <c r="I221" s="28">
        <f>H221*Assumption!$D$43</f>
        <v>49.015918052667807</v>
      </c>
      <c r="J221" s="28">
        <f>I221*Assumption!$D$43</f>
        <v>49.359029479036479</v>
      </c>
      <c r="K221" s="28">
        <f>J221*Assumption!$D$43</f>
        <v>49.704542685389733</v>
      </c>
      <c r="L221" s="28">
        <f>K221*Assumption!$D$43</f>
        <v>50.052474484187456</v>
      </c>
      <c r="M221" s="28">
        <f>L221*Assumption!$D$43</f>
        <v>50.402841805576763</v>
      </c>
      <c r="N221" s="28">
        <f>M221*Assumption!$D$43</f>
        <v>50.755661698215796</v>
      </c>
      <c r="O221" s="28">
        <f>N221*Assumption!$D$43</f>
        <v>51.110951330103305</v>
      </c>
      <c r="P221" s="28">
        <f>O221*Assumption!$D$43</f>
        <v>51.46872798941402</v>
      </c>
      <c r="Q221" s="28">
        <f>P221*Assumption!$D$43</f>
        <v>51.829009085339912</v>
      </c>
      <c r="R221" s="28">
        <f>Q221*Assumption!$D$43</f>
        <v>52.191812148937288</v>
      </c>
      <c r="S221" s="28">
        <f>R221*Assumption!$D$43</f>
        <v>52.557154833979844</v>
      </c>
      <c r="T221" s="28">
        <f>S221*Assumption!$D$43</f>
        <v>52.925054917817697</v>
      </c>
      <c r="U221" s="28">
        <f>T221*Assumption!$D$43</f>
        <v>53.295530302242412</v>
      </c>
      <c r="V221" s="28">
        <f>U221*Assumption!$D$43</f>
        <v>53.668599014358101</v>
      </c>
      <c r="W221" s="28">
        <f>V221*Assumption!$D$43</f>
        <v>54.044279207458601</v>
      </c>
      <c r="X221" s="28">
        <f>W221*Assumption!$D$43</f>
        <v>54.422589161910807</v>
      </c>
      <c r="Y221" s="28">
        <f>X221*Assumption!$D$43</f>
        <v>54.803547286044179</v>
      </c>
      <c r="Z221" s="28">
        <f>Y221*Assumption!$D$43</f>
        <v>55.18717211704648</v>
      </c>
      <c r="AA221" s="28">
        <f>Z221*Assumption!$D$43</f>
        <v>55.573482321865797</v>
      </c>
      <c r="AB221" s="28">
        <f>AA221*Assumption!$D$43</f>
        <v>55.962496698118848</v>
      </c>
      <c r="AC221" s="28">
        <f>AB221*Assumption!$D$43</f>
        <v>56.354234175005672</v>
      </c>
      <c r="AD221" s="156">
        <f>AC221*Assumption!$D$43</f>
        <v>56.748713814230705</v>
      </c>
    </row>
    <row r="222" spans="1:30" ht="14.25" customHeight="1">
      <c r="A222" s="166" t="s">
        <v>322</v>
      </c>
      <c r="B222" s="21"/>
      <c r="C222" s="28">
        <f t="shared" ref="C222:AD222" si="78">B221</f>
        <v>46.68</v>
      </c>
      <c r="D222" s="28">
        <f t="shared" si="78"/>
        <v>47.006759999999993</v>
      </c>
      <c r="E222" s="28">
        <f t="shared" si="78"/>
        <v>47.335807319999986</v>
      </c>
      <c r="F222" s="28">
        <f t="shared" si="78"/>
        <v>47.66715797123998</v>
      </c>
      <c r="G222" s="28">
        <f t="shared" si="78"/>
        <v>48.000828077038655</v>
      </c>
      <c r="H222" s="28">
        <f t="shared" si="78"/>
        <v>48.336833873577923</v>
      </c>
      <c r="I222" s="28">
        <f t="shared" si="78"/>
        <v>48.675191710692964</v>
      </c>
      <c r="J222" s="28">
        <f t="shared" si="78"/>
        <v>49.015918052667807</v>
      </c>
      <c r="K222" s="28">
        <f t="shared" si="78"/>
        <v>49.359029479036479</v>
      </c>
      <c r="L222" s="28">
        <f t="shared" si="78"/>
        <v>49.704542685389733</v>
      </c>
      <c r="M222" s="28">
        <f t="shared" si="78"/>
        <v>50.052474484187456</v>
      </c>
      <c r="N222" s="28">
        <f t="shared" si="78"/>
        <v>50.402841805576763</v>
      </c>
      <c r="O222" s="28">
        <f t="shared" si="78"/>
        <v>50.755661698215796</v>
      </c>
      <c r="P222" s="28">
        <f t="shared" si="78"/>
        <v>51.110951330103305</v>
      </c>
      <c r="Q222" s="28">
        <f t="shared" si="78"/>
        <v>51.46872798941402</v>
      </c>
      <c r="R222" s="28">
        <f t="shared" si="78"/>
        <v>51.829009085339912</v>
      </c>
      <c r="S222" s="28">
        <f t="shared" si="78"/>
        <v>52.191812148937288</v>
      </c>
      <c r="T222" s="28">
        <f t="shared" si="78"/>
        <v>52.557154833979844</v>
      </c>
      <c r="U222" s="28">
        <f t="shared" si="78"/>
        <v>52.925054917817697</v>
      </c>
      <c r="V222" s="28">
        <f t="shared" si="78"/>
        <v>53.295530302242412</v>
      </c>
      <c r="W222" s="28">
        <f t="shared" si="78"/>
        <v>53.668599014358101</v>
      </c>
      <c r="X222" s="28">
        <f t="shared" si="78"/>
        <v>54.044279207458601</v>
      </c>
      <c r="Y222" s="28">
        <f t="shared" si="78"/>
        <v>54.422589161910807</v>
      </c>
      <c r="Z222" s="28">
        <f t="shared" si="78"/>
        <v>54.803547286044179</v>
      </c>
      <c r="AA222" s="28">
        <f t="shared" si="78"/>
        <v>55.18717211704648</v>
      </c>
      <c r="AB222" s="28">
        <f t="shared" si="78"/>
        <v>55.573482321865797</v>
      </c>
      <c r="AC222" s="28">
        <f t="shared" si="78"/>
        <v>55.962496698118848</v>
      </c>
      <c r="AD222" s="156">
        <f t="shared" si="78"/>
        <v>56.354234175005672</v>
      </c>
    </row>
    <row r="223" spans="1:30" ht="14.25" customHeight="1" thickBot="1">
      <c r="A223" s="185" t="s">
        <v>323</v>
      </c>
      <c r="B223" s="146"/>
      <c r="C223" s="169">
        <f t="shared" ref="C223:AD223" si="79">(C221+C222)/2</f>
        <v>46.843379999999996</v>
      </c>
      <c r="D223" s="169">
        <f t="shared" si="79"/>
        <v>47.171283659999986</v>
      </c>
      <c r="E223" s="169">
        <f t="shared" si="79"/>
        <v>47.501482645619987</v>
      </c>
      <c r="F223" s="169">
        <f t="shared" si="79"/>
        <v>47.833993024139318</v>
      </c>
      <c r="G223" s="169">
        <f t="shared" si="79"/>
        <v>48.168830975308289</v>
      </c>
      <c r="H223" s="169">
        <f t="shared" si="79"/>
        <v>48.506012792135444</v>
      </c>
      <c r="I223" s="169">
        <f t="shared" si="79"/>
        <v>48.845554881680386</v>
      </c>
      <c r="J223" s="169">
        <f t="shared" si="79"/>
        <v>49.187473765852147</v>
      </c>
      <c r="K223" s="169">
        <f t="shared" si="79"/>
        <v>49.531786082213102</v>
      </c>
      <c r="L223" s="169">
        <f t="shared" si="79"/>
        <v>49.878508584788591</v>
      </c>
      <c r="M223" s="169">
        <f t="shared" si="79"/>
        <v>50.227658144882113</v>
      </c>
      <c r="N223" s="169">
        <f t="shared" si="79"/>
        <v>50.57925175189628</v>
      </c>
      <c r="O223" s="169">
        <f t="shared" si="79"/>
        <v>50.933306514159554</v>
      </c>
      <c r="P223" s="169">
        <f t="shared" si="79"/>
        <v>51.289839659758663</v>
      </c>
      <c r="Q223" s="169">
        <f t="shared" si="79"/>
        <v>51.64886853737697</v>
      </c>
      <c r="R223" s="169">
        <f t="shared" si="79"/>
        <v>52.010410617138604</v>
      </c>
      <c r="S223" s="169">
        <f t="shared" si="79"/>
        <v>52.374483491458562</v>
      </c>
      <c r="T223" s="169">
        <f t="shared" si="79"/>
        <v>52.74110487589877</v>
      </c>
      <c r="U223" s="169">
        <f t="shared" si="79"/>
        <v>53.110292610030058</v>
      </c>
      <c r="V223" s="169">
        <f t="shared" si="79"/>
        <v>53.48206465830026</v>
      </c>
      <c r="W223" s="169">
        <f t="shared" si="79"/>
        <v>53.856439110908354</v>
      </c>
      <c r="X223" s="169">
        <f t="shared" si="79"/>
        <v>54.233434184684704</v>
      </c>
      <c r="Y223" s="169">
        <f t="shared" si="79"/>
        <v>54.613068223977493</v>
      </c>
      <c r="Z223" s="169">
        <f t="shared" si="79"/>
        <v>54.995359701545325</v>
      </c>
      <c r="AA223" s="169">
        <f t="shared" si="79"/>
        <v>55.380327219456134</v>
      </c>
      <c r="AB223" s="169">
        <f t="shared" si="79"/>
        <v>55.767989509992319</v>
      </c>
      <c r="AC223" s="169">
        <f t="shared" si="79"/>
        <v>56.158365436562264</v>
      </c>
      <c r="AD223" s="189">
        <f t="shared" si="79"/>
        <v>56.551473994618192</v>
      </c>
    </row>
    <row r="224" spans="1:30" ht="14.25" customHeight="1" thickBot="1">
      <c r="A224" s="20"/>
      <c r="B224" s="20"/>
      <c r="C224" s="20"/>
    </row>
    <row r="225" spans="1:30" ht="14.25" customHeight="1">
      <c r="A225" s="265" t="s">
        <v>7</v>
      </c>
      <c r="B225" s="266"/>
      <c r="C225" s="266"/>
      <c r="D225" s="266"/>
      <c r="E225" s="266"/>
      <c r="F225" s="266"/>
      <c r="G225" s="266"/>
      <c r="H225" s="266"/>
      <c r="I225" s="266"/>
      <c r="J225" s="266"/>
      <c r="K225" s="266"/>
      <c r="L225" s="266"/>
      <c r="M225" s="266"/>
      <c r="N225" s="266"/>
      <c r="O225" s="266"/>
      <c r="P225" s="266"/>
      <c r="Q225" s="266"/>
      <c r="R225" s="266"/>
      <c r="S225" s="266"/>
      <c r="T225" s="266"/>
      <c r="U225" s="266"/>
      <c r="V225" s="266"/>
      <c r="W225" s="266"/>
      <c r="X225" s="266"/>
      <c r="Y225" s="266"/>
      <c r="Z225" s="267"/>
    </row>
    <row r="226" spans="1:30" ht="14.25" customHeight="1">
      <c r="A226" s="166" t="s">
        <v>3</v>
      </c>
      <c r="B226" s="24">
        <f t="shared" ref="B226:Z226" si="80">B215</f>
        <v>41729</v>
      </c>
      <c r="C226" s="24">
        <f t="shared" si="80"/>
        <v>42094</v>
      </c>
      <c r="D226" s="24">
        <f t="shared" si="80"/>
        <v>42460</v>
      </c>
      <c r="E226" s="24">
        <f t="shared" si="80"/>
        <v>42825</v>
      </c>
      <c r="F226" s="24">
        <f t="shared" si="80"/>
        <v>43190</v>
      </c>
      <c r="G226" s="24">
        <f t="shared" si="80"/>
        <v>43555</v>
      </c>
      <c r="H226" s="24">
        <f t="shared" si="80"/>
        <v>43921</v>
      </c>
      <c r="I226" s="24">
        <f t="shared" si="80"/>
        <v>44286</v>
      </c>
      <c r="J226" s="24">
        <f t="shared" si="80"/>
        <v>44651</v>
      </c>
      <c r="K226" s="24">
        <f t="shared" si="80"/>
        <v>45016</v>
      </c>
      <c r="L226" s="24">
        <f t="shared" si="80"/>
        <v>45382</v>
      </c>
      <c r="M226" s="24">
        <f t="shared" si="80"/>
        <v>45747</v>
      </c>
      <c r="N226" s="24">
        <f t="shared" si="80"/>
        <v>46112</v>
      </c>
      <c r="O226" s="24">
        <f t="shared" si="80"/>
        <v>46477</v>
      </c>
      <c r="P226" s="24">
        <f t="shared" si="80"/>
        <v>46843</v>
      </c>
      <c r="Q226" s="24">
        <f t="shared" si="80"/>
        <v>47208</v>
      </c>
      <c r="R226" s="24">
        <f t="shared" si="80"/>
        <v>47573</v>
      </c>
      <c r="S226" s="24">
        <f t="shared" si="80"/>
        <v>47938</v>
      </c>
      <c r="T226" s="24">
        <f t="shared" si="80"/>
        <v>48304</v>
      </c>
      <c r="U226" s="24">
        <f t="shared" si="80"/>
        <v>48669</v>
      </c>
      <c r="V226" s="24">
        <f t="shared" si="80"/>
        <v>49034</v>
      </c>
      <c r="W226" s="24">
        <f t="shared" si="80"/>
        <v>49399</v>
      </c>
      <c r="X226" s="24">
        <f t="shared" si="80"/>
        <v>49765</v>
      </c>
      <c r="Y226" s="24">
        <f t="shared" si="80"/>
        <v>50130</v>
      </c>
      <c r="Z226" s="150">
        <f t="shared" si="80"/>
        <v>50495</v>
      </c>
      <c r="AA226" s="42"/>
      <c r="AB226" s="42"/>
      <c r="AC226" s="42"/>
      <c r="AD226" s="42"/>
    </row>
    <row r="227" spans="1:30" ht="14.25" customHeight="1">
      <c r="A227" s="166" t="s">
        <v>324</v>
      </c>
      <c r="B227" s="28">
        <f t="shared" ref="B227:Z227" si="81">E223</f>
        <v>47.501482645619987</v>
      </c>
      <c r="C227" s="28">
        <f t="shared" si="81"/>
        <v>47.833993024139318</v>
      </c>
      <c r="D227" s="28">
        <f t="shared" si="81"/>
        <v>48.168830975308289</v>
      </c>
      <c r="E227" s="28">
        <f t="shared" si="81"/>
        <v>48.506012792135444</v>
      </c>
      <c r="F227" s="28">
        <f t="shared" si="81"/>
        <v>48.845554881680386</v>
      </c>
      <c r="G227" s="28">
        <f t="shared" si="81"/>
        <v>49.187473765852147</v>
      </c>
      <c r="H227" s="28">
        <f t="shared" si="81"/>
        <v>49.531786082213102</v>
      </c>
      <c r="I227" s="28">
        <f t="shared" si="81"/>
        <v>49.878508584788591</v>
      </c>
      <c r="J227" s="28">
        <f t="shared" si="81"/>
        <v>50.227658144882113</v>
      </c>
      <c r="K227" s="28">
        <f t="shared" si="81"/>
        <v>50.57925175189628</v>
      </c>
      <c r="L227" s="28">
        <f t="shared" si="81"/>
        <v>50.933306514159554</v>
      </c>
      <c r="M227" s="28">
        <f t="shared" si="81"/>
        <v>51.289839659758663</v>
      </c>
      <c r="N227" s="28">
        <f t="shared" si="81"/>
        <v>51.64886853737697</v>
      </c>
      <c r="O227" s="28">
        <f t="shared" si="81"/>
        <v>52.010410617138604</v>
      </c>
      <c r="P227" s="28">
        <f t="shared" si="81"/>
        <v>52.374483491458562</v>
      </c>
      <c r="Q227" s="28">
        <f t="shared" si="81"/>
        <v>52.74110487589877</v>
      </c>
      <c r="R227" s="28">
        <f t="shared" si="81"/>
        <v>53.110292610030058</v>
      </c>
      <c r="S227" s="28">
        <f t="shared" si="81"/>
        <v>53.48206465830026</v>
      </c>
      <c r="T227" s="28">
        <f t="shared" si="81"/>
        <v>53.856439110908354</v>
      </c>
      <c r="U227" s="28">
        <f t="shared" si="81"/>
        <v>54.233434184684704</v>
      </c>
      <c r="V227" s="28">
        <f t="shared" si="81"/>
        <v>54.613068223977493</v>
      </c>
      <c r="W227" s="28">
        <f t="shared" si="81"/>
        <v>54.995359701545325</v>
      </c>
      <c r="X227" s="28">
        <f t="shared" si="81"/>
        <v>55.380327219456134</v>
      </c>
      <c r="Y227" s="28">
        <f t="shared" si="81"/>
        <v>55.767989509992319</v>
      </c>
      <c r="Z227" s="156">
        <f t="shared" si="81"/>
        <v>56.158365436562264</v>
      </c>
      <c r="AA227" s="40"/>
      <c r="AB227" s="40"/>
      <c r="AC227" s="40"/>
      <c r="AD227" s="40"/>
    </row>
    <row r="228" spans="1:30" ht="14.25" customHeight="1">
      <c r="A228" s="166" t="s">
        <v>325</v>
      </c>
      <c r="B228" s="37">
        <f>Assumption!$D$44</f>
        <v>6.35</v>
      </c>
      <c r="C228" s="37">
        <f>Assumption!$D$44</f>
        <v>6.35</v>
      </c>
      <c r="D228" s="37">
        <f>Assumption!$D$44</f>
        <v>6.35</v>
      </c>
      <c r="E228" s="37">
        <f>Assumption!$D$44</f>
        <v>6.35</v>
      </c>
      <c r="F228" s="37">
        <f>Assumption!$D$44</f>
        <v>6.35</v>
      </c>
      <c r="G228" s="37">
        <f>Assumption!$D$44</f>
        <v>6.35</v>
      </c>
      <c r="H228" s="37">
        <f>Assumption!$D$44</f>
        <v>6.35</v>
      </c>
      <c r="I228" s="37">
        <f>Assumption!$D$44</f>
        <v>6.35</v>
      </c>
      <c r="J228" s="37">
        <f>Assumption!$D$44</f>
        <v>6.35</v>
      </c>
      <c r="K228" s="37">
        <f>Assumption!$D$44</f>
        <v>6.35</v>
      </c>
      <c r="L228" s="37">
        <f>Assumption!$D$44</f>
        <v>6.35</v>
      </c>
      <c r="M228" s="37">
        <f>Assumption!$D$44</f>
        <v>6.35</v>
      </c>
      <c r="N228" s="37">
        <f>Assumption!$D$44</f>
        <v>6.35</v>
      </c>
      <c r="O228" s="37">
        <f>Assumption!$D$44</f>
        <v>6.35</v>
      </c>
      <c r="P228" s="37">
        <f>Assumption!$D$44</f>
        <v>6.35</v>
      </c>
      <c r="Q228" s="37">
        <f>Assumption!$D$44</f>
        <v>6.35</v>
      </c>
      <c r="R228" s="37">
        <f>Assumption!$D$44</f>
        <v>6.35</v>
      </c>
      <c r="S228" s="37">
        <f>Assumption!$D$44</f>
        <v>6.35</v>
      </c>
      <c r="T228" s="37">
        <f>Assumption!$D$44</f>
        <v>6.35</v>
      </c>
      <c r="U228" s="37">
        <f>Assumption!$D$44</f>
        <v>6.35</v>
      </c>
      <c r="V228" s="37">
        <f>Assumption!$D$44</f>
        <v>6.35</v>
      </c>
      <c r="W228" s="37">
        <f>Assumption!$D$44</f>
        <v>6.35</v>
      </c>
      <c r="X228" s="37">
        <f>Assumption!$D$44</f>
        <v>6.35</v>
      </c>
      <c r="Y228" s="37">
        <f>Assumption!$D$44</f>
        <v>6.35</v>
      </c>
      <c r="Z228" s="154">
        <f>Assumption!$D$44</f>
        <v>6.35</v>
      </c>
    </row>
    <row r="229" spans="1:30" ht="14.25" customHeight="1">
      <c r="A229" s="166" t="s">
        <v>267</v>
      </c>
      <c r="B229" s="28">
        <f t="shared" ref="B229:Z229" si="82">B228*B227</f>
        <v>301.63441479968691</v>
      </c>
      <c r="C229" s="28">
        <f t="shared" si="82"/>
        <v>303.74585570328463</v>
      </c>
      <c r="D229" s="28">
        <f t="shared" si="82"/>
        <v>305.87207669320765</v>
      </c>
      <c r="E229" s="28">
        <f t="shared" si="82"/>
        <v>308.01318123006007</v>
      </c>
      <c r="F229" s="28">
        <f t="shared" si="82"/>
        <v>310.16927349867041</v>
      </c>
      <c r="G229" s="28">
        <f t="shared" si="82"/>
        <v>312.34045841316112</v>
      </c>
      <c r="H229" s="28">
        <f t="shared" si="82"/>
        <v>314.52684162205315</v>
      </c>
      <c r="I229" s="28">
        <f t="shared" si="82"/>
        <v>316.72852951340752</v>
      </c>
      <c r="J229" s="28">
        <f t="shared" si="82"/>
        <v>318.94562922000142</v>
      </c>
      <c r="K229" s="28">
        <f t="shared" si="82"/>
        <v>321.17824862454137</v>
      </c>
      <c r="L229" s="28">
        <f t="shared" si="82"/>
        <v>323.42649636491313</v>
      </c>
      <c r="M229" s="28">
        <f t="shared" si="82"/>
        <v>325.69048183946751</v>
      </c>
      <c r="N229" s="28">
        <f t="shared" si="82"/>
        <v>327.97031521234373</v>
      </c>
      <c r="O229" s="28">
        <f t="shared" si="82"/>
        <v>330.26610741883013</v>
      </c>
      <c r="P229" s="28">
        <f t="shared" si="82"/>
        <v>332.57797017076183</v>
      </c>
      <c r="Q229" s="28">
        <f t="shared" si="82"/>
        <v>334.90601596195717</v>
      </c>
      <c r="R229" s="28">
        <f t="shared" si="82"/>
        <v>337.25035807369085</v>
      </c>
      <c r="S229" s="28">
        <f t="shared" si="82"/>
        <v>339.61111058020663</v>
      </c>
      <c r="T229" s="28">
        <f t="shared" si="82"/>
        <v>341.98838835426801</v>
      </c>
      <c r="U229" s="28">
        <f t="shared" si="82"/>
        <v>344.38230707274784</v>
      </c>
      <c r="V229" s="28">
        <f t="shared" si="82"/>
        <v>346.79298322225708</v>
      </c>
      <c r="W229" s="28">
        <f t="shared" si="82"/>
        <v>349.22053410481277</v>
      </c>
      <c r="X229" s="28">
        <f t="shared" si="82"/>
        <v>351.66507784354644</v>
      </c>
      <c r="Y229" s="28">
        <f t="shared" si="82"/>
        <v>354.12673338845121</v>
      </c>
      <c r="Z229" s="156">
        <f t="shared" si="82"/>
        <v>356.60562052217034</v>
      </c>
    </row>
    <row r="230" spans="1:30" ht="14.25" customHeight="1">
      <c r="A230" s="166" t="s">
        <v>25</v>
      </c>
      <c r="B230" s="29">
        <f t="shared" ref="B230:Z230" si="83">1/B239</f>
        <v>252016.12903225806</v>
      </c>
      <c r="C230" s="29">
        <f t="shared" si="83"/>
        <v>252016.12903225806</v>
      </c>
      <c r="D230" s="29">
        <f t="shared" si="83"/>
        <v>252016.12903225806</v>
      </c>
      <c r="E230" s="29">
        <f t="shared" si="83"/>
        <v>252016.12903225806</v>
      </c>
      <c r="F230" s="29">
        <f t="shared" si="83"/>
        <v>252016.12903225806</v>
      </c>
      <c r="G230" s="29">
        <f t="shared" si="83"/>
        <v>252016.12903225806</v>
      </c>
      <c r="H230" s="29">
        <f t="shared" si="83"/>
        <v>252016.12903225806</v>
      </c>
      <c r="I230" s="29">
        <f t="shared" si="83"/>
        <v>252016.12903225806</v>
      </c>
      <c r="J230" s="29">
        <f t="shared" si="83"/>
        <v>252016.12903225806</v>
      </c>
      <c r="K230" s="29">
        <f t="shared" si="83"/>
        <v>252016.12903225806</v>
      </c>
      <c r="L230" s="29">
        <f t="shared" si="83"/>
        <v>252016.12903225806</v>
      </c>
      <c r="M230" s="29">
        <f t="shared" si="83"/>
        <v>252016.12903225806</v>
      </c>
      <c r="N230" s="29">
        <f t="shared" si="83"/>
        <v>252016.12903225806</v>
      </c>
      <c r="O230" s="29">
        <f t="shared" si="83"/>
        <v>252016.12903225806</v>
      </c>
      <c r="P230" s="29">
        <f t="shared" si="83"/>
        <v>252016.12903225806</v>
      </c>
      <c r="Q230" s="29">
        <f t="shared" si="83"/>
        <v>252016.12903225806</v>
      </c>
      <c r="R230" s="29">
        <f t="shared" si="83"/>
        <v>252016.12903225806</v>
      </c>
      <c r="S230" s="29">
        <f t="shared" si="83"/>
        <v>252016.12903225806</v>
      </c>
      <c r="T230" s="29">
        <f t="shared" si="83"/>
        <v>252016.12903225806</v>
      </c>
      <c r="U230" s="29">
        <f t="shared" si="83"/>
        <v>252016.12903225806</v>
      </c>
      <c r="V230" s="29">
        <f t="shared" si="83"/>
        <v>252016.12903225806</v>
      </c>
      <c r="W230" s="29">
        <f t="shared" si="83"/>
        <v>252016.12903225806</v>
      </c>
      <c r="X230" s="29">
        <f t="shared" si="83"/>
        <v>252016.12903225806</v>
      </c>
      <c r="Y230" s="29">
        <f t="shared" si="83"/>
        <v>252016.12903225806</v>
      </c>
      <c r="Z230" s="143">
        <f t="shared" si="83"/>
        <v>252016.12903225806</v>
      </c>
    </row>
    <row r="231" spans="1:30" ht="14.25" customHeight="1">
      <c r="A231" s="166" t="s">
        <v>326</v>
      </c>
      <c r="B231" s="43">
        <f t="shared" ref="B231:Z231" si="84">B229/B230</f>
        <v>1.1968853579251576E-3</v>
      </c>
      <c r="C231" s="43">
        <f t="shared" si="84"/>
        <v>1.2052635554306334E-3</v>
      </c>
      <c r="D231" s="43">
        <f t="shared" si="84"/>
        <v>1.2137004003186479E-3</v>
      </c>
      <c r="E231" s="43">
        <f t="shared" si="84"/>
        <v>1.2221963031208783E-3</v>
      </c>
      <c r="F231" s="43">
        <f t="shared" si="84"/>
        <v>1.2307516772427241E-3</v>
      </c>
      <c r="G231" s="43">
        <f t="shared" si="84"/>
        <v>1.2393669389834233E-3</v>
      </c>
      <c r="H231" s="43">
        <f t="shared" si="84"/>
        <v>1.2480425075563069E-3</v>
      </c>
      <c r="I231" s="43">
        <f t="shared" si="84"/>
        <v>1.2567788051092012E-3</v>
      </c>
      <c r="J231" s="43">
        <f t="shared" si="84"/>
        <v>1.2655762567449656E-3</v>
      </c>
      <c r="K231" s="43">
        <f t="shared" si="84"/>
        <v>1.2744352905421801E-3</v>
      </c>
      <c r="L231" s="43">
        <f t="shared" si="84"/>
        <v>1.2833563375759752E-3</v>
      </c>
      <c r="M231" s="43">
        <f t="shared" si="84"/>
        <v>1.292339831939007E-3</v>
      </c>
      <c r="N231" s="43">
        <f t="shared" si="84"/>
        <v>1.30138621076258E-3</v>
      </c>
      <c r="O231" s="43">
        <f t="shared" si="84"/>
        <v>1.3104959142379181E-3</v>
      </c>
      <c r="P231" s="43">
        <f t="shared" si="84"/>
        <v>1.3196693856375829E-3</v>
      </c>
      <c r="Q231" s="43">
        <f t="shared" si="84"/>
        <v>1.3289070713370461E-3</v>
      </c>
      <c r="R231" s="43">
        <f t="shared" si="84"/>
        <v>1.3382094208364054E-3</v>
      </c>
      <c r="S231" s="43">
        <f t="shared" si="84"/>
        <v>1.3475768867822599E-3</v>
      </c>
      <c r="T231" s="43">
        <f t="shared" si="84"/>
        <v>1.3570099249897356E-3</v>
      </c>
      <c r="U231" s="43">
        <f t="shared" si="84"/>
        <v>1.3665089944646634E-3</v>
      </c>
      <c r="V231" s="43">
        <f t="shared" si="84"/>
        <v>1.3760745574259161E-3</v>
      </c>
      <c r="W231" s="43">
        <f t="shared" si="84"/>
        <v>1.385707079327897E-3</v>
      </c>
      <c r="X231" s="43">
        <f t="shared" si="84"/>
        <v>1.3954070288831923E-3</v>
      </c>
      <c r="Y231" s="43">
        <f t="shared" si="84"/>
        <v>1.4051748780853745E-3</v>
      </c>
      <c r="Z231" s="190">
        <f t="shared" si="84"/>
        <v>1.4150111022319719E-3</v>
      </c>
    </row>
    <row r="232" spans="1:30" ht="14.25" customHeight="1">
      <c r="A232" s="191" t="s">
        <v>145</v>
      </c>
      <c r="B232" s="44">
        <f t="shared" ref="B232:Z232" si="85">B250*B254</f>
        <v>4961693.3134860005</v>
      </c>
      <c r="C232" s="44">
        <f t="shared" si="85"/>
        <v>4975324.3390724994</v>
      </c>
      <c r="D232" s="44">
        <f t="shared" si="85"/>
        <v>4988955.3646590002</v>
      </c>
      <c r="E232" s="44">
        <f t="shared" si="85"/>
        <v>4975324.3390724994</v>
      </c>
      <c r="F232" s="44">
        <f t="shared" si="85"/>
        <v>4975324.3390724994</v>
      </c>
      <c r="G232" s="44">
        <f t="shared" si="85"/>
        <v>4975324.3390724994</v>
      </c>
      <c r="H232" s="44">
        <f t="shared" si="85"/>
        <v>4988955.3646590002</v>
      </c>
      <c r="I232" s="44">
        <f t="shared" si="85"/>
        <v>4975324.3390724994</v>
      </c>
      <c r="J232" s="44">
        <f t="shared" si="85"/>
        <v>4975324.3390724994</v>
      </c>
      <c r="K232" s="44">
        <f t="shared" si="85"/>
        <v>4975324.3390724994</v>
      </c>
      <c r="L232" s="44">
        <f t="shared" si="85"/>
        <v>4988955.3646590002</v>
      </c>
      <c r="M232" s="44">
        <f t="shared" si="85"/>
        <v>4975324.3390724994</v>
      </c>
      <c r="N232" s="44">
        <f t="shared" si="85"/>
        <v>4975324.3390724994</v>
      </c>
      <c r="O232" s="44">
        <f t="shared" si="85"/>
        <v>4975324.3390724994</v>
      </c>
      <c r="P232" s="44">
        <f t="shared" si="85"/>
        <v>4988955.3646590002</v>
      </c>
      <c r="Q232" s="44">
        <f t="shared" si="85"/>
        <v>4975324.3390724994</v>
      </c>
      <c r="R232" s="44">
        <f t="shared" si="85"/>
        <v>4975324.3390724994</v>
      </c>
      <c r="S232" s="44">
        <f t="shared" si="85"/>
        <v>4975324.3390724994</v>
      </c>
      <c r="T232" s="44">
        <f t="shared" si="85"/>
        <v>4988955.3646590002</v>
      </c>
      <c r="U232" s="44">
        <f t="shared" si="85"/>
        <v>4975324.3390724994</v>
      </c>
      <c r="V232" s="44">
        <f t="shared" si="85"/>
        <v>4975324.3390724994</v>
      </c>
      <c r="W232" s="44">
        <f t="shared" si="85"/>
        <v>4975324.3390724994</v>
      </c>
      <c r="X232" s="44">
        <f t="shared" si="85"/>
        <v>4988955.3646590002</v>
      </c>
      <c r="Y232" s="44">
        <f t="shared" si="85"/>
        <v>4975324.3390724994</v>
      </c>
      <c r="Z232" s="129">
        <f t="shared" si="85"/>
        <v>4975324.3390724994</v>
      </c>
      <c r="AA232" s="45"/>
      <c r="AB232" s="45"/>
      <c r="AC232" s="45"/>
      <c r="AD232" s="45"/>
    </row>
    <row r="233" spans="1:30" ht="14.25" customHeight="1">
      <c r="A233" s="166" t="s">
        <v>268</v>
      </c>
      <c r="B233" s="28">
        <f t="shared" ref="B233:Z233" si="86">(B231*B232)</f>
        <v>5938.5780774265531</v>
      </c>
      <c r="C233" s="28">
        <f t="shared" si="86"/>
        <v>5996.5771023310872</v>
      </c>
      <c r="D233" s="28">
        <f t="shared" si="86"/>
        <v>6055.0971232584943</v>
      </c>
      <c r="E233" s="28">
        <f t="shared" si="86"/>
        <v>6080.8230140417354</v>
      </c>
      <c r="F233" s="28">
        <f t="shared" si="86"/>
        <v>6123.3887751400262</v>
      </c>
      <c r="G233" s="28">
        <f t="shared" si="86"/>
        <v>6166.2524965660077</v>
      </c>
      <c r="H233" s="28">
        <f t="shared" si="86"/>
        <v>6226.4283633955083</v>
      </c>
      <c r="I233" s="28">
        <f t="shared" si="86"/>
        <v>6252.882177890262</v>
      </c>
      <c r="J233" s="28">
        <f t="shared" si="86"/>
        <v>6296.6523531354942</v>
      </c>
      <c r="K233" s="28">
        <f t="shared" si="86"/>
        <v>6340.7289196074407</v>
      </c>
      <c r="L233" s="28">
        <f t="shared" si="86"/>
        <v>6402.6074851187886</v>
      </c>
      <c r="M233" s="28">
        <f t="shared" si="86"/>
        <v>6429.8098201990051</v>
      </c>
      <c r="N233" s="28">
        <f t="shared" si="86"/>
        <v>6474.8184889403974</v>
      </c>
      <c r="O233" s="28">
        <f t="shared" si="86"/>
        <v>6520.1422183629802</v>
      </c>
      <c r="P233" s="28">
        <f t="shared" si="86"/>
        <v>6583.771661052866</v>
      </c>
      <c r="Q233" s="28">
        <f t="shared" si="86"/>
        <v>6611.7436963887594</v>
      </c>
      <c r="R233" s="28">
        <f t="shared" si="86"/>
        <v>6658.0259022634809</v>
      </c>
      <c r="S233" s="28">
        <f t="shared" si="86"/>
        <v>6704.632083579324</v>
      </c>
      <c r="T233" s="28">
        <f t="shared" si="86"/>
        <v>6770.061945173049</v>
      </c>
      <c r="U233" s="28">
        <f t="shared" si="86"/>
        <v>6798.8254597215273</v>
      </c>
      <c r="V233" s="28">
        <f t="shared" si="86"/>
        <v>6846.4172379395786</v>
      </c>
      <c r="W233" s="28">
        <f t="shared" si="86"/>
        <v>6894.3421586051527</v>
      </c>
      <c r="X233" s="28">
        <f t="shared" si="86"/>
        <v>6961.6233826296784</v>
      </c>
      <c r="Y233" s="28">
        <f t="shared" si="86"/>
        <v>6991.200771591396</v>
      </c>
      <c r="Z233" s="156">
        <f t="shared" si="86"/>
        <v>7040.1391769925349</v>
      </c>
    </row>
    <row r="234" spans="1:30" ht="14.25" customHeight="1">
      <c r="A234" s="166" t="s">
        <v>65</v>
      </c>
      <c r="B234" s="55">
        <f t="shared" ref="B234:Z234" si="87">(B233/B262)</f>
        <v>2.1554986038921107</v>
      </c>
      <c r="C234" s="55">
        <f t="shared" si="87"/>
        <v>2.1705870941193548</v>
      </c>
      <c r="D234" s="55">
        <f t="shared" si="87"/>
        <v>2.1857812037781899</v>
      </c>
      <c r="E234" s="55">
        <f t="shared" si="87"/>
        <v>2.2010816722046371</v>
      </c>
      <c r="F234" s="55">
        <f t="shared" si="87"/>
        <v>2.2164892439100687</v>
      </c>
      <c r="G234" s="55">
        <f t="shared" si="87"/>
        <v>2.23200466861744</v>
      </c>
      <c r="H234" s="55">
        <f t="shared" si="87"/>
        <v>2.2476287012977614</v>
      </c>
      <c r="I234" s="55">
        <f t="shared" si="87"/>
        <v>2.263362102206846</v>
      </c>
      <c r="J234" s="55">
        <f t="shared" si="87"/>
        <v>2.2792056369222937</v>
      </c>
      <c r="K234" s="55">
        <f t="shared" si="87"/>
        <v>2.2951600763807494</v>
      </c>
      <c r="L234" s="55">
        <f t="shared" si="87"/>
        <v>2.3112261969154142</v>
      </c>
      <c r="M234" s="55">
        <f t="shared" si="87"/>
        <v>2.327404780293822</v>
      </c>
      <c r="N234" s="55">
        <f t="shared" si="87"/>
        <v>2.3436966137558786</v>
      </c>
      <c r="O234" s="55">
        <f t="shared" si="87"/>
        <v>2.3601024900521699</v>
      </c>
      <c r="P234" s="55">
        <f t="shared" si="87"/>
        <v>2.3766232074825342</v>
      </c>
      <c r="Q234" s="55">
        <f t="shared" si="87"/>
        <v>2.3932595699349117</v>
      </c>
      <c r="R234" s="55">
        <f t="shared" si="87"/>
        <v>2.4100123869244565</v>
      </c>
      <c r="S234" s="55">
        <f t="shared" si="87"/>
        <v>2.4268824736329271</v>
      </c>
      <c r="T234" s="55">
        <f t="shared" si="87"/>
        <v>2.4438706509483574</v>
      </c>
      <c r="U234" s="55">
        <f t="shared" si="87"/>
        <v>2.4609777455049953</v>
      </c>
      <c r="V234" s="55">
        <f t="shared" si="87"/>
        <v>2.4782045897235303</v>
      </c>
      <c r="W234" s="55">
        <f t="shared" si="87"/>
        <v>2.4955520218515939</v>
      </c>
      <c r="X234" s="55">
        <f t="shared" si="87"/>
        <v>2.5130208860045551</v>
      </c>
      <c r="Y234" s="55">
        <f t="shared" si="87"/>
        <v>2.5306120322065868</v>
      </c>
      <c r="Z234" s="192">
        <f t="shared" si="87"/>
        <v>2.5483263164320324</v>
      </c>
    </row>
    <row r="235" spans="1:30" ht="14.25" customHeight="1">
      <c r="A235" s="165"/>
      <c r="B235" s="56"/>
      <c r="C235" s="56"/>
      <c r="D235" s="56"/>
      <c r="E235" s="56"/>
      <c r="F235" s="56"/>
      <c r="G235" s="56"/>
      <c r="H235" s="56"/>
      <c r="I235" s="56"/>
      <c r="J235" s="56"/>
      <c r="K235" s="56"/>
      <c r="L235" s="56"/>
      <c r="M235" s="56"/>
      <c r="N235" s="56"/>
      <c r="O235" s="56"/>
      <c r="P235" s="56"/>
      <c r="Q235" s="56"/>
      <c r="R235" s="56"/>
      <c r="S235" s="56"/>
      <c r="T235" s="56"/>
      <c r="U235" s="56"/>
      <c r="V235" s="56"/>
      <c r="W235" s="56"/>
      <c r="X235" s="56"/>
      <c r="Y235" s="56"/>
      <c r="Z235" s="193"/>
    </row>
    <row r="236" spans="1:30" ht="14.25" customHeight="1">
      <c r="A236" s="165"/>
      <c r="B236" s="32"/>
      <c r="C236" s="32"/>
      <c r="D236" s="32"/>
      <c r="E236" s="32"/>
      <c r="F236" s="32"/>
      <c r="G236" s="32"/>
      <c r="H236" s="32"/>
      <c r="I236" s="32"/>
      <c r="J236" s="32"/>
      <c r="K236" s="32"/>
      <c r="L236" s="32"/>
      <c r="M236" s="32"/>
      <c r="N236" s="32"/>
      <c r="O236" s="32"/>
      <c r="P236" s="32"/>
      <c r="Q236" s="32"/>
      <c r="R236" s="32"/>
      <c r="S236" s="32"/>
      <c r="T236" s="32"/>
      <c r="U236" s="32"/>
      <c r="V236" s="32"/>
      <c r="W236" s="32"/>
      <c r="X236" s="32"/>
      <c r="Y236" s="32"/>
      <c r="Z236" s="155"/>
    </row>
    <row r="237" spans="1:30" ht="14.25" customHeight="1">
      <c r="A237" s="166" t="s">
        <v>8</v>
      </c>
      <c r="B237" s="21">
        <v>1</v>
      </c>
      <c r="C237" s="21">
        <f t="shared" ref="C237:Z237" si="88">B237</f>
        <v>1</v>
      </c>
      <c r="D237" s="21">
        <f t="shared" si="88"/>
        <v>1</v>
      </c>
      <c r="E237" s="21">
        <f t="shared" si="88"/>
        <v>1</v>
      </c>
      <c r="F237" s="21">
        <f t="shared" si="88"/>
        <v>1</v>
      </c>
      <c r="G237" s="21">
        <f t="shared" si="88"/>
        <v>1</v>
      </c>
      <c r="H237" s="21">
        <f t="shared" si="88"/>
        <v>1</v>
      </c>
      <c r="I237" s="21">
        <f t="shared" si="88"/>
        <v>1</v>
      </c>
      <c r="J237" s="21">
        <f t="shared" si="88"/>
        <v>1</v>
      </c>
      <c r="K237" s="21">
        <f t="shared" si="88"/>
        <v>1</v>
      </c>
      <c r="L237" s="21">
        <f t="shared" si="88"/>
        <v>1</v>
      </c>
      <c r="M237" s="21">
        <f t="shared" si="88"/>
        <v>1</v>
      </c>
      <c r="N237" s="21">
        <f t="shared" si="88"/>
        <v>1</v>
      </c>
      <c r="O237" s="21">
        <f t="shared" si="88"/>
        <v>1</v>
      </c>
      <c r="P237" s="21">
        <f t="shared" si="88"/>
        <v>1</v>
      </c>
      <c r="Q237" s="21">
        <f t="shared" si="88"/>
        <v>1</v>
      </c>
      <c r="R237" s="21">
        <f t="shared" si="88"/>
        <v>1</v>
      </c>
      <c r="S237" s="21">
        <f t="shared" si="88"/>
        <v>1</v>
      </c>
      <c r="T237" s="21">
        <f t="shared" si="88"/>
        <v>1</v>
      </c>
      <c r="U237" s="21">
        <f t="shared" si="88"/>
        <v>1</v>
      </c>
      <c r="V237" s="21">
        <f t="shared" si="88"/>
        <v>1</v>
      </c>
      <c r="W237" s="21">
        <f t="shared" si="88"/>
        <v>1</v>
      </c>
      <c r="X237" s="21">
        <f t="shared" si="88"/>
        <v>1</v>
      </c>
      <c r="Y237" s="21">
        <f t="shared" si="88"/>
        <v>1</v>
      </c>
      <c r="Z237" s="148">
        <f t="shared" si="88"/>
        <v>1</v>
      </c>
    </row>
    <row r="238" spans="1:30" ht="14.25" customHeight="1">
      <c r="A238" s="166" t="s">
        <v>9</v>
      </c>
      <c r="B238" s="21">
        <f>Assumption!$D$55</f>
        <v>3.968</v>
      </c>
      <c r="C238" s="21">
        <f>Assumption!$D$55</f>
        <v>3.968</v>
      </c>
      <c r="D238" s="21">
        <f>Assumption!$D$55</f>
        <v>3.968</v>
      </c>
      <c r="E238" s="21">
        <f>Assumption!$D$55</f>
        <v>3.968</v>
      </c>
      <c r="F238" s="21">
        <f>Assumption!$D$55</f>
        <v>3.968</v>
      </c>
      <c r="G238" s="21">
        <f>Assumption!$D$55</f>
        <v>3.968</v>
      </c>
      <c r="H238" s="21">
        <f>Assumption!$D$55</f>
        <v>3.968</v>
      </c>
      <c r="I238" s="21">
        <f>Assumption!$D$55</f>
        <v>3.968</v>
      </c>
      <c r="J238" s="21">
        <f>Assumption!$D$55</f>
        <v>3.968</v>
      </c>
      <c r="K238" s="21">
        <f>Assumption!$D$55</f>
        <v>3.968</v>
      </c>
      <c r="L238" s="21">
        <f>Assumption!$D$55</f>
        <v>3.968</v>
      </c>
      <c r="M238" s="21">
        <f>Assumption!$D$55</f>
        <v>3.968</v>
      </c>
      <c r="N238" s="21">
        <f>Assumption!$D$55</f>
        <v>3.968</v>
      </c>
      <c r="O238" s="21">
        <f>Assumption!$D$55</f>
        <v>3.968</v>
      </c>
      <c r="P238" s="21">
        <f>Assumption!$D$55</f>
        <v>3.968</v>
      </c>
      <c r="Q238" s="21">
        <f>Assumption!$D$55</f>
        <v>3.968</v>
      </c>
      <c r="R238" s="21">
        <f>Assumption!$D$55</f>
        <v>3.968</v>
      </c>
      <c r="S238" s="21">
        <f>Assumption!$D$55</f>
        <v>3.968</v>
      </c>
      <c r="T238" s="21">
        <f>Assumption!$D$55</f>
        <v>3.968</v>
      </c>
      <c r="U238" s="21">
        <f>Assumption!$D$55</f>
        <v>3.968</v>
      </c>
      <c r="V238" s="21">
        <f>Assumption!$D$55</f>
        <v>3.968</v>
      </c>
      <c r="W238" s="21">
        <f>Assumption!$D$55</f>
        <v>3.968</v>
      </c>
      <c r="X238" s="21">
        <f>Assumption!$D$55</f>
        <v>3.968</v>
      </c>
      <c r="Y238" s="21">
        <f>Assumption!$D$55</f>
        <v>3.968</v>
      </c>
      <c r="Z238" s="148">
        <f>Assumption!$D$55</f>
        <v>3.968</v>
      </c>
    </row>
    <row r="239" spans="1:30" ht="14.25" customHeight="1">
      <c r="A239" s="166" t="s">
        <v>10</v>
      </c>
      <c r="B239" s="21">
        <f t="shared" ref="B239:Z239" si="89">B238/1000000</f>
        <v>3.968E-6</v>
      </c>
      <c r="C239" s="21">
        <f t="shared" si="89"/>
        <v>3.968E-6</v>
      </c>
      <c r="D239" s="21">
        <f t="shared" si="89"/>
        <v>3.968E-6</v>
      </c>
      <c r="E239" s="21">
        <f t="shared" si="89"/>
        <v>3.968E-6</v>
      </c>
      <c r="F239" s="21">
        <f t="shared" si="89"/>
        <v>3.968E-6</v>
      </c>
      <c r="G239" s="21">
        <f t="shared" si="89"/>
        <v>3.968E-6</v>
      </c>
      <c r="H239" s="21">
        <f t="shared" si="89"/>
        <v>3.968E-6</v>
      </c>
      <c r="I239" s="21">
        <f t="shared" si="89"/>
        <v>3.968E-6</v>
      </c>
      <c r="J239" s="21">
        <f t="shared" si="89"/>
        <v>3.968E-6</v>
      </c>
      <c r="K239" s="21">
        <f t="shared" si="89"/>
        <v>3.968E-6</v>
      </c>
      <c r="L239" s="21">
        <f t="shared" si="89"/>
        <v>3.968E-6</v>
      </c>
      <c r="M239" s="21">
        <f t="shared" si="89"/>
        <v>3.968E-6</v>
      </c>
      <c r="N239" s="21">
        <f t="shared" si="89"/>
        <v>3.968E-6</v>
      </c>
      <c r="O239" s="21">
        <f t="shared" si="89"/>
        <v>3.968E-6</v>
      </c>
      <c r="P239" s="21">
        <f t="shared" si="89"/>
        <v>3.968E-6</v>
      </c>
      <c r="Q239" s="21">
        <f t="shared" si="89"/>
        <v>3.968E-6</v>
      </c>
      <c r="R239" s="21">
        <f t="shared" si="89"/>
        <v>3.968E-6</v>
      </c>
      <c r="S239" s="21">
        <f t="shared" si="89"/>
        <v>3.968E-6</v>
      </c>
      <c r="T239" s="21">
        <f t="shared" si="89"/>
        <v>3.968E-6</v>
      </c>
      <c r="U239" s="21">
        <f t="shared" si="89"/>
        <v>3.968E-6</v>
      </c>
      <c r="V239" s="21">
        <f t="shared" si="89"/>
        <v>3.968E-6</v>
      </c>
      <c r="W239" s="21">
        <f t="shared" si="89"/>
        <v>3.968E-6</v>
      </c>
      <c r="X239" s="21">
        <f t="shared" si="89"/>
        <v>3.968E-6</v>
      </c>
      <c r="Y239" s="21">
        <f t="shared" si="89"/>
        <v>3.968E-6</v>
      </c>
      <c r="Z239" s="148">
        <f t="shared" si="89"/>
        <v>3.968E-6</v>
      </c>
    </row>
    <row r="240" spans="1:30" ht="14.25" customHeight="1">
      <c r="A240" s="194" t="s">
        <v>11</v>
      </c>
      <c r="B240" s="44">
        <f>Assumption!$D$48</f>
        <v>9395</v>
      </c>
      <c r="C240" s="44">
        <f>Assumption!$D$48</f>
        <v>9395</v>
      </c>
      <c r="D240" s="44">
        <f>Assumption!$D$48</f>
        <v>9395</v>
      </c>
      <c r="E240" s="44">
        <f>Assumption!$D$48</f>
        <v>9395</v>
      </c>
      <c r="F240" s="44">
        <f>Assumption!$D$48</f>
        <v>9395</v>
      </c>
      <c r="G240" s="44">
        <f>Assumption!$D$48</f>
        <v>9395</v>
      </c>
      <c r="H240" s="44">
        <f>Assumption!$D$48</f>
        <v>9395</v>
      </c>
      <c r="I240" s="44">
        <f>Assumption!$D$48</f>
        <v>9395</v>
      </c>
      <c r="J240" s="44">
        <f>Assumption!$D$48</f>
        <v>9395</v>
      </c>
      <c r="K240" s="44">
        <f>Assumption!$D$48</f>
        <v>9395</v>
      </c>
      <c r="L240" s="44">
        <f>Assumption!$D$48</f>
        <v>9395</v>
      </c>
      <c r="M240" s="44">
        <f>Assumption!$D$48</f>
        <v>9395</v>
      </c>
      <c r="N240" s="44">
        <f>Assumption!$D$48</f>
        <v>9395</v>
      </c>
      <c r="O240" s="44">
        <f>Assumption!$D$48</f>
        <v>9395</v>
      </c>
      <c r="P240" s="44">
        <f>Assumption!$D$48</f>
        <v>9395</v>
      </c>
      <c r="Q240" s="44">
        <f>Assumption!$D$48</f>
        <v>9395</v>
      </c>
      <c r="R240" s="44">
        <f>Assumption!$D$48</f>
        <v>9395</v>
      </c>
      <c r="S240" s="44">
        <f>Assumption!$D$48</f>
        <v>9395</v>
      </c>
      <c r="T240" s="44">
        <f>Assumption!$D$48</f>
        <v>9395</v>
      </c>
      <c r="U240" s="44">
        <f>Assumption!$D$48</f>
        <v>9395</v>
      </c>
      <c r="V240" s="44">
        <f>Assumption!$D$48</f>
        <v>9395</v>
      </c>
      <c r="W240" s="44">
        <f>Assumption!$D$48</f>
        <v>9395</v>
      </c>
      <c r="X240" s="44">
        <f>Assumption!$D$48</f>
        <v>9395</v>
      </c>
      <c r="Y240" s="44">
        <f>Assumption!$D$48</f>
        <v>9395</v>
      </c>
      <c r="Z240" s="129">
        <f>Assumption!$D$48</f>
        <v>9395</v>
      </c>
      <c r="AA240" s="45"/>
      <c r="AB240" s="45"/>
      <c r="AC240" s="45"/>
      <c r="AD240" s="45"/>
    </row>
    <row r="241" spans="1:26" ht="14.25" customHeight="1">
      <c r="A241" s="165"/>
      <c r="B241" s="32"/>
      <c r="C241" s="32"/>
      <c r="D241" s="32"/>
      <c r="E241" s="32"/>
      <c r="F241" s="32"/>
      <c r="G241" s="32"/>
      <c r="H241" s="32"/>
      <c r="I241" s="32"/>
      <c r="J241" s="32"/>
      <c r="K241" s="32"/>
      <c r="L241" s="32"/>
      <c r="M241" s="32"/>
      <c r="N241" s="32"/>
      <c r="O241" s="32"/>
      <c r="P241" s="32"/>
      <c r="Q241" s="32"/>
      <c r="R241" s="32"/>
      <c r="S241" s="32"/>
      <c r="T241" s="32"/>
      <c r="U241" s="32"/>
      <c r="V241" s="32"/>
      <c r="W241" s="32"/>
      <c r="X241" s="32"/>
      <c r="Y241" s="32"/>
      <c r="Z241" s="155"/>
    </row>
    <row r="242" spans="1:26" ht="14.25" customHeight="1">
      <c r="A242" s="165" t="s">
        <v>12</v>
      </c>
      <c r="B242" s="32"/>
      <c r="C242" s="32"/>
      <c r="D242" s="32"/>
      <c r="E242" s="32"/>
      <c r="F242" s="32"/>
      <c r="G242" s="32"/>
      <c r="H242" s="32"/>
      <c r="I242" s="32"/>
      <c r="J242" s="32"/>
      <c r="K242" s="32"/>
      <c r="L242" s="32"/>
      <c r="M242" s="32"/>
      <c r="N242" s="32"/>
      <c r="O242" s="32"/>
      <c r="P242" s="32"/>
      <c r="Q242" s="32"/>
      <c r="R242" s="32"/>
      <c r="S242" s="32"/>
      <c r="T242" s="32"/>
      <c r="U242" s="32"/>
      <c r="V242" s="32"/>
      <c r="W242" s="32"/>
      <c r="X242" s="32"/>
      <c r="Y242" s="32"/>
      <c r="Z242" s="155"/>
    </row>
    <row r="243" spans="1:26" ht="14.25" customHeight="1">
      <c r="A243" s="165"/>
      <c r="B243" s="32"/>
      <c r="C243" s="32"/>
      <c r="D243" s="32"/>
      <c r="E243" s="32"/>
      <c r="F243" s="32"/>
      <c r="G243" s="32"/>
      <c r="H243" s="32"/>
      <c r="I243" s="32"/>
      <c r="J243" s="32"/>
      <c r="K243" s="32"/>
      <c r="L243" s="32"/>
      <c r="M243" s="32"/>
      <c r="N243" s="32"/>
      <c r="O243" s="32"/>
      <c r="P243" s="32"/>
      <c r="Q243" s="32"/>
      <c r="R243" s="32"/>
      <c r="S243" s="32"/>
      <c r="T243" s="32"/>
      <c r="U243" s="32"/>
      <c r="V243" s="32"/>
      <c r="W243" s="32"/>
      <c r="X243" s="32"/>
      <c r="Y243" s="32"/>
      <c r="Z243" s="155"/>
    </row>
    <row r="244" spans="1:26" ht="14.25" customHeight="1">
      <c r="A244" s="165" t="s">
        <v>24</v>
      </c>
      <c r="B244" s="32"/>
      <c r="C244" s="32"/>
      <c r="D244" s="32"/>
      <c r="E244" s="32"/>
      <c r="F244" s="32"/>
      <c r="G244" s="32"/>
      <c r="H244" s="32"/>
      <c r="I244" s="32"/>
      <c r="J244" s="32"/>
      <c r="K244" s="32"/>
      <c r="L244" s="32"/>
      <c r="M244" s="32"/>
      <c r="N244" s="32"/>
      <c r="O244" s="32"/>
      <c r="P244" s="32"/>
      <c r="Q244" s="32"/>
      <c r="R244" s="32"/>
      <c r="S244" s="32"/>
      <c r="T244" s="32"/>
      <c r="U244" s="32"/>
      <c r="V244" s="32"/>
      <c r="W244" s="32"/>
      <c r="X244" s="32"/>
      <c r="Y244" s="32"/>
      <c r="Z244" s="155"/>
    </row>
    <row r="245" spans="1:26" ht="14.25" customHeight="1">
      <c r="A245" s="166" t="s">
        <v>204</v>
      </c>
      <c r="B245" s="21">
        <f>Assumption!D4</f>
        <v>382.5</v>
      </c>
      <c r="C245" s="28">
        <f t="shared" ref="C245:Z245" si="90">B245</f>
        <v>382.5</v>
      </c>
      <c r="D245" s="28">
        <f t="shared" si="90"/>
        <v>382.5</v>
      </c>
      <c r="E245" s="28">
        <f t="shared" si="90"/>
        <v>382.5</v>
      </c>
      <c r="F245" s="28">
        <f t="shared" si="90"/>
        <v>382.5</v>
      </c>
      <c r="G245" s="28">
        <f t="shared" si="90"/>
        <v>382.5</v>
      </c>
      <c r="H245" s="28">
        <f t="shared" si="90"/>
        <v>382.5</v>
      </c>
      <c r="I245" s="28">
        <f t="shared" si="90"/>
        <v>382.5</v>
      </c>
      <c r="J245" s="28">
        <f t="shared" si="90"/>
        <v>382.5</v>
      </c>
      <c r="K245" s="28">
        <f t="shared" si="90"/>
        <v>382.5</v>
      </c>
      <c r="L245" s="28">
        <f t="shared" si="90"/>
        <v>382.5</v>
      </c>
      <c r="M245" s="28">
        <f t="shared" si="90"/>
        <v>382.5</v>
      </c>
      <c r="N245" s="28">
        <f t="shared" si="90"/>
        <v>382.5</v>
      </c>
      <c r="O245" s="28">
        <f t="shared" si="90"/>
        <v>382.5</v>
      </c>
      <c r="P245" s="28">
        <f t="shared" si="90"/>
        <v>382.5</v>
      </c>
      <c r="Q245" s="28">
        <f t="shared" si="90"/>
        <v>382.5</v>
      </c>
      <c r="R245" s="28">
        <f t="shared" si="90"/>
        <v>382.5</v>
      </c>
      <c r="S245" s="28">
        <f t="shared" si="90"/>
        <v>382.5</v>
      </c>
      <c r="T245" s="28">
        <f t="shared" si="90"/>
        <v>382.5</v>
      </c>
      <c r="U245" s="28">
        <f t="shared" si="90"/>
        <v>382.5</v>
      </c>
      <c r="V245" s="28">
        <f t="shared" si="90"/>
        <v>382.5</v>
      </c>
      <c r="W245" s="28">
        <f t="shared" si="90"/>
        <v>382.5</v>
      </c>
      <c r="X245" s="28">
        <f t="shared" si="90"/>
        <v>382.5</v>
      </c>
      <c r="Y245" s="28">
        <f t="shared" si="90"/>
        <v>382.5</v>
      </c>
      <c r="Z245" s="156">
        <f t="shared" si="90"/>
        <v>382.5</v>
      </c>
    </row>
    <row r="246" spans="1:26" ht="14.25" customHeight="1">
      <c r="A246" s="166" t="s">
        <v>62</v>
      </c>
      <c r="B246" s="21">
        <f t="shared" ref="B246:Z246" si="91">SUM(B245:B245)</f>
        <v>382.5</v>
      </c>
      <c r="C246" s="29">
        <f t="shared" si="91"/>
        <v>382.5</v>
      </c>
      <c r="D246" s="29">
        <f t="shared" si="91"/>
        <v>382.5</v>
      </c>
      <c r="E246" s="29">
        <f t="shared" si="91"/>
        <v>382.5</v>
      </c>
      <c r="F246" s="29">
        <f t="shared" si="91"/>
        <v>382.5</v>
      </c>
      <c r="G246" s="29">
        <f t="shared" si="91"/>
        <v>382.5</v>
      </c>
      <c r="H246" s="29">
        <f t="shared" si="91"/>
        <v>382.5</v>
      </c>
      <c r="I246" s="29">
        <f t="shared" si="91"/>
        <v>382.5</v>
      </c>
      <c r="J246" s="29">
        <f t="shared" si="91"/>
        <v>382.5</v>
      </c>
      <c r="K246" s="29">
        <f t="shared" si="91"/>
        <v>382.5</v>
      </c>
      <c r="L246" s="29">
        <f t="shared" si="91"/>
        <v>382.5</v>
      </c>
      <c r="M246" s="29">
        <f t="shared" si="91"/>
        <v>382.5</v>
      </c>
      <c r="N246" s="29">
        <f t="shared" si="91"/>
        <v>382.5</v>
      </c>
      <c r="O246" s="29">
        <f t="shared" si="91"/>
        <v>382.5</v>
      </c>
      <c r="P246" s="29">
        <f t="shared" si="91"/>
        <v>382.5</v>
      </c>
      <c r="Q246" s="29">
        <f t="shared" si="91"/>
        <v>382.5</v>
      </c>
      <c r="R246" s="29">
        <f t="shared" si="91"/>
        <v>382.5</v>
      </c>
      <c r="S246" s="29">
        <f t="shared" si="91"/>
        <v>382.5</v>
      </c>
      <c r="T246" s="29">
        <f t="shared" si="91"/>
        <v>382.5</v>
      </c>
      <c r="U246" s="29">
        <f t="shared" si="91"/>
        <v>382.5</v>
      </c>
      <c r="V246" s="29">
        <f t="shared" si="91"/>
        <v>382.5</v>
      </c>
      <c r="W246" s="29">
        <f t="shared" si="91"/>
        <v>382.5</v>
      </c>
      <c r="X246" s="29">
        <f t="shared" si="91"/>
        <v>382.5</v>
      </c>
      <c r="Y246" s="29">
        <f t="shared" si="91"/>
        <v>382.5</v>
      </c>
      <c r="Z246" s="143">
        <f t="shared" si="91"/>
        <v>382.5</v>
      </c>
    </row>
    <row r="247" spans="1:26" ht="14.25" customHeight="1">
      <c r="A247" s="165"/>
      <c r="B247" s="32"/>
      <c r="C247" s="32"/>
      <c r="D247" s="32"/>
      <c r="E247" s="32"/>
      <c r="F247" s="32"/>
      <c r="G247" s="32"/>
      <c r="H247" s="32"/>
      <c r="I247" s="32"/>
      <c r="J247" s="32"/>
      <c r="K247" s="32"/>
      <c r="L247" s="32"/>
      <c r="M247" s="32"/>
      <c r="N247" s="32"/>
      <c r="O247" s="32"/>
      <c r="P247" s="32"/>
      <c r="Q247" s="32"/>
      <c r="R247" s="32"/>
      <c r="S247" s="32"/>
      <c r="T247" s="32"/>
      <c r="U247" s="32"/>
      <c r="V247" s="32"/>
      <c r="W247" s="32"/>
      <c r="X247" s="32"/>
      <c r="Y247" s="32"/>
      <c r="Z247" s="155"/>
    </row>
    <row r="248" spans="1:26" ht="14.25" customHeight="1">
      <c r="A248" s="165" t="s">
        <v>100</v>
      </c>
      <c r="B248" s="32"/>
      <c r="C248" s="32"/>
      <c r="D248" s="32"/>
      <c r="E248" s="32"/>
      <c r="F248" s="32"/>
      <c r="G248" s="32"/>
      <c r="H248" s="32"/>
      <c r="I248" s="32"/>
      <c r="J248" s="32"/>
      <c r="K248" s="32"/>
      <c r="L248" s="32"/>
      <c r="M248" s="32"/>
      <c r="N248" s="32"/>
      <c r="O248" s="32"/>
      <c r="P248" s="32"/>
      <c r="Q248" s="32"/>
      <c r="R248" s="32"/>
      <c r="S248" s="32"/>
      <c r="T248" s="32"/>
      <c r="U248" s="32"/>
      <c r="V248" s="32"/>
      <c r="W248" s="32"/>
      <c r="X248" s="32"/>
      <c r="Y248" s="32"/>
      <c r="Z248" s="155"/>
    </row>
    <row r="249" spans="1:26" ht="14.25" customHeight="1">
      <c r="A249" s="166" t="s">
        <v>101</v>
      </c>
      <c r="B249" s="41">
        <f>Assumption!D56</f>
        <v>0.85</v>
      </c>
      <c r="C249" s="41">
        <f t="shared" ref="C249:Z249" si="92">B249</f>
        <v>0.85</v>
      </c>
      <c r="D249" s="41">
        <f t="shared" si="92"/>
        <v>0.85</v>
      </c>
      <c r="E249" s="41">
        <f t="shared" si="92"/>
        <v>0.85</v>
      </c>
      <c r="F249" s="41">
        <f t="shared" si="92"/>
        <v>0.85</v>
      </c>
      <c r="G249" s="41">
        <f t="shared" si="92"/>
        <v>0.85</v>
      </c>
      <c r="H249" s="41">
        <f t="shared" si="92"/>
        <v>0.85</v>
      </c>
      <c r="I249" s="41">
        <f t="shared" si="92"/>
        <v>0.85</v>
      </c>
      <c r="J249" s="41">
        <f t="shared" si="92"/>
        <v>0.85</v>
      </c>
      <c r="K249" s="41">
        <f t="shared" si="92"/>
        <v>0.85</v>
      </c>
      <c r="L249" s="41">
        <f t="shared" si="92"/>
        <v>0.85</v>
      </c>
      <c r="M249" s="41">
        <f t="shared" si="92"/>
        <v>0.85</v>
      </c>
      <c r="N249" s="41">
        <f t="shared" si="92"/>
        <v>0.85</v>
      </c>
      <c r="O249" s="41">
        <f t="shared" si="92"/>
        <v>0.85</v>
      </c>
      <c r="P249" s="41">
        <f t="shared" si="92"/>
        <v>0.85</v>
      </c>
      <c r="Q249" s="41">
        <f t="shared" si="92"/>
        <v>0.85</v>
      </c>
      <c r="R249" s="41">
        <f t="shared" si="92"/>
        <v>0.85</v>
      </c>
      <c r="S249" s="41">
        <f t="shared" si="92"/>
        <v>0.85</v>
      </c>
      <c r="T249" s="41">
        <f t="shared" si="92"/>
        <v>0.85</v>
      </c>
      <c r="U249" s="41">
        <f t="shared" si="92"/>
        <v>0.85</v>
      </c>
      <c r="V249" s="41">
        <f t="shared" si="92"/>
        <v>0.85</v>
      </c>
      <c r="W249" s="41">
        <f t="shared" si="92"/>
        <v>0.85</v>
      </c>
      <c r="X249" s="41">
        <f t="shared" si="92"/>
        <v>0.85</v>
      </c>
      <c r="Y249" s="41">
        <f t="shared" si="92"/>
        <v>0.85</v>
      </c>
      <c r="Z249" s="195">
        <f t="shared" si="92"/>
        <v>0.85</v>
      </c>
    </row>
    <row r="250" spans="1:26" ht="14.25" customHeight="1">
      <c r="A250" s="166" t="s">
        <v>102</v>
      </c>
      <c r="B250" s="35">
        <f>Assumption!D63</f>
        <v>1746.8955000000001</v>
      </c>
      <c r="C250" s="21">
        <f t="shared" ref="C250:Z250" si="93">B250</f>
        <v>1746.8955000000001</v>
      </c>
      <c r="D250" s="21">
        <f t="shared" si="93"/>
        <v>1746.8955000000001</v>
      </c>
      <c r="E250" s="21">
        <f t="shared" si="93"/>
        <v>1746.8955000000001</v>
      </c>
      <c r="F250" s="21">
        <f t="shared" si="93"/>
        <v>1746.8955000000001</v>
      </c>
      <c r="G250" s="21">
        <f t="shared" si="93"/>
        <v>1746.8955000000001</v>
      </c>
      <c r="H250" s="21">
        <f t="shared" si="93"/>
        <v>1746.8955000000001</v>
      </c>
      <c r="I250" s="21">
        <f t="shared" si="93"/>
        <v>1746.8955000000001</v>
      </c>
      <c r="J250" s="21">
        <f t="shared" si="93"/>
        <v>1746.8955000000001</v>
      </c>
      <c r="K250" s="21">
        <f t="shared" si="93"/>
        <v>1746.8955000000001</v>
      </c>
      <c r="L250" s="21">
        <f t="shared" si="93"/>
        <v>1746.8955000000001</v>
      </c>
      <c r="M250" s="21">
        <f t="shared" si="93"/>
        <v>1746.8955000000001</v>
      </c>
      <c r="N250" s="21">
        <f t="shared" si="93"/>
        <v>1746.8955000000001</v>
      </c>
      <c r="O250" s="21">
        <f t="shared" si="93"/>
        <v>1746.8955000000001</v>
      </c>
      <c r="P250" s="21">
        <f t="shared" si="93"/>
        <v>1746.8955000000001</v>
      </c>
      <c r="Q250" s="21">
        <f t="shared" si="93"/>
        <v>1746.8955000000001</v>
      </c>
      <c r="R250" s="21">
        <f t="shared" si="93"/>
        <v>1746.8955000000001</v>
      </c>
      <c r="S250" s="21">
        <f t="shared" si="93"/>
        <v>1746.8955000000001</v>
      </c>
      <c r="T250" s="21">
        <f t="shared" si="93"/>
        <v>1746.8955000000001</v>
      </c>
      <c r="U250" s="21">
        <f t="shared" si="93"/>
        <v>1746.8955000000001</v>
      </c>
      <c r="V250" s="21">
        <f t="shared" si="93"/>
        <v>1746.8955000000001</v>
      </c>
      <c r="W250" s="21">
        <f t="shared" si="93"/>
        <v>1746.8955000000001</v>
      </c>
      <c r="X250" s="21">
        <f t="shared" si="93"/>
        <v>1746.8955000000001</v>
      </c>
      <c r="Y250" s="21">
        <f t="shared" si="93"/>
        <v>1746.8955000000001</v>
      </c>
      <c r="Z250" s="148">
        <f t="shared" si="93"/>
        <v>1746.8955000000001</v>
      </c>
    </row>
    <row r="251" spans="1:26" ht="14.25" customHeight="1">
      <c r="A251" s="165"/>
      <c r="B251" s="32"/>
      <c r="C251" s="32"/>
      <c r="D251" s="32"/>
      <c r="E251" s="32"/>
      <c r="F251" s="32"/>
      <c r="G251" s="32"/>
      <c r="H251" s="32"/>
      <c r="I251" s="32"/>
      <c r="J251" s="32"/>
      <c r="K251" s="32"/>
      <c r="L251" s="32"/>
      <c r="M251" s="32"/>
      <c r="N251" s="32"/>
      <c r="O251" s="32"/>
      <c r="P251" s="32"/>
      <c r="Q251" s="32"/>
      <c r="R251" s="32"/>
      <c r="S251" s="32"/>
      <c r="T251" s="32"/>
      <c r="U251" s="32"/>
      <c r="V251" s="32"/>
      <c r="W251" s="32"/>
      <c r="X251" s="32"/>
      <c r="Y251" s="32"/>
      <c r="Z251" s="155"/>
    </row>
    <row r="252" spans="1:26" ht="14.25" customHeight="1">
      <c r="A252" s="165" t="s">
        <v>103</v>
      </c>
      <c r="B252" s="32"/>
      <c r="C252" s="32"/>
      <c r="D252" s="32"/>
      <c r="E252" s="32"/>
      <c r="F252" s="32"/>
      <c r="G252" s="32"/>
      <c r="H252" s="32"/>
      <c r="I252" s="32"/>
      <c r="J252" s="32"/>
      <c r="K252" s="32"/>
      <c r="L252" s="32"/>
      <c r="M252" s="32"/>
      <c r="N252" s="32"/>
      <c r="O252" s="32"/>
      <c r="P252" s="32"/>
      <c r="Q252" s="32"/>
      <c r="R252" s="32"/>
      <c r="S252" s="32"/>
      <c r="T252" s="32"/>
      <c r="U252" s="32"/>
      <c r="V252" s="32"/>
      <c r="W252" s="32"/>
      <c r="X252" s="32"/>
      <c r="Y252" s="32"/>
      <c r="Z252" s="155"/>
    </row>
    <row r="253" spans="1:26" ht="14.25" customHeight="1">
      <c r="A253" s="166" t="s">
        <v>205</v>
      </c>
      <c r="B253" s="46">
        <f t="shared" ref="B253:Z253" si="94">B245*24*B249*B214/1000</f>
        <v>2840.2919999999999</v>
      </c>
      <c r="C253" s="46">
        <f t="shared" si="94"/>
        <v>2848.0949999999998</v>
      </c>
      <c r="D253" s="46">
        <f t="shared" si="94"/>
        <v>2855.8980000000001</v>
      </c>
      <c r="E253" s="46">
        <f t="shared" si="94"/>
        <v>2848.0949999999998</v>
      </c>
      <c r="F253" s="46">
        <f t="shared" si="94"/>
        <v>2848.0949999999998</v>
      </c>
      <c r="G253" s="46">
        <f t="shared" si="94"/>
        <v>2848.0949999999998</v>
      </c>
      <c r="H253" s="46">
        <f t="shared" si="94"/>
        <v>2855.8980000000001</v>
      </c>
      <c r="I253" s="46">
        <f t="shared" si="94"/>
        <v>2848.0949999999998</v>
      </c>
      <c r="J253" s="46">
        <f t="shared" si="94"/>
        <v>2848.0949999999998</v>
      </c>
      <c r="K253" s="46">
        <f t="shared" si="94"/>
        <v>2848.0949999999998</v>
      </c>
      <c r="L253" s="46">
        <f t="shared" si="94"/>
        <v>2855.8980000000001</v>
      </c>
      <c r="M253" s="46">
        <f t="shared" si="94"/>
        <v>2848.0949999999998</v>
      </c>
      <c r="N253" s="46">
        <f t="shared" si="94"/>
        <v>2848.0949999999998</v>
      </c>
      <c r="O253" s="46">
        <f t="shared" si="94"/>
        <v>2848.0949999999998</v>
      </c>
      <c r="P253" s="46">
        <f t="shared" si="94"/>
        <v>2855.8980000000001</v>
      </c>
      <c r="Q253" s="46">
        <f t="shared" si="94"/>
        <v>2848.0949999999998</v>
      </c>
      <c r="R253" s="46">
        <f t="shared" si="94"/>
        <v>2848.0949999999998</v>
      </c>
      <c r="S253" s="46">
        <f t="shared" si="94"/>
        <v>2848.0949999999998</v>
      </c>
      <c r="T253" s="46">
        <f t="shared" si="94"/>
        <v>2855.8980000000001</v>
      </c>
      <c r="U253" s="46">
        <f t="shared" si="94"/>
        <v>2848.0949999999998</v>
      </c>
      <c r="V253" s="46">
        <f t="shared" si="94"/>
        <v>2848.0949999999998</v>
      </c>
      <c r="W253" s="46">
        <f t="shared" si="94"/>
        <v>2848.0949999999998</v>
      </c>
      <c r="X253" s="46">
        <f t="shared" si="94"/>
        <v>2855.8980000000001</v>
      </c>
      <c r="Y253" s="46">
        <f t="shared" si="94"/>
        <v>2848.0949999999998</v>
      </c>
      <c r="Z253" s="196">
        <f t="shared" si="94"/>
        <v>2848.0949999999998</v>
      </c>
    </row>
    <row r="254" spans="1:26" ht="14.25" customHeight="1">
      <c r="A254" s="166" t="s">
        <v>64</v>
      </c>
      <c r="B254" s="46">
        <f t="shared" ref="B254:Z254" si="95">SUM(B253:B253)</f>
        <v>2840.2919999999999</v>
      </c>
      <c r="C254" s="46">
        <f t="shared" si="95"/>
        <v>2848.0949999999998</v>
      </c>
      <c r="D254" s="46">
        <f t="shared" si="95"/>
        <v>2855.8980000000001</v>
      </c>
      <c r="E254" s="46">
        <f t="shared" si="95"/>
        <v>2848.0949999999998</v>
      </c>
      <c r="F254" s="46">
        <f t="shared" si="95"/>
        <v>2848.0949999999998</v>
      </c>
      <c r="G254" s="46">
        <f t="shared" si="95"/>
        <v>2848.0949999999998</v>
      </c>
      <c r="H254" s="46">
        <f t="shared" si="95"/>
        <v>2855.8980000000001</v>
      </c>
      <c r="I254" s="46">
        <f t="shared" si="95"/>
        <v>2848.0949999999998</v>
      </c>
      <c r="J254" s="46">
        <f t="shared" si="95"/>
        <v>2848.0949999999998</v>
      </c>
      <c r="K254" s="46">
        <f t="shared" si="95"/>
        <v>2848.0949999999998</v>
      </c>
      <c r="L254" s="46">
        <f t="shared" si="95"/>
        <v>2855.8980000000001</v>
      </c>
      <c r="M254" s="46">
        <f t="shared" si="95"/>
        <v>2848.0949999999998</v>
      </c>
      <c r="N254" s="46">
        <f t="shared" si="95"/>
        <v>2848.0949999999998</v>
      </c>
      <c r="O254" s="46">
        <f t="shared" si="95"/>
        <v>2848.0949999999998</v>
      </c>
      <c r="P254" s="46">
        <f t="shared" si="95"/>
        <v>2855.8980000000001</v>
      </c>
      <c r="Q254" s="46">
        <f t="shared" si="95"/>
        <v>2848.0949999999998</v>
      </c>
      <c r="R254" s="46">
        <f t="shared" si="95"/>
        <v>2848.0949999999998</v>
      </c>
      <c r="S254" s="46">
        <f t="shared" si="95"/>
        <v>2848.0949999999998</v>
      </c>
      <c r="T254" s="46">
        <f t="shared" si="95"/>
        <v>2855.8980000000001</v>
      </c>
      <c r="U254" s="46">
        <f t="shared" si="95"/>
        <v>2848.0949999999998</v>
      </c>
      <c r="V254" s="46">
        <f t="shared" si="95"/>
        <v>2848.0949999999998</v>
      </c>
      <c r="W254" s="46">
        <f t="shared" si="95"/>
        <v>2848.0949999999998</v>
      </c>
      <c r="X254" s="46">
        <f t="shared" si="95"/>
        <v>2855.8980000000001</v>
      </c>
      <c r="Y254" s="46">
        <f t="shared" si="95"/>
        <v>2848.0949999999998</v>
      </c>
      <c r="Z254" s="196">
        <f t="shared" si="95"/>
        <v>2848.0949999999998</v>
      </c>
    </row>
    <row r="255" spans="1:26" ht="14.25" customHeight="1">
      <c r="A255" s="165"/>
      <c r="B255" s="57"/>
      <c r="C255" s="57"/>
      <c r="D255" s="57"/>
      <c r="E255" s="57"/>
      <c r="F255" s="57"/>
      <c r="G255" s="57"/>
      <c r="H255" s="57"/>
      <c r="I255" s="57"/>
      <c r="J255" s="57"/>
      <c r="K255" s="57"/>
      <c r="L255" s="57"/>
      <c r="M255" s="57"/>
      <c r="N255" s="57"/>
      <c r="O255" s="57"/>
      <c r="P255" s="57"/>
      <c r="Q255" s="57"/>
      <c r="R255" s="57"/>
      <c r="S255" s="57"/>
      <c r="T255" s="57"/>
      <c r="U255" s="57"/>
      <c r="V255" s="57"/>
      <c r="W255" s="57"/>
      <c r="X255" s="57"/>
      <c r="Y255" s="57"/>
      <c r="Z255" s="197"/>
    </row>
    <row r="256" spans="1:26" ht="14.25" customHeight="1">
      <c r="A256" s="165" t="s">
        <v>63</v>
      </c>
      <c r="B256" s="32"/>
      <c r="C256" s="32"/>
      <c r="D256" s="32"/>
      <c r="E256" s="32"/>
      <c r="F256" s="32"/>
      <c r="G256" s="32"/>
      <c r="H256" s="32"/>
      <c r="I256" s="32"/>
      <c r="J256" s="32"/>
      <c r="K256" s="32"/>
      <c r="L256" s="32"/>
      <c r="M256" s="32"/>
      <c r="N256" s="32"/>
      <c r="O256" s="32"/>
      <c r="P256" s="32"/>
      <c r="Q256" s="32"/>
      <c r="R256" s="32"/>
      <c r="S256" s="32"/>
      <c r="T256" s="32"/>
      <c r="U256" s="32"/>
      <c r="V256" s="32"/>
      <c r="W256" s="32"/>
      <c r="X256" s="32"/>
      <c r="Y256" s="32"/>
      <c r="Z256" s="155"/>
    </row>
    <row r="257" spans="1:26" ht="14.25" customHeight="1">
      <c r="A257" s="166" t="s">
        <v>205</v>
      </c>
      <c r="B257" s="29">
        <f>B253*Assumption!D60</f>
        <v>85.208759999999998</v>
      </c>
      <c r="C257" s="29">
        <f>C253*Assumption!$D$60</f>
        <v>85.442849999999993</v>
      </c>
      <c r="D257" s="29">
        <f>D253*Assumption!$D$60</f>
        <v>85.676940000000002</v>
      </c>
      <c r="E257" s="29">
        <f>E253*Assumption!$D$60</f>
        <v>85.442849999999993</v>
      </c>
      <c r="F257" s="29">
        <f>F253*Assumption!$D$60</f>
        <v>85.442849999999993</v>
      </c>
      <c r="G257" s="29">
        <f>G253*Assumption!$D$60</f>
        <v>85.442849999999993</v>
      </c>
      <c r="H257" s="29">
        <f>H253*Assumption!$D$60</f>
        <v>85.676940000000002</v>
      </c>
      <c r="I257" s="29">
        <f>I253*Assumption!$D$60</f>
        <v>85.442849999999993</v>
      </c>
      <c r="J257" s="29">
        <f>J253*Assumption!$D$60</f>
        <v>85.442849999999993</v>
      </c>
      <c r="K257" s="29">
        <f>K253*Assumption!$D$60</f>
        <v>85.442849999999993</v>
      </c>
      <c r="L257" s="29">
        <f>L253*Assumption!$D$60</f>
        <v>85.676940000000002</v>
      </c>
      <c r="M257" s="29">
        <f>M253*Assumption!$D$60</f>
        <v>85.442849999999993</v>
      </c>
      <c r="N257" s="29">
        <f>N253*Assumption!$D$60</f>
        <v>85.442849999999993</v>
      </c>
      <c r="O257" s="29">
        <f>O253*Assumption!$D$60</f>
        <v>85.442849999999993</v>
      </c>
      <c r="P257" s="29">
        <f>P253*Assumption!$D$60</f>
        <v>85.676940000000002</v>
      </c>
      <c r="Q257" s="29">
        <f>Q253*Assumption!$D$60</f>
        <v>85.442849999999993</v>
      </c>
      <c r="R257" s="29">
        <f>R253*Assumption!$D$60</f>
        <v>85.442849999999993</v>
      </c>
      <c r="S257" s="29">
        <f>S253*Assumption!$D$60</f>
        <v>85.442849999999993</v>
      </c>
      <c r="T257" s="29">
        <f>T253*Assumption!$D$60</f>
        <v>85.676940000000002</v>
      </c>
      <c r="U257" s="29">
        <f>U253*Assumption!$D$60</f>
        <v>85.442849999999993</v>
      </c>
      <c r="V257" s="29">
        <f>V253*Assumption!$D$60</f>
        <v>85.442849999999993</v>
      </c>
      <c r="W257" s="29">
        <f>W253*Assumption!$D$60</f>
        <v>85.442849999999993</v>
      </c>
      <c r="X257" s="29">
        <f>X253*Assumption!$D$60</f>
        <v>85.676940000000002</v>
      </c>
      <c r="Y257" s="29">
        <f>Y253*Assumption!$D$60</f>
        <v>85.442849999999993</v>
      </c>
      <c r="Z257" s="143">
        <f>Z253*Assumption!$D$60</f>
        <v>85.442849999999993</v>
      </c>
    </row>
    <row r="258" spans="1:26" ht="14.25" customHeight="1">
      <c r="A258" s="166" t="s">
        <v>64</v>
      </c>
      <c r="B258" s="29">
        <f t="shared" ref="B258:Z258" si="96">SUM(B257:B257)</f>
        <v>85.208759999999998</v>
      </c>
      <c r="C258" s="29">
        <f t="shared" si="96"/>
        <v>85.442849999999993</v>
      </c>
      <c r="D258" s="29">
        <f t="shared" si="96"/>
        <v>85.676940000000002</v>
      </c>
      <c r="E258" s="29">
        <f t="shared" si="96"/>
        <v>85.442849999999993</v>
      </c>
      <c r="F258" s="29">
        <f t="shared" si="96"/>
        <v>85.442849999999993</v>
      </c>
      <c r="G258" s="29">
        <f t="shared" si="96"/>
        <v>85.442849999999993</v>
      </c>
      <c r="H258" s="29">
        <f t="shared" si="96"/>
        <v>85.676940000000002</v>
      </c>
      <c r="I258" s="29">
        <f t="shared" si="96"/>
        <v>85.442849999999993</v>
      </c>
      <c r="J258" s="29">
        <f t="shared" si="96"/>
        <v>85.442849999999993</v>
      </c>
      <c r="K258" s="29">
        <f t="shared" si="96"/>
        <v>85.442849999999993</v>
      </c>
      <c r="L258" s="29">
        <f t="shared" si="96"/>
        <v>85.676940000000002</v>
      </c>
      <c r="M258" s="29">
        <f t="shared" si="96"/>
        <v>85.442849999999993</v>
      </c>
      <c r="N258" s="29">
        <f t="shared" si="96"/>
        <v>85.442849999999993</v>
      </c>
      <c r="O258" s="29">
        <f t="shared" si="96"/>
        <v>85.442849999999993</v>
      </c>
      <c r="P258" s="29">
        <f t="shared" si="96"/>
        <v>85.676940000000002</v>
      </c>
      <c r="Q258" s="29">
        <f t="shared" si="96"/>
        <v>85.442849999999993</v>
      </c>
      <c r="R258" s="29">
        <f t="shared" si="96"/>
        <v>85.442849999999993</v>
      </c>
      <c r="S258" s="29">
        <f t="shared" si="96"/>
        <v>85.442849999999993</v>
      </c>
      <c r="T258" s="29">
        <f t="shared" si="96"/>
        <v>85.676940000000002</v>
      </c>
      <c r="U258" s="29">
        <f t="shared" si="96"/>
        <v>85.442849999999993</v>
      </c>
      <c r="V258" s="29">
        <f t="shared" si="96"/>
        <v>85.442849999999993</v>
      </c>
      <c r="W258" s="29">
        <f t="shared" si="96"/>
        <v>85.442849999999993</v>
      </c>
      <c r="X258" s="29">
        <f t="shared" si="96"/>
        <v>85.676940000000002</v>
      </c>
      <c r="Y258" s="29">
        <f t="shared" si="96"/>
        <v>85.442849999999993</v>
      </c>
      <c r="Z258" s="143">
        <f t="shared" si="96"/>
        <v>85.442849999999993</v>
      </c>
    </row>
    <row r="259" spans="1:26" ht="14.25" customHeight="1">
      <c r="A259" s="165"/>
      <c r="B259" s="58"/>
      <c r="C259" s="58"/>
      <c r="D259" s="58"/>
      <c r="E259" s="58"/>
      <c r="F259" s="58"/>
      <c r="G259" s="58"/>
      <c r="H259" s="58"/>
      <c r="I259" s="58"/>
      <c r="J259" s="58"/>
      <c r="K259" s="58"/>
      <c r="L259" s="58"/>
      <c r="M259" s="58"/>
      <c r="N259" s="58"/>
      <c r="O259" s="58"/>
      <c r="P259" s="58"/>
      <c r="Q259" s="58"/>
      <c r="R259" s="58"/>
      <c r="S259" s="58"/>
      <c r="T259" s="58"/>
      <c r="U259" s="58"/>
      <c r="V259" s="58"/>
      <c r="W259" s="58"/>
      <c r="X259" s="58"/>
      <c r="Y259" s="58"/>
      <c r="Z259" s="198"/>
    </row>
    <row r="260" spans="1:26" ht="14.25" customHeight="1">
      <c r="A260" s="165" t="s">
        <v>13</v>
      </c>
      <c r="B260" s="32"/>
      <c r="C260" s="32"/>
      <c r="D260" s="32"/>
      <c r="E260" s="32"/>
      <c r="F260" s="32"/>
      <c r="G260" s="32"/>
      <c r="H260" s="32"/>
      <c r="I260" s="32"/>
      <c r="J260" s="32"/>
      <c r="K260" s="32"/>
      <c r="L260" s="32"/>
      <c r="M260" s="32"/>
      <c r="N260" s="32"/>
      <c r="O260" s="32"/>
      <c r="P260" s="32"/>
      <c r="Q260" s="32"/>
      <c r="R260" s="32"/>
      <c r="S260" s="32"/>
      <c r="T260" s="32"/>
      <c r="U260" s="32"/>
      <c r="V260" s="32"/>
      <c r="W260" s="32"/>
      <c r="X260" s="32"/>
      <c r="Y260" s="32"/>
      <c r="Z260" s="155"/>
    </row>
    <row r="261" spans="1:26" ht="14.25" customHeight="1">
      <c r="A261" s="166" t="s">
        <v>205</v>
      </c>
      <c r="B261" s="25">
        <f t="shared" ref="B261:Z261" si="97">B253-B257</f>
        <v>2755.0832399999999</v>
      </c>
      <c r="C261" s="25">
        <f t="shared" si="97"/>
        <v>2762.6521499999999</v>
      </c>
      <c r="D261" s="25">
        <f t="shared" si="97"/>
        <v>2770.2210600000003</v>
      </c>
      <c r="E261" s="25">
        <f t="shared" si="97"/>
        <v>2762.6521499999999</v>
      </c>
      <c r="F261" s="25">
        <f t="shared" si="97"/>
        <v>2762.6521499999999</v>
      </c>
      <c r="G261" s="25">
        <f t="shared" si="97"/>
        <v>2762.6521499999999</v>
      </c>
      <c r="H261" s="25">
        <f t="shared" si="97"/>
        <v>2770.2210600000003</v>
      </c>
      <c r="I261" s="25">
        <f t="shared" si="97"/>
        <v>2762.6521499999999</v>
      </c>
      <c r="J261" s="25">
        <f t="shared" si="97"/>
        <v>2762.6521499999999</v>
      </c>
      <c r="K261" s="25">
        <f t="shared" si="97"/>
        <v>2762.6521499999999</v>
      </c>
      <c r="L261" s="25">
        <f t="shared" si="97"/>
        <v>2770.2210600000003</v>
      </c>
      <c r="M261" s="25">
        <f t="shared" si="97"/>
        <v>2762.6521499999999</v>
      </c>
      <c r="N261" s="25">
        <f t="shared" si="97"/>
        <v>2762.6521499999999</v>
      </c>
      <c r="O261" s="25">
        <f t="shared" si="97"/>
        <v>2762.6521499999999</v>
      </c>
      <c r="P261" s="25">
        <f t="shared" si="97"/>
        <v>2770.2210600000003</v>
      </c>
      <c r="Q261" s="25">
        <f t="shared" si="97"/>
        <v>2762.6521499999999</v>
      </c>
      <c r="R261" s="25">
        <f t="shared" si="97"/>
        <v>2762.6521499999999</v>
      </c>
      <c r="S261" s="25">
        <f t="shared" si="97"/>
        <v>2762.6521499999999</v>
      </c>
      <c r="T261" s="25">
        <f t="shared" si="97"/>
        <v>2770.2210600000003</v>
      </c>
      <c r="U261" s="25">
        <f t="shared" si="97"/>
        <v>2762.6521499999999</v>
      </c>
      <c r="V261" s="25">
        <f t="shared" si="97"/>
        <v>2762.6521499999999</v>
      </c>
      <c r="W261" s="25">
        <f t="shared" si="97"/>
        <v>2762.6521499999999</v>
      </c>
      <c r="X261" s="25">
        <f t="shared" si="97"/>
        <v>2770.2210600000003</v>
      </c>
      <c r="Y261" s="25">
        <f t="shared" si="97"/>
        <v>2762.6521499999999</v>
      </c>
      <c r="Z261" s="151">
        <f t="shared" si="97"/>
        <v>2762.6521499999999</v>
      </c>
    </row>
    <row r="262" spans="1:26" ht="14.25" customHeight="1" thickBot="1">
      <c r="A262" s="185" t="s">
        <v>64</v>
      </c>
      <c r="B262" s="186">
        <f t="shared" ref="B262:Z262" si="98">SUM(B261:B261)</f>
        <v>2755.0832399999999</v>
      </c>
      <c r="C262" s="186">
        <f t="shared" si="98"/>
        <v>2762.6521499999999</v>
      </c>
      <c r="D262" s="186">
        <f t="shared" si="98"/>
        <v>2770.2210600000003</v>
      </c>
      <c r="E262" s="186">
        <f t="shared" si="98"/>
        <v>2762.6521499999999</v>
      </c>
      <c r="F262" s="186">
        <f t="shared" si="98"/>
        <v>2762.6521499999999</v>
      </c>
      <c r="G262" s="186">
        <f t="shared" si="98"/>
        <v>2762.6521499999999</v>
      </c>
      <c r="H262" s="186">
        <f t="shared" si="98"/>
        <v>2770.2210600000003</v>
      </c>
      <c r="I262" s="186">
        <f t="shared" si="98"/>
        <v>2762.6521499999999</v>
      </c>
      <c r="J262" s="186">
        <f t="shared" si="98"/>
        <v>2762.6521499999999</v>
      </c>
      <c r="K262" s="186">
        <f t="shared" si="98"/>
        <v>2762.6521499999999</v>
      </c>
      <c r="L262" s="186">
        <f t="shared" si="98"/>
        <v>2770.2210600000003</v>
      </c>
      <c r="M262" s="186">
        <f t="shared" si="98"/>
        <v>2762.6521499999999</v>
      </c>
      <c r="N262" s="186">
        <f t="shared" si="98"/>
        <v>2762.6521499999999</v>
      </c>
      <c r="O262" s="186">
        <f t="shared" si="98"/>
        <v>2762.6521499999999</v>
      </c>
      <c r="P262" s="186">
        <f t="shared" si="98"/>
        <v>2770.2210600000003</v>
      </c>
      <c r="Q262" s="186">
        <f t="shared" si="98"/>
        <v>2762.6521499999999</v>
      </c>
      <c r="R262" s="186">
        <f t="shared" si="98"/>
        <v>2762.6521499999999</v>
      </c>
      <c r="S262" s="186">
        <f t="shared" si="98"/>
        <v>2762.6521499999999</v>
      </c>
      <c r="T262" s="186">
        <f t="shared" si="98"/>
        <v>2770.2210600000003</v>
      </c>
      <c r="U262" s="186">
        <f t="shared" si="98"/>
        <v>2762.6521499999999</v>
      </c>
      <c r="V262" s="186">
        <f t="shared" si="98"/>
        <v>2762.6521499999999</v>
      </c>
      <c r="W262" s="186">
        <f t="shared" si="98"/>
        <v>2762.6521499999999</v>
      </c>
      <c r="X262" s="186">
        <f t="shared" si="98"/>
        <v>2770.2210600000003</v>
      </c>
      <c r="Y262" s="186">
        <f t="shared" si="98"/>
        <v>2762.6521499999999</v>
      </c>
      <c r="Z262" s="187">
        <f t="shared" si="98"/>
        <v>2762.6521499999999</v>
      </c>
    </row>
    <row r="263" spans="1:26" ht="14.25" customHeight="1">
      <c r="A263" s="32"/>
      <c r="B263" s="59"/>
      <c r="C263" s="59"/>
      <c r="D263" s="59"/>
      <c r="E263" s="59"/>
      <c r="F263" s="59"/>
      <c r="G263" s="59"/>
      <c r="H263" s="59"/>
      <c r="I263" s="59"/>
      <c r="J263" s="59"/>
      <c r="K263" s="59"/>
      <c r="L263" s="59"/>
      <c r="M263" s="59"/>
      <c r="N263" s="59"/>
      <c r="O263" s="59"/>
      <c r="P263" s="59"/>
      <c r="Q263" s="59"/>
      <c r="R263" s="59"/>
      <c r="S263" s="59"/>
      <c r="T263" s="59"/>
      <c r="U263" s="59"/>
      <c r="V263" s="59"/>
      <c r="W263" s="59"/>
      <c r="X263" s="59"/>
      <c r="Y263" s="59"/>
      <c r="Z263" s="59"/>
    </row>
  </sheetData>
  <mergeCells count="22">
    <mergeCell ref="A212:Z212"/>
    <mergeCell ref="A219:AD219"/>
    <mergeCell ref="A225:Z225"/>
    <mergeCell ref="A92:Z92"/>
    <mergeCell ref="A4:AC4"/>
    <mergeCell ref="A45:AC45"/>
    <mergeCell ref="B52:AC52"/>
    <mergeCell ref="A54:Z54"/>
    <mergeCell ref="A135:Z135"/>
    <mergeCell ref="A36:G36"/>
    <mergeCell ref="C119:D119"/>
    <mergeCell ref="G183:Q183"/>
    <mergeCell ref="G184:Q184"/>
    <mergeCell ref="A207:B207"/>
    <mergeCell ref="F183:F185"/>
    <mergeCell ref="A182:Q182"/>
    <mergeCell ref="A208:B208"/>
    <mergeCell ref="A209:B209"/>
    <mergeCell ref="A184:E184"/>
    <mergeCell ref="A183:E183"/>
    <mergeCell ref="A206:B206"/>
    <mergeCell ref="E208:E209"/>
  </mergeCells>
  <pageMargins left="0.25" right="0.05" top="1" bottom="1" header="0.5" footer="0.5"/>
  <pageSetup paperSize="9" scale="82" fitToWidth="2" orientation="landscape" r:id="rId1"/>
  <headerFooter alignWithMargins="0"/>
</worksheet>
</file>

<file path=xl/worksheets/sheet6.xml><?xml version="1.0" encoding="utf-8"?>
<worksheet xmlns="http://schemas.openxmlformats.org/spreadsheetml/2006/main" xmlns:r="http://schemas.openxmlformats.org/officeDocument/2006/relationships">
  <dimension ref="A2:L5"/>
  <sheetViews>
    <sheetView workbookViewId="0">
      <selection activeCell="B4" sqref="B4"/>
    </sheetView>
  </sheetViews>
  <sheetFormatPr defaultRowHeight="15"/>
  <cols>
    <col min="1" max="1" width="20.5703125" style="20" customWidth="1"/>
    <col min="2" max="2" width="11.42578125" style="20" bestFit="1" customWidth="1"/>
    <col min="3" max="11" width="13" style="20" bestFit="1" customWidth="1"/>
    <col min="12" max="12" width="11.42578125" style="20" bestFit="1" customWidth="1"/>
    <col min="13" max="16384" width="9.140625" style="20"/>
  </cols>
  <sheetData>
    <row r="2" spans="1:12" ht="15.75" thickBot="1"/>
    <row r="3" spans="1:12">
      <c r="A3" s="124" t="s">
        <v>0</v>
      </c>
      <c r="B3" s="125">
        <f>DATE(2014,3,31)</f>
        <v>41729</v>
      </c>
      <c r="C3" s="125">
        <f>DATE((YEAR(B3)+1),MONTH(B3),DAY(B3))</f>
        <v>42094</v>
      </c>
      <c r="D3" s="125">
        <f>DATE((YEAR(C3)+1),MONTH(C3),DAY(C3))</f>
        <v>42460</v>
      </c>
      <c r="E3" s="125">
        <f t="shared" ref="E3:L3" si="0">DATE((YEAR(D3)+1),MONTH(D3),DAY(D3))</f>
        <v>42825</v>
      </c>
      <c r="F3" s="125">
        <f t="shared" si="0"/>
        <v>43190</v>
      </c>
      <c r="G3" s="125">
        <f t="shared" si="0"/>
        <v>43555</v>
      </c>
      <c r="H3" s="125">
        <f t="shared" si="0"/>
        <v>43921</v>
      </c>
      <c r="I3" s="125">
        <f t="shared" si="0"/>
        <v>44286</v>
      </c>
      <c r="J3" s="125">
        <f t="shared" si="0"/>
        <v>44651</v>
      </c>
      <c r="K3" s="125">
        <f t="shared" si="0"/>
        <v>45016</v>
      </c>
      <c r="L3" s="126">
        <f t="shared" si="0"/>
        <v>45382</v>
      </c>
    </row>
    <row r="4" spans="1:12" ht="45">
      <c r="A4" s="128" t="s">
        <v>230</v>
      </c>
      <c r="B4" s="44">
        <v>953818.10586091864</v>
      </c>
      <c r="C4" s="44">
        <v>1270597.1118220268</v>
      </c>
      <c r="D4" s="44">
        <v>1270597.1118220268</v>
      </c>
      <c r="E4" s="44">
        <v>1270597.1118220268</v>
      </c>
      <c r="F4" s="44">
        <v>1270597.1118220268</v>
      </c>
      <c r="G4" s="44">
        <v>1270597.1118220268</v>
      </c>
      <c r="H4" s="44">
        <v>1270597.1118220268</v>
      </c>
      <c r="I4" s="44">
        <v>1270597.1118220268</v>
      </c>
      <c r="J4" s="44">
        <v>1270597.1118220268</v>
      </c>
      <c r="K4" s="44">
        <v>1270597.1118220268</v>
      </c>
      <c r="L4" s="129">
        <v>316779.00596110802</v>
      </c>
    </row>
    <row r="5" spans="1:12" ht="30.75" thickBot="1">
      <c r="A5" s="127" t="s">
        <v>229</v>
      </c>
      <c r="B5" s="130">
        <f>B4*Assumption!$D$49*Assumption!$D$51*(1-Assumption!$D$50)/10^6</f>
        <v>722.85177452082132</v>
      </c>
      <c r="C5" s="130">
        <f>C4*Assumption!$D$49*Assumption!$D$51*(1-Assumption!$D$50)/10^6</f>
        <v>962.92298430693359</v>
      </c>
      <c r="D5" s="130">
        <f>D4*Assumption!$D$49*Assumption!$D$51*(1-Assumption!$D$50)/10^6</f>
        <v>962.92298430693359</v>
      </c>
      <c r="E5" s="130">
        <f>E4*Assumption!$D$49*Assumption!$D$51*(1-Assumption!$D$50)/10^6</f>
        <v>962.92298430693359</v>
      </c>
      <c r="F5" s="130">
        <f>F4*Assumption!$D$49*Assumption!$D$51*(1-Assumption!$D$50)/10^6</f>
        <v>962.92298430693359</v>
      </c>
      <c r="G5" s="130">
        <f>G4*Assumption!$D$49*Assumption!$D$51*(1-Assumption!$D$50)/10^6</f>
        <v>962.92298430693359</v>
      </c>
      <c r="H5" s="130">
        <f>H4*Assumption!$D$49*Assumption!$D$51*(1-Assumption!$D$50)/10^6</f>
        <v>962.92298430693359</v>
      </c>
      <c r="I5" s="130">
        <f>I4*Assumption!$D$49*Assumption!$D$51*(1-Assumption!$D$50)/10^6</f>
        <v>962.92298430693359</v>
      </c>
      <c r="J5" s="130">
        <f>J4*Assumption!$D$49*Assumption!$D$51*(1-Assumption!$D$50)/10^6</f>
        <v>962.92298430693359</v>
      </c>
      <c r="K5" s="130">
        <f>K4*Assumption!$D$49*Assumption!$D$51*(1-Assumption!$D$50)/10^6</f>
        <v>962.92298430693359</v>
      </c>
      <c r="L5" s="131">
        <f>L4*Assumption!$D$49*Assumption!$D$51*(1-Assumption!$D$50)/10^6</f>
        <v>240.07120978611221</v>
      </c>
    </row>
  </sheetData>
  <pageMargins left="0.7" right="0.7" top="0.75" bottom="0.75" header="0.3" footer="0.3"/>
  <pageSetup orientation="portrait" horizontalDpi="0" verticalDpi="0" r:id="rId1"/>
</worksheet>
</file>

<file path=xl/worksheets/sheet7.xml><?xml version="1.0" encoding="utf-8"?>
<worksheet xmlns="http://schemas.openxmlformats.org/spreadsheetml/2006/main" xmlns:r="http://schemas.openxmlformats.org/officeDocument/2006/relationships">
  <sheetPr>
    <pageSetUpPr fitToPage="1"/>
  </sheetPr>
  <dimension ref="C2:I18"/>
  <sheetViews>
    <sheetView workbookViewId="0">
      <selection activeCell="F26" sqref="F26"/>
    </sheetView>
  </sheetViews>
  <sheetFormatPr defaultRowHeight="12.75"/>
  <cols>
    <col min="3" max="3" width="50" bestFit="1" customWidth="1"/>
    <col min="4" max="4" width="19.85546875" bestFit="1" customWidth="1"/>
    <col min="5" max="5" width="18.7109375" customWidth="1"/>
    <col min="6" max="6" width="26" customWidth="1"/>
    <col min="7" max="7" width="36.5703125" customWidth="1"/>
    <col min="8" max="8" width="22.28515625" bestFit="1" customWidth="1"/>
    <col min="9" max="9" width="21.5703125" bestFit="1" customWidth="1"/>
  </cols>
  <sheetData>
    <row r="2" spans="3:9" ht="15" thickBot="1">
      <c r="C2" s="291" t="s">
        <v>1</v>
      </c>
      <c r="D2" s="292" t="s">
        <v>129</v>
      </c>
      <c r="E2" s="293"/>
      <c r="F2" s="62"/>
      <c r="G2" s="291" t="s">
        <v>1</v>
      </c>
      <c r="H2" s="63" t="s">
        <v>130</v>
      </c>
    </row>
    <row r="3" spans="3:9" ht="15">
      <c r="C3" s="291"/>
      <c r="D3" s="51" t="s">
        <v>131</v>
      </c>
      <c r="E3" s="48" t="s">
        <v>132</v>
      </c>
      <c r="F3" s="51" t="s">
        <v>163</v>
      </c>
      <c r="G3" s="293"/>
      <c r="H3" s="48" t="s">
        <v>132</v>
      </c>
      <c r="I3" s="64" t="s">
        <v>163</v>
      </c>
    </row>
    <row r="4" spans="3:9" ht="15">
      <c r="C4" s="4" t="s">
        <v>133</v>
      </c>
      <c r="D4" s="4">
        <f>4.205</f>
        <v>4.2050000000000001</v>
      </c>
      <c r="E4" s="65">
        <f>D4/1.1</f>
        <v>3.8227272727272723</v>
      </c>
      <c r="F4" s="294" t="s">
        <v>164</v>
      </c>
      <c r="G4" s="66" t="s">
        <v>133</v>
      </c>
      <c r="H4" s="65">
        <v>4.9001999999999999</v>
      </c>
      <c r="I4" s="297" t="s">
        <v>165</v>
      </c>
    </row>
    <row r="5" spans="3:9" ht="15">
      <c r="C5" s="4" t="s">
        <v>134</v>
      </c>
      <c r="D5" s="4">
        <v>0.13500000000000001</v>
      </c>
      <c r="E5" s="65">
        <f>D5/1.11</f>
        <v>0.12162162162162161</v>
      </c>
      <c r="F5" s="295"/>
      <c r="G5" s="66" t="s">
        <v>134</v>
      </c>
      <c r="H5" s="65">
        <f>39.26/D18</f>
        <v>0.84104541559554413</v>
      </c>
      <c r="I5" s="298"/>
    </row>
    <row r="6" spans="3:9" ht="15">
      <c r="C6" s="4" t="s">
        <v>166</v>
      </c>
      <c r="D6" s="4">
        <f>(D4+D5)*2%</f>
        <v>8.6800000000000002E-2</v>
      </c>
      <c r="E6" s="65">
        <f>D6/1.1</f>
        <v>7.8909090909090901E-2</v>
      </c>
      <c r="F6" s="296"/>
      <c r="G6" s="66" t="s">
        <v>144</v>
      </c>
      <c r="H6" s="65">
        <f>(H4+H5)*15%</f>
        <v>0.86118681233933159</v>
      </c>
      <c r="I6" s="299"/>
    </row>
    <row r="7" spans="3:9" ht="15">
      <c r="C7" s="4" t="s">
        <v>22</v>
      </c>
      <c r="D7" s="67">
        <f>SUM(D4:D6)</f>
        <v>4.4268000000000001</v>
      </c>
      <c r="E7" s="68">
        <f>SUM(E4:E6)</f>
        <v>4.0232579852579846</v>
      </c>
      <c r="F7" s="69"/>
      <c r="G7" s="66" t="s">
        <v>22</v>
      </c>
      <c r="H7" s="68">
        <f>SUM(H4:H6)</f>
        <v>6.6024322279348757</v>
      </c>
      <c r="I7" s="70"/>
    </row>
    <row r="8" spans="3:9" ht="15" customHeight="1">
      <c r="C8" s="4" t="s">
        <v>135</v>
      </c>
      <c r="D8" s="4">
        <f>68.56/D18</f>
        <v>1.4687232219365896</v>
      </c>
      <c r="E8" s="65">
        <f>D8/1.1</f>
        <v>1.3352029290332632</v>
      </c>
      <c r="F8" s="4" t="s">
        <v>167</v>
      </c>
      <c r="G8" s="66" t="s">
        <v>136</v>
      </c>
      <c r="H8" s="65">
        <f>(21.91/1.1)/D18</f>
        <v>0.42669626859858223</v>
      </c>
      <c r="I8" s="71" t="s">
        <v>172</v>
      </c>
    </row>
    <row r="9" spans="3:9" ht="15">
      <c r="C9" s="4" t="s">
        <v>137</v>
      </c>
      <c r="D9" s="4">
        <f>21.91/D18</f>
        <v>0.46936589545844043</v>
      </c>
      <c r="E9" s="65">
        <f>D9/1.1</f>
        <v>0.42669626859858217</v>
      </c>
      <c r="F9" s="72" t="s">
        <v>172</v>
      </c>
      <c r="G9" s="66" t="s">
        <v>168</v>
      </c>
      <c r="H9" s="65">
        <f>H8*10.3%</f>
        <v>4.394971566565397E-2</v>
      </c>
      <c r="I9" s="70"/>
    </row>
    <row r="10" spans="3:9" ht="15">
      <c r="C10" s="4" t="s">
        <v>169</v>
      </c>
      <c r="D10" s="4">
        <f>(D8+D9)*10.3%</f>
        <v>0.19962317909168809</v>
      </c>
      <c r="E10" s="65">
        <f>(E8+E9)*10.3%</f>
        <v>0.18147561735608009</v>
      </c>
      <c r="F10" s="4"/>
      <c r="G10" s="66" t="s">
        <v>138</v>
      </c>
      <c r="H10" s="68">
        <f>SUM(H8:H9)</f>
        <v>0.47064598426423621</v>
      </c>
      <c r="I10" s="70"/>
    </row>
    <row r="11" spans="3:9" ht="15">
      <c r="C11" s="4" t="s">
        <v>138</v>
      </c>
      <c r="D11" s="69">
        <f>SUM(D8:D10)</f>
        <v>2.1377122964867179</v>
      </c>
      <c r="E11" s="68">
        <f>SUM(E8:E10)</f>
        <v>1.9433748149879255</v>
      </c>
      <c r="F11" s="69"/>
      <c r="G11" s="66" t="s">
        <v>139</v>
      </c>
      <c r="H11" s="68">
        <f>H7+H10</f>
        <v>7.0730782121991123</v>
      </c>
      <c r="I11" s="70"/>
    </row>
    <row r="12" spans="3:9" ht="15">
      <c r="C12" s="4" t="s">
        <v>140</v>
      </c>
      <c r="D12" s="69">
        <f>D7+D11</f>
        <v>6.5645122964867184</v>
      </c>
      <c r="E12" s="68">
        <f>E7+E11</f>
        <v>5.9666328002459101</v>
      </c>
      <c r="F12" s="69"/>
      <c r="G12" s="73"/>
      <c r="H12" s="74"/>
      <c r="I12" s="70"/>
    </row>
    <row r="13" spans="3:9" ht="15">
      <c r="C13" s="5" t="s">
        <v>141</v>
      </c>
      <c r="E13" s="65">
        <v>0.5</v>
      </c>
      <c r="F13" s="4"/>
      <c r="G13" s="75" t="s">
        <v>141</v>
      </c>
      <c r="H13" s="65">
        <v>0.5</v>
      </c>
      <c r="I13" s="70"/>
    </row>
    <row r="14" spans="3:9" ht="15.75" thickBot="1">
      <c r="C14" s="10" t="s">
        <v>142</v>
      </c>
      <c r="D14" s="10"/>
      <c r="E14" s="76">
        <f>E13*E12</f>
        <v>2.9833164001229551</v>
      </c>
      <c r="F14" s="77"/>
      <c r="G14" s="73"/>
      <c r="H14" s="78">
        <f>H13*H11</f>
        <v>3.5365391060995561</v>
      </c>
      <c r="I14" s="79"/>
    </row>
    <row r="15" spans="3:9" ht="15">
      <c r="C15" s="10" t="s">
        <v>143</v>
      </c>
      <c r="D15" s="80">
        <f>E14+H14</f>
        <v>6.5198555062225108</v>
      </c>
      <c r="E15" s="81"/>
      <c r="F15" s="82"/>
      <c r="G15" s="81"/>
      <c r="H15" s="83"/>
    </row>
    <row r="17" spans="3:5" ht="13.5" thickBot="1"/>
    <row r="18" spans="3:5" ht="15.75" thickBot="1">
      <c r="C18" s="84" t="s">
        <v>170</v>
      </c>
      <c r="D18" s="85">
        <f>Assumption!$D$40</f>
        <v>46.68</v>
      </c>
      <c r="E18" t="s">
        <v>171</v>
      </c>
    </row>
  </sheetData>
  <mergeCells count="5">
    <mergeCell ref="C2:C3"/>
    <mergeCell ref="D2:E2"/>
    <mergeCell ref="G2:G3"/>
    <mergeCell ref="F4:F6"/>
    <mergeCell ref="I4:I6"/>
  </mergeCells>
  <pageMargins left="0.7" right="0.7" top="0.75" bottom="0.75" header="0.3" footer="0.3"/>
  <pageSetup paperSize="9" scale="52"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Assumption</vt:lpstr>
      <vt:lpstr>Sensitivity Analysis</vt:lpstr>
      <vt:lpstr>Sheet1</vt:lpstr>
      <vt:lpstr>Fuel Pricing</vt:lpstr>
      <vt:lpstr>Workings</vt:lpstr>
      <vt:lpstr>CER Revenu Flow</vt:lpstr>
      <vt:lpstr>Fuel Pricing_Gas</vt:lpstr>
      <vt:lpstr>Assumption!Print_Area</vt:lpstr>
      <vt:lpstr>Workings!Print_Area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220265</cp:lastModifiedBy>
  <cp:lastPrinted>2012-01-23T09:12:40Z</cp:lastPrinted>
  <dcterms:created xsi:type="dcterms:W3CDTF">1996-10-14T23:33:28Z</dcterms:created>
  <dcterms:modified xsi:type="dcterms:W3CDTF">2012-12-29T05:21:49Z</dcterms:modified>
</cp:coreProperties>
</file>