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8475" windowHeight="6660" tabRatio="948" firstSheet="1" activeTab="3"/>
  </bookViews>
  <sheets>
    <sheet name="combined, most likely senario " sheetId="1" r:id="rId1"/>
    <sheet name="project emissions" sheetId="2" r:id="rId2"/>
    <sheet name="leakages" sheetId="3" r:id="rId3"/>
    <sheet name="Section 5 - EFbl,upstream,ch4" sheetId="25" r:id="rId4"/>
    <sheet name="Sample BM plants" sheetId="30" r:id="rId5"/>
    <sheet name="emission reduction calculation" sheetId="7" r:id="rId6"/>
    <sheet name="A.4.4" sheetId="8" r:id="rId7"/>
    <sheet name="Sheet5" sheetId="13" state="hidden" r:id="rId8"/>
    <sheet name="ER summary" sheetId="14" r:id="rId9"/>
    <sheet name="Low cost %" sheetId="15" r:id="rId10"/>
  </sheets>
  <externalReferences>
    <externalReference r:id="rId11"/>
    <externalReference r:id="rId12"/>
    <externalReference r:id="rId13"/>
  </externalReferences>
  <definedNames>
    <definedName name="_xlnm._FilterDatabase" localSheetId="4" hidden="1">'Sample BM plants'!$A$1:$Q$1</definedName>
    <definedName name="Aux_Coal">#REF!</definedName>
    <definedName name="Aux_CoalR1">#REF!</definedName>
    <definedName name="Aux_CoalR2">#REF!</definedName>
    <definedName name="Aux_CoalR3" localSheetId="3">#REF!</definedName>
    <definedName name="Aux_CoalR3">[1]Assumptions!$F$30</definedName>
    <definedName name="Aux_CoalR4" localSheetId="3">#REF!</definedName>
    <definedName name="Aux_CoalR4">[1]Assumptions!$H$30</definedName>
    <definedName name="Aux_CoalR5" localSheetId="3">'[2]Assumptions_CEA Data'!#REF!</definedName>
    <definedName name="Aux_CoalR5">#REF!</definedName>
    <definedName name="Aux_Diesel" localSheetId="3">#REF!</definedName>
    <definedName name="Aux_Diesel">[3]Assumptions!$I$17</definedName>
    <definedName name="Aux_DieselOC">#REF!</definedName>
    <definedName name="Aux_Gas" localSheetId="3">#REF!</definedName>
    <definedName name="Aux_Gas">[3]Assumptions!$F$17</definedName>
    <definedName name="Aux_GasOC" localSheetId="3">#REF!</definedName>
    <definedName name="Aux_GasOC">[3]Assumptions!$G$17</definedName>
    <definedName name="Aux_Hydro" localSheetId="3">#REF!</definedName>
    <definedName name="Aux_Hydro">[3]Assumptions!$L$17</definedName>
    <definedName name="Aux_Lign" localSheetId="3">#REF!</definedName>
    <definedName name="Aux_Lign">[3]Assumptions!$E$17</definedName>
    <definedName name="Aux_LignR1">#REF!</definedName>
    <definedName name="Aux_LignR2">#REF!</definedName>
    <definedName name="Aux_LignR3">#REF!</definedName>
    <definedName name="Aux_Napt" localSheetId="3">#REF!</definedName>
    <definedName name="Aux_Napt">[3]Assumptions!$K$17</definedName>
    <definedName name="Aux_Nuclear" localSheetId="3">#REF!</definedName>
    <definedName name="Aux_Nuclear">[3]Assumptions!$M$17</definedName>
    <definedName name="Aux_Oil" localSheetId="3">#REF!</definedName>
    <definedName name="Aux_Oil">[3]Assumptions!$H$17</definedName>
    <definedName name="Bottom_ash" localSheetId="3">'[2]Assumptions_CEA Data'!#REF!</definedName>
    <definedName name="Bottom_ash">#REF!</definedName>
    <definedName name="Density_Diesel">#REF!</definedName>
    <definedName name="Density_DieselOC">#REF!</definedName>
    <definedName name="Density_Naphta">#REF!</definedName>
    <definedName name="Density_Oil" localSheetId="3">#REF!</definedName>
    <definedName name="Density_Oil">[1]Assumptions!$H$22</definedName>
    <definedName name="Fly_ash" localSheetId="3">'[2]Assumptions_CEA Data'!#REF!</definedName>
    <definedName name="Fly_ash">#REF!</definedName>
    <definedName name="GCV_Coal" localSheetId="3">'[2]Assumptions_CEA Data'!$D$21</definedName>
    <definedName name="GCV_Coal">[1]Assumptions!$D$21</definedName>
    <definedName name="GCV_Diesel" localSheetId="3">#REF!</definedName>
    <definedName name="GCV_Diesel">[3]Assumptions!$I$21</definedName>
    <definedName name="GCV_DieselOC">#REF!</definedName>
    <definedName name="GCV_Gas" localSheetId="3">#REF!</definedName>
    <definedName name="GCV_Gas">[3]Assumptions!$F$21</definedName>
    <definedName name="GCV_Naphta" localSheetId="3">#REF!</definedName>
    <definedName name="GCV_Naphta">[3]Assumptions!$K$21</definedName>
    <definedName name="GCV_Oil" localSheetId="3">#REF!</definedName>
    <definedName name="GCV_Oil">[3]Assumptions!$H$21</definedName>
    <definedName name="I22Density_Naphta">#REF!</definedName>
    <definedName name="kJ_kcal" localSheetId="3">#REF!</definedName>
    <definedName name="kJ_kcal">[3]Assumptions!$D$66</definedName>
    <definedName name="MJ_kWh">#REF!</definedName>
    <definedName name="OpHours_Hydro" localSheetId="3">'[2]Assumptions_CEA Data'!#REF!</definedName>
    <definedName name="OpHours_Hydro">#REF!</definedName>
    <definedName name="PLF_Gas" localSheetId="3">'[2]Assumptions_CEA Data'!#REF!</definedName>
    <definedName name="PLF_Gas">#REF!</definedName>
    <definedName name="_xlnm.Print_Area" localSheetId="6">A.4.4!$A$1:$B$19</definedName>
    <definedName name="_xlnm.Print_Area" localSheetId="0">'combined, most likely senario '!$A$1:$C$34,'combined, most likely senario '!#REF!</definedName>
    <definedName name="_xlnm.Print_Area" localSheetId="5">'emission reduction calculation'!$A$1:$C$25</definedName>
    <definedName name="_xlnm.Print_Area" localSheetId="8">'ER summary'!$A$1:$E$18</definedName>
    <definedName name="_xlnm.Print_Area" localSheetId="2">leakages!$A$1:$C$116</definedName>
    <definedName name="_xlnm.Print_Area" localSheetId="9">'Low cost %'!$A$1:$F$9</definedName>
    <definedName name="_xlnm.Print_Area" localSheetId="1">'project emissions'!$A$1:$C$58</definedName>
    <definedName name="_xlnm.Print_Area" localSheetId="3">'Section 5 - EFbl,upstream,ch4'!$A$1:$M$41</definedName>
    <definedName name="SpecCons_OillF2">#REF!</definedName>
    <definedName name="SpecCons_OillF2_Lign">#REF!</definedName>
    <definedName name="SpecEm_Coal">#REF!</definedName>
    <definedName name="SpecEm_CoalR1">#REF!</definedName>
    <definedName name="SpecEm_CoalR2" localSheetId="3">#REF!</definedName>
    <definedName name="SpecEm_CoalR2">[1]Assumptions!$E$34</definedName>
    <definedName name="SpecEm_CoalR3" localSheetId="3">#REF!</definedName>
    <definedName name="SpecEm_CoalR3">[1]Assumptions!$F$34</definedName>
    <definedName name="SpecEm_CoalR4" localSheetId="3">#REF!</definedName>
    <definedName name="SpecEm_CoalR4">[3]Assumptions!$H$34</definedName>
    <definedName name="SpecEm_CoalR5" localSheetId="3">'[2]Assumptions_CEA Data'!#REF!</definedName>
    <definedName name="SpecEm_CoalR5">[3]Assumptions!$G$34</definedName>
    <definedName name="SpecEm_Diesel" localSheetId="3">#REF!</definedName>
    <definedName name="SpecEm_Diesel">[3]Assumptions!$I$23</definedName>
    <definedName name="SpecEm_DieselOC" localSheetId="3">#REF!</definedName>
    <definedName name="SpecEm_DieselOC">[3]Assumptions!$J$23</definedName>
    <definedName name="SpecEm_DieselR1">#REF!</definedName>
    <definedName name="SpecEm_DieselR2">#REF!</definedName>
    <definedName name="SpecEm_DieselR3" localSheetId="3">#REF!</definedName>
    <definedName name="SpecEm_DieselR3">[3]Assumptions!$F$52</definedName>
    <definedName name="SpecEm_DieselR4" localSheetId="3">#REF!</definedName>
    <definedName name="SpecEm_DieselR4">[3]Assumptions!$G$52</definedName>
    <definedName name="SpecEm_Gas" localSheetId="3">#REF!</definedName>
    <definedName name="SpecEm_Gas">[3]Assumptions!$F$23</definedName>
    <definedName name="SpecEm_GasOC" localSheetId="3">#REF!</definedName>
    <definedName name="SpecEm_GasOC">[3]Assumptions!$G$23</definedName>
    <definedName name="SpecEm_GasR1" localSheetId="3">#REF!</definedName>
    <definedName name="SpecEm_GasR1">[3]Assumptions!$D$47</definedName>
    <definedName name="SpecEm_GasR2" localSheetId="3">#REF!</definedName>
    <definedName name="SpecEm_GasR2">[3]Assumptions!$E$47</definedName>
    <definedName name="SpecEm_GasR3" localSheetId="3">#REF!</definedName>
    <definedName name="SpecEm_GasR3">[3]Assumptions!$F$47</definedName>
    <definedName name="SpecEm_GasR4">#REF!</definedName>
    <definedName name="SpecEm_Lignite" localSheetId="3">#REF!</definedName>
    <definedName name="SpecEm_Lignite">[3]Assumptions!$E$23</definedName>
    <definedName name="SpecEm_LignR1">#REF!</definedName>
    <definedName name="SpecEm_LignR2">#REF!</definedName>
    <definedName name="SpecEm_LignR3">#REF!</definedName>
    <definedName name="SpecEm_Naphta" localSheetId="3">#REF!</definedName>
    <definedName name="SpecEm_Naphta">[3]Assumptions!$D$58</definedName>
    <definedName name="SpecEm_Oil" localSheetId="3">#REF!</definedName>
    <definedName name="SpecEm_Oil">[3]Assumptions!$H$23</definedName>
    <definedName name="Weight_BM">#REF!</definedName>
    <definedName name="Weight_OM">#REF!</definedName>
    <definedName name="Z_1D975FE4_3492_48C8_AB90_CC87D7FD201F_.wvu.PrintArea" localSheetId="0" hidden="1">'combined, most likely senario '!$A$1:$C$34</definedName>
    <definedName name="Z_1D975FE4_3492_48C8_AB90_CC87D7FD201F_.wvu.PrintArea" localSheetId="5" hidden="1">'emission reduction calculation'!$A$1:$C$29</definedName>
    <definedName name="Z_1D975FE4_3492_48C8_AB90_CC87D7FD201F_.wvu.PrintArea" localSheetId="2" hidden="1">leakages!$A$1:$C$116</definedName>
    <definedName name="Z_1D975FE4_3492_48C8_AB90_CC87D7FD201F_.wvu.PrintArea" localSheetId="1" hidden="1">'project emissions'!$A$1:$D$58</definedName>
  </definedNames>
  <calcPr calcId="125725"/>
  <customWorkbookViews>
    <customWorkbookView name="pravin - Personal View" guid="{1D975FE4-3492-48C8-AB90-CC87D7FD201F}" mergeInterval="0" personalView="1" maximized="1" xWindow="1" yWindow="1" windowWidth="1202" windowHeight="576" activeSheetId="2"/>
  </customWorkbookViews>
</workbook>
</file>

<file path=xl/calcChain.xml><?xml version="1.0" encoding="utf-8"?>
<calcChain xmlns="http://schemas.openxmlformats.org/spreadsheetml/2006/main">
  <c r="C38" i="25"/>
  <c r="B38"/>
  <c r="C26"/>
  <c r="B26"/>
  <c r="C28"/>
  <c r="C30" s="1"/>
  <c r="C31" s="1"/>
  <c r="C33" s="1"/>
  <c r="C37" s="1"/>
  <c r="B28"/>
  <c r="B30" s="1"/>
  <c r="B31" s="1"/>
  <c r="B33" s="1"/>
  <c r="B37" s="1"/>
  <c r="C39" l="1"/>
  <c r="E5" s="1"/>
  <c r="B39"/>
  <c r="B5" s="1"/>
  <c r="B14" i="1" l="1"/>
  <c r="B15" i="14"/>
  <c r="B14"/>
  <c r="B13"/>
  <c r="B12"/>
  <c r="B11"/>
  <c r="B10"/>
  <c r="B9"/>
  <c r="B8"/>
  <c r="B16"/>
  <c r="B7"/>
  <c r="B6"/>
  <c r="B17" i="2"/>
  <c r="B32"/>
  <c r="B15" i="25"/>
  <c r="N151" i="30"/>
  <c r="M151"/>
  <c r="N149"/>
  <c r="M149"/>
  <c r="N107"/>
  <c r="M107"/>
  <c r="N100"/>
  <c r="K5" i="25" s="1"/>
  <c r="K10" s="1"/>
  <c r="K13" s="1"/>
  <c r="M100" i="30"/>
  <c r="K4" i="25" s="1"/>
  <c r="N92" i="30"/>
  <c r="E10" i="25" s="1"/>
  <c r="M92" i="30"/>
  <c r="E4" i="25" s="1"/>
  <c r="N79" i="30"/>
  <c r="H5" i="25" s="1"/>
  <c r="H10" s="1"/>
  <c r="H13" s="1"/>
  <c r="M79" i="30"/>
  <c r="H4" i="25" s="1"/>
  <c r="N64" i="30"/>
  <c r="B10" i="25" s="1"/>
  <c r="M64" i="30"/>
  <c r="B4" i="25" s="1"/>
  <c r="B54" i="2"/>
  <c r="E7" i="25"/>
  <c r="E11" l="1"/>
  <c r="E13" s="1"/>
  <c r="B52" i="2" l="1"/>
  <c r="C42" l="1"/>
  <c r="C43"/>
  <c r="B100" i="3" s="1"/>
  <c r="B104" s="1"/>
  <c r="A16" i="14"/>
  <c r="A7" i="8"/>
  <c r="A8" s="1"/>
  <c r="A9" s="1"/>
  <c r="A10" s="1"/>
  <c r="A11" s="1"/>
  <c r="A12" s="1"/>
  <c r="A13" s="1"/>
  <c r="A14" s="1"/>
  <c r="A15" i="14" s="1"/>
  <c r="B101" i="3" l="1"/>
  <c r="B41" i="13"/>
  <c r="B5"/>
  <c r="A14" i="14" l="1"/>
  <c r="A13"/>
  <c r="A12"/>
  <c r="A11"/>
  <c r="A10"/>
  <c r="A9"/>
  <c r="A8"/>
  <c r="A7"/>
  <c r="A6"/>
  <c r="B6" i="15" l="1"/>
  <c r="B14" i="13" l="1"/>
  <c r="C44" i="2" l="1"/>
  <c r="B33" s="1"/>
  <c r="B50" l="1"/>
  <c r="B51" s="1"/>
  <c r="B73" i="3"/>
  <c r="B75" s="1"/>
  <c r="B22" s="1"/>
  <c r="B18" i="2"/>
  <c r="B24" i="1"/>
  <c r="B85" i="3"/>
  <c r="B88" s="1"/>
  <c r="B24" s="1"/>
  <c r="B28" i="1" l="1"/>
  <c r="B6" i="25"/>
  <c r="B7" s="1"/>
  <c r="B11" s="1"/>
  <c r="B13" s="1"/>
  <c r="B14" s="1"/>
  <c r="B16" s="1"/>
  <c r="B29" i="3" s="1"/>
  <c r="B27" i="1"/>
  <c r="B20" i="2"/>
  <c r="B21" s="1"/>
  <c r="B23" i="13"/>
  <c r="B34" i="2" l="1"/>
  <c r="B35" s="1"/>
  <c r="B98" i="3"/>
  <c r="B99" s="1"/>
  <c r="B102" s="1"/>
  <c r="B18" i="7"/>
  <c r="B92" i="3"/>
  <c r="B94" s="1"/>
  <c r="B26" s="1"/>
  <c r="B22" i="2"/>
  <c r="B4"/>
  <c r="B6"/>
  <c r="B50" i="13"/>
  <c r="B29" i="1"/>
  <c r="B5" i="2"/>
  <c r="B66" i="3"/>
  <c r="B69" s="1"/>
  <c r="B20" s="1"/>
  <c r="B7" i="2" l="1"/>
  <c r="B106" i="3"/>
  <c r="B108" s="1"/>
  <c r="B13" i="1"/>
  <c r="B7" i="7" l="1"/>
  <c r="B16" i="1"/>
  <c r="B5" l="1"/>
  <c r="B6" s="1"/>
  <c r="B19" i="7" s="1"/>
  <c r="B49" i="3"/>
  <c r="B20" i="7" l="1"/>
  <c r="B17" i="14"/>
  <c r="B57" i="3"/>
  <c r="B33"/>
  <c r="B4" s="1"/>
  <c r="B6" i="7" l="1"/>
  <c r="B6" i="3"/>
  <c r="C15" i="14" l="1"/>
  <c r="C13"/>
  <c r="C11"/>
  <c r="C9"/>
  <c r="C16"/>
  <c r="C6"/>
  <c r="C10"/>
  <c r="C14"/>
  <c r="C12"/>
  <c r="C8"/>
  <c r="C7"/>
  <c r="C17"/>
  <c r="B8" i="3"/>
  <c r="B8" i="7" l="1"/>
  <c r="D15" i="14" l="1"/>
  <c r="D13"/>
  <c r="D11"/>
  <c r="D10"/>
  <c r="D9"/>
  <c r="D8"/>
  <c r="D16"/>
  <c r="E16" s="1"/>
  <c r="D7"/>
  <c r="D6"/>
  <c r="D14"/>
  <c r="E14" s="1"/>
  <c r="D12"/>
  <c r="E12"/>
  <c r="E10"/>
  <c r="E8"/>
  <c r="E15"/>
  <c r="E13"/>
  <c r="E11"/>
  <c r="E9"/>
  <c r="E7"/>
  <c r="B9" i="7"/>
  <c r="B15" i="8" l="1"/>
  <c r="B11"/>
  <c r="B7"/>
  <c r="B10"/>
  <c r="B6"/>
  <c r="B5"/>
  <c r="B14"/>
  <c r="B13"/>
  <c r="B9"/>
  <c r="B12"/>
  <c r="B8"/>
  <c r="D17" i="14"/>
  <c r="E6"/>
  <c r="E17" s="1"/>
  <c r="B17" i="8" l="1"/>
  <c r="B19" s="1"/>
</calcChain>
</file>

<file path=xl/sharedStrings.xml><?xml version="1.0" encoding="utf-8"?>
<sst xmlns="http://schemas.openxmlformats.org/spreadsheetml/2006/main" count="1519" uniqueCount="476">
  <si>
    <r>
      <t xml:space="preserve">Baseline Scenario ( EF </t>
    </r>
    <r>
      <rPr>
        <b/>
        <u/>
        <vertAlign val="subscript"/>
        <sz val="11"/>
        <rFont val="Times New Roman"/>
        <family val="1"/>
      </rPr>
      <t>BL,CO2</t>
    </r>
    <r>
      <rPr>
        <b/>
        <u/>
        <sz val="11"/>
        <rFont val="Times New Roman"/>
        <family val="1"/>
      </rPr>
      <t>)</t>
    </r>
  </si>
  <si>
    <r>
      <t>t CO</t>
    </r>
    <r>
      <rPr>
        <vertAlign val="subscript"/>
        <sz val="11"/>
        <rFont val="Times New Roman"/>
        <family val="1"/>
      </rPr>
      <t>2</t>
    </r>
    <r>
      <rPr>
        <sz val="11"/>
        <rFont val="Times New Roman"/>
        <family val="1"/>
      </rPr>
      <t>e/ GJ</t>
    </r>
  </si>
  <si>
    <r>
      <t xml:space="preserve">as the most likelyBaseline Scenario ( EF </t>
    </r>
    <r>
      <rPr>
        <b/>
        <vertAlign val="subscript"/>
        <sz val="11"/>
        <rFont val="Times New Roman"/>
        <family val="1"/>
      </rPr>
      <t>BL,CO2</t>
    </r>
    <r>
      <rPr>
        <b/>
        <sz val="11"/>
        <rFont val="Times New Roman"/>
        <family val="1"/>
      </rPr>
      <t>)</t>
    </r>
  </si>
  <si>
    <r>
      <t>t CO</t>
    </r>
    <r>
      <rPr>
        <b/>
        <vertAlign val="subscript"/>
        <sz val="11"/>
        <rFont val="Times New Roman"/>
        <family val="1"/>
      </rPr>
      <t>2</t>
    </r>
    <r>
      <rPr>
        <b/>
        <sz val="11"/>
        <rFont val="Times New Roman"/>
        <family val="1"/>
      </rPr>
      <t>/ GWh</t>
    </r>
  </si>
  <si>
    <r>
      <t>Working note-1: Calculation of CO</t>
    </r>
    <r>
      <rPr>
        <b/>
        <vertAlign val="subscript"/>
        <sz val="11"/>
        <rFont val="Times New Roman"/>
        <family val="1"/>
      </rPr>
      <t>2</t>
    </r>
    <r>
      <rPr>
        <b/>
        <sz val="11"/>
        <rFont val="Times New Roman"/>
        <family val="1"/>
      </rPr>
      <t xml:space="preserve"> Emission Co-efficient ( COEF </t>
    </r>
    <r>
      <rPr>
        <b/>
        <vertAlign val="subscript"/>
        <sz val="11"/>
        <rFont val="Times New Roman"/>
        <family val="1"/>
      </rPr>
      <t>BL</t>
    </r>
    <r>
      <rPr>
        <b/>
        <sz val="11"/>
        <rFont val="Times New Roman"/>
        <family val="1"/>
      </rPr>
      <t>)</t>
    </r>
  </si>
  <si>
    <r>
      <t>t CO</t>
    </r>
    <r>
      <rPr>
        <vertAlign val="subscript"/>
        <sz val="11"/>
        <rFont val="Times New Roman"/>
        <family val="1"/>
      </rPr>
      <t>2</t>
    </r>
    <r>
      <rPr>
        <sz val="11"/>
        <rFont val="Times New Roman"/>
        <family val="1"/>
      </rPr>
      <t>e/ tonne</t>
    </r>
  </si>
  <si>
    <r>
      <t>CO</t>
    </r>
    <r>
      <rPr>
        <b/>
        <vertAlign val="subscript"/>
        <sz val="11"/>
        <rFont val="Times New Roman"/>
        <family val="1"/>
      </rPr>
      <t>2</t>
    </r>
    <r>
      <rPr>
        <b/>
        <sz val="11"/>
        <rFont val="Times New Roman"/>
        <family val="1"/>
      </rPr>
      <t xml:space="preserve"> Emission Co-efficient (COEF </t>
    </r>
    <r>
      <rPr>
        <b/>
        <vertAlign val="subscript"/>
        <sz val="11"/>
        <rFont val="Times New Roman"/>
        <family val="1"/>
      </rPr>
      <t>BL</t>
    </r>
    <r>
      <rPr>
        <b/>
        <sz val="11"/>
        <rFont val="Times New Roman"/>
        <family val="1"/>
      </rPr>
      <t>)</t>
    </r>
  </si>
  <si>
    <r>
      <t>t CO</t>
    </r>
    <r>
      <rPr>
        <b/>
        <vertAlign val="subscript"/>
        <sz val="11"/>
        <rFont val="Times New Roman"/>
        <family val="1"/>
      </rPr>
      <t>2</t>
    </r>
    <r>
      <rPr>
        <b/>
        <sz val="11"/>
        <rFont val="Times New Roman"/>
        <family val="1"/>
      </rPr>
      <t>e/ GJ</t>
    </r>
  </si>
  <si>
    <r>
      <t>t CO</t>
    </r>
    <r>
      <rPr>
        <vertAlign val="subscript"/>
        <sz val="11"/>
        <rFont val="Times New Roman"/>
        <family val="1"/>
      </rPr>
      <t>2</t>
    </r>
    <r>
      <rPr>
        <sz val="11"/>
        <rFont val="Times New Roman"/>
        <family val="1"/>
      </rPr>
      <t>/ GWh</t>
    </r>
  </si>
  <si>
    <r>
      <t>t CH</t>
    </r>
    <r>
      <rPr>
        <b/>
        <vertAlign val="subscript"/>
        <sz val="11"/>
        <rFont val="Times New Roman"/>
        <family val="1"/>
      </rPr>
      <t>4</t>
    </r>
    <r>
      <rPr>
        <b/>
        <sz val="11"/>
        <rFont val="Times New Roman"/>
        <family val="1"/>
      </rPr>
      <t>/ GJ</t>
    </r>
  </si>
  <si>
    <r>
      <t>t CH</t>
    </r>
    <r>
      <rPr>
        <vertAlign val="subscript"/>
        <sz val="11"/>
        <rFont val="Times New Roman"/>
        <family val="1"/>
      </rPr>
      <t>4</t>
    </r>
    <r>
      <rPr>
        <sz val="11"/>
        <rFont val="Times New Roman"/>
        <family val="1"/>
      </rPr>
      <t>/ PJ</t>
    </r>
  </si>
  <si>
    <r>
      <t>Emission factor for fugitive methane emissions due to</t>
    </r>
    <r>
      <rPr>
        <b/>
        <sz val="11"/>
        <rFont val="Times New Roman"/>
        <family val="1"/>
      </rPr>
      <t xml:space="preserve"> Gas Processing, transport</t>
    </r>
  </si>
  <si>
    <r>
      <t xml:space="preserve">Calculation of Leakages ( LE </t>
    </r>
    <r>
      <rPr>
        <b/>
        <u/>
        <vertAlign val="subscript"/>
        <sz val="11"/>
        <rFont val="Times New Roman"/>
        <family val="1"/>
      </rPr>
      <t>y</t>
    </r>
    <r>
      <rPr>
        <b/>
        <u/>
        <sz val="11"/>
        <rFont val="Times New Roman"/>
        <family val="1"/>
      </rPr>
      <t>)</t>
    </r>
  </si>
  <si>
    <r>
      <t>Leakage Emissions due to fugitive upstream CH</t>
    </r>
    <r>
      <rPr>
        <vertAlign val="subscript"/>
        <sz val="11"/>
        <rFont val="Times New Roman"/>
        <family val="1"/>
      </rPr>
      <t>4</t>
    </r>
    <r>
      <rPr>
        <sz val="11"/>
        <rFont val="Times New Roman"/>
        <family val="1"/>
      </rPr>
      <t xml:space="preserve"> emissions ( LE  </t>
    </r>
    <r>
      <rPr>
        <vertAlign val="subscript"/>
        <sz val="11"/>
        <rFont val="Times New Roman"/>
        <family val="1"/>
      </rPr>
      <t xml:space="preserve"> CH4,y</t>
    </r>
    <r>
      <rPr>
        <sz val="11"/>
        <rFont val="Times New Roman"/>
        <family val="1"/>
      </rPr>
      <t xml:space="preserve"> ) (note-1)</t>
    </r>
  </si>
  <si>
    <r>
      <t>t CO</t>
    </r>
    <r>
      <rPr>
        <vertAlign val="subscript"/>
        <sz val="11"/>
        <rFont val="Times New Roman"/>
        <family val="1"/>
      </rPr>
      <t>2</t>
    </r>
    <r>
      <rPr>
        <sz val="11"/>
        <rFont val="Times New Roman"/>
        <family val="1"/>
      </rPr>
      <t xml:space="preserve"> e</t>
    </r>
  </si>
  <si>
    <r>
      <t xml:space="preserve">Leakage Emissions due to fossil fuel combustion/ electricity consumption associated with the  liquefaction, transportation, re-gasification and compression of LNG into a natural gas transmission or distribution System ( LE </t>
    </r>
    <r>
      <rPr>
        <vertAlign val="subscript"/>
        <sz val="11"/>
        <rFont val="Times New Roman"/>
        <family val="1"/>
      </rPr>
      <t>LNG, CO2, y</t>
    </r>
    <r>
      <rPr>
        <sz val="11"/>
        <rFont val="Times New Roman"/>
        <family val="1"/>
      </rPr>
      <t xml:space="preserve"> ) (note-2)</t>
    </r>
  </si>
  <si>
    <r>
      <t>t CO</t>
    </r>
    <r>
      <rPr>
        <b/>
        <vertAlign val="subscript"/>
        <sz val="11"/>
        <rFont val="Times New Roman"/>
        <family val="1"/>
      </rPr>
      <t>2</t>
    </r>
    <r>
      <rPr>
        <b/>
        <sz val="11"/>
        <rFont val="Times New Roman"/>
        <family val="1"/>
      </rPr>
      <t xml:space="preserve"> e</t>
    </r>
  </si>
  <si>
    <r>
      <t>note 1) Refer to table 1-1 "Leakage Emissions due to fugitive upstream CH</t>
    </r>
    <r>
      <rPr>
        <vertAlign val="subscript"/>
        <sz val="11"/>
        <rFont val="Times New Roman"/>
        <family val="1"/>
      </rPr>
      <t>4</t>
    </r>
    <r>
      <rPr>
        <sz val="11"/>
        <rFont val="Times New Roman"/>
        <family val="1"/>
      </rPr>
      <t xml:space="preserve"> emissions ( LE    </t>
    </r>
    <r>
      <rPr>
        <vertAlign val="subscript"/>
        <sz val="11"/>
        <rFont val="Times New Roman"/>
        <family val="1"/>
      </rPr>
      <t>CH4,y</t>
    </r>
    <r>
      <rPr>
        <sz val="11"/>
        <rFont val="Times New Roman"/>
        <family val="1"/>
      </rPr>
      <t xml:space="preserve"> )"</t>
    </r>
  </si>
  <si>
    <r>
      <t xml:space="preserve">transmission or distribution system ( LE   </t>
    </r>
    <r>
      <rPr>
        <vertAlign val="subscript"/>
        <sz val="11"/>
        <rFont val="Times New Roman"/>
        <family val="1"/>
      </rPr>
      <t>LNG, CO2, y</t>
    </r>
    <r>
      <rPr>
        <sz val="11"/>
        <rFont val="Times New Roman"/>
        <family val="1"/>
      </rPr>
      <t xml:space="preserve"> )"</t>
    </r>
  </si>
  <si>
    <r>
      <t>Table 1-1 Leakage Emissions due to fugitive upstream CH</t>
    </r>
    <r>
      <rPr>
        <b/>
        <vertAlign val="subscript"/>
        <sz val="11"/>
        <rFont val="Times New Roman"/>
        <family val="1"/>
      </rPr>
      <t>4</t>
    </r>
    <r>
      <rPr>
        <b/>
        <sz val="11"/>
        <rFont val="Times New Roman"/>
        <family val="1"/>
      </rPr>
      <t xml:space="preserve"> emissions ( LE</t>
    </r>
    <r>
      <rPr>
        <b/>
        <vertAlign val="subscript"/>
        <sz val="11"/>
        <rFont val="Times New Roman"/>
        <family val="1"/>
      </rPr>
      <t xml:space="preserve">    CH4,y</t>
    </r>
    <r>
      <rPr>
        <b/>
        <sz val="11"/>
        <rFont val="Times New Roman"/>
        <family val="1"/>
      </rPr>
      <t xml:space="preserve"> )</t>
    </r>
  </si>
  <si>
    <r>
      <t xml:space="preserve">Quantity of natural gas combusted in project plant ( FC  </t>
    </r>
    <r>
      <rPr>
        <vertAlign val="subscript"/>
        <sz val="11"/>
        <rFont val="Times New Roman"/>
        <family val="1"/>
      </rPr>
      <t xml:space="preserve">y  </t>
    </r>
    <r>
      <rPr>
        <sz val="11"/>
        <rFont val="Times New Roman"/>
        <family val="1"/>
      </rPr>
      <t>) (note-3)</t>
    </r>
  </si>
  <si>
    <r>
      <t>M</t>
    </r>
    <r>
      <rPr>
        <vertAlign val="superscript"/>
        <sz val="11"/>
        <rFont val="Times New Roman"/>
        <family val="1"/>
      </rPr>
      <t xml:space="preserve"> 3</t>
    </r>
  </si>
  <si>
    <r>
      <t>GJ/ M</t>
    </r>
    <r>
      <rPr>
        <vertAlign val="superscript"/>
        <sz val="11"/>
        <rFont val="Times New Roman"/>
        <family val="1"/>
      </rPr>
      <t>3</t>
    </r>
  </si>
  <si>
    <r>
      <t xml:space="preserve">Emission factor for upstream fugitive methane emissions of natural gas( EF </t>
    </r>
    <r>
      <rPr>
        <vertAlign val="subscript"/>
        <sz val="11"/>
        <rFont val="Times New Roman"/>
        <family val="1"/>
      </rPr>
      <t>NG, upstream, CH4</t>
    </r>
    <r>
      <rPr>
        <sz val="11"/>
        <rFont val="Times New Roman"/>
        <family val="1"/>
      </rPr>
      <t>) (note-5)</t>
    </r>
  </si>
  <si>
    <r>
      <t>t CH</t>
    </r>
    <r>
      <rPr>
        <vertAlign val="subscript"/>
        <sz val="11"/>
        <rFont val="Times New Roman"/>
        <family val="1"/>
      </rPr>
      <t>4</t>
    </r>
    <r>
      <rPr>
        <sz val="11"/>
        <rFont val="Times New Roman"/>
        <family val="1"/>
      </rPr>
      <t>/ GJ</t>
    </r>
  </si>
  <si>
    <r>
      <t xml:space="preserve">Electricity generation in project plant ( EG  </t>
    </r>
    <r>
      <rPr>
        <vertAlign val="subscript"/>
        <sz val="11"/>
        <rFont val="Times New Roman"/>
        <family val="1"/>
      </rPr>
      <t xml:space="preserve">PJ,y  </t>
    </r>
    <r>
      <rPr>
        <sz val="11"/>
        <rFont val="Times New Roman"/>
        <family val="1"/>
      </rPr>
      <t>) (note-6)</t>
    </r>
  </si>
  <si>
    <r>
      <t xml:space="preserve">absence of project activity ( EF </t>
    </r>
    <r>
      <rPr>
        <vertAlign val="subscript"/>
        <sz val="11"/>
        <rFont val="Times New Roman"/>
        <family val="1"/>
      </rPr>
      <t>BL, upstream, CH4</t>
    </r>
    <r>
      <rPr>
        <sz val="11"/>
        <rFont val="Times New Roman"/>
        <family val="1"/>
      </rPr>
      <t xml:space="preserve"> ) (note-7)</t>
    </r>
  </si>
  <si>
    <r>
      <t>t CH</t>
    </r>
    <r>
      <rPr>
        <vertAlign val="subscript"/>
        <sz val="11"/>
        <rFont val="Times New Roman"/>
        <family val="1"/>
      </rPr>
      <t>4</t>
    </r>
    <r>
      <rPr>
        <sz val="11"/>
        <rFont val="Times New Roman"/>
        <family val="1"/>
      </rPr>
      <t>/ MWh</t>
    </r>
  </si>
  <si>
    <r>
      <t xml:space="preserve">Global Warming potential of methane ( GWP </t>
    </r>
    <r>
      <rPr>
        <vertAlign val="subscript"/>
        <sz val="11"/>
        <rFont val="Times New Roman"/>
        <family val="1"/>
      </rPr>
      <t>CH4</t>
    </r>
    <r>
      <rPr>
        <sz val="11"/>
        <rFont val="Times New Roman"/>
        <family val="1"/>
      </rPr>
      <t>) (note-8)</t>
    </r>
  </si>
  <si>
    <r>
      <t xml:space="preserve">Table 1-2 Leakage Emissions due to fossil fuel combustion/ electricity consumption associated with the  liquefaction, transportation, re-gasification and compression of LNG into a natural gas transmission or distribution System ( LE </t>
    </r>
    <r>
      <rPr>
        <b/>
        <vertAlign val="subscript"/>
        <sz val="11"/>
        <rFont val="Times New Roman"/>
        <family val="1"/>
      </rPr>
      <t>LNG, CO2, y</t>
    </r>
    <r>
      <rPr>
        <b/>
        <sz val="11"/>
        <rFont val="Times New Roman"/>
        <family val="1"/>
      </rPr>
      <t xml:space="preserve"> ) </t>
    </r>
  </si>
  <si>
    <r>
      <t xml:space="preserve">Quantity of natural gas combusted in project plant ( FC  </t>
    </r>
    <r>
      <rPr>
        <vertAlign val="subscript"/>
        <sz val="11"/>
        <rFont val="Times New Roman"/>
        <family val="1"/>
      </rPr>
      <t xml:space="preserve">y </t>
    </r>
    <r>
      <rPr>
        <sz val="11"/>
        <rFont val="Times New Roman"/>
        <family val="1"/>
      </rPr>
      <t>) (note-9)</t>
    </r>
  </si>
  <si>
    <r>
      <t xml:space="preserve">Emission factor for upstream CO2 emisions associated with the  liquefaction, transportation, re-gasification and compression of LNG into a natural gas transmission or distribution System ( EF </t>
    </r>
    <r>
      <rPr>
        <vertAlign val="subscript"/>
        <sz val="11"/>
        <rFont val="Times New Roman"/>
        <family val="1"/>
      </rPr>
      <t>CO2,upstream,LNG</t>
    </r>
    <r>
      <rPr>
        <sz val="11"/>
        <rFont val="Times New Roman"/>
        <family val="1"/>
      </rPr>
      <t xml:space="preserve"> ) (note-10)</t>
    </r>
  </si>
  <si>
    <r>
      <t>t CO</t>
    </r>
    <r>
      <rPr>
        <vertAlign val="subscript"/>
        <sz val="11"/>
        <rFont val="Times New Roman"/>
        <family val="1"/>
      </rPr>
      <t>2</t>
    </r>
    <r>
      <rPr>
        <sz val="11"/>
        <rFont val="Times New Roman"/>
        <family val="1"/>
      </rPr>
      <t>/ TJ</t>
    </r>
  </si>
  <si>
    <r>
      <t xml:space="preserve">Leakage Emissions due to fossil fuel combustion/ electricity consumption associated with the  liquefaction, transportation, re-gasification and compression of LNG into a natural gas transmission or distribution System ( LE </t>
    </r>
    <r>
      <rPr>
        <b/>
        <vertAlign val="subscript"/>
        <sz val="11"/>
        <rFont val="Times New Roman"/>
        <family val="1"/>
      </rPr>
      <t>LNG, CO2, y</t>
    </r>
    <r>
      <rPr>
        <b/>
        <sz val="11"/>
        <rFont val="Times New Roman"/>
        <family val="1"/>
      </rPr>
      <t xml:space="preserve"> ) </t>
    </r>
  </si>
  <si>
    <r>
      <t xml:space="preserve">Section 1:Quantity of natural gas combusted in project plant ( FC </t>
    </r>
    <r>
      <rPr>
        <b/>
        <u/>
        <vertAlign val="subscript"/>
        <sz val="11"/>
        <rFont val="Times New Roman"/>
        <family val="1"/>
      </rPr>
      <t>y</t>
    </r>
    <r>
      <rPr>
        <b/>
        <u/>
        <sz val="11"/>
        <rFont val="Times New Roman"/>
        <family val="1"/>
      </rPr>
      <t>)</t>
    </r>
  </si>
  <si>
    <r>
      <t xml:space="preserve">Quantity of natural gas combusted in project plant ( FC </t>
    </r>
    <r>
      <rPr>
        <b/>
        <vertAlign val="subscript"/>
        <sz val="11"/>
        <rFont val="Times New Roman"/>
        <family val="1"/>
      </rPr>
      <t>y</t>
    </r>
    <r>
      <rPr>
        <b/>
        <sz val="11"/>
        <rFont val="Times New Roman"/>
        <family val="1"/>
      </rPr>
      <t>)</t>
    </r>
  </si>
  <si>
    <r>
      <t>M</t>
    </r>
    <r>
      <rPr>
        <b/>
        <vertAlign val="superscript"/>
        <sz val="11"/>
        <rFont val="Times New Roman"/>
        <family val="1"/>
      </rPr>
      <t>3</t>
    </r>
  </si>
  <si>
    <r>
      <t>Kcal/m</t>
    </r>
    <r>
      <rPr>
        <vertAlign val="superscript"/>
        <sz val="11"/>
        <rFont val="Times New Roman"/>
        <family val="1"/>
      </rPr>
      <t>3</t>
    </r>
  </si>
  <si>
    <r>
      <t>GJ/ M</t>
    </r>
    <r>
      <rPr>
        <b/>
        <vertAlign val="superscript"/>
        <sz val="11"/>
        <rFont val="Times New Roman"/>
        <family val="1"/>
      </rPr>
      <t>3</t>
    </r>
  </si>
  <si>
    <r>
      <t xml:space="preserve">natural gas( EF </t>
    </r>
    <r>
      <rPr>
        <b/>
        <u/>
        <vertAlign val="subscript"/>
        <sz val="11"/>
        <rFont val="Times New Roman"/>
        <family val="1"/>
      </rPr>
      <t>NG, upstream, CH4</t>
    </r>
    <r>
      <rPr>
        <b/>
        <u/>
        <sz val="11"/>
        <rFont val="Times New Roman"/>
        <family val="1"/>
      </rPr>
      <t>)</t>
    </r>
  </si>
  <si>
    <r>
      <t xml:space="preserve">Emission factor for upstream fugitive methane emissions of natural gas( EF  </t>
    </r>
    <r>
      <rPr>
        <b/>
        <vertAlign val="subscript"/>
        <sz val="11"/>
        <rFont val="Times New Roman"/>
        <family val="1"/>
      </rPr>
      <t xml:space="preserve">NG, upstream, CH4 </t>
    </r>
    <r>
      <rPr>
        <b/>
        <sz val="11"/>
        <rFont val="Times New Roman"/>
        <family val="1"/>
      </rPr>
      <t>)</t>
    </r>
  </si>
  <si>
    <r>
      <t xml:space="preserve">Section-4: Electricity generation in project plant ( EG  </t>
    </r>
    <r>
      <rPr>
        <b/>
        <u/>
        <vertAlign val="subscript"/>
        <sz val="11"/>
        <rFont val="Times New Roman"/>
        <family val="1"/>
      </rPr>
      <t xml:space="preserve">PJ,y </t>
    </r>
    <r>
      <rPr>
        <b/>
        <u/>
        <sz val="11"/>
        <rFont val="Times New Roman"/>
        <family val="1"/>
      </rPr>
      <t>)</t>
    </r>
  </si>
  <si>
    <r>
      <t xml:space="preserve">Electricity generation in project plant ( EG  </t>
    </r>
    <r>
      <rPr>
        <b/>
        <vertAlign val="subscript"/>
        <sz val="11"/>
        <rFont val="Times New Roman"/>
        <family val="1"/>
      </rPr>
      <t xml:space="preserve">PJ,y </t>
    </r>
    <r>
      <rPr>
        <b/>
        <sz val="11"/>
        <rFont val="Times New Roman"/>
        <family val="1"/>
      </rPr>
      <t>)</t>
    </r>
  </si>
  <si>
    <r>
      <t xml:space="preserve">Section:6-Quantity of natural gas combusted in project plant ( FC  </t>
    </r>
    <r>
      <rPr>
        <b/>
        <u/>
        <vertAlign val="subscript"/>
        <sz val="11"/>
        <rFont val="Times New Roman"/>
        <family val="1"/>
      </rPr>
      <t xml:space="preserve">y  </t>
    </r>
    <r>
      <rPr>
        <b/>
        <u/>
        <sz val="11"/>
        <rFont val="Times New Roman"/>
        <family val="1"/>
      </rPr>
      <t>)</t>
    </r>
  </si>
  <si>
    <r>
      <t>Kcal *10</t>
    </r>
    <r>
      <rPr>
        <vertAlign val="superscript"/>
        <sz val="11"/>
        <rFont val="Times New Roman"/>
        <family val="1"/>
      </rPr>
      <t>3</t>
    </r>
  </si>
  <si>
    <r>
      <t xml:space="preserve">Quantity of natural gas ( i.e. regasified LNG) combusted in project plant ( FC  </t>
    </r>
    <r>
      <rPr>
        <b/>
        <vertAlign val="subscript"/>
        <sz val="11"/>
        <rFont val="Times New Roman"/>
        <family val="1"/>
      </rPr>
      <t xml:space="preserve">y  </t>
    </r>
    <r>
      <rPr>
        <b/>
        <sz val="11"/>
        <rFont val="Times New Roman"/>
        <family val="1"/>
      </rPr>
      <t>)"*"</t>
    </r>
  </si>
  <si>
    <r>
      <t xml:space="preserve">Table P1- Calculation of Project Emissions ( PE </t>
    </r>
    <r>
      <rPr>
        <vertAlign val="subscript"/>
        <sz val="11"/>
        <rFont val="Times New Roman"/>
        <family val="1"/>
      </rPr>
      <t>y</t>
    </r>
    <r>
      <rPr>
        <sz val="11"/>
        <rFont val="Times New Roman"/>
        <family val="1"/>
      </rPr>
      <t xml:space="preserve"> ) </t>
    </r>
  </si>
  <si>
    <r>
      <t>Annual gas requirement(note-2) FC</t>
    </r>
    <r>
      <rPr>
        <vertAlign val="subscript"/>
        <sz val="11"/>
        <rFont val="Times New Roman"/>
        <family val="1"/>
      </rPr>
      <t xml:space="preserve"> f,y</t>
    </r>
  </si>
  <si>
    <r>
      <t xml:space="preserve">Emission Co-offeicient for Gas(note-3) COEF </t>
    </r>
    <r>
      <rPr>
        <vertAlign val="subscript"/>
        <sz val="11"/>
        <rFont val="Times New Roman"/>
        <family val="1"/>
      </rPr>
      <t>f,y</t>
    </r>
  </si>
  <si>
    <r>
      <t>t CO</t>
    </r>
    <r>
      <rPr>
        <b/>
        <vertAlign val="subscript"/>
        <sz val="11"/>
        <rFont val="Times New Roman"/>
        <family val="1"/>
      </rPr>
      <t>2</t>
    </r>
  </si>
  <si>
    <r>
      <t xml:space="preserve">Table 1-2 Annual gas requirement (FC </t>
    </r>
    <r>
      <rPr>
        <vertAlign val="subscript"/>
        <sz val="11"/>
        <rFont val="Times New Roman"/>
        <family val="1"/>
      </rPr>
      <t>f,y</t>
    </r>
    <r>
      <rPr>
        <sz val="11"/>
        <rFont val="Times New Roman"/>
        <family val="1"/>
      </rPr>
      <t>)</t>
    </r>
  </si>
  <si>
    <r>
      <t>(kcal / m</t>
    </r>
    <r>
      <rPr>
        <vertAlign val="superscript"/>
        <sz val="11"/>
        <rFont val="Times New Roman"/>
        <family val="1"/>
      </rPr>
      <t>3</t>
    </r>
    <r>
      <rPr>
        <sz val="11"/>
        <rFont val="Times New Roman"/>
        <family val="1"/>
      </rPr>
      <t>)</t>
    </r>
  </si>
  <si>
    <r>
      <t xml:space="preserve">Annual gas requirement ( FC </t>
    </r>
    <r>
      <rPr>
        <b/>
        <vertAlign val="subscript"/>
        <sz val="11"/>
        <rFont val="Times New Roman"/>
        <family val="1"/>
      </rPr>
      <t>f,y</t>
    </r>
    <r>
      <rPr>
        <b/>
        <sz val="11"/>
        <rFont val="Times New Roman"/>
        <family val="1"/>
      </rPr>
      <t>)</t>
    </r>
  </si>
  <si>
    <r>
      <t xml:space="preserve">NCV of Gas ( NCV </t>
    </r>
    <r>
      <rPr>
        <vertAlign val="subscript"/>
        <sz val="11"/>
        <rFont val="Times New Roman"/>
        <family val="1"/>
      </rPr>
      <t>y</t>
    </r>
    <r>
      <rPr>
        <sz val="11"/>
        <rFont val="Times New Roman"/>
        <family val="1"/>
      </rPr>
      <t>)</t>
    </r>
  </si>
  <si>
    <r>
      <t xml:space="preserve">Emission Co-offeicient for Gas ( COEF </t>
    </r>
    <r>
      <rPr>
        <b/>
        <vertAlign val="subscript"/>
        <sz val="11"/>
        <rFont val="Times New Roman"/>
        <family val="1"/>
      </rPr>
      <t>f,y</t>
    </r>
    <r>
      <rPr>
        <b/>
        <sz val="11"/>
        <rFont val="Times New Roman"/>
        <family val="1"/>
      </rPr>
      <t>)</t>
    </r>
  </si>
  <si>
    <r>
      <t>reductions in tonnes of CO</t>
    </r>
    <r>
      <rPr>
        <b/>
        <vertAlign val="subscript"/>
        <sz val="11"/>
        <rFont val="Times New Roman"/>
        <family val="1"/>
      </rPr>
      <t>2</t>
    </r>
    <r>
      <rPr>
        <b/>
        <sz val="11"/>
        <rFont val="Times New Roman"/>
        <family val="1"/>
      </rPr>
      <t>e</t>
    </r>
  </si>
  <si>
    <r>
      <t>(tonnes of CO</t>
    </r>
    <r>
      <rPr>
        <vertAlign val="subscript"/>
        <sz val="11"/>
        <rFont val="Times New Roman"/>
        <family val="1"/>
      </rPr>
      <t>2</t>
    </r>
    <r>
      <rPr>
        <sz val="11"/>
        <rFont val="Times New Roman"/>
        <family val="1"/>
      </rPr>
      <t>e )</t>
    </r>
  </si>
  <si>
    <r>
      <t>t CO</t>
    </r>
    <r>
      <rPr>
        <vertAlign val="subscript"/>
        <sz val="11"/>
        <rFont val="Times New Roman"/>
        <family val="1"/>
      </rPr>
      <t>2</t>
    </r>
    <r>
      <rPr>
        <sz val="11"/>
        <rFont val="Times New Roman"/>
        <family val="1"/>
      </rPr>
      <t>/GWh</t>
    </r>
  </si>
  <si>
    <r>
      <t xml:space="preserve">Table E.1-Calculation Of Emissions Reduction ( ER </t>
    </r>
    <r>
      <rPr>
        <b/>
        <u/>
        <vertAlign val="subscript"/>
        <sz val="11"/>
        <rFont val="Times New Roman"/>
        <family val="1"/>
      </rPr>
      <t>y</t>
    </r>
    <r>
      <rPr>
        <b/>
        <u/>
        <sz val="11"/>
        <rFont val="Times New Roman"/>
        <family val="1"/>
      </rPr>
      <t>)</t>
    </r>
  </si>
  <si>
    <r>
      <t xml:space="preserve"> Calculation Of Emissions Reduction ( ER </t>
    </r>
    <r>
      <rPr>
        <vertAlign val="subscript"/>
        <sz val="11"/>
        <rFont val="Times New Roman"/>
        <family val="1"/>
      </rPr>
      <t>y</t>
    </r>
    <r>
      <rPr>
        <sz val="11"/>
        <rFont val="Times New Roman"/>
        <family val="1"/>
      </rPr>
      <t>)</t>
    </r>
  </si>
  <si>
    <r>
      <t xml:space="preserve">Emissions in the baseline senario ( BE </t>
    </r>
    <r>
      <rPr>
        <vertAlign val="subscript"/>
        <sz val="11"/>
        <rFont val="Times New Roman"/>
        <family val="1"/>
      </rPr>
      <t>y</t>
    </r>
    <r>
      <rPr>
        <sz val="11"/>
        <rFont val="Times New Roman"/>
        <family val="1"/>
      </rPr>
      <t>) (note-1)</t>
    </r>
  </si>
  <si>
    <r>
      <t>t CO</t>
    </r>
    <r>
      <rPr>
        <vertAlign val="subscript"/>
        <sz val="11"/>
        <rFont val="Times New Roman"/>
        <family val="1"/>
      </rPr>
      <t>2</t>
    </r>
    <r>
      <rPr>
        <sz val="11"/>
        <rFont val="Times New Roman"/>
        <family val="1"/>
      </rPr>
      <t>e</t>
    </r>
  </si>
  <si>
    <r>
      <t xml:space="preserve">Leakages ( LE </t>
    </r>
    <r>
      <rPr>
        <vertAlign val="subscript"/>
        <sz val="11"/>
        <rFont val="Times New Roman"/>
        <family val="1"/>
      </rPr>
      <t>y</t>
    </r>
    <r>
      <rPr>
        <sz val="11"/>
        <rFont val="Times New Roman"/>
        <family val="1"/>
      </rPr>
      <t>) (note-3)</t>
    </r>
  </si>
  <si>
    <r>
      <t xml:space="preserve">Emissions Reduction ( ER </t>
    </r>
    <r>
      <rPr>
        <b/>
        <vertAlign val="subscript"/>
        <sz val="11"/>
        <rFont val="Times New Roman"/>
        <family val="1"/>
      </rPr>
      <t>y</t>
    </r>
    <r>
      <rPr>
        <b/>
        <sz val="11"/>
        <rFont val="Times New Roman"/>
        <family val="1"/>
      </rPr>
      <t>)</t>
    </r>
  </si>
  <si>
    <r>
      <t>t CO</t>
    </r>
    <r>
      <rPr>
        <b/>
        <vertAlign val="subscript"/>
        <sz val="11"/>
        <rFont val="Times New Roman"/>
        <family val="1"/>
      </rPr>
      <t>2</t>
    </r>
    <r>
      <rPr>
        <b/>
        <sz val="11"/>
        <rFont val="Times New Roman"/>
        <family val="1"/>
      </rPr>
      <t>e</t>
    </r>
  </si>
  <si>
    <r>
      <t xml:space="preserve">Table 1-1 Calculation of emissions in the Baseline Scenario ( BE </t>
    </r>
    <r>
      <rPr>
        <vertAlign val="subscript"/>
        <sz val="11"/>
        <rFont val="Times New Roman"/>
        <family val="1"/>
      </rPr>
      <t>y</t>
    </r>
    <r>
      <rPr>
        <sz val="11"/>
        <rFont val="Times New Roman"/>
        <family val="1"/>
      </rPr>
      <t>)</t>
    </r>
  </si>
  <si>
    <r>
      <t xml:space="preserve">Electricity generated in the project plant( EG </t>
    </r>
    <r>
      <rPr>
        <vertAlign val="subscript"/>
        <sz val="11"/>
        <rFont val="Times New Roman"/>
        <family val="1"/>
      </rPr>
      <t>PJ,y</t>
    </r>
    <r>
      <rPr>
        <sz val="11"/>
        <rFont val="Times New Roman"/>
        <family val="1"/>
      </rPr>
      <t>)  (note-4)</t>
    </r>
  </si>
  <si>
    <r>
      <t>Baseline CO</t>
    </r>
    <r>
      <rPr>
        <vertAlign val="subscript"/>
        <sz val="11"/>
        <rFont val="Times New Roman"/>
        <family val="1"/>
      </rPr>
      <t>2</t>
    </r>
    <r>
      <rPr>
        <sz val="11"/>
        <rFont val="Times New Roman"/>
        <family val="1"/>
      </rPr>
      <t xml:space="preserve"> emission factor ( EF </t>
    </r>
    <r>
      <rPr>
        <vertAlign val="subscript"/>
        <sz val="11"/>
        <rFont val="Times New Roman"/>
        <family val="1"/>
      </rPr>
      <t>BL, CO2,y</t>
    </r>
    <r>
      <rPr>
        <sz val="11"/>
        <rFont val="Times New Roman"/>
        <family val="1"/>
      </rPr>
      <t>) (note-5)</t>
    </r>
  </si>
  <si>
    <r>
      <t xml:space="preserve">Emissions in the Baseline Scenario ( BE </t>
    </r>
    <r>
      <rPr>
        <b/>
        <vertAlign val="subscript"/>
        <sz val="11"/>
        <rFont val="Times New Roman"/>
        <family val="1"/>
      </rPr>
      <t>y</t>
    </r>
    <r>
      <rPr>
        <b/>
        <sz val="11"/>
        <rFont val="Times New Roman"/>
        <family val="1"/>
      </rPr>
      <t>)</t>
    </r>
  </si>
  <si>
    <t>Years</t>
  </si>
  <si>
    <t>Annual estimation of emission</t>
  </si>
  <si>
    <t>Total estimated reductions</t>
  </si>
  <si>
    <t>Total number of crediting years</t>
  </si>
  <si>
    <t>10 years</t>
  </si>
  <si>
    <t>A.4.4 Estimated amount of emission reductions over the chosen crediting period:</t>
  </si>
  <si>
    <t>two figures)</t>
  </si>
  <si>
    <t xml:space="preserve">Emission factor for upstream fugitive methane emissions of natural gas (addition of above </t>
  </si>
  <si>
    <t>Electricity generation in project plant (note 1)</t>
  </si>
  <si>
    <t>Net calorific value of natural gas (note-1)</t>
  </si>
  <si>
    <t>note 1) Collected from project emissions calculations</t>
  </si>
  <si>
    <t>Coal</t>
  </si>
  <si>
    <t>Particulars</t>
  </si>
  <si>
    <t>Lignite</t>
  </si>
  <si>
    <t>Particualrs</t>
  </si>
  <si>
    <t>Particular</t>
  </si>
  <si>
    <t>Value</t>
  </si>
  <si>
    <t>Unit</t>
  </si>
  <si>
    <t>Hours</t>
  </si>
  <si>
    <t>GWh</t>
  </si>
  <si>
    <t>Auxiliary Consumption</t>
  </si>
  <si>
    <t>%</t>
  </si>
  <si>
    <t>kCal/kWh</t>
  </si>
  <si>
    <t>Data Source</t>
  </si>
  <si>
    <t xml:space="preserve">Table M.1- Calculation of Emission factor of technology, identified as the most likely </t>
  </si>
  <si>
    <t>Table L.1- Calculation of leakages</t>
  </si>
  <si>
    <t>Naptha</t>
  </si>
  <si>
    <t>Net Calorific value</t>
  </si>
  <si>
    <t>Data Sources:</t>
  </si>
  <si>
    <t>Calculation Of Project Emissions</t>
  </si>
  <si>
    <t xml:space="preserve">Net electricity evacuated to grid </t>
  </si>
  <si>
    <t>Net electricity evacuated to grid (note-1)</t>
  </si>
  <si>
    <t>Data Sources</t>
  </si>
  <si>
    <t>note 1) Refer to table 1-1 "Net electricity evacuated to grid"</t>
  </si>
  <si>
    <t>note 2) Refer to table 1-2 "Annual gas requirement "</t>
  </si>
  <si>
    <t>note 3) Refer to table 1-3 " Emission Co-offeicient for Gas "</t>
  </si>
  <si>
    <t>Capacity of the Power Plant (note-4)</t>
  </si>
  <si>
    <t xml:space="preserve">Average annual electricity production </t>
  </si>
  <si>
    <t>Table 1-1 Net electricity evacuated to grid</t>
  </si>
  <si>
    <t>Baseline Scenario</t>
  </si>
  <si>
    <t>Kcal/Kg</t>
  </si>
  <si>
    <t>GJ/tonne</t>
  </si>
  <si>
    <t>Calculation of Emission factor of technology, identified as the most likely</t>
  </si>
  <si>
    <t xml:space="preserve">Emission factor of technology, identified </t>
  </si>
  <si>
    <t>MWh</t>
  </si>
  <si>
    <t xml:space="preserve">Emission factor for upstream fugitive methane emissions occurring in the </t>
  </si>
  <si>
    <t xml:space="preserve">Working notes for calculation of Leakages </t>
  </si>
  <si>
    <t>TJ</t>
  </si>
  <si>
    <t xml:space="preserve">Section-3:Emission factor for upstream fugitive methane emissions of </t>
  </si>
  <si>
    <t>note 3) Refer to "Working notes for calculating Leakages" Section -1</t>
  </si>
  <si>
    <t>note 4) Refer to "Working notes for calculating Leakages" Section -2</t>
  </si>
  <si>
    <t>note 5) Refer to "Working notes for calculating Leakages" Section -3</t>
  </si>
  <si>
    <t>note 6) Refer to "Working notes for calculating Leakages" Section -4</t>
  </si>
  <si>
    <t>note 7) Refer to "Working notes for calculating Leakages" Section -5</t>
  </si>
  <si>
    <t>note 9) Refer to "Working notes for calculating Leakages" Section -6</t>
  </si>
  <si>
    <t>note 10) Collected from AM0029</t>
  </si>
  <si>
    <t>Natural gas combusted in project plant  (note-1)</t>
  </si>
  <si>
    <t>note 4) Collected from the letter from Ministry of Environment and Forest</t>
  </si>
  <si>
    <t>note 1) Refer to table 1-1 " Calculation of emissions in the baseline scenario"</t>
  </si>
  <si>
    <t>note 2) Collected from project emissions calculations</t>
  </si>
  <si>
    <t>note 3) Collected from leakages calculations</t>
  </si>
  <si>
    <t>note 4) Collected from project emissions calculation.</t>
  </si>
  <si>
    <t>Net electricity evacuated to grid  ( from Table 1-1)</t>
  </si>
  <si>
    <t xml:space="preserve">note 2) Refer to table 1-2 "Leakage Emissions due to fossil fuel combustion/ electricity consumption associated with </t>
  </si>
  <si>
    <t xml:space="preserve">the  liquefaction, transportation, re-gasification and compression of LNG into a natural gas </t>
  </si>
  <si>
    <t>Emission Factor of the most likely Baseline Scenario</t>
  </si>
  <si>
    <t>(least of the Above 3 options)</t>
  </si>
  <si>
    <r>
      <t xml:space="preserve">Baseline Scenario Emission Factor ( EF </t>
    </r>
    <r>
      <rPr>
        <b/>
        <vertAlign val="subscript"/>
        <sz val="11"/>
        <rFont val="Times New Roman"/>
        <family val="1"/>
      </rPr>
      <t>BL, CO2, y</t>
    </r>
    <r>
      <rPr>
        <b/>
        <sz val="11"/>
        <rFont val="Times New Roman"/>
        <family val="1"/>
      </rPr>
      <t>)</t>
    </r>
  </si>
  <si>
    <r>
      <t>Table BE-1- Identifying the Baseline Scenario Emission Factor ( EF</t>
    </r>
    <r>
      <rPr>
        <b/>
        <vertAlign val="subscript"/>
        <sz val="11"/>
        <rFont val="Times New Roman"/>
        <family val="1"/>
      </rPr>
      <t xml:space="preserve"> BL, CO2, y</t>
    </r>
    <r>
      <rPr>
        <b/>
        <sz val="11"/>
        <rFont val="Times New Roman"/>
        <family val="1"/>
      </rPr>
      <t>)</t>
    </r>
  </si>
  <si>
    <r>
      <t>m</t>
    </r>
    <r>
      <rPr>
        <b/>
        <vertAlign val="superscript"/>
        <sz val="11"/>
        <rFont val="Times New Roman"/>
        <family val="1"/>
      </rPr>
      <t>3</t>
    </r>
  </si>
  <si>
    <r>
      <t xml:space="preserve">Emissions in the project senario ( PE </t>
    </r>
    <r>
      <rPr>
        <vertAlign val="subscript"/>
        <sz val="11"/>
        <rFont val="Times New Roman"/>
        <family val="1"/>
      </rPr>
      <t>y</t>
    </r>
    <r>
      <rPr>
        <sz val="11"/>
        <rFont val="Times New Roman"/>
        <family val="1"/>
      </rPr>
      <t>) ( note-2)</t>
    </r>
  </si>
  <si>
    <r>
      <t>Kcal/ m</t>
    </r>
    <r>
      <rPr>
        <vertAlign val="superscript"/>
        <sz val="11"/>
        <rFont val="Times New Roman"/>
        <family val="1"/>
      </rPr>
      <t>3</t>
    </r>
  </si>
  <si>
    <r>
      <t>m</t>
    </r>
    <r>
      <rPr>
        <vertAlign val="superscript"/>
        <sz val="11"/>
        <rFont val="Times New Roman"/>
        <family val="1"/>
      </rPr>
      <t>3</t>
    </r>
  </si>
  <si>
    <r>
      <t>tCO</t>
    </r>
    <r>
      <rPr>
        <vertAlign val="subscript"/>
        <sz val="11"/>
        <rFont val="Times New Roman"/>
        <family val="1"/>
      </rPr>
      <t>2</t>
    </r>
    <r>
      <rPr>
        <sz val="11"/>
        <rFont val="Times New Roman"/>
        <family val="1"/>
      </rPr>
      <t>/m</t>
    </r>
    <r>
      <rPr>
        <vertAlign val="superscript"/>
        <sz val="11"/>
        <rFont val="Times New Roman"/>
        <family val="1"/>
      </rPr>
      <t>3</t>
    </r>
  </si>
  <si>
    <r>
      <t>Emission factor for fugitive methane emissions due to</t>
    </r>
    <r>
      <rPr>
        <b/>
        <sz val="11"/>
        <rFont val="Times New Roman"/>
        <family val="1"/>
      </rPr>
      <t xml:space="preserve"> Gas Production </t>
    </r>
    <r>
      <rPr>
        <sz val="11"/>
        <rFont val="Times New Roman"/>
        <family val="1"/>
      </rPr>
      <t>( note -2)</t>
    </r>
  </si>
  <si>
    <r>
      <t xml:space="preserve">and distribution </t>
    </r>
    <r>
      <rPr>
        <sz val="11"/>
        <rFont val="Times New Roman"/>
        <family val="1"/>
      </rPr>
      <t>(note-2)</t>
    </r>
  </si>
  <si>
    <t>HYDRO</t>
  </si>
  <si>
    <t>PVT</t>
  </si>
  <si>
    <t>MAHARASHTRA</t>
  </si>
  <si>
    <t>STATE</t>
  </si>
  <si>
    <t>MADHYA PRADESH</t>
  </si>
  <si>
    <t>MPGPCL</t>
  </si>
  <si>
    <t>NHDC</t>
  </si>
  <si>
    <t>CENTER</t>
  </si>
  <si>
    <t>GUJARAT</t>
  </si>
  <si>
    <t>n/a</t>
  </si>
  <si>
    <t>NAPT</t>
  </si>
  <si>
    <t>THERMAL</t>
  </si>
  <si>
    <t>OIL</t>
  </si>
  <si>
    <t>COAL</t>
  </si>
  <si>
    <t>NTPC</t>
  </si>
  <si>
    <t>VINDH_CHAL STPS</t>
  </si>
  <si>
    <t>SANJAY GANDHI</t>
  </si>
  <si>
    <t>GAS</t>
  </si>
  <si>
    <t>LIGN</t>
  </si>
  <si>
    <t>GSECL</t>
  </si>
  <si>
    <t>FUEL 2</t>
  </si>
  <si>
    <t>FUEL 1</t>
  </si>
  <si>
    <t>TYPE</t>
  </si>
  <si>
    <t>SYSTEM</t>
  </si>
  <si>
    <t>SECTOR</t>
  </si>
  <si>
    <t>REGION</t>
  </si>
  <si>
    <t>DT_ COMM</t>
  </si>
  <si>
    <t>UNIT_NO</t>
  </si>
  <si>
    <t>NAME</t>
  </si>
  <si>
    <t>Kcal/ KWh</t>
  </si>
  <si>
    <t>Net Electricity evacuated to the grid (note-1)</t>
  </si>
  <si>
    <t>Total LNG requirement</t>
  </si>
  <si>
    <r>
      <t>tCO2/m</t>
    </r>
    <r>
      <rPr>
        <b/>
        <vertAlign val="superscript"/>
        <sz val="11"/>
        <rFont val="Times New Roman"/>
        <family val="1"/>
      </rPr>
      <t>3</t>
    </r>
  </si>
  <si>
    <t>Load Hours per annum (note-5)</t>
  </si>
  <si>
    <t>Auxiliary Consumption (note-6)</t>
  </si>
  <si>
    <t>NCV of Gas (note-8)</t>
  </si>
  <si>
    <r>
      <t>CO</t>
    </r>
    <r>
      <rPr>
        <vertAlign val="subscript"/>
        <sz val="11"/>
        <rFont val="Times New Roman"/>
        <family val="1"/>
      </rPr>
      <t>2</t>
    </r>
    <r>
      <rPr>
        <sz val="11"/>
        <rFont val="Times New Roman"/>
        <family val="1"/>
      </rPr>
      <t xml:space="preserve"> Emission  factor ( EF </t>
    </r>
    <r>
      <rPr>
        <vertAlign val="subscript"/>
        <sz val="11"/>
        <rFont val="Times New Roman"/>
        <family val="1"/>
      </rPr>
      <t>CO2,f,y</t>
    </r>
    <r>
      <rPr>
        <sz val="11"/>
        <rFont val="Times New Roman"/>
        <family val="1"/>
      </rPr>
      <t xml:space="preserve"> )(note -9)</t>
    </r>
  </si>
  <si>
    <t>Weights</t>
  </si>
  <si>
    <r>
      <t>Weighted Average NCV ( Kcal/m</t>
    </r>
    <r>
      <rPr>
        <b/>
        <vertAlign val="superscript"/>
        <sz val="11"/>
        <rFont val="Times New Roman"/>
        <family val="1"/>
      </rPr>
      <t>3</t>
    </r>
    <r>
      <rPr>
        <b/>
        <sz val="11"/>
        <rFont val="Times New Roman"/>
        <family val="1"/>
      </rPr>
      <t>)</t>
    </r>
  </si>
  <si>
    <r>
      <t>NCV ( Kcal/m</t>
    </r>
    <r>
      <rPr>
        <b/>
        <vertAlign val="superscript"/>
        <sz val="11"/>
        <rFont val="Times New Roman"/>
        <family val="1"/>
      </rPr>
      <t xml:space="preserve">3 </t>
    </r>
    <r>
      <rPr>
        <b/>
        <sz val="11"/>
        <rFont val="Times New Roman"/>
        <family val="1"/>
      </rPr>
      <t>)</t>
    </r>
  </si>
  <si>
    <r>
      <t>GJ/m</t>
    </r>
    <r>
      <rPr>
        <vertAlign val="superscript"/>
        <sz val="11"/>
        <rFont val="Times New Roman"/>
        <family val="1"/>
      </rPr>
      <t>3</t>
    </r>
  </si>
  <si>
    <r>
      <t>t CO</t>
    </r>
    <r>
      <rPr>
        <vertAlign val="subscript"/>
        <sz val="11"/>
        <rFont val="Times New Roman"/>
        <family val="1"/>
      </rPr>
      <t>2</t>
    </r>
    <r>
      <rPr>
        <sz val="11"/>
        <rFont val="Times New Roman"/>
        <family val="1"/>
      </rPr>
      <t>/GJ</t>
    </r>
  </si>
  <si>
    <r>
      <t xml:space="preserve">COEF </t>
    </r>
    <r>
      <rPr>
        <vertAlign val="subscript"/>
        <sz val="11"/>
        <rFont val="Times New Roman"/>
        <family val="1"/>
      </rPr>
      <t>f,y</t>
    </r>
    <r>
      <rPr>
        <sz val="11"/>
        <rFont val="Times New Roman"/>
        <family val="1"/>
      </rPr>
      <t xml:space="preserve"> = NCV </t>
    </r>
    <r>
      <rPr>
        <vertAlign val="subscript"/>
        <sz val="11"/>
        <rFont val="Times New Roman"/>
        <family val="1"/>
      </rPr>
      <t>y</t>
    </r>
    <r>
      <rPr>
        <sz val="11"/>
        <rFont val="Times New Roman"/>
        <family val="1"/>
      </rPr>
      <t>* EF CO</t>
    </r>
    <r>
      <rPr>
        <vertAlign val="subscript"/>
        <sz val="11"/>
        <rFont val="Times New Roman"/>
        <family val="1"/>
      </rPr>
      <t>2 f,y</t>
    </r>
    <r>
      <rPr>
        <sz val="11"/>
        <rFont val="Times New Roman"/>
        <family val="1"/>
      </rPr>
      <t>*OXID</t>
    </r>
    <r>
      <rPr>
        <vertAlign val="subscript"/>
        <sz val="11"/>
        <rFont val="Times New Roman"/>
        <family val="1"/>
      </rPr>
      <t>f</t>
    </r>
  </si>
  <si>
    <r>
      <t>Oxidation factor for Gas ( OXID</t>
    </r>
    <r>
      <rPr>
        <vertAlign val="subscript"/>
        <sz val="11"/>
        <rFont val="Times New Roman"/>
        <family val="1"/>
      </rPr>
      <t xml:space="preserve"> f </t>
    </r>
    <r>
      <rPr>
        <sz val="11"/>
        <rFont val="Times New Roman"/>
        <family val="1"/>
      </rPr>
      <t>) (note-10)</t>
    </r>
  </si>
  <si>
    <t>note 10) Current IPCC default values</t>
  </si>
  <si>
    <r>
      <t xml:space="preserve">Section-2:Net Calorific Value of natural gas ( NCV </t>
    </r>
    <r>
      <rPr>
        <b/>
        <u/>
        <vertAlign val="subscript"/>
        <sz val="11"/>
        <rFont val="Times New Roman"/>
        <family val="1"/>
      </rPr>
      <t>y</t>
    </r>
    <r>
      <rPr>
        <b/>
        <u/>
        <sz val="11"/>
        <rFont val="Times New Roman"/>
        <family val="1"/>
      </rPr>
      <t>)</t>
    </r>
  </si>
  <si>
    <r>
      <t xml:space="preserve">Net Calorific Value of natural gas ( NCV </t>
    </r>
    <r>
      <rPr>
        <b/>
        <vertAlign val="subscript"/>
        <sz val="11"/>
        <rFont val="Times New Roman"/>
        <family val="1"/>
      </rPr>
      <t>y</t>
    </r>
    <r>
      <rPr>
        <b/>
        <sz val="11"/>
        <rFont val="Times New Roman"/>
        <family val="1"/>
      </rPr>
      <t>)</t>
    </r>
  </si>
  <si>
    <t>GCV of Gas (note 8)</t>
  </si>
  <si>
    <t>GCV of LNG ( note-3)</t>
  </si>
  <si>
    <t>note 9) Table 1-4 Revised 2006 IPCC Guidelines for National Greenhouse Gas Inventories</t>
  </si>
  <si>
    <t>SIPAT STPS</t>
  </si>
  <si>
    <t>CR</t>
  </si>
  <si>
    <t>CHATTISGARH</t>
  </si>
  <si>
    <t>BAGLIHAR HEP</t>
  </si>
  <si>
    <t>JAMMU &amp; KASHMIR</t>
  </si>
  <si>
    <t>JKPDC</t>
  </si>
  <si>
    <t>GHTP (LEH.MOH.)</t>
  </si>
  <si>
    <t>PUNJAB</t>
  </si>
  <si>
    <t>PSEB</t>
  </si>
  <si>
    <t>SAGARDIGHI TPP</t>
  </si>
  <si>
    <t>WEST BENGAL</t>
  </si>
  <si>
    <t>WBPDC</t>
  </si>
  <si>
    <t>GHATGHAR PSS</t>
  </si>
  <si>
    <t>MID</t>
  </si>
  <si>
    <t>RAIGARH TPP</t>
  </si>
  <si>
    <t>JINDAL</t>
  </si>
  <si>
    <t>AMAR KANTAK EXT</t>
  </si>
  <si>
    <t>BHILAI TPP</t>
  </si>
  <si>
    <t>NTPC/SAIL</t>
  </si>
  <si>
    <t>PARAS</t>
  </si>
  <si>
    <t>MAHAGENCO</t>
  </si>
  <si>
    <t>TEESTA -V</t>
  </si>
  <si>
    <t>SIKKIM</t>
  </si>
  <si>
    <t>NHPC</t>
  </si>
  <si>
    <t>BALIMELA</t>
  </si>
  <si>
    <t>ORISSA</t>
  </si>
  <si>
    <t>OHPC</t>
  </si>
  <si>
    <t>KAHALGAON</t>
  </si>
  <si>
    <t>BIHAR</t>
  </si>
  <si>
    <t>MANERI BHALI</t>
  </si>
  <si>
    <t>UTTARAKHAND</t>
  </si>
  <si>
    <t>UJVNL</t>
  </si>
  <si>
    <t>DHOLPUR</t>
  </si>
  <si>
    <t>RAJASTHAN</t>
  </si>
  <si>
    <t>RRVUNL</t>
  </si>
  <si>
    <t>BAKRESWAR</t>
  </si>
  <si>
    <t>CSEB</t>
  </si>
  <si>
    <t>D.P.L.</t>
  </si>
  <si>
    <t>DPL</t>
  </si>
  <si>
    <t>PURULIA PSS</t>
  </si>
  <si>
    <t>WBSEDCL</t>
  </si>
  <si>
    <t>YAMUNANAGAR TPP</t>
  </si>
  <si>
    <t>HARYANA</t>
  </si>
  <si>
    <t>HPGCL</t>
  </si>
  <si>
    <t>SANTALDIH</t>
  </si>
  <si>
    <t>OMKARESHWAR</t>
  </si>
  <si>
    <t xml:space="preserve">RATNAGIRI GAS </t>
  </si>
  <si>
    <t>RATNAGIRI</t>
  </si>
  <si>
    <t>MEJIA</t>
  </si>
  <si>
    <t>DVC</t>
  </si>
  <si>
    <t>DULHASTI</t>
  </si>
  <si>
    <t>KARBI LANGPI</t>
  </si>
  <si>
    <t>ASSAM</t>
  </si>
  <si>
    <t>ASEB</t>
  </si>
  <si>
    <t>TEHRI ST -1</t>
  </si>
  <si>
    <t>THDC</t>
  </si>
  <si>
    <t>GIRAL</t>
  </si>
  <si>
    <t>PARLI</t>
  </si>
  <si>
    <t>TRIPURA</t>
  </si>
  <si>
    <t>TSECL</t>
  </si>
  <si>
    <t>UTTAR PRADESH</t>
  </si>
  <si>
    <t xml:space="preserve"> </t>
  </si>
  <si>
    <t>1 Mwh= 3.6 GJ</t>
  </si>
  <si>
    <r>
      <t xml:space="preserve"> Leakage Emissions due to fugitive upstream CH</t>
    </r>
    <r>
      <rPr>
        <b/>
        <vertAlign val="subscript"/>
        <sz val="11"/>
        <rFont val="Times New Roman"/>
        <family val="1"/>
      </rPr>
      <t>4</t>
    </r>
    <r>
      <rPr>
        <b/>
        <sz val="11"/>
        <rFont val="Times New Roman"/>
        <family val="1"/>
      </rPr>
      <t xml:space="preserve"> emissions ( LE</t>
    </r>
    <r>
      <rPr>
        <b/>
        <vertAlign val="subscript"/>
        <sz val="11"/>
        <rFont val="Times New Roman"/>
        <family val="1"/>
      </rPr>
      <t xml:space="preserve">   CH4,y </t>
    </r>
    <r>
      <rPr>
        <b/>
        <sz val="11"/>
        <rFont val="Times New Roman"/>
        <family val="1"/>
      </rPr>
      <t xml:space="preserve"> ) (Equation no-5 of AM0029)</t>
    </r>
  </si>
  <si>
    <r>
      <t xml:space="preserve">Leakage Emissions ( LE </t>
    </r>
    <r>
      <rPr>
        <b/>
        <vertAlign val="subscript"/>
        <sz val="11"/>
        <rFont val="Times New Roman"/>
        <family val="1"/>
      </rPr>
      <t>y</t>
    </r>
    <r>
      <rPr>
        <b/>
        <sz val="11"/>
        <rFont val="Times New Roman"/>
        <family val="1"/>
      </rPr>
      <t>) ( Equation no-4 of AM0029)</t>
    </r>
  </si>
  <si>
    <t xml:space="preserve">Table-1 : Low Cost / Must Run Plants (% of net generation) </t>
  </si>
  <si>
    <t>Year</t>
  </si>
  <si>
    <t>Average Of Low Cost % For Past 5 Years</t>
  </si>
  <si>
    <t>2006-07</t>
  </si>
  <si>
    <t>2007-08</t>
  </si>
  <si>
    <t>2008-09</t>
  </si>
  <si>
    <t>2009-10</t>
  </si>
  <si>
    <t>Total</t>
  </si>
  <si>
    <t>Data / Parameter:</t>
  </si>
  <si>
    <r>
      <t xml:space="preserve">EF </t>
    </r>
    <r>
      <rPr>
        <vertAlign val="subscript"/>
        <sz val="11"/>
        <rFont val="Times New Roman"/>
        <family val="1"/>
      </rPr>
      <t xml:space="preserve">BM,y   </t>
    </r>
    <r>
      <rPr>
        <sz val="11"/>
        <rFont val="Times New Roman"/>
        <family val="1"/>
      </rPr>
      <t xml:space="preserve">  </t>
    </r>
  </si>
  <si>
    <t>Data unit:</t>
  </si>
  <si>
    <r>
      <t>tCO</t>
    </r>
    <r>
      <rPr>
        <vertAlign val="subscript"/>
        <sz val="11"/>
        <rFont val="Times New Roman"/>
        <family val="1"/>
      </rPr>
      <t>2</t>
    </r>
    <r>
      <rPr>
        <sz val="11"/>
        <rFont val="Times New Roman"/>
        <family val="1"/>
      </rPr>
      <t>/ GWh</t>
    </r>
  </si>
  <si>
    <t>Description:</t>
  </si>
  <si>
    <r>
      <t>Build margin emission factor of the baseline grid (NEWNE grid) in tonnes of CO</t>
    </r>
    <r>
      <rPr>
        <vertAlign val="subscript"/>
        <sz val="11"/>
        <rFont val="Times New Roman"/>
        <family val="1"/>
      </rPr>
      <t>2</t>
    </r>
    <r>
      <rPr>
        <sz val="11"/>
        <rFont val="Times New Roman"/>
        <family val="1"/>
      </rPr>
      <t xml:space="preserve"> per GWh.</t>
    </r>
  </si>
  <si>
    <t>Source of data used:</t>
  </si>
  <si>
    <t>Value applied:</t>
  </si>
  <si>
    <t>Justification of the choice of data or description of measurement methods and procedures actually applied:</t>
  </si>
  <si>
    <t xml:space="preserve">The data used is from a national level and publicly accessible source and has a high level of reliability. </t>
  </si>
  <si>
    <t>Any comment:</t>
  </si>
  <si>
    <t>Nil</t>
  </si>
  <si>
    <r>
      <t xml:space="preserve">EF </t>
    </r>
    <r>
      <rPr>
        <vertAlign val="subscript"/>
        <sz val="11"/>
        <rFont val="Times New Roman"/>
        <family val="1"/>
      </rPr>
      <t>CM,y</t>
    </r>
    <r>
      <rPr>
        <sz val="11"/>
        <rFont val="Times New Roman"/>
        <family val="1"/>
      </rPr>
      <t xml:space="preserve">  </t>
    </r>
  </si>
  <si>
    <r>
      <t>Combined margin emission factor of the baseline grid is (NEWNE grid)in tonnes of CO</t>
    </r>
    <r>
      <rPr>
        <vertAlign val="subscript"/>
        <sz val="11"/>
        <rFont val="Times New Roman"/>
        <family val="1"/>
      </rPr>
      <t>2</t>
    </r>
    <r>
      <rPr>
        <sz val="11"/>
        <rFont val="Times New Roman"/>
        <family val="1"/>
      </rPr>
      <t xml:space="preserve"> per GWh.</t>
    </r>
  </si>
  <si>
    <t>Justification of the choice of data or description of measurement methods and procedures actually applied :</t>
  </si>
  <si>
    <t>KCal/ Kg (to be converted into GJ/tonne)</t>
  </si>
  <si>
    <t>Net calorific value for non-coking coal for pit-head power generation.</t>
  </si>
  <si>
    <t>The data used is from a national level and publicly accessible source and has a high level of reliability.</t>
  </si>
  <si>
    <r>
      <t>EF</t>
    </r>
    <r>
      <rPr>
        <vertAlign val="subscript"/>
        <sz val="11"/>
        <rFont val="Times New Roman"/>
        <family val="1"/>
      </rPr>
      <t>CO2,coal</t>
    </r>
  </si>
  <si>
    <r>
      <t>gCO</t>
    </r>
    <r>
      <rPr>
        <vertAlign val="subscript"/>
        <sz val="11"/>
        <rFont val="Times New Roman"/>
        <family val="1"/>
      </rPr>
      <t>2</t>
    </r>
    <r>
      <rPr>
        <sz val="11"/>
        <rFont val="Times New Roman"/>
        <family val="1"/>
      </rPr>
      <t>/MJ to be converted to t CO</t>
    </r>
    <r>
      <rPr>
        <vertAlign val="subscript"/>
        <sz val="11"/>
        <rFont val="Times New Roman"/>
        <family val="1"/>
      </rPr>
      <t xml:space="preserve">2 </t>
    </r>
    <r>
      <rPr>
        <sz val="11"/>
        <rFont val="Times New Roman"/>
        <family val="1"/>
      </rPr>
      <t>/TJ</t>
    </r>
  </si>
  <si>
    <t>Carbon emission factor of coal.</t>
  </si>
  <si>
    <r>
      <t>95.8 gCO</t>
    </r>
    <r>
      <rPr>
        <vertAlign val="subscript"/>
        <sz val="11"/>
        <rFont val="Times New Roman"/>
        <family val="1"/>
      </rPr>
      <t>2</t>
    </r>
    <r>
      <rPr>
        <sz val="11"/>
        <rFont val="Times New Roman"/>
        <family val="1"/>
      </rPr>
      <t>/MJ * 10^6 / 10^6 = 95.8 tCO</t>
    </r>
    <r>
      <rPr>
        <vertAlign val="subscript"/>
        <sz val="11"/>
        <rFont val="Times New Roman"/>
        <family val="1"/>
      </rPr>
      <t>2</t>
    </r>
    <r>
      <rPr>
        <sz val="11"/>
        <rFont val="Times New Roman"/>
        <family val="1"/>
      </rPr>
      <t>/TJ</t>
    </r>
  </si>
  <si>
    <r>
      <t>OXID</t>
    </r>
    <r>
      <rPr>
        <vertAlign val="subscript"/>
        <sz val="11"/>
        <rFont val="Times New Roman"/>
        <family val="1"/>
      </rPr>
      <t>coal</t>
    </r>
  </si>
  <si>
    <t>Oxidation factor of coal.</t>
  </si>
  <si>
    <r>
      <t>η</t>
    </r>
    <r>
      <rPr>
        <vertAlign val="subscript"/>
        <sz val="11"/>
        <rFont val="Times New Roman"/>
        <family val="1"/>
      </rPr>
      <t>BL</t>
    </r>
  </si>
  <si>
    <t xml:space="preserve">% (expressed in decimals e.g. 40% is expressed as 0.40) </t>
  </si>
  <si>
    <t>The energy efficiency of technology in the most likely baseline scenario.</t>
  </si>
  <si>
    <t>Data has been collected from official source.</t>
  </si>
  <si>
    <t>Nil.</t>
  </si>
  <si>
    <r>
      <t xml:space="preserve">EF </t>
    </r>
    <r>
      <rPr>
        <vertAlign val="subscript"/>
        <sz val="11"/>
        <rFont val="Times New Roman"/>
        <family val="1"/>
      </rPr>
      <t>NG, upstream, CH4</t>
    </r>
    <r>
      <rPr>
        <sz val="11"/>
        <rFont val="Times New Roman"/>
        <family val="1"/>
      </rPr>
      <t xml:space="preserve"> </t>
    </r>
  </si>
  <si>
    <r>
      <t>t CH</t>
    </r>
    <r>
      <rPr>
        <vertAlign val="subscript"/>
        <sz val="11"/>
        <rFont val="Times New Roman"/>
        <family val="1"/>
      </rPr>
      <t>4</t>
    </r>
    <r>
      <rPr>
        <sz val="11"/>
        <rFont val="Times New Roman"/>
        <family val="1"/>
      </rPr>
      <t xml:space="preserve"> / GJ</t>
    </r>
  </si>
  <si>
    <r>
      <t>Emission factor for upstream fugitive methane emissions of natural gas from production, transportation, distribution, and, in the case of LNG, liquefaction, transportation, re-gasification and compression into a transmission or distribution system, in tCH</t>
    </r>
    <r>
      <rPr>
        <vertAlign val="subscript"/>
        <sz val="11"/>
        <rFont val="Times New Roman"/>
        <family val="1"/>
      </rPr>
      <t>4</t>
    </r>
    <r>
      <rPr>
        <sz val="11"/>
        <rFont val="Times New Roman"/>
        <family val="1"/>
      </rPr>
      <t xml:space="preserve"> per GJ fuel supplied to final consumers.</t>
    </r>
  </si>
  <si>
    <t>Table- 2 of AM0029.</t>
  </si>
  <si>
    <r>
      <t>0.00016 t CH</t>
    </r>
    <r>
      <rPr>
        <vertAlign val="subscript"/>
        <sz val="11"/>
        <rFont val="Times New Roman"/>
        <family val="1"/>
      </rPr>
      <t>4</t>
    </r>
    <r>
      <rPr>
        <sz val="11"/>
        <rFont val="Times New Roman"/>
        <family val="1"/>
      </rPr>
      <t>/ GJ</t>
    </r>
  </si>
  <si>
    <t>Data has been collected from official sources. US/Canada values have been chosen. The justification for the same in given in section 6.1 (C-1).</t>
  </si>
  <si>
    <t xml:space="preserve">Estimation of </t>
  </si>
  <si>
    <t xml:space="preserve">Estimations of </t>
  </si>
  <si>
    <t>Baseline emissions</t>
  </si>
  <si>
    <t>Leakages</t>
  </si>
  <si>
    <t xml:space="preserve">overall emissions </t>
  </si>
  <si>
    <r>
      <t>(tonnes CO</t>
    </r>
    <r>
      <rPr>
        <b/>
        <vertAlign val="subscript"/>
        <sz val="11"/>
        <rFont val="Times New Roman"/>
        <family val="1"/>
      </rPr>
      <t>2</t>
    </r>
    <r>
      <rPr>
        <b/>
        <sz val="11"/>
        <rFont val="Times New Roman"/>
        <family val="1"/>
      </rPr>
      <t>e)</t>
    </r>
  </si>
  <si>
    <t>reductions</t>
  </si>
  <si>
    <r>
      <t>Table 1-3  Emission Co-officient for Gas (COEF</t>
    </r>
    <r>
      <rPr>
        <vertAlign val="subscript"/>
        <sz val="11"/>
        <rFont val="Times New Roman"/>
        <family val="1"/>
      </rPr>
      <t xml:space="preserve"> f,y</t>
    </r>
    <r>
      <rPr>
        <sz val="11"/>
        <rFont val="Times New Roman"/>
        <family val="1"/>
      </rPr>
      <t xml:space="preserve"> )</t>
    </r>
  </si>
  <si>
    <t xml:space="preserve">note 8) Data collected from IPCC Fourth Assessment Report: Climate Change 2007
</t>
  </si>
  <si>
    <r>
      <t xml:space="preserve">Net Calorific Value of natural gas combusted ( NCV  </t>
    </r>
    <r>
      <rPr>
        <vertAlign val="subscript"/>
        <sz val="11"/>
        <rFont val="Times New Roman"/>
        <family val="1"/>
      </rPr>
      <t xml:space="preserve">y </t>
    </r>
    <r>
      <rPr>
        <sz val="11"/>
        <rFont val="Times New Roman"/>
        <family val="1"/>
      </rPr>
      <t>) (note-4)</t>
    </r>
  </si>
  <si>
    <t>JHARKHAND</t>
  </si>
  <si>
    <t>TATA PCL</t>
  </si>
  <si>
    <t>CESC</t>
  </si>
  <si>
    <t>BUDGE BUDGE</t>
  </si>
  <si>
    <t>KOTA</t>
  </si>
  <si>
    <t>NPC</t>
  </si>
  <si>
    <t>NUCLEAR</t>
  </si>
  <si>
    <t>R.A.P.S.</t>
  </si>
  <si>
    <t>DADRI (NCTPP)</t>
  </si>
  <si>
    <t>HIMACHAL</t>
  </si>
  <si>
    <t>KUTCH LIG.</t>
  </si>
  <si>
    <t>KORBA-V</t>
  </si>
  <si>
    <t>TROMBAY_Coal</t>
  </si>
  <si>
    <t>CHHABRA TPS</t>
  </si>
  <si>
    <t>UTRAN CCCP EXT</t>
  </si>
  <si>
    <t>ROSA TPP PH - 1</t>
  </si>
  <si>
    <t>ROSA POWER COMPANY</t>
  </si>
  <si>
    <t>PATHADI TPS PH -I</t>
  </si>
  <si>
    <t>LANCO AMARKANTAK</t>
  </si>
  <si>
    <t>MUNDRA TPP PH-I</t>
  </si>
  <si>
    <t>ADANI POWER LTD</t>
  </si>
  <si>
    <t>JALLIPPA KAPURDI TPP</t>
  </si>
  <si>
    <t>RAJ WEST POWER LTD (jsw)</t>
  </si>
  <si>
    <r>
      <t xml:space="preserve">Build Margin Emission factor ( EF </t>
    </r>
    <r>
      <rPr>
        <vertAlign val="subscript"/>
        <sz val="11"/>
        <rFont val="Times New Roman"/>
        <family val="1"/>
      </rPr>
      <t>BM,y</t>
    </r>
    <r>
      <rPr>
        <sz val="11"/>
        <rFont val="Times New Roman"/>
        <family val="1"/>
      </rPr>
      <t>) (note-1)</t>
    </r>
  </si>
  <si>
    <t>Combined Margin Emission factor (note-1)</t>
  </si>
  <si>
    <r>
      <t>note 2) Refer to "Working note-1:Calculation of CO</t>
    </r>
    <r>
      <rPr>
        <vertAlign val="subscript"/>
        <sz val="11"/>
        <rFont val="Times New Roman"/>
        <family val="1"/>
      </rPr>
      <t>2</t>
    </r>
    <r>
      <rPr>
        <sz val="11"/>
        <rFont val="Times New Roman"/>
        <family val="1"/>
      </rPr>
      <t xml:space="preserve"> Emission Co-efficient ( COEF </t>
    </r>
    <r>
      <rPr>
        <vertAlign val="subscript"/>
        <sz val="11"/>
        <rFont val="Times New Roman"/>
        <family val="1"/>
      </rPr>
      <t>BL</t>
    </r>
    <r>
      <rPr>
        <sz val="11"/>
        <rFont val="Times New Roman"/>
        <family val="1"/>
      </rPr>
      <t>)"</t>
    </r>
  </si>
  <si>
    <t>note 3) CERC 2009 Regulations</t>
  </si>
  <si>
    <r>
      <t>CO</t>
    </r>
    <r>
      <rPr>
        <vertAlign val="subscript"/>
        <sz val="11"/>
        <rFont val="Times New Roman"/>
        <family val="1"/>
      </rPr>
      <t>2</t>
    </r>
    <r>
      <rPr>
        <sz val="11"/>
        <rFont val="Times New Roman"/>
        <family val="1"/>
      </rPr>
      <t xml:space="preserve"> Emission Co-efficient ( COEF </t>
    </r>
    <r>
      <rPr>
        <vertAlign val="subscript"/>
        <sz val="11"/>
        <rFont val="Times New Roman"/>
        <family val="1"/>
      </rPr>
      <t>BL</t>
    </r>
    <r>
      <rPr>
        <sz val="11"/>
        <rFont val="Times New Roman"/>
        <family val="1"/>
      </rPr>
      <t>) (note-2)</t>
    </r>
  </si>
  <si>
    <r>
      <t xml:space="preserve">Energy Efficiency (η </t>
    </r>
    <r>
      <rPr>
        <vertAlign val="subscript"/>
        <sz val="11"/>
        <rFont val="Times New Roman"/>
        <family val="1"/>
      </rPr>
      <t>BL</t>
    </r>
    <r>
      <rPr>
        <sz val="11"/>
        <rFont val="Times New Roman"/>
        <family val="1"/>
      </rPr>
      <t xml:space="preserve"> ) (note-3)</t>
    </r>
  </si>
  <si>
    <t>Net Calorific value (note-4)</t>
  </si>
  <si>
    <r>
      <t>CO</t>
    </r>
    <r>
      <rPr>
        <vertAlign val="subscript"/>
        <sz val="11"/>
        <rFont val="Times New Roman"/>
        <family val="1"/>
      </rPr>
      <t>2</t>
    </r>
    <r>
      <rPr>
        <sz val="11"/>
        <rFont val="Times New Roman"/>
        <family val="1"/>
      </rPr>
      <t xml:space="preserve"> Emission Factor ( note-4)</t>
    </r>
  </si>
  <si>
    <t>Oxidation factor (note-4)</t>
  </si>
  <si>
    <r>
      <t>CO</t>
    </r>
    <r>
      <rPr>
        <vertAlign val="subscript"/>
        <sz val="11"/>
        <rFont val="Times New Roman"/>
        <family val="1"/>
      </rPr>
      <t>2</t>
    </r>
    <r>
      <rPr>
        <sz val="11"/>
        <rFont val="Times New Roman"/>
        <family val="1"/>
      </rPr>
      <t xml:space="preserve"> Emission Co-efficient (COEF </t>
    </r>
    <r>
      <rPr>
        <vertAlign val="subscript"/>
        <sz val="11"/>
        <rFont val="Times New Roman"/>
        <family val="1"/>
      </rPr>
      <t>BL</t>
    </r>
    <r>
      <rPr>
        <sz val="11"/>
        <rFont val="Times New Roman"/>
        <family val="1"/>
      </rPr>
      <t>) (note-5)</t>
    </r>
  </si>
  <si>
    <t>note 4) Collected from, CO2  baseline data base issued by CEA, Ministry of Power Government.</t>
  </si>
  <si>
    <r>
      <t xml:space="preserve">note 5) COEF </t>
    </r>
    <r>
      <rPr>
        <vertAlign val="subscript"/>
        <sz val="11"/>
        <rFont val="Times New Roman"/>
        <family val="1"/>
      </rPr>
      <t>BL</t>
    </r>
    <r>
      <rPr>
        <sz val="11"/>
        <rFont val="Times New Roman"/>
        <family val="1"/>
      </rPr>
      <t xml:space="preserve"> = NCV * EF </t>
    </r>
    <r>
      <rPr>
        <vertAlign val="subscript"/>
        <sz val="11"/>
        <rFont val="Times New Roman"/>
        <family val="1"/>
      </rPr>
      <t>CO2</t>
    </r>
    <r>
      <rPr>
        <sz val="11"/>
        <rFont val="Times New Roman"/>
        <family val="1"/>
      </rPr>
      <t xml:space="preserve"> * OXID</t>
    </r>
  </si>
  <si>
    <r>
      <t xml:space="preserve">Project Emissions (PE </t>
    </r>
    <r>
      <rPr>
        <b/>
        <vertAlign val="subscript"/>
        <sz val="11"/>
        <rFont val="Times New Roman"/>
        <family val="1"/>
      </rPr>
      <t>y</t>
    </r>
    <r>
      <rPr>
        <b/>
        <sz val="11"/>
        <rFont val="Times New Roman"/>
        <family val="1"/>
      </rPr>
      <t>) (as per equation no-1 of AM0029)</t>
    </r>
  </si>
  <si>
    <t>* 2013- 2014 from 2nd April 2013</t>
  </si>
  <si>
    <t>Total (tonnes of CO2e)</t>
  </si>
  <si>
    <t>Table S-1 of CO2 Baseline Database March, 2011 issued by CEA, Ministry of Power, Government of India for NEWNE Grid (http://www.cea.nic.in/reports/planning/cdm_co2/cdm_co2.htm)</t>
  </si>
  <si>
    <r>
      <t>GCV and conversion factor (GCV to NCV) sourced from “CO</t>
    </r>
    <r>
      <rPr>
        <vertAlign val="subscript"/>
        <sz val="11"/>
        <rFont val="Times New Roman"/>
        <family val="1"/>
      </rPr>
      <t>2</t>
    </r>
    <r>
      <rPr>
        <sz val="11"/>
        <rFont val="Times New Roman"/>
        <family val="1"/>
      </rPr>
      <t xml:space="preserve"> Baseline Database of the Indian Power Sector, March 2011, issued by Central Electricity Authority, Ministry of Power, Government of India” (http://www.cea.nic.in/reports/planning/cdm_co2/cdm_co2.htm)</t>
    </r>
  </si>
  <si>
    <t>CO2 Baseline Database of the Indian Power Sector, March 2011, issued by Central Electricity Authority, Ministry of Power, Government of India” (http://www.cea.nic.in/reports/planning/cdm_co2/cdm_co2.htm)</t>
  </si>
  <si>
    <r>
      <t xml:space="preserve">NCV </t>
    </r>
    <r>
      <rPr>
        <vertAlign val="subscript"/>
        <sz val="11"/>
        <rFont val="Times New Roman"/>
        <family val="1"/>
      </rPr>
      <t>coal</t>
    </r>
  </si>
  <si>
    <t>Specification of super critical coal-fired power plant according to the heat rate (9.97 MJ/kWh) applied by Central Electricity Regulatory Commission (Terms &amp; conditions of Tariff) Regulations, 2009(www.cercind.gov.in)</t>
  </si>
  <si>
    <t>50% of the Electricity evacuated to the grid*</t>
  </si>
  <si>
    <t>"*" 50% of the power evacuated to the grid is expected to be generated using LNG</t>
  </si>
  <si>
    <r>
      <t>2013 (From 2</t>
    </r>
    <r>
      <rPr>
        <vertAlign val="superscript"/>
        <sz val="11"/>
        <rFont val="Times New Roman"/>
        <family val="1"/>
      </rPr>
      <t>nd</t>
    </r>
    <r>
      <rPr>
        <sz val="11"/>
        <rFont val="Times New Roman"/>
        <family val="1"/>
      </rPr>
      <t xml:space="preserve"> April)</t>
    </r>
  </si>
  <si>
    <r>
      <t>2023 (Until 1</t>
    </r>
    <r>
      <rPr>
        <vertAlign val="superscript"/>
        <sz val="11"/>
        <rFont val="Times New Roman"/>
        <family val="1"/>
      </rPr>
      <t>st</t>
    </r>
    <r>
      <rPr>
        <sz val="11"/>
        <rFont val="Times New Roman"/>
        <family val="1"/>
      </rPr>
      <t xml:space="preserve"> April)</t>
    </r>
  </si>
  <si>
    <t>Gross Calorific value of  Gas  (note-1)</t>
  </si>
  <si>
    <t>Imported LNG**</t>
  </si>
  <si>
    <t>Domestic Gas*</t>
  </si>
  <si>
    <t>**ncv taken from http://wtocentre.iift.ac.in/DOC/subsidies%20discipline%20final%20report-Natural%20resourse%20Pricing1.pdf</t>
  </si>
  <si>
    <t>*ncv taken from http://www.indianexpress.com/news/govt-allocates-kgd6-gas-to-power-sector/445266/</t>
  </si>
  <si>
    <t xml:space="preserve">project activity </t>
  </si>
  <si>
    <t>emissions</t>
  </si>
  <si>
    <t>Annual average over the crediting period of estimated reductions ( tonnes of CO2e)</t>
  </si>
  <si>
    <t xml:space="preserve">weightes applied are .5 and .5 respectively </t>
  </si>
  <si>
    <t>note 8) Calculated as weighted average NCV of Reliance and Petronet LNG</t>
  </si>
  <si>
    <t xml:space="preserve">                          Fuel Type
Parameters</t>
  </si>
  <si>
    <t>Gas</t>
  </si>
  <si>
    <t>Source</t>
  </si>
  <si>
    <t xml:space="preserve">Net Electricity Generated </t>
  </si>
  <si>
    <t xml:space="preserve">Absolute Emissions </t>
  </si>
  <si>
    <t>tCO2</t>
  </si>
  <si>
    <t>GCV(Gross Calorific Value) of Fuel</t>
  </si>
  <si>
    <t>kCal/kg</t>
  </si>
  <si>
    <t>TJ/ktCoal</t>
  </si>
  <si>
    <t xml:space="preserve">Carbon Emission Factor </t>
  </si>
  <si>
    <t>tCO2/TJ</t>
  </si>
  <si>
    <t xml:space="preserve">Oxidation Factor </t>
  </si>
  <si>
    <t>-</t>
  </si>
  <si>
    <t>Energy Content of Fuel Consumed</t>
  </si>
  <si>
    <t>Quantity of Fuel Consumed</t>
  </si>
  <si>
    <t>kton</t>
  </si>
  <si>
    <t xml:space="preserve">Fugitive Methane Emission Factor </t>
  </si>
  <si>
    <t>tCH4/kton</t>
  </si>
  <si>
    <t>tCH4/PJ</t>
  </si>
  <si>
    <t>Emissions</t>
  </si>
  <si>
    <t>tCH4</t>
  </si>
  <si>
    <t>Total Emissions</t>
  </si>
  <si>
    <t>Total Generation in Build Margin</t>
  </si>
  <si>
    <t xml:space="preserve">Emission factor for upstream fugitive methane emissions occurring in the absence of the project activity </t>
  </si>
  <si>
    <t>tCH4/MWh</t>
  </si>
  <si>
    <t>Source:</t>
  </si>
  <si>
    <t xml:space="preserve"> Methodology AM 0029, version 03</t>
  </si>
  <si>
    <t>Note 1</t>
  </si>
  <si>
    <t>Note 2</t>
  </si>
  <si>
    <t>Note 3</t>
  </si>
  <si>
    <t>note 3) GCV of LNG supplied by Reliance and Petronet LNG       Calculated as NCV *1.1 Conversion factor</t>
  </si>
  <si>
    <t>note 1) CO2 Baseline Database January ,2012 issued by CEA, Ministry of Power, Government of India</t>
  </si>
  <si>
    <t xml:space="preserve"> of India in January, 2012</t>
  </si>
  <si>
    <t>note 6) Collected from official source i.e CERC Tariff Regulations 2009</t>
  </si>
  <si>
    <t xml:space="preserve">note 7)Based on EPC Contractors's guarantee </t>
  </si>
  <si>
    <t>Conversion factor (NCV to GCV) of 1.10 provided in CO2 baseline database for indian power sector January, 2012 issued by CEA, Ministry of Power, Government Of India.</t>
  </si>
  <si>
    <t xml:space="preserve">note 2) Collected from AM0029 Version 3.0 </t>
  </si>
  <si>
    <t>S_NO</t>
  </si>
  <si>
    <t>CAPACITY MW AS ON 31/03/2011</t>
  </si>
  <si>
    <t>2010-11
Net 
Generation 
GWh</t>
  </si>
  <si>
    <t>2010-11
Absolute
Emissions
t CO2</t>
  </si>
  <si>
    <t>2010-11
Specific 
Emissions
t CO2/MWh</t>
  </si>
  <si>
    <t>2010-11
in 
Operating 
Margin</t>
  </si>
  <si>
    <t>2010-11
in 
Build 
Margin</t>
  </si>
  <si>
    <t>CHANDRAPURA</t>
  </si>
  <si>
    <t>FARAKKA STPS</t>
  </si>
  <si>
    <t>BARAMURA</t>
  </si>
  <si>
    <t>SURATGARH</t>
  </si>
  <si>
    <t>SURAT LIG.</t>
  </si>
  <si>
    <t>GIPCL</t>
  </si>
  <si>
    <t>KORBA STPS</t>
  </si>
  <si>
    <t>RAJIV GANDHI  TPS HISAR</t>
  </si>
  <si>
    <t xml:space="preserve">MUNDRA TPP </t>
  </si>
  <si>
    <t>BARSINGAR LIGNITE</t>
  </si>
  <si>
    <t>NLC</t>
  </si>
  <si>
    <t>SEWA-II</t>
  </si>
  <si>
    <t>WARDHA WARORA</t>
  </si>
  <si>
    <t>WARDHA POWER</t>
  </si>
  <si>
    <t>ALLAIN DUHANGAN</t>
  </si>
  <si>
    <t>ADHPL</t>
  </si>
  <si>
    <t>RITHALA CCCP</t>
  </si>
  <si>
    <t>DELHI</t>
  </si>
  <si>
    <t>NDPL</t>
  </si>
  <si>
    <t>KOTESHWAR</t>
  </si>
  <si>
    <t>UTTARNCHAL</t>
  </si>
  <si>
    <t>PRAGATI CCCP -III</t>
  </si>
  <si>
    <t>PRAGATI POWER</t>
  </si>
  <si>
    <t>MEJIA TPS EXT</t>
  </si>
  <si>
    <t>INDRA GANDHI STPP</t>
  </si>
  <si>
    <t>APCPL</t>
  </si>
  <si>
    <t>JSW RATNAGIRI TPP</t>
  </si>
  <si>
    <t>JSW ENERGY</t>
  </si>
  <si>
    <t xml:space="preserve">Total </t>
  </si>
  <si>
    <t>Grand Total</t>
  </si>
  <si>
    <t>Net Station Heat Rate on GCV ( note 7)</t>
  </si>
  <si>
    <t>Net Station Heat rate on GCV ( note-1)</t>
  </si>
  <si>
    <t>1.10 factor has been taken from CO2 Baseline Database January ,2012 issued by CEA, Ministry of Power, Government of India</t>
  </si>
  <si>
    <t>2010-11</t>
  </si>
  <si>
    <t>Low Cost % of  Total Generation in the Baseline Grid i.e. NEWNE</t>
  </si>
  <si>
    <r>
      <t>Data Source: CO</t>
    </r>
    <r>
      <rPr>
        <vertAlign val="subscript"/>
        <sz val="10"/>
        <rFont val="Arial"/>
        <family val="2"/>
      </rPr>
      <t>2</t>
    </r>
    <r>
      <rPr>
        <sz val="10"/>
        <rFont val="Arial"/>
        <family val="2"/>
      </rPr>
      <t xml:space="preserve"> Baseline Database for the Indian Power Sector issued by Central Electricity Authority, Ministry Of Power, Government of India January, 2012) </t>
    </r>
  </si>
  <si>
    <r>
      <t>CO</t>
    </r>
    <r>
      <rPr>
        <vertAlign val="subscript"/>
        <sz val="11"/>
        <rFont val="Times New Roman"/>
        <family val="1"/>
      </rPr>
      <t>2</t>
    </r>
    <r>
      <rPr>
        <sz val="11"/>
        <rFont val="Times New Roman"/>
        <family val="1"/>
      </rPr>
      <t xml:space="preserve"> Baseline Database for Indian Power Sector, published by Central Electricity Authority, Ministry of Power, Government of India, version 7, January 2012</t>
    </r>
  </si>
  <si>
    <t>Absolute emissions = Fuel consumption* GCV of fuel* Carbon emission factor* Oxidation factor (Source: CO2 Baseline Database for Indian Power Sector, published by Central Electricity Authority, Ministry of Power, Government of India, version 7, January 2012)</t>
  </si>
  <si>
    <r>
      <t>Section:6 Emission factor for upstream fugitive methane emissions occurring in the absence of the project activity in tCH4 per MWh electricity generation in the project plant (EF</t>
    </r>
    <r>
      <rPr>
        <b/>
        <u/>
        <vertAlign val="subscript"/>
        <sz val="11"/>
        <rFont val="Times New Roman"/>
        <family val="1"/>
      </rPr>
      <t>BL,upstream,CH4</t>
    </r>
    <r>
      <rPr>
        <b/>
        <u/>
        <sz val="11"/>
        <rFont val="Times New Roman"/>
        <family val="1"/>
      </rPr>
      <t>)</t>
    </r>
  </si>
  <si>
    <t>note 5) 85% basedBased on Central Electricity Regulatory Commission (Terms &amp; conditions of Tariff) Regulations, 2009</t>
  </si>
  <si>
    <t>Report on Gujarat Lignite Resources and Scope for Joint Sector Thermal Power and SSI Project (Annexure IV)</t>
  </si>
  <si>
    <t>Absolute Emission calculation in tCO2 of Coal /Lignite based plants for Primarly Fuel</t>
  </si>
  <si>
    <t xml:space="preserve">Coal </t>
  </si>
  <si>
    <t>CO2 Baseline Database for Indian Power Sector, published by Central Electricity Authority, Ministry of Power, Government of India, version 7, January 2012</t>
  </si>
  <si>
    <t>Appendix B - CO2 Baseline Database for Indian Power Sector, published by Central Electricity Authority, Ministry of Power, Government of India, version 7, January 2012</t>
  </si>
  <si>
    <t xml:space="preserve">It may be noted that absolute emissions in the database have been calculated by considering both primary and secondary fuels and directly provided in the database. As  per the database, it is evident that the secondary fuel used in coal and lignite based power plants is oil. Hence, the absolute emission has been reduced to such extent of absolute emission of secondary fuel (without considering its Fugitive Methane Emission) from total absolute emission given in the database for coal and lignite based power plant in order to be conservative. </t>
  </si>
  <si>
    <t>Specific secondary fuel oil Consumption in ml/kwh(gross)  [D]</t>
  </si>
  <si>
    <t>Total secondary fuel oil Consumption in litre [F]=[E]/1000</t>
  </si>
  <si>
    <t>1 litre = kg [G]</t>
  </si>
  <si>
    <t>Total secondary fuel oil consumption in kg [H]=[F]*[G]</t>
  </si>
  <si>
    <t>Gross Calorific Value of Oil (kCal/kg)  [I]</t>
  </si>
  <si>
    <t>Carbon Emission Factor tCO2/TJ  [J]</t>
  </si>
  <si>
    <t>Oxidation Factor  [K]</t>
  </si>
  <si>
    <t>Absolute Emission in tCO2 for secondary fuel (Oil)  [L]=[H]*[I]*[J]*[K]*4.186/10^9</t>
  </si>
  <si>
    <t>Absolute Emission in tCO2 of Coal /Lignite based plants   [M]</t>
  </si>
  <si>
    <t>Absolute Emission in tCO2 of Coal /Lignite based plants (Primarly Fuel Only) [N]=[M]-[L]</t>
  </si>
  <si>
    <t>Aux. Consumption  in %             [B]</t>
  </si>
  <si>
    <t>Total Gross Generation in GWh  [C]=[A]/1-[B]</t>
  </si>
  <si>
    <t>Total Net Generation in GWh      [A]</t>
  </si>
  <si>
    <t>Total secondary fuel oil Consumption in ml
[E]=[[C]*[D]*10^6</t>
  </si>
  <si>
    <r>
      <rPr>
        <b/>
        <sz val="11"/>
        <rFont val="Times New Roman"/>
        <family val="1"/>
      </rPr>
      <t>Note:4</t>
    </r>
    <r>
      <rPr>
        <sz val="11"/>
        <rFont val="Times New Roman"/>
        <family val="1"/>
      </rPr>
      <t xml:space="preserve"> However, the secondary fuel mentioned for Naphtha based plants is natural gas. As the Fugitive Methane emission Factor of gas (160 tCH4/ PJ) is higher than that of Naphtha (4.1 tCH4/PJ), to be conservative the entire fuel consumption (including secondary fuel) has been considered as Naphtha only for the calculation of absolute emission of the Naphtha based plants (i.e. lower value of EF</t>
    </r>
    <r>
      <rPr>
        <vertAlign val="subscript"/>
        <sz val="11"/>
        <rFont val="Times New Roman"/>
        <family val="1"/>
      </rPr>
      <t>BL,upstream,CH4</t>
    </r>
    <r>
      <rPr>
        <sz val="11"/>
        <rFont val="Times New Roman"/>
        <family val="1"/>
      </rPr>
      <t xml:space="preserve"> resulting in higher leakage emissions and thus lower emission reduction by the project activity).</t>
    </r>
  </si>
  <si>
    <r>
      <rPr>
        <b/>
        <sz val="11"/>
        <rFont val="Times New Roman"/>
        <family val="1"/>
      </rPr>
      <t>Note-5:</t>
    </r>
    <r>
      <rPr>
        <sz val="11"/>
        <rFont val="Times New Roman"/>
        <family val="1"/>
      </rPr>
      <t xml:space="preserve"> The CEA data based version 07 that gas base plants used in the build margin calculation do not involve secondary fuel.</t>
    </r>
  </si>
</sst>
</file>

<file path=xl/styles.xml><?xml version="1.0" encoding="utf-8"?>
<styleSheet xmlns="http://schemas.openxmlformats.org/spreadsheetml/2006/main">
  <numFmts count="13">
    <numFmt numFmtId="43" formatCode="_(* #,##0.00_);_(* \(#,##0.00\);_(* &quot;-&quot;??_);_(@_)"/>
    <numFmt numFmtId="164" formatCode="0.00000000"/>
    <numFmt numFmtId="165" formatCode="0.000000000"/>
    <numFmt numFmtId="166" formatCode="0.000"/>
    <numFmt numFmtId="167" formatCode="0.0000"/>
    <numFmt numFmtId="168" formatCode="0.00000"/>
    <numFmt numFmtId="169" formatCode="0.0"/>
    <numFmt numFmtId="170" formatCode="_(* #,##0.0000_);_(* \(#,##0.0000\);_(* &quot;-&quot;??_);_(@_)"/>
    <numFmt numFmtId="171" formatCode="0.000000"/>
    <numFmt numFmtId="172" formatCode="_(* #,##0_);_(* \(#,##0\);_(* &quot;-&quot;??_);_(@_)"/>
    <numFmt numFmtId="173" formatCode="_(* #,##0.00000_);_(* \(#,##0.00000\);_(* &quot;-&quot;??_);_(@_)"/>
    <numFmt numFmtId="174" formatCode="#,##0.000000000"/>
    <numFmt numFmtId="175" formatCode="_(* #,##0.000000_);_(* \(#,##0.000000\);_(* &quot;-&quot;??_);_(@_)"/>
  </numFmts>
  <fonts count="32">
    <font>
      <sz val="10"/>
      <name val="Arial"/>
    </font>
    <font>
      <sz val="8"/>
      <name val="Arial"/>
      <family val="2"/>
    </font>
    <font>
      <sz val="10"/>
      <name val="Arial"/>
      <family val="2"/>
    </font>
    <font>
      <sz val="11"/>
      <name val="Times New Roman"/>
      <family val="1"/>
    </font>
    <font>
      <b/>
      <u/>
      <sz val="11"/>
      <name val="Times New Roman"/>
      <family val="1"/>
    </font>
    <font>
      <b/>
      <u/>
      <vertAlign val="subscript"/>
      <sz val="11"/>
      <name val="Times New Roman"/>
      <family val="1"/>
    </font>
    <font>
      <vertAlign val="subscript"/>
      <sz val="11"/>
      <name val="Times New Roman"/>
      <family val="1"/>
    </font>
    <font>
      <b/>
      <sz val="11"/>
      <name val="Times New Roman"/>
      <family val="1"/>
    </font>
    <font>
      <vertAlign val="superscript"/>
      <sz val="11"/>
      <name val="Times New Roman"/>
      <family val="1"/>
    </font>
    <font>
      <b/>
      <vertAlign val="subscript"/>
      <sz val="11"/>
      <name val="Times New Roman"/>
      <family val="1"/>
    </font>
    <font>
      <b/>
      <vertAlign val="superscript"/>
      <sz val="11"/>
      <name val="Times New Roman"/>
      <family val="1"/>
    </font>
    <font>
      <b/>
      <sz val="10"/>
      <name val="Arial"/>
      <family val="2"/>
    </font>
    <font>
      <b/>
      <sz val="8"/>
      <name val="Arial"/>
      <family val="2"/>
    </font>
    <font>
      <sz val="10"/>
      <name val="Arial"/>
      <family val="2"/>
    </font>
    <font>
      <sz val="11"/>
      <color rgb="FF000000"/>
      <name val="Times New Roman"/>
      <family val="1"/>
    </font>
    <font>
      <vertAlign val="subscript"/>
      <sz val="10"/>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0"/>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10"/>
      <name val="Arial"/>
    </font>
  </fonts>
  <fills count="27">
    <fill>
      <patternFill patternType="none"/>
    </fill>
    <fill>
      <patternFill patternType="gray125"/>
    </fill>
    <fill>
      <patternFill patternType="solid">
        <fgColor rgb="FFB3B3B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13"/>
        <bgColor indexed="64"/>
      </patternFill>
    </fill>
  </fills>
  <borders count="54">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s>
  <cellStyleXfs count="45">
    <xf numFmtId="0" fontId="0" fillId="0" borderId="0"/>
    <xf numFmtId="43" fontId="13" fillId="0" borderId="0" applyFont="0" applyFill="0" applyBorder="0" applyAlignment="0" applyProtection="0"/>
    <xf numFmtId="0" fontId="2" fillId="0" borderId="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6" fillId="12" borderId="0" applyNumberFormat="0" applyBorder="0" applyAlignment="0" applyProtection="0"/>
    <xf numFmtId="0" fontId="17" fillId="13"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8" fillId="17" borderId="29" applyNumberFormat="0" applyAlignment="0" applyProtection="0"/>
    <xf numFmtId="0" fontId="19" fillId="0" borderId="30" applyNumberFormat="0" applyFill="0" applyAlignment="0" applyProtection="0"/>
    <xf numFmtId="0" fontId="20" fillId="18" borderId="31" applyNumberFormat="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22" borderId="0" applyNumberFormat="0" applyBorder="0" applyAlignment="0" applyProtection="0"/>
    <xf numFmtId="0" fontId="21" fillId="23" borderId="0" applyNumberFormat="0" applyBorder="0" applyAlignment="0" applyProtection="0"/>
    <xf numFmtId="0" fontId="2" fillId="24" borderId="32" applyNumberFormat="0" applyFon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33" applyNumberFormat="0" applyFill="0" applyAlignment="0" applyProtection="0"/>
    <xf numFmtId="0" fontId="26" fillId="0" borderId="34" applyNumberFormat="0" applyFill="0" applyAlignment="0" applyProtection="0"/>
    <xf numFmtId="0" fontId="27" fillId="0" borderId="35" applyNumberFormat="0" applyFill="0" applyAlignment="0" applyProtection="0"/>
    <xf numFmtId="0" fontId="27" fillId="0" borderId="0" applyNumberFormat="0" applyFill="0" applyBorder="0" applyAlignment="0" applyProtection="0"/>
    <xf numFmtId="0" fontId="28" fillId="0" borderId="36" applyNumberFormat="0" applyFill="0" applyAlignment="0" applyProtection="0"/>
    <xf numFmtId="0" fontId="29" fillId="4" borderId="0" applyNumberFormat="0" applyBorder="0" applyAlignment="0" applyProtection="0"/>
    <xf numFmtId="0" fontId="30" fillId="5" borderId="0" applyNumberFormat="0" applyBorder="0" applyAlignment="0" applyProtection="0"/>
    <xf numFmtId="43" fontId="2"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cellStyleXfs>
  <cellXfs count="302">
    <xf numFmtId="0" fontId="0" fillId="0" borderId="0" xfId="0"/>
    <xf numFmtId="0" fontId="3" fillId="0" borderId="0" xfId="0" applyFont="1"/>
    <xf numFmtId="0" fontId="3" fillId="0" borderId="1" xfId="0" applyFont="1" applyFill="1" applyBorder="1"/>
    <xf numFmtId="0" fontId="7" fillId="0" borderId="8" xfId="0" applyFont="1" applyFill="1" applyBorder="1"/>
    <xf numFmtId="0" fontId="3" fillId="0" borderId="0" xfId="0" applyFont="1" applyFill="1" applyBorder="1"/>
    <xf numFmtId="0" fontId="7" fillId="0" borderId="6" xfId="0" applyFont="1" applyFill="1" applyBorder="1" applyAlignment="1">
      <alignment horizontal="center"/>
    </xf>
    <xf numFmtId="0" fontId="4" fillId="0" borderId="0" xfId="0" applyFont="1" applyAlignment="1">
      <alignment horizontal="center"/>
    </xf>
    <xf numFmtId="0" fontId="7" fillId="0" borderId="6" xfId="0" applyFont="1" applyFill="1" applyBorder="1"/>
    <xf numFmtId="0" fontId="4" fillId="0" borderId="0" xfId="0" applyFont="1" applyAlignment="1">
      <alignment horizontal="left"/>
    </xf>
    <xf numFmtId="0" fontId="3" fillId="0" borderId="0" xfId="0" applyFont="1" applyAlignment="1">
      <alignment horizontal="center"/>
    </xf>
    <xf numFmtId="0" fontId="3" fillId="0" borderId="2" xfId="0" applyFont="1" applyFill="1" applyBorder="1"/>
    <xf numFmtId="0" fontId="3" fillId="0" borderId="8" xfId="0" applyFont="1" applyFill="1" applyBorder="1"/>
    <xf numFmtId="0" fontId="3" fillId="0" borderId="0" xfId="0" applyFont="1" applyFill="1"/>
    <xf numFmtId="0" fontId="3" fillId="0" borderId="13" xfId="0" applyFont="1" applyFill="1" applyBorder="1"/>
    <xf numFmtId="0" fontId="3" fillId="0" borderId="4" xfId="0" applyFont="1" applyFill="1" applyBorder="1"/>
    <xf numFmtId="0" fontId="7" fillId="0" borderId="16" xfId="0" applyFont="1" applyFill="1" applyBorder="1" applyAlignment="1">
      <alignment horizontal="center"/>
    </xf>
    <xf numFmtId="0" fontId="3" fillId="0" borderId="6" xfId="0" applyFont="1" applyFill="1" applyBorder="1"/>
    <xf numFmtId="0" fontId="3" fillId="0" borderId="5" xfId="0" applyFont="1" applyFill="1" applyBorder="1"/>
    <xf numFmtId="168" fontId="3" fillId="0" borderId="6" xfId="0" applyNumberFormat="1" applyFont="1" applyFill="1" applyBorder="1" applyAlignment="1">
      <alignment horizontal="center"/>
    </xf>
    <xf numFmtId="2" fontId="3" fillId="0" borderId="6" xfId="0" applyNumberFormat="1" applyFont="1" applyFill="1" applyBorder="1" applyAlignment="1">
      <alignment horizontal="center"/>
    </xf>
    <xf numFmtId="164" fontId="3" fillId="0" borderId="12" xfId="0" applyNumberFormat="1" applyFont="1" applyFill="1" applyBorder="1" applyAlignment="1">
      <alignment horizontal="center"/>
    </xf>
    <xf numFmtId="0" fontId="3" fillId="0" borderId="11" xfId="0" applyFont="1" applyFill="1" applyBorder="1" applyAlignment="1">
      <alignment horizontal="center"/>
    </xf>
    <xf numFmtId="0" fontId="4" fillId="0" borderId="0" xfId="0" applyFont="1" applyFill="1"/>
    <xf numFmtId="1" fontId="3" fillId="0" borderId="6" xfId="0" applyNumberFormat="1" applyFont="1" applyFill="1" applyBorder="1" applyAlignment="1">
      <alignment horizontal="center"/>
    </xf>
    <xf numFmtId="166" fontId="3" fillId="0" borderId="6" xfId="0" applyNumberFormat="1" applyFont="1" applyFill="1" applyBorder="1" applyAlignment="1">
      <alignment horizontal="center"/>
    </xf>
    <xf numFmtId="0" fontId="7" fillId="0" borderId="9" xfId="0" applyFont="1" applyFill="1" applyBorder="1"/>
    <xf numFmtId="0" fontId="3" fillId="0" borderId="20" xfId="0" applyFont="1" applyFill="1" applyBorder="1"/>
    <xf numFmtId="0" fontId="3" fillId="0" borderId="16" xfId="0" applyFont="1" applyFill="1" applyBorder="1" applyAlignment="1">
      <alignment horizontal="center"/>
    </xf>
    <xf numFmtId="0" fontId="7" fillId="0" borderId="20" xfId="0" applyFont="1" applyFill="1" applyBorder="1"/>
    <xf numFmtId="164" fontId="7" fillId="0" borderId="9" xfId="0" applyNumberFormat="1" applyFont="1" applyFill="1" applyBorder="1" applyAlignment="1">
      <alignment horizontal="center"/>
    </xf>
    <xf numFmtId="0" fontId="4" fillId="0" borderId="0" xfId="0" applyFont="1" applyFill="1" applyAlignment="1">
      <alignment horizontal="center"/>
    </xf>
    <xf numFmtId="167" fontId="3" fillId="0" borderId="2" xfId="0" applyNumberFormat="1" applyFont="1" applyFill="1" applyBorder="1"/>
    <xf numFmtId="0" fontId="3" fillId="0" borderId="3" xfId="0" applyFont="1" applyFill="1" applyBorder="1" applyAlignment="1">
      <alignment horizontal="right"/>
    </xf>
    <xf numFmtId="0" fontId="7" fillId="0" borderId="10" xfId="0" applyFont="1" applyFill="1" applyBorder="1" applyAlignment="1">
      <alignment horizontal="right"/>
    </xf>
    <xf numFmtId="0" fontId="7" fillId="0" borderId="0" xfId="0" applyFont="1" applyFill="1"/>
    <xf numFmtId="0" fontId="3" fillId="0" borderId="0" xfId="0" applyFont="1" applyFill="1" applyBorder="1" applyAlignment="1">
      <alignment horizontal="right"/>
    </xf>
    <xf numFmtId="0" fontId="3" fillId="0" borderId="0" xfId="0" applyFont="1" applyFill="1" applyAlignment="1">
      <alignment horizontal="right"/>
    </xf>
    <xf numFmtId="0" fontId="7" fillId="0" borderId="4" xfId="0" applyFont="1" applyFill="1" applyBorder="1" applyAlignment="1">
      <alignment horizontal="center"/>
    </xf>
    <xf numFmtId="0" fontId="4" fillId="0" borderId="0" xfId="0" applyFont="1" applyFill="1" applyBorder="1"/>
    <xf numFmtId="1" fontId="3" fillId="0" borderId="2" xfId="0" applyNumberFormat="1" applyFont="1" applyFill="1" applyBorder="1"/>
    <xf numFmtId="0" fontId="2" fillId="0" borderId="0" xfId="0" applyFont="1" applyFill="1"/>
    <xf numFmtId="0" fontId="3" fillId="0" borderId="3" xfId="0" applyFont="1" applyFill="1" applyBorder="1"/>
    <xf numFmtId="0" fontId="3" fillId="0" borderId="2" xfId="0" applyFont="1" applyFill="1" applyBorder="1" applyAlignment="1">
      <alignment horizontal="right"/>
    </xf>
    <xf numFmtId="0" fontId="7" fillId="0" borderId="2" xfId="0" applyFont="1" applyFill="1" applyBorder="1"/>
    <xf numFmtId="0" fontId="7" fillId="0" borderId="2" xfId="0" applyFont="1" applyFill="1" applyBorder="1" applyAlignment="1">
      <alignment horizontal="right"/>
    </xf>
    <xf numFmtId="0" fontId="11" fillId="0" borderId="4" xfId="0" applyFont="1" applyFill="1" applyBorder="1"/>
    <xf numFmtId="0" fontId="7" fillId="0" borderId="10" xfId="0" applyFont="1" applyFill="1" applyBorder="1"/>
    <xf numFmtId="0" fontId="7" fillId="0" borderId="4" xfId="0" applyFont="1" applyFill="1" applyBorder="1"/>
    <xf numFmtId="0" fontId="7" fillId="0" borderId="1" xfId="0" applyFont="1" applyFill="1" applyBorder="1"/>
    <xf numFmtId="0" fontId="7" fillId="0" borderId="3" xfId="0" applyFont="1" applyFill="1" applyBorder="1" applyAlignment="1">
      <alignment horizontal="right"/>
    </xf>
    <xf numFmtId="43" fontId="3" fillId="0" borderId="2" xfId="1" applyFont="1" applyFill="1" applyBorder="1"/>
    <xf numFmtId="0" fontId="7" fillId="0" borderId="18" xfId="0" applyFont="1" applyFill="1" applyBorder="1"/>
    <xf numFmtId="0" fontId="7" fillId="0" borderId="18" xfId="0" applyFont="1" applyFill="1" applyBorder="1" applyAlignment="1">
      <alignment horizontal="center"/>
    </xf>
    <xf numFmtId="0" fontId="3" fillId="0" borderId="1" xfId="0" applyFont="1" applyFill="1" applyBorder="1" applyAlignment="1">
      <alignment wrapText="1"/>
    </xf>
    <xf numFmtId="2" fontId="3" fillId="0" borderId="2" xfId="0" applyNumberFormat="1" applyFont="1" applyFill="1" applyBorder="1"/>
    <xf numFmtId="165" fontId="3" fillId="0" borderId="2" xfId="0" applyNumberFormat="1" applyFont="1" applyFill="1" applyBorder="1"/>
    <xf numFmtId="168" fontId="3" fillId="0" borderId="2" xfId="0" applyNumberFormat="1" applyFont="1" applyFill="1" applyBorder="1"/>
    <xf numFmtId="169" fontId="3" fillId="0" borderId="2" xfId="0" applyNumberFormat="1" applyFont="1" applyFill="1" applyBorder="1"/>
    <xf numFmtId="0" fontId="4" fillId="0" borderId="1" xfId="0" applyFont="1" applyFill="1" applyBorder="1"/>
    <xf numFmtId="2" fontId="7" fillId="0" borderId="9" xfId="0" applyNumberFormat="1" applyFont="1" applyFill="1" applyBorder="1"/>
    <xf numFmtId="0" fontId="7" fillId="0" borderId="4" xfId="0" applyFont="1" applyFill="1" applyBorder="1" applyAlignment="1">
      <alignment horizontal="right"/>
    </xf>
    <xf numFmtId="166" fontId="3" fillId="0" borderId="2" xfId="0" applyNumberFormat="1" applyFont="1" applyFill="1" applyBorder="1"/>
    <xf numFmtId="1" fontId="3" fillId="0" borderId="1" xfId="0" applyNumberFormat="1" applyFont="1" applyFill="1" applyBorder="1"/>
    <xf numFmtId="0" fontId="3" fillId="0" borderId="10" xfId="0" applyFont="1" applyFill="1" applyBorder="1" applyAlignment="1">
      <alignment horizontal="right"/>
    </xf>
    <xf numFmtId="0" fontId="3" fillId="0" borderId="4" xfId="0" applyFont="1" applyFill="1" applyBorder="1" applyAlignment="1">
      <alignment horizontal="center"/>
    </xf>
    <xf numFmtId="0" fontId="7" fillId="0" borderId="12" xfId="0" applyFont="1" applyFill="1" applyBorder="1" applyAlignment="1">
      <alignment horizontal="center"/>
    </xf>
    <xf numFmtId="0" fontId="7" fillId="0" borderId="11" xfId="0" applyFont="1" applyFill="1" applyBorder="1" applyAlignment="1">
      <alignment horizontal="center"/>
    </xf>
    <xf numFmtId="0" fontId="7" fillId="0" borderId="10" xfId="0" applyFont="1" applyFill="1" applyBorder="1" applyAlignment="1">
      <alignment horizontal="center"/>
    </xf>
    <xf numFmtId="0" fontId="3" fillId="0" borderId="2" xfId="0" applyFont="1" applyFill="1" applyBorder="1" applyAlignment="1">
      <alignment horizontal="center"/>
    </xf>
    <xf numFmtId="1" fontId="3" fillId="0" borderId="0" xfId="0" applyNumberFormat="1" applyFont="1" applyFill="1"/>
    <xf numFmtId="171" fontId="3" fillId="0" borderId="6" xfId="0" applyNumberFormat="1" applyFont="1" applyFill="1" applyBorder="1" applyAlignment="1">
      <alignment horizontal="center"/>
    </xf>
    <xf numFmtId="167" fontId="7" fillId="0" borderId="12" xfId="0" applyNumberFormat="1" applyFont="1" applyFill="1" applyBorder="1" applyAlignment="1">
      <alignment horizontal="center"/>
    </xf>
    <xf numFmtId="167" fontId="7" fillId="0" borderId="6" xfId="0" applyNumberFormat="1" applyFont="1" applyFill="1" applyBorder="1" applyAlignment="1">
      <alignment horizontal="center"/>
    </xf>
    <xf numFmtId="168" fontId="7" fillId="0" borderId="9" xfId="0" applyNumberFormat="1" applyFont="1" applyFill="1" applyBorder="1"/>
    <xf numFmtId="4" fontId="3" fillId="0" borderId="0" xfId="0" applyNumberFormat="1" applyFont="1" applyFill="1"/>
    <xf numFmtId="0" fontId="2" fillId="0" borderId="0" xfId="0" applyFont="1"/>
    <xf numFmtId="0" fontId="11" fillId="0" borderId="28" xfId="0" applyFont="1" applyBorder="1" applyAlignment="1">
      <alignment horizontal="justify" wrapText="1"/>
    </xf>
    <xf numFmtId="0" fontId="11" fillId="0" borderId="28" xfId="0" applyFont="1" applyBorder="1" applyAlignment="1">
      <alignment horizontal="center" wrapText="1"/>
    </xf>
    <xf numFmtId="172" fontId="3" fillId="0" borderId="0" xfId="1" applyNumberFormat="1" applyFont="1"/>
    <xf numFmtId="0" fontId="3" fillId="0" borderId="0" xfId="0" applyFont="1"/>
    <xf numFmtId="0" fontId="3" fillId="0" borderId="0" xfId="0" applyFont="1" applyFill="1" applyAlignment="1">
      <alignment horizontal="left"/>
    </xf>
    <xf numFmtId="171" fontId="3" fillId="0" borderId="2" xfId="0" applyNumberFormat="1" applyFont="1" applyFill="1" applyBorder="1"/>
    <xf numFmtId="0" fontId="7" fillId="2" borderId="6" xfId="0" applyFont="1" applyFill="1" applyBorder="1" applyAlignment="1">
      <alignment vertical="top" wrapText="1"/>
    </xf>
    <xf numFmtId="0" fontId="3" fillId="0" borderId="6" xfId="0" applyFont="1" applyBorder="1" applyAlignment="1">
      <alignment vertical="top" wrapText="1"/>
    </xf>
    <xf numFmtId="0" fontId="3" fillId="2" borderId="6" xfId="0" applyFont="1" applyFill="1" applyBorder="1" applyAlignment="1">
      <alignment vertical="top" wrapText="1"/>
    </xf>
    <xf numFmtId="2" fontId="3" fillId="0" borderId="6" xfId="0" applyNumberFormat="1" applyFont="1" applyBorder="1" applyAlignment="1">
      <alignment horizontal="left" vertical="center" wrapText="1"/>
    </xf>
    <xf numFmtId="0" fontId="3" fillId="2" borderId="5" xfId="0" applyFont="1" applyFill="1" applyBorder="1" applyAlignment="1">
      <alignment vertical="top" wrapText="1"/>
    </xf>
    <xf numFmtId="0" fontId="3" fillId="0" borderId="12" xfId="0" applyFont="1" applyBorder="1" applyAlignment="1">
      <alignment vertical="top" wrapText="1"/>
    </xf>
    <xf numFmtId="0" fontId="14" fillId="2" borderId="6" xfId="0" applyFont="1" applyFill="1" applyBorder="1" applyAlignment="1">
      <alignment vertical="top" wrapText="1"/>
    </xf>
    <xf numFmtId="172" fontId="3" fillId="0" borderId="6" xfId="1" applyNumberFormat="1" applyFont="1" applyBorder="1" applyAlignment="1">
      <alignment horizontal="center" vertical="center" wrapText="1"/>
    </xf>
    <xf numFmtId="0" fontId="3" fillId="0" borderId="6" xfId="0" applyFont="1" applyBorder="1" applyAlignment="1">
      <alignment horizontal="left" vertical="top" wrapText="1"/>
    </xf>
    <xf numFmtId="10" fontId="3" fillId="0" borderId="6" xfId="0" applyNumberFormat="1" applyFont="1" applyBorder="1" applyAlignment="1">
      <alignment horizontal="left" vertical="top" wrapText="1"/>
    </xf>
    <xf numFmtId="43" fontId="3" fillId="0" borderId="2" xfId="1" applyNumberFormat="1" applyFont="1" applyFill="1" applyBorder="1"/>
    <xf numFmtId="0" fontId="3" fillId="0" borderId="0" xfId="0" applyFont="1"/>
    <xf numFmtId="0" fontId="3" fillId="0" borderId="0" xfId="0" applyFont="1"/>
    <xf numFmtId="166" fontId="3" fillId="0" borderId="0" xfId="0" applyNumberFormat="1" applyFont="1"/>
    <xf numFmtId="1" fontId="3" fillId="0" borderId="0" xfId="0" applyNumberFormat="1" applyFont="1"/>
    <xf numFmtId="0" fontId="7" fillId="0" borderId="2" xfId="0" applyFont="1" applyBorder="1" applyAlignment="1">
      <alignment horizontal="center" wrapText="1"/>
    </xf>
    <xf numFmtId="0" fontId="7" fillId="0" borderId="14" xfId="0" applyFont="1" applyFill="1" applyBorder="1" applyAlignment="1">
      <alignment horizontal="center"/>
    </xf>
    <xf numFmtId="2" fontId="7" fillId="0" borderId="0" xfId="0" applyNumberFormat="1" applyFont="1" applyFill="1"/>
    <xf numFmtId="166" fontId="3" fillId="0" borderId="0" xfId="0" applyNumberFormat="1" applyFont="1" applyFill="1"/>
    <xf numFmtId="166" fontId="7" fillId="0" borderId="0" xfId="0" applyNumberFormat="1" applyFont="1" applyFill="1"/>
    <xf numFmtId="167" fontId="3" fillId="0" borderId="0" xfId="0" applyNumberFormat="1" applyFont="1" applyFill="1"/>
    <xf numFmtId="173" fontId="3" fillId="0" borderId="0" xfId="0" applyNumberFormat="1" applyFont="1" applyFill="1"/>
    <xf numFmtId="170" fontId="7" fillId="0" borderId="0" xfId="0" applyNumberFormat="1" applyFont="1" applyFill="1"/>
    <xf numFmtId="167" fontId="7" fillId="0" borderId="0" xfId="0" applyNumberFormat="1" applyFont="1" applyFill="1"/>
    <xf numFmtId="1" fontId="7" fillId="0" borderId="0" xfId="0" applyNumberFormat="1" applyFont="1" applyFill="1"/>
    <xf numFmtId="0" fontId="7" fillId="0" borderId="12" xfId="0" applyFont="1" applyBorder="1" applyAlignment="1">
      <alignment horizontal="center" wrapText="1"/>
    </xf>
    <xf numFmtId="0" fontId="0" fillId="0" borderId="0" xfId="0" applyAlignment="1">
      <alignment wrapText="1"/>
    </xf>
    <xf numFmtId="0" fontId="3" fillId="0" borderId="6" xfId="0" applyFont="1" applyBorder="1" applyAlignment="1">
      <alignment horizontal="center" wrapText="1"/>
    </xf>
    <xf numFmtId="0" fontId="7" fillId="0" borderId="6" xfId="0" applyFont="1" applyBorder="1" applyAlignment="1">
      <alignment horizontal="justify" wrapText="1"/>
    </xf>
    <xf numFmtId="1" fontId="3" fillId="0" borderId="3" xfId="0" applyNumberFormat="1" applyFont="1" applyFill="1" applyBorder="1" applyAlignment="1">
      <alignment horizontal="center"/>
    </xf>
    <xf numFmtId="1" fontId="7" fillId="0" borderId="10" xfId="0" applyNumberFormat="1" applyFont="1" applyFill="1" applyBorder="1" applyAlignment="1">
      <alignment horizontal="center"/>
    </xf>
    <xf numFmtId="1" fontId="7" fillId="0" borderId="7" xfId="0" applyNumberFormat="1" applyFont="1" applyFill="1" applyBorder="1" applyAlignment="1">
      <alignment horizontal="center"/>
    </xf>
    <xf numFmtId="0" fontId="7" fillId="0" borderId="6" xfId="0" applyFont="1" applyFill="1" applyBorder="1" applyAlignment="1">
      <alignment horizontal="center" wrapText="1"/>
    </xf>
    <xf numFmtId="165" fontId="3" fillId="0" borderId="0" xfId="0" applyNumberFormat="1" applyFont="1" applyFill="1"/>
    <xf numFmtId="169" fontId="3" fillId="0" borderId="0" xfId="0" applyNumberFormat="1" applyFont="1" applyFill="1"/>
    <xf numFmtId="0" fontId="7" fillId="0" borderId="5" xfId="0" applyFont="1" applyFill="1" applyBorder="1" applyAlignment="1">
      <alignment horizontal="center"/>
    </xf>
    <xf numFmtId="0" fontId="7" fillId="0" borderId="7" xfId="0" applyFont="1" applyFill="1" applyBorder="1" applyAlignment="1">
      <alignment horizontal="center"/>
    </xf>
    <xf numFmtId="0" fontId="3" fillId="0" borderId="5" xfId="0" applyFont="1" applyFill="1" applyBorder="1" applyAlignment="1">
      <alignment horizontal="center"/>
    </xf>
    <xf numFmtId="0" fontId="3" fillId="0" borderId="17" xfId="0" applyFont="1" applyFill="1" applyBorder="1" applyAlignment="1">
      <alignment horizontal="center"/>
    </xf>
    <xf numFmtId="0" fontId="3" fillId="0" borderId="7" xfId="0" applyFont="1" applyFill="1" applyBorder="1" applyAlignment="1">
      <alignment horizontal="center"/>
    </xf>
    <xf numFmtId="0" fontId="3" fillId="0" borderId="6" xfId="0" applyFont="1" applyFill="1" applyBorder="1" applyAlignment="1">
      <alignment horizontal="center"/>
    </xf>
    <xf numFmtId="0" fontId="3" fillId="0" borderId="17" xfId="0" applyFont="1" applyFill="1" applyBorder="1" applyAlignment="1"/>
    <xf numFmtId="0" fontId="3" fillId="0" borderId="7" xfId="0" applyFont="1" applyFill="1" applyBorder="1" applyAlignment="1"/>
    <xf numFmtId="0" fontId="7" fillId="0" borderId="0" xfId="0" applyFont="1" applyFill="1" applyBorder="1" applyAlignment="1">
      <alignment horizontal="center"/>
    </xf>
    <xf numFmtId="0" fontId="3" fillId="0" borderId="0" xfId="0" applyFont="1" applyFill="1" applyAlignment="1"/>
    <xf numFmtId="2" fontId="3" fillId="0" borderId="3" xfId="0" applyNumberFormat="1" applyFont="1" applyFill="1" applyBorder="1"/>
    <xf numFmtId="169" fontId="3" fillId="0" borderId="6" xfId="0" applyNumberFormat="1" applyFont="1" applyFill="1" applyBorder="1" applyAlignment="1">
      <alignment horizontal="center"/>
    </xf>
    <xf numFmtId="167" fontId="3" fillId="0" borderId="6" xfId="0" applyNumberFormat="1" applyFont="1" applyFill="1" applyBorder="1" applyAlignment="1">
      <alignment horizontal="center"/>
    </xf>
    <xf numFmtId="0" fontId="3" fillId="25" borderId="0" xfId="2" applyFont="1" applyFill="1" applyBorder="1" applyAlignment="1">
      <alignment vertical="center"/>
    </xf>
    <xf numFmtId="0" fontId="3" fillId="0" borderId="0" xfId="2" applyFont="1" applyAlignment="1">
      <alignment vertical="center"/>
    </xf>
    <xf numFmtId="0" fontId="3" fillId="0" borderId="0" xfId="2" applyFont="1" applyBorder="1"/>
    <xf numFmtId="0" fontId="3" fillId="0" borderId="0" xfId="2" applyFont="1"/>
    <xf numFmtId="0" fontId="3" fillId="0" borderId="6" xfId="2" applyFont="1" applyFill="1" applyBorder="1" applyAlignment="1">
      <alignment horizontal="center"/>
    </xf>
    <xf numFmtId="3" fontId="3" fillId="0" borderId="6" xfId="2" applyNumberFormat="1" applyFont="1" applyFill="1" applyBorder="1" applyAlignment="1">
      <alignment horizontal="center"/>
    </xf>
    <xf numFmtId="0" fontId="3" fillId="0" borderId="6" xfId="2" applyFont="1" applyBorder="1" applyAlignment="1">
      <alignment horizontal="center"/>
    </xf>
    <xf numFmtId="174" fontId="3" fillId="0" borderId="0" xfId="2" applyNumberFormat="1" applyFont="1"/>
    <xf numFmtId="3" fontId="3" fillId="25" borderId="6" xfId="2" applyNumberFormat="1" applyFont="1" applyFill="1" applyBorder="1" applyAlignment="1">
      <alignment horizontal="center"/>
    </xf>
    <xf numFmtId="4" fontId="3" fillId="0" borderId="0" xfId="2" applyNumberFormat="1" applyFont="1"/>
    <xf numFmtId="0" fontId="3" fillId="25" borderId="6" xfId="2" applyFont="1" applyFill="1" applyBorder="1" applyAlignment="1">
      <alignment horizontal="center" wrapText="1"/>
    </xf>
    <xf numFmtId="2" fontId="3" fillId="0" borderId="6" xfId="2" applyNumberFormat="1" applyFont="1" applyFill="1" applyBorder="1" applyAlignment="1">
      <alignment horizontal="center"/>
    </xf>
    <xf numFmtId="2" fontId="3" fillId="0" borderId="6" xfId="2" applyNumberFormat="1" applyFont="1" applyBorder="1" applyAlignment="1">
      <alignment horizontal="center"/>
    </xf>
    <xf numFmtId="0" fontId="3" fillId="0" borderId="0" xfId="2" applyFont="1" applyAlignment="1">
      <alignment wrapText="1"/>
    </xf>
    <xf numFmtId="1" fontId="3" fillId="0" borderId="6" xfId="2" applyNumberFormat="1" applyFont="1" applyBorder="1" applyAlignment="1">
      <alignment horizontal="center"/>
    </xf>
    <xf numFmtId="0" fontId="7" fillId="0" borderId="6" xfId="2" applyFont="1" applyFill="1" applyBorder="1" applyAlignment="1">
      <alignment vertical="center" wrapText="1"/>
    </xf>
    <xf numFmtId="165" fontId="7" fillId="25" borderId="6" xfId="2" applyNumberFormat="1" applyFont="1" applyFill="1" applyBorder="1" applyAlignment="1">
      <alignment horizontal="center" vertical="center"/>
    </xf>
    <xf numFmtId="0" fontId="7" fillId="25" borderId="6" xfId="2" applyFont="1" applyFill="1" applyBorder="1" applyAlignment="1">
      <alignment horizontal="center" vertical="center"/>
    </xf>
    <xf numFmtId="0" fontId="7" fillId="0" borderId="0" xfId="2" applyFont="1"/>
    <xf numFmtId="0" fontId="3" fillId="0" borderId="0" xfId="2" applyFont="1" applyFill="1" applyAlignment="1">
      <alignment horizontal="center"/>
    </xf>
    <xf numFmtId="0" fontId="3" fillId="0" borderId="6" xfId="2" applyFont="1" applyFill="1" applyBorder="1" applyAlignment="1">
      <alignment horizontal="center" vertical="center"/>
    </xf>
    <xf numFmtId="0" fontId="1" fillId="0" borderId="6" xfId="0" applyFont="1" applyFill="1" applyBorder="1" applyAlignment="1">
      <alignment horizontal="center"/>
    </xf>
    <xf numFmtId="0" fontId="1" fillId="0" borderId="6" xfId="0" applyFont="1" applyFill="1" applyBorder="1" applyAlignment="1"/>
    <xf numFmtId="1" fontId="1" fillId="0" borderId="6" xfId="0" applyNumberFormat="1" applyFont="1" applyFill="1" applyBorder="1" applyAlignment="1">
      <alignment horizontal="center"/>
    </xf>
    <xf numFmtId="15" fontId="1" fillId="0" borderId="6" xfId="0" applyNumberFormat="1" applyFont="1" applyFill="1" applyBorder="1" applyAlignment="1"/>
    <xf numFmtId="3" fontId="1" fillId="0" borderId="6" xfId="0" applyNumberFormat="1" applyFont="1" applyFill="1" applyBorder="1" applyAlignment="1">
      <alignment horizontal="right" wrapText="1"/>
    </xf>
    <xf numFmtId="2" fontId="1" fillId="0" borderId="6" xfId="0" applyNumberFormat="1" applyFont="1" applyFill="1" applyBorder="1" applyAlignment="1"/>
    <xf numFmtId="3" fontId="1" fillId="0" borderId="6" xfId="0" applyNumberFormat="1" applyFont="1" applyFill="1" applyBorder="1" applyAlignment="1"/>
    <xf numFmtId="2" fontId="1" fillId="0" borderId="6" xfId="0" applyNumberFormat="1" applyFont="1" applyFill="1" applyBorder="1" applyAlignment="1">
      <alignment horizontal="right" wrapText="1"/>
    </xf>
    <xf numFmtId="0" fontId="1" fillId="0" borderId="6" xfId="0" applyFont="1" applyFill="1" applyBorder="1" applyAlignment="1">
      <alignment horizontal="left"/>
    </xf>
    <xf numFmtId="0" fontId="12" fillId="0" borderId="6" xfId="0" applyFont="1" applyFill="1" applyBorder="1" applyAlignment="1"/>
    <xf numFmtId="0" fontId="12" fillId="0" borderId="38" xfId="0" applyFont="1" applyBorder="1" applyAlignment="1">
      <alignment horizontal="center" vertical="center" wrapText="1"/>
    </xf>
    <xf numFmtId="0" fontId="12" fillId="0" borderId="39" xfId="0" applyFont="1" applyBorder="1" applyAlignment="1">
      <alignment horizontal="center" vertical="center" wrapText="1"/>
    </xf>
    <xf numFmtId="1" fontId="12" fillId="0" borderId="39" xfId="0" applyNumberFormat="1" applyFont="1" applyBorder="1" applyAlignment="1">
      <alignment horizontal="center" vertical="center" wrapText="1"/>
    </xf>
    <xf numFmtId="15" fontId="12" fillId="0" borderId="39" xfId="0" applyNumberFormat="1" applyFont="1" applyBorder="1" applyAlignment="1">
      <alignment horizontal="center" vertical="center" wrapText="1"/>
    </xf>
    <xf numFmtId="3" fontId="12" fillId="26" borderId="39" xfId="0" applyNumberFormat="1" applyFont="1" applyFill="1" applyBorder="1" applyAlignment="1">
      <alignment horizontal="center" vertical="center" wrapText="1"/>
    </xf>
    <xf numFmtId="2" fontId="12" fillId="26" borderId="39" xfId="0" applyNumberFormat="1" applyFont="1" applyFill="1" applyBorder="1" applyAlignment="1">
      <alignment horizontal="center" vertical="center" wrapText="1"/>
    </xf>
    <xf numFmtId="0" fontId="12" fillId="26" borderId="39" xfId="0" applyFont="1" applyFill="1" applyBorder="1" applyAlignment="1">
      <alignment horizontal="center" vertical="center" wrapText="1"/>
    </xf>
    <xf numFmtId="0" fontId="12" fillId="26" borderId="40" xfId="0" applyFont="1" applyFill="1" applyBorder="1" applyAlignment="1">
      <alignment horizontal="center" vertical="center" wrapText="1"/>
    </xf>
    <xf numFmtId="0" fontId="1" fillId="0" borderId="20" xfId="0" applyFont="1" applyFill="1" applyBorder="1" applyAlignment="1">
      <alignment horizontal="center"/>
    </xf>
    <xf numFmtId="0" fontId="1" fillId="0" borderId="16" xfId="0" applyFont="1" applyFill="1" applyBorder="1" applyAlignment="1"/>
    <xf numFmtId="0" fontId="1" fillId="0" borderId="41" xfId="0" applyFont="1" applyFill="1" applyBorder="1" applyAlignment="1">
      <alignment horizontal="center"/>
    </xf>
    <xf numFmtId="0" fontId="1" fillId="0" borderId="42" xfId="0" applyFont="1" applyFill="1" applyBorder="1"/>
    <xf numFmtId="0" fontId="1" fillId="0" borderId="42" xfId="0" applyFont="1" applyFill="1" applyBorder="1" applyAlignment="1">
      <alignment horizontal="center"/>
    </xf>
    <xf numFmtId="15" fontId="1" fillId="0" borderId="42" xfId="0" applyNumberFormat="1" applyFont="1" applyFill="1" applyBorder="1"/>
    <xf numFmtId="0" fontId="1" fillId="0" borderId="42" xfId="0" applyFont="1" applyFill="1" applyBorder="1" applyAlignment="1"/>
    <xf numFmtId="3" fontId="1" fillId="0" borderId="42" xfId="0" applyNumberFormat="1" applyFont="1" applyFill="1" applyBorder="1"/>
    <xf numFmtId="2" fontId="1" fillId="0" borderId="42" xfId="0" applyNumberFormat="1" applyFont="1" applyFill="1" applyBorder="1"/>
    <xf numFmtId="0" fontId="1" fillId="0" borderId="43" xfId="0" applyFont="1" applyFill="1" applyBorder="1" applyAlignment="1"/>
    <xf numFmtId="0" fontId="12" fillId="0" borderId="46" xfId="0" applyFont="1" applyBorder="1" applyAlignment="1">
      <alignment horizontal="center" vertical="center" wrapText="1"/>
    </xf>
    <xf numFmtId="0" fontId="12" fillId="0" borderId="18" xfId="0" applyFont="1" applyBorder="1" applyAlignment="1">
      <alignment horizontal="center" vertical="center" wrapText="1"/>
    </xf>
    <xf numFmtId="1" fontId="12" fillId="0" borderId="18" xfId="0" applyNumberFormat="1" applyFont="1" applyBorder="1" applyAlignment="1">
      <alignment horizontal="center" vertical="center" wrapText="1"/>
    </xf>
    <xf numFmtId="15" fontId="12" fillId="0" borderId="18" xfId="0" applyNumberFormat="1" applyFont="1" applyBorder="1" applyAlignment="1">
      <alignment horizontal="center" vertical="center" wrapText="1"/>
    </xf>
    <xf numFmtId="1" fontId="1" fillId="0" borderId="42" xfId="0" applyNumberFormat="1" applyFont="1" applyFill="1" applyBorder="1" applyAlignment="1">
      <alignment horizontal="center"/>
    </xf>
    <xf numFmtId="15" fontId="1" fillId="0" borderId="42" xfId="0" applyNumberFormat="1" applyFont="1" applyFill="1" applyBorder="1" applyAlignment="1"/>
    <xf numFmtId="3" fontId="1" fillId="0" borderId="42" xfId="0" applyNumberFormat="1" applyFont="1" applyFill="1" applyBorder="1" applyAlignment="1">
      <alignment horizontal="right" wrapText="1"/>
    </xf>
    <xf numFmtId="2" fontId="1" fillId="0" borderId="42" xfId="0" applyNumberFormat="1" applyFont="1" applyFill="1" applyBorder="1" applyAlignment="1"/>
    <xf numFmtId="0" fontId="2" fillId="0" borderId="41" xfId="0" applyFont="1" applyBorder="1"/>
    <xf numFmtId="0" fontId="0" fillId="0" borderId="42" xfId="0" applyBorder="1"/>
    <xf numFmtId="2" fontId="0" fillId="0" borderId="42" xfId="0" applyNumberFormat="1" applyBorder="1"/>
    <xf numFmtId="0" fontId="0" fillId="0" borderId="43" xfId="0" applyBorder="1"/>
    <xf numFmtId="43" fontId="0" fillId="0" borderId="0" xfId="1" applyFont="1"/>
    <xf numFmtId="10" fontId="11" fillId="0" borderId="28" xfId="44" applyNumberFormat="1" applyFont="1" applyBorder="1" applyAlignment="1">
      <alignment horizontal="center" wrapText="1"/>
    </xf>
    <xf numFmtId="166" fontId="7" fillId="0" borderId="9" xfId="0" applyNumberFormat="1" applyFont="1" applyFill="1" applyBorder="1"/>
    <xf numFmtId="175" fontId="7" fillId="0" borderId="9" xfId="1" applyNumberFormat="1" applyFont="1" applyFill="1" applyBorder="1"/>
    <xf numFmtId="167" fontId="0" fillId="0" borderId="0" xfId="0" applyNumberFormat="1" applyAlignment="1">
      <alignment wrapText="1"/>
    </xf>
    <xf numFmtId="43" fontId="7" fillId="0" borderId="9" xfId="1" applyFont="1" applyFill="1" applyBorder="1"/>
    <xf numFmtId="43" fontId="7" fillId="0" borderId="19" xfId="1" applyFont="1" applyFill="1" applyBorder="1" applyAlignment="1">
      <alignment horizontal="center"/>
    </xf>
    <xf numFmtId="43" fontId="7" fillId="0" borderId="6" xfId="1" applyFont="1" applyFill="1" applyBorder="1"/>
    <xf numFmtId="172" fontId="3" fillId="0" borderId="6" xfId="1" applyNumberFormat="1" applyFont="1" applyBorder="1" applyAlignment="1">
      <alignment horizontal="right" vertical="top" wrapText="1"/>
    </xf>
    <xf numFmtId="172" fontId="7" fillId="0" borderId="6" xfId="1" applyNumberFormat="1" applyFont="1" applyBorder="1" applyAlignment="1">
      <alignment horizontal="right" vertical="top" wrapText="1"/>
    </xf>
    <xf numFmtId="10" fontId="3" fillId="0" borderId="2" xfId="44" applyNumberFormat="1" applyFont="1" applyFill="1" applyBorder="1"/>
    <xf numFmtId="0" fontId="3" fillId="0" borderId="20" xfId="2" applyFont="1" applyBorder="1"/>
    <xf numFmtId="172" fontId="3" fillId="0" borderId="6" xfId="42" applyNumberFormat="1" applyFont="1" applyBorder="1"/>
    <xf numFmtId="9" fontId="3" fillId="0" borderId="6" xfId="43" applyFont="1" applyBorder="1"/>
    <xf numFmtId="43" fontId="3" fillId="0" borderId="6" xfId="42" applyFont="1" applyBorder="1"/>
    <xf numFmtId="0" fontId="3" fillId="0" borderId="20" xfId="2" applyFont="1" applyBorder="1" applyAlignment="1">
      <alignment wrapText="1"/>
    </xf>
    <xf numFmtId="0" fontId="3" fillId="0" borderId="20" xfId="2" applyFont="1" applyBorder="1" applyAlignment="1">
      <alignment horizontal="left" wrapText="1"/>
    </xf>
    <xf numFmtId="172" fontId="3" fillId="0" borderId="6" xfId="2" applyNumberFormat="1" applyFont="1" applyBorder="1"/>
    <xf numFmtId="172" fontId="3" fillId="0" borderId="42" xfId="2" applyNumberFormat="1" applyFont="1" applyBorder="1"/>
    <xf numFmtId="164" fontId="3" fillId="0" borderId="2" xfId="0" applyNumberFormat="1" applyFont="1" applyFill="1" applyBorder="1"/>
    <xf numFmtId="0" fontId="7" fillId="0" borderId="8" xfId="0" applyFont="1" applyFill="1" applyBorder="1" applyAlignment="1">
      <alignment horizontal="center"/>
    </xf>
    <xf numFmtId="0" fontId="7" fillId="0" borderId="15" xfId="0" applyFont="1" applyFill="1" applyBorder="1" applyAlignment="1">
      <alignment horizontal="center"/>
    </xf>
    <xf numFmtId="0" fontId="7" fillId="0" borderId="10" xfId="0" applyFont="1" applyFill="1" applyBorder="1" applyAlignment="1">
      <alignment horizontal="center"/>
    </xf>
    <xf numFmtId="0" fontId="7" fillId="0" borderId="13" xfId="0" applyFont="1" applyFill="1" applyBorder="1" applyAlignment="1">
      <alignment horizontal="center"/>
    </xf>
    <xf numFmtId="0" fontId="7" fillId="0" borderId="14" xfId="0" applyFont="1" applyFill="1" applyBorder="1" applyAlignment="1">
      <alignment horizontal="center"/>
    </xf>
    <xf numFmtId="0" fontId="7" fillId="0" borderId="11" xfId="0" applyFont="1" applyFill="1" applyBorder="1" applyAlignment="1">
      <alignment horizontal="center"/>
    </xf>
    <xf numFmtId="0" fontId="7" fillId="0" borderId="5" xfId="0" applyFont="1" applyFill="1" applyBorder="1" applyAlignment="1">
      <alignment horizontal="center"/>
    </xf>
    <xf numFmtId="0" fontId="7" fillId="0" borderId="17" xfId="0" applyFont="1" applyFill="1" applyBorder="1" applyAlignment="1">
      <alignment horizontal="center"/>
    </xf>
    <xf numFmtId="0" fontId="7" fillId="0" borderId="7" xfId="0" applyFont="1" applyFill="1" applyBorder="1" applyAlignment="1">
      <alignment horizontal="center"/>
    </xf>
    <xf numFmtId="0" fontId="3" fillId="0" borderId="0" xfId="0" applyFont="1" applyFill="1" applyAlignment="1">
      <alignment horizontal="left" wrapText="1"/>
    </xf>
    <xf numFmtId="0" fontId="3" fillId="0" borderId="6" xfId="0" applyFont="1" applyFill="1" applyBorder="1" applyAlignment="1">
      <alignment horizontal="center"/>
    </xf>
    <xf numFmtId="0" fontId="3" fillId="0" borderId="6" xfId="0" applyFont="1" applyFill="1" applyBorder="1" applyAlignment="1"/>
    <xf numFmtId="0" fontId="3" fillId="0" borderId="5" xfId="0" applyFont="1" applyFill="1" applyBorder="1" applyAlignment="1">
      <alignment horizontal="center"/>
    </xf>
    <xf numFmtId="0" fontId="3" fillId="0" borderId="17" xfId="0" applyFont="1" applyFill="1" applyBorder="1" applyAlignment="1"/>
    <xf numFmtId="0" fontId="3" fillId="0" borderId="7" xfId="0" applyFont="1" applyFill="1" applyBorder="1" applyAlignment="1"/>
    <xf numFmtId="0" fontId="4" fillId="0" borderId="15" xfId="0" applyFont="1" applyFill="1" applyBorder="1" applyAlignment="1">
      <alignment horizontal="center"/>
    </xf>
    <xf numFmtId="0" fontId="3" fillId="0" borderId="15" xfId="0" applyFont="1" applyFill="1" applyBorder="1" applyAlignment="1"/>
    <xf numFmtId="0" fontId="3" fillId="0" borderId="21" xfId="0" applyFont="1" applyFill="1" applyBorder="1" applyAlignment="1">
      <alignment horizontal="center"/>
    </xf>
    <xf numFmtId="0" fontId="3" fillId="0" borderId="22" xfId="0" applyFont="1" applyFill="1" applyBorder="1" applyAlignment="1"/>
    <xf numFmtId="0" fontId="3" fillId="0" borderId="23" xfId="0" applyFont="1" applyFill="1" applyBorder="1" applyAlignment="1"/>
    <xf numFmtId="0" fontId="3" fillId="0" borderId="17" xfId="0" applyFont="1" applyFill="1" applyBorder="1" applyAlignment="1">
      <alignment horizontal="center"/>
    </xf>
    <xf numFmtId="0" fontId="3" fillId="0" borderId="7" xfId="0" applyFont="1" applyFill="1" applyBorder="1" applyAlignment="1">
      <alignment horizontal="center"/>
    </xf>
    <xf numFmtId="0" fontId="7" fillId="0" borderId="0" xfId="0" applyFont="1" applyFill="1" applyBorder="1" applyAlignment="1">
      <alignment horizontal="center"/>
    </xf>
    <xf numFmtId="0" fontId="7" fillId="0" borderId="3" xfId="0" applyFont="1" applyFill="1" applyBorder="1" applyAlignment="1">
      <alignment horizontal="center"/>
    </xf>
    <xf numFmtId="0" fontId="3" fillId="0" borderId="0" xfId="0" applyFont="1" applyFill="1" applyAlignment="1">
      <alignment wrapText="1"/>
    </xf>
    <xf numFmtId="0" fontId="3" fillId="0" borderId="0" xfId="0" applyFont="1" applyFill="1" applyAlignment="1"/>
    <xf numFmtId="0" fontId="7" fillId="0" borderId="13" xfId="0" applyFont="1" applyFill="1" applyBorder="1" applyAlignment="1">
      <alignment horizontal="center" wrapText="1"/>
    </xf>
    <xf numFmtId="0" fontId="7" fillId="0" borderId="1" xfId="0" applyFont="1" applyFill="1" applyBorder="1" applyAlignment="1">
      <alignment horizontal="center" wrapText="1"/>
    </xf>
    <xf numFmtId="0" fontId="7" fillId="0" borderId="8" xfId="0" applyFont="1" applyFill="1" applyBorder="1" applyAlignment="1">
      <alignment horizont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left" vertical="center"/>
    </xf>
    <xf numFmtId="0" fontId="7" fillId="0" borderId="1" xfId="0" applyFont="1" applyFill="1" applyBorder="1" applyAlignment="1">
      <alignment horizontal="left" wrapText="1"/>
    </xf>
    <xf numFmtId="0" fontId="7" fillId="0" borderId="1" xfId="0" applyFont="1" applyFill="1" applyBorder="1" applyAlignment="1">
      <alignment horizontal="left"/>
    </xf>
    <xf numFmtId="0" fontId="7" fillId="0" borderId="8" xfId="0" applyFont="1" applyFill="1" applyBorder="1" applyAlignment="1">
      <alignment horizontal="left"/>
    </xf>
    <xf numFmtId="0" fontId="3" fillId="0" borderId="44" xfId="2" applyNumberFormat="1" applyFont="1" applyBorder="1" applyAlignment="1">
      <alignment horizontal="left" wrapText="1"/>
    </xf>
    <xf numFmtId="0" fontId="3" fillId="0" borderId="5" xfId="2" applyFont="1" applyBorder="1" applyAlignment="1">
      <alignment horizontal="left" wrapText="1"/>
    </xf>
    <xf numFmtId="0" fontId="3" fillId="0" borderId="17" xfId="2" applyFont="1" applyBorder="1" applyAlignment="1">
      <alignment horizontal="left" wrapText="1"/>
    </xf>
    <xf numFmtId="0" fontId="3" fillId="0" borderId="51" xfId="2" applyFont="1" applyBorder="1" applyAlignment="1">
      <alignment horizontal="left" wrapText="1"/>
    </xf>
    <xf numFmtId="0" fontId="3" fillId="0" borderId="5" xfId="2" applyFont="1" applyBorder="1" applyAlignment="1">
      <alignment horizontal="center"/>
    </xf>
    <xf numFmtId="0" fontId="3" fillId="0" borderId="17" xfId="2" applyFont="1" applyBorder="1" applyAlignment="1">
      <alignment horizontal="center"/>
    </xf>
    <xf numFmtId="0" fontId="3" fillId="0" borderId="51" xfId="2" applyFont="1" applyBorder="1" applyAlignment="1">
      <alignment horizontal="center"/>
    </xf>
    <xf numFmtId="0" fontId="3" fillId="0" borderId="21" xfId="2" applyFont="1" applyBorder="1" applyAlignment="1">
      <alignment horizontal="left" wrapText="1"/>
    </xf>
    <xf numFmtId="0" fontId="3" fillId="0" borderId="22" xfId="2" applyFont="1" applyBorder="1" applyAlignment="1">
      <alignment horizontal="left" wrapText="1"/>
    </xf>
    <xf numFmtId="0" fontId="3" fillId="0" borderId="53" xfId="2" applyFont="1" applyBorder="1" applyAlignment="1">
      <alignment horizontal="left" wrapText="1"/>
    </xf>
    <xf numFmtId="0" fontId="3" fillId="0" borderId="13" xfId="2" applyFont="1" applyBorder="1" applyAlignment="1">
      <alignment horizontal="center"/>
    </xf>
    <xf numFmtId="0" fontId="3" fillId="0" borderId="14" xfId="2" applyFont="1" applyBorder="1" applyAlignment="1">
      <alignment horizontal="center"/>
    </xf>
    <xf numFmtId="0" fontId="3" fillId="0" borderId="52" xfId="2" applyFont="1" applyBorder="1" applyAlignment="1">
      <alignment horizontal="center"/>
    </xf>
    <xf numFmtId="0" fontId="3" fillId="0" borderId="8" xfId="2" applyFont="1" applyBorder="1" applyAlignment="1">
      <alignment horizontal="center"/>
    </xf>
    <xf numFmtId="0" fontId="3" fillId="0" borderId="15" xfId="2" applyFont="1" applyBorder="1" applyAlignment="1">
      <alignment horizontal="center"/>
    </xf>
    <xf numFmtId="0" fontId="3" fillId="0" borderId="50" xfId="2" applyFont="1" applyBorder="1" applyAlignment="1">
      <alignment horizontal="center"/>
    </xf>
    <xf numFmtId="0" fontId="7" fillId="0" borderId="49" xfId="2" applyFont="1" applyBorder="1" applyAlignment="1">
      <alignment horizontal="left"/>
    </xf>
    <xf numFmtId="0" fontId="7" fillId="0" borderId="15" xfId="2" applyFont="1" applyBorder="1" applyAlignment="1">
      <alignment horizontal="left"/>
    </xf>
    <xf numFmtId="0" fontId="7" fillId="0" borderId="50" xfId="2" applyFont="1" applyBorder="1" applyAlignment="1">
      <alignment horizontal="left"/>
    </xf>
    <xf numFmtId="0" fontId="0" fillId="0" borderId="17" xfId="0" applyBorder="1"/>
    <xf numFmtId="0" fontId="0" fillId="0" borderId="51" xfId="0" applyBorder="1"/>
    <xf numFmtId="0" fontId="3" fillId="0" borderId="24" xfId="2" applyFont="1" applyBorder="1" applyAlignment="1">
      <alignment horizontal="left" wrapText="1"/>
    </xf>
    <xf numFmtId="0" fontId="3" fillId="0" borderId="0" xfId="2" applyFont="1" applyBorder="1" applyAlignment="1">
      <alignment horizontal="left" wrapText="1"/>
    </xf>
    <xf numFmtId="0" fontId="3" fillId="0" borderId="7" xfId="2" applyFont="1" applyBorder="1" applyAlignment="1">
      <alignment horizontal="left" wrapText="1"/>
    </xf>
    <xf numFmtId="0" fontId="3" fillId="0" borderId="5" xfId="2" applyFont="1" applyBorder="1" applyAlignment="1">
      <alignment horizontal="left" vertical="center" wrapText="1"/>
    </xf>
    <xf numFmtId="0" fontId="0" fillId="0" borderId="7" xfId="0" applyBorder="1"/>
    <xf numFmtId="0" fontId="3" fillId="0" borderId="5" xfId="2" applyFont="1" applyBorder="1" applyAlignment="1">
      <alignment horizontal="left"/>
    </xf>
    <xf numFmtId="0" fontId="3" fillId="0" borderId="17" xfId="2" applyFont="1" applyBorder="1" applyAlignment="1">
      <alignment horizontal="left"/>
    </xf>
    <xf numFmtId="0" fontId="3" fillId="0" borderId="7" xfId="2" applyFont="1" applyBorder="1" applyAlignment="1">
      <alignment horizontal="left"/>
    </xf>
    <xf numFmtId="0" fontId="4" fillId="0" borderId="6" xfId="2" applyFont="1" applyFill="1" applyBorder="1" applyAlignment="1">
      <alignment horizontal="center" vertical="center" wrapText="1"/>
    </xf>
    <xf numFmtId="0" fontId="3" fillId="0" borderId="37" xfId="2" applyFont="1" applyFill="1" applyBorder="1" applyAlignment="1">
      <alignment horizontal="center" wrapText="1"/>
    </xf>
    <xf numFmtId="0" fontId="3" fillId="0" borderId="37" xfId="2" applyFont="1" applyFill="1" applyBorder="1" applyAlignment="1">
      <alignment horizontal="center"/>
    </xf>
    <xf numFmtId="0" fontId="3" fillId="0" borderId="6" xfId="2" applyFont="1" applyFill="1" applyBorder="1" applyAlignment="1">
      <alignment horizontal="center"/>
    </xf>
    <xf numFmtId="0" fontId="1" fillId="0" borderId="44" xfId="0" applyFont="1" applyFill="1" applyBorder="1" applyAlignment="1">
      <alignment horizontal="center"/>
    </xf>
    <xf numFmtId="0" fontId="1" fillId="0" borderId="0" xfId="0" applyFont="1" applyFill="1" applyBorder="1" applyAlignment="1">
      <alignment horizontal="center"/>
    </xf>
    <xf numFmtId="0" fontId="1" fillId="0" borderId="45" xfId="0" applyFont="1" applyFill="1" applyBorder="1" applyAlignment="1">
      <alignment horizontal="center"/>
    </xf>
    <xf numFmtId="0" fontId="1" fillId="0" borderId="47" xfId="0" applyFont="1" applyFill="1" applyBorder="1" applyAlignment="1">
      <alignment horizontal="center"/>
    </xf>
    <xf numFmtId="0" fontId="1" fillId="0" borderId="48"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center"/>
    </xf>
    <xf numFmtId="0" fontId="3" fillId="0" borderId="15" xfId="0" applyFont="1" applyFill="1" applyBorder="1" applyAlignment="1">
      <alignment horizontal="center"/>
    </xf>
    <xf numFmtId="0" fontId="3" fillId="0" borderId="0" xfId="0" applyFont="1" applyFill="1" applyBorder="1" applyAlignment="1"/>
    <xf numFmtId="0" fontId="3" fillId="2" borderId="6" xfId="0" applyFont="1" applyFill="1" applyBorder="1" applyAlignment="1">
      <alignment vertical="top" wrapText="1"/>
    </xf>
    <xf numFmtId="0" fontId="3" fillId="0" borderId="6" xfId="0" applyFont="1" applyBorder="1" applyAlignment="1">
      <alignment horizontal="justify" vertical="top"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Fill="1" applyBorder="1" applyAlignment="1">
      <alignment horizontal="left" wrapText="1"/>
    </xf>
    <xf numFmtId="0" fontId="11" fillId="0" borderId="25" xfId="0" applyFont="1" applyBorder="1" applyAlignment="1">
      <alignment horizontal="center" vertical="top" wrapText="1"/>
    </xf>
    <xf numFmtId="0" fontId="11" fillId="0" borderId="26" xfId="0" applyFont="1" applyBorder="1" applyAlignment="1">
      <alignment horizontal="center" vertical="top" wrapText="1"/>
    </xf>
    <xf numFmtId="0" fontId="11" fillId="0" borderId="27" xfId="0" applyFont="1" applyBorder="1" applyAlignment="1">
      <alignment horizontal="center" vertical="top" wrapText="1"/>
    </xf>
    <xf numFmtId="0" fontId="2" fillId="0" borderId="25" xfId="0" applyFont="1" applyBorder="1" applyAlignment="1">
      <alignment horizontal="justify" vertical="top"/>
    </xf>
    <xf numFmtId="0" fontId="2" fillId="0" borderId="26" xfId="0" applyFont="1" applyBorder="1" applyAlignment="1">
      <alignment horizontal="justify" vertical="top"/>
    </xf>
    <xf numFmtId="0" fontId="2" fillId="0" borderId="27" xfId="0" applyFont="1" applyBorder="1" applyAlignment="1">
      <alignment horizontal="justify" vertical="top"/>
    </xf>
    <xf numFmtId="10" fontId="11" fillId="0" borderId="25" xfId="0" applyNumberFormat="1" applyFont="1" applyBorder="1" applyAlignment="1">
      <alignment horizontal="center" vertical="center" wrapText="1"/>
    </xf>
    <xf numFmtId="10" fontId="11" fillId="0" borderId="26" xfId="0" applyNumberFormat="1" applyFont="1" applyBorder="1" applyAlignment="1">
      <alignment horizontal="center" vertical="center" wrapText="1"/>
    </xf>
    <xf numFmtId="10" fontId="11" fillId="0" borderId="27" xfId="0" applyNumberFormat="1" applyFont="1" applyBorder="1" applyAlignment="1">
      <alignment horizontal="center" vertical="center" wrapText="1"/>
    </xf>
    <xf numFmtId="0" fontId="3" fillId="0" borderId="41" xfId="2" applyFont="1" applyBorder="1" applyAlignment="1">
      <alignment horizontal="left" vertical="center" wrapText="1"/>
    </xf>
  </cellXfs>
  <cellStyles count="45">
    <cellStyle name="20% - Colore 1" xfId="3"/>
    <cellStyle name="20% - Colore 2" xfId="4"/>
    <cellStyle name="20% - Colore 3" xfId="5"/>
    <cellStyle name="20% - Colore 4" xfId="6"/>
    <cellStyle name="20% - Colore 5" xfId="7"/>
    <cellStyle name="20% - Colore 6" xfId="8"/>
    <cellStyle name="40% - Colore 1" xfId="9"/>
    <cellStyle name="40% - Colore 2" xfId="10"/>
    <cellStyle name="40% - Colore 3" xfId="11"/>
    <cellStyle name="40% - Colore 4" xfId="12"/>
    <cellStyle name="40% - Colore 5" xfId="13"/>
    <cellStyle name="40% - Colore 6" xfId="14"/>
    <cellStyle name="60% - Colore 1" xfId="15"/>
    <cellStyle name="60% - Colore 2" xfId="16"/>
    <cellStyle name="60% - Colore 3" xfId="17"/>
    <cellStyle name="60% - Colore 4" xfId="18"/>
    <cellStyle name="60% - Colore 5" xfId="19"/>
    <cellStyle name="60% - Colore 6" xfId="20"/>
    <cellStyle name="Calcolo" xfId="21"/>
    <cellStyle name="Cella collegata" xfId="22"/>
    <cellStyle name="Cella da controllare" xfId="23"/>
    <cellStyle name="Colore 1" xfId="24"/>
    <cellStyle name="Colore 2" xfId="25"/>
    <cellStyle name="Colore 3" xfId="26"/>
    <cellStyle name="Colore 4" xfId="27"/>
    <cellStyle name="Colore 5" xfId="28"/>
    <cellStyle name="Colore 6" xfId="29"/>
    <cellStyle name="Comma" xfId="1" builtinId="3"/>
    <cellStyle name="Comma 2" xfId="42"/>
    <cellStyle name="Neutrale" xfId="30"/>
    <cellStyle name="Normal" xfId="0" builtinId="0"/>
    <cellStyle name="Normal 2" xfId="2"/>
    <cellStyle name="Nota" xfId="31"/>
    <cellStyle name="Percent" xfId="44" builtinId="5"/>
    <cellStyle name="Percent 2" xfId="43"/>
    <cellStyle name="Testo avviso" xfId="32"/>
    <cellStyle name="Testo descrittivo" xfId="33"/>
    <cellStyle name="Titolo" xfId="34"/>
    <cellStyle name="Titolo 1" xfId="35"/>
    <cellStyle name="Titolo 2" xfId="36"/>
    <cellStyle name="Titolo 3" xfId="37"/>
    <cellStyle name="Titolo 4" xfId="38"/>
    <cellStyle name="Totale" xfId="39"/>
    <cellStyle name="Valore non valido" xfId="40"/>
    <cellStyle name="Valore valido"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iya\Work\Workings%20-%20priya%20for%20CDM\Rules%20and%20References\Database200910%20-%20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dm/rajivraghav/Documents%20and%20Settings/nitinmukhi/Desktop/Fugitive%20Emission%20Facto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iya/Work/Workings%20-%20priya%20for%20CDM/Rules%20and%20References/Database200910%20-%20fin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nual"/>
      <sheetName val="Questions 07-08"/>
      <sheetName val="Questions 08-09"/>
      <sheetName val="Figures for User Guide 0910"/>
      <sheetName val="Results"/>
      <sheetName val="BM UNITS SR"/>
      <sheetName val="BM UNITS CR"/>
      <sheetName val="Data"/>
      <sheetName val="Plausibility"/>
      <sheetName val="Units + Abbrev"/>
      <sheetName val="Assumptions"/>
      <sheetName val="Transfers (2G)"/>
      <sheetName val="Transfers (5G)"/>
      <sheetName val="BM 0405"/>
      <sheetName val="BM 0506"/>
      <sheetName val="BM 0607"/>
      <sheetName val="BM 0708"/>
      <sheetName val="BM 0809"/>
      <sheetName val="BM 0910"/>
      <sheetName val="Margins 0405"/>
      <sheetName val="Margins 0506"/>
      <sheetName val="Margins 0607"/>
      <sheetName val="Margins 0708"/>
      <sheetName val="Margins 0809"/>
      <sheetName val="Margins 0910"/>
      <sheetName val="Stat 0405"/>
      <sheetName val="Stat 0506"/>
      <sheetName val="Stat 0607"/>
      <sheetName val="Stat 0708"/>
      <sheetName val="Stat 0809"/>
      <sheetName val="Stat 0910"/>
      <sheetName val="Compare"/>
      <sheetName val="Unit_Gen 0405"/>
      <sheetName val="Unit_Gen 0506"/>
      <sheetName val="Unit_Gen 0607"/>
      <sheetName val="Unit_Gen 0708"/>
      <sheetName val="Unit_Gen 0809"/>
      <sheetName val="CDM"/>
      <sheetName val="Sheet1"/>
      <sheetName val="supercriticaL"/>
    </sheetNames>
    <sheetDataSet>
      <sheetData sheetId="0"/>
      <sheetData sheetId="1"/>
      <sheetData sheetId="2"/>
      <sheetData sheetId="3"/>
      <sheetData sheetId="4"/>
      <sheetData sheetId="5"/>
      <sheetData sheetId="6"/>
      <sheetData sheetId="7"/>
      <sheetData sheetId="8"/>
      <sheetData sheetId="9"/>
      <sheetData sheetId="10">
        <row r="17">
          <cell r="D17">
            <v>8</v>
          </cell>
        </row>
        <row r="21">
          <cell r="D21">
            <v>3755</v>
          </cell>
        </row>
        <row r="22">
          <cell r="H22">
            <v>0.95</v>
          </cell>
        </row>
        <row r="30">
          <cell r="F30">
            <v>9</v>
          </cell>
          <cell r="H30">
            <v>7.5</v>
          </cell>
        </row>
        <row r="34">
          <cell r="E34">
            <v>1.05</v>
          </cell>
          <cell r="F34">
            <v>1.05</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EA_Data"/>
      <sheetName val="Fuel_Data"/>
      <sheetName val="Assumptions_CEA Data"/>
      <sheetName val="Nitin 1"/>
      <sheetName val="Nitin 2"/>
      <sheetName val="Fugitive Emission Factor"/>
    </sheetNames>
    <sheetDataSet>
      <sheetData sheetId="0" refreshError="1"/>
      <sheetData sheetId="1" refreshError="1"/>
      <sheetData sheetId="2">
        <row r="21">
          <cell r="D21">
            <v>3755</v>
          </cell>
        </row>
      </sheetData>
      <sheetData sheetId="3"/>
      <sheetData sheetId="4" refreshError="1"/>
      <sheetData sheetId="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Manual"/>
      <sheetName val="Questions 07-08"/>
      <sheetName val="Questions 08-09"/>
      <sheetName val="Figures for User Guide 0910"/>
      <sheetName val="Results"/>
      <sheetName val="BM UNITS SR"/>
      <sheetName val="BM UNITS CR"/>
      <sheetName val="Data"/>
      <sheetName val="Plausibility"/>
      <sheetName val="Units + Abbrev"/>
      <sheetName val="Assumptions"/>
      <sheetName val="Transfers (2G)"/>
      <sheetName val="Transfers (5G)"/>
      <sheetName val="BM 0405"/>
      <sheetName val="BM 0506"/>
      <sheetName val="BM 0607"/>
      <sheetName val="BM 0708"/>
      <sheetName val="BM 0809"/>
      <sheetName val="BM 0910"/>
      <sheetName val="Margins 0405"/>
      <sheetName val="Margins 0506"/>
      <sheetName val="Margins 0607"/>
      <sheetName val="Margins 0708"/>
      <sheetName val="Margins 0809"/>
      <sheetName val="Margins 0910"/>
      <sheetName val="Stat 0405"/>
      <sheetName val="Stat 0506"/>
      <sheetName val="Stat 0607"/>
      <sheetName val="Stat 0708"/>
      <sheetName val="Stat 0809"/>
      <sheetName val="Stat 0910"/>
      <sheetName val="Compare"/>
      <sheetName val="Unit_Gen 0405"/>
      <sheetName val="Unit_Gen 0506"/>
      <sheetName val="Unit_Gen 0607"/>
      <sheetName val="Unit_Gen 0708"/>
      <sheetName val="Unit_Gen 0809"/>
      <sheetName val="CDM"/>
      <sheetName val="Sheet1"/>
      <sheetName val="supercriticaL"/>
    </sheetNames>
    <sheetDataSet>
      <sheetData sheetId="0"/>
      <sheetData sheetId="1"/>
      <sheetData sheetId="2"/>
      <sheetData sheetId="3"/>
      <sheetData sheetId="4"/>
      <sheetData sheetId="5"/>
      <sheetData sheetId="6"/>
      <sheetData sheetId="7"/>
      <sheetData sheetId="8"/>
      <sheetData sheetId="9"/>
      <sheetData sheetId="10">
        <row r="17">
          <cell r="D17">
            <v>8</v>
          </cell>
          <cell r="E17">
            <v>10</v>
          </cell>
          <cell r="F17">
            <v>3</v>
          </cell>
          <cell r="G17">
            <v>1</v>
          </cell>
          <cell r="H17">
            <v>3.5</v>
          </cell>
          <cell r="I17">
            <v>3.5</v>
          </cell>
          <cell r="K17">
            <v>3.5</v>
          </cell>
          <cell r="L17">
            <v>0.5</v>
          </cell>
          <cell r="M17">
            <v>10.5</v>
          </cell>
        </row>
        <row r="21">
          <cell r="F21">
            <v>8800</v>
          </cell>
          <cell r="H21">
            <v>10100</v>
          </cell>
          <cell r="I21">
            <v>10500</v>
          </cell>
          <cell r="K21">
            <v>11300</v>
          </cell>
        </row>
        <row r="23">
          <cell r="E23">
            <v>1.28</v>
          </cell>
          <cell r="F23">
            <v>0.43</v>
          </cell>
          <cell r="G23">
            <v>0.66</v>
          </cell>
          <cell r="H23">
            <v>0.66</v>
          </cell>
          <cell r="I23">
            <v>0.59</v>
          </cell>
          <cell r="J23">
            <v>0.96</v>
          </cell>
        </row>
        <row r="34">
          <cell r="G34">
            <v>0.98</v>
          </cell>
          <cell r="H34">
            <v>1</v>
          </cell>
        </row>
        <row r="47">
          <cell r="D47">
            <v>0.42</v>
          </cell>
          <cell r="E47">
            <v>0.41</v>
          </cell>
          <cell r="F47">
            <v>0.42</v>
          </cell>
        </row>
        <row r="52">
          <cell r="F52">
            <v>0.63</v>
          </cell>
          <cell r="G52">
            <v>0.59</v>
          </cell>
        </row>
        <row r="58">
          <cell r="D58">
            <v>0.61</v>
          </cell>
        </row>
        <row r="66">
          <cell r="D66">
            <v>4.1867999999999999</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wtocentre.iift.ac.in/DOC/subsidies%20discipline%20final%20report-Natural%20resourse%20Pricing1.pdf" TargetMode="External"/><Relationship Id="rId2" Type="http://schemas.openxmlformats.org/officeDocument/2006/relationships/hyperlink" Target="http://wtocentre.iift.ac.in/DOC/subsidies%20discipline%20final%20report-Natural%20resourse%20Pricing1.pdf" TargetMode="External"/><Relationship Id="rId1" Type="http://schemas.openxmlformats.org/officeDocument/2006/relationships/printerSettings" Target="../printerSettings/printerSettings3.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dimension ref="A1:E35"/>
  <sheetViews>
    <sheetView showGridLines="0" view="pageBreakPreview" zoomScale="115" zoomScaleSheetLayoutView="115" workbookViewId="0">
      <selection activeCell="A6" sqref="A6"/>
    </sheetView>
  </sheetViews>
  <sheetFormatPr defaultRowHeight="12.75"/>
  <cols>
    <col min="1" max="1" width="51.85546875" style="40" customWidth="1"/>
    <col min="2" max="2" width="11.7109375" style="40" customWidth="1"/>
    <col min="3" max="3" width="23" style="40" customWidth="1"/>
    <col min="4" max="16384" width="9.140625" style="40"/>
  </cols>
  <sheetData>
    <row r="1" spans="1:3" ht="17.25">
      <c r="A1" s="217" t="s">
        <v>137</v>
      </c>
      <c r="B1" s="218"/>
      <c r="C1" s="219"/>
    </row>
    <row r="2" spans="1:3" ht="14.25">
      <c r="A2" s="5" t="s">
        <v>81</v>
      </c>
      <c r="B2" s="118" t="s">
        <v>85</v>
      </c>
      <c r="C2" s="5" t="s">
        <v>86</v>
      </c>
    </row>
    <row r="3" spans="1:3" ht="16.5">
      <c r="A3" s="10" t="s">
        <v>336</v>
      </c>
      <c r="B3" s="127">
        <v>858.78</v>
      </c>
      <c r="C3" s="42" t="s">
        <v>8</v>
      </c>
    </row>
    <row r="4" spans="1:3" ht="16.5">
      <c r="A4" s="10" t="s">
        <v>337</v>
      </c>
      <c r="B4" s="127">
        <v>920</v>
      </c>
      <c r="C4" s="42" t="s">
        <v>8</v>
      </c>
    </row>
    <row r="5" spans="1:3" ht="16.5">
      <c r="A5" s="10" t="s">
        <v>134</v>
      </c>
      <c r="B5" s="127">
        <f>B16</f>
        <v>894.63535701120009</v>
      </c>
      <c r="C5" s="42" t="s">
        <v>8</v>
      </c>
    </row>
    <row r="6" spans="1:3" ht="18" thickBot="1">
      <c r="A6" s="43" t="s">
        <v>136</v>
      </c>
      <c r="B6" s="25">
        <f>MIN(B3:B5)</f>
        <v>858.78</v>
      </c>
      <c r="C6" s="44" t="s">
        <v>3</v>
      </c>
    </row>
    <row r="7" spans="1:3" ht="15" thickTop="1">
      <c r="A7" s="45" t="s">
        <v>135</v>
      </c>
      <c r="B7" s="46"/>
      <c r="C7" s="47"/>
    </row>
    <row r="8" spans="1:3" ht="15">
      <c r="A8" s="22" t="s">
        <v>111</v>
      </c>
      <c r="B8" s="12"/>
      <c r="C8" s="12"/>
    </row>
    <row r="9" spans="1:3" ht="17.25">
      <c r="A9" s="22" t="s">
        <v>0</v>
      </c>
      <c r="B9" s="12"/>
      <c r="C9" s="12"/>
    </row>
    <row r="10" spans="1:3" ht="14.25">
      <c r="A10" s="214" t="s">
        <v>93</v>
      </c>
      <c r="B10" s="215"/>
      <c r="C10" s="216"/>
    </row>
    <row r="11" spans="1:3" ht="14.25">
      <c r="A11" s="211" t="s">
        <v>108</v>
      </c>
      <c r="B11" s="212"/>
      <c r="C11" s="213"/>
    </row>
    <row r="12" spans="1:3" ht="15">
      <c r="A12" s="119" t="s">
        <v>81</v>
      </c>
      <c r="B12" s="122" t="s">
        <v>85</v>
      </c>
      <c r="C12" s="121" t="s">
        <v>86</v>
      </c>
    </row>
    <row r="13" spans="1:3" ht="16.5">
      <c r="A13" s="2" t="s">
        <v>340</v>
      </c>
      <c r="B13" s="81">
        <f>B29</f>
        <v>9.3884000000000009E-2</v>
      </c>
      <c r="C13" s="32" t="s">
        <v>1</v>
      </c>
    </row>
    <row r="14" spans="1:3" ht="16.5">
      <c r="A14" s="2" t="s">
        <v>341</v>
      </c>
      <c r="B14" s="201">
        <f>3.6/(2276*0.0041868)</f>
        <v>0.3777878857025419</v>
      </c>
      <c r="C14" s="32" t="s">
        <v>90</v>
      </c>
    </row>
    <row r="15" spans="1:3" ht="14.25">
      <c r="A15" s="48" t="s">
        <v>112</v>
      </c>
      <c r="B15" s="43"/>
      <c r="C15" s="49"/>
    </row>
    <row r="16" spans="1:3" ht="18" thickBot="1">
      <c r="A16" s="3" t="s">
        <v>2</v>
      </c>
      <c r="B16" s="193">
        <f>B13/B14*3.6*1000</f>
        <v>894.63535701120009</v>
      </c>
      <c r="C16" s="33" t="s">
        <v>3</v>
      </c>
    </row>
    <row r="17" spans="1:5" ht="15.75" thickTop="1">
      <c r="A17" s="12" t="s">
        <v>257</v>
      </c>
      <c r="B17" s="12"/>
      <c r="C17" s="12"/>
    </row>
    <row r="18" spans="1:5" ht="15">
      <c r="A18" s="22" t="s">
        <v>101</v>
      </c>
      <c r="B18" s="12"/>
      <c r="C18" s="12"/>
    </row>
    <row r="19" spans="1:5" ht="30" customHeight="1">
      <c r="A19" s="220" t="s">
        <v>401</v>
      </c>
      <c r="B19" s="220"/>
      <c r="C19" s="220"/>
    </row>
    <row r="20" spans="1:5" ht="16.5">
      <c r="A20" s="12" t="s">
        <v>338</v>
      </c>
      <c r="B20" s="12"/>
      <c r="C20" s="12"/>
    </row>
    <row r="21" spans="1:5" ht="15">
      <c r="A21" s="12" t="s">
        <v>339</v>
      </c>
      <c r="B21" s="12"/>
      <c r="C21" s="12"/>
    </row>
    <row r="22" spans="1:5" ht="17.25">
      <c r="A22" s="217" t="s">
        <v>4</v>
      </c>
      <c r="B22" s="218"/>
      <c r="C22" s="219"/>
      <c r="D22"/>
      <c r="E22"/>
    </row>
    <row r="23" spans="1:5" ht="15">
      <c r="A23" s="119" t="s">
        <v>81</v>
      </c>
      <c r="B23" s="122" t="s">
        <v>85</v>
      </c>
      <c r="C23" s="121" t="s">
        <v>86</v>
      </c>
      <c r="D23"/>
      <c r="E23"/>
    </row>
    <row r="24" spans="1:5" ht="15">
      <c r="A24" s="2" t="s">
        <v>342</v>
      </c>
      <c r="B24" s="50">
        <f>3755/1.036</f>
        <v>3624.5173745173743</v>
      </c>
      <c r="C24" s="32" t="s">
        <v>109</v>
      </c>
      <c r="D24"/>
      <c r="E24"/>
    </row>
    <row r="25" spans="1:5" ht="16.5">
      <c r="A25" s="2" t="s">
        <v>343</v>
      </c>
      <c r="B25" s="50">
        <v>95.8</v>
      </c>
      <c r="C25" s="32" t="s">
        <v>32</v>
      </c>
      <c r="D25"/>
      <c r="E25"/>
    </row>
    <row r="26" spans="1:5" ht="15">
      <c r="A26" s="2" t="s">
        <v>344</v>
      </c>
      <c r="B26" s="50">
        <v>0.98</v>
      </c>
      <c r="C26" s="32"/>
      <c r="D26"/>
      <c r="E26"/>
    </row>
    <row r="27" spans="1:5" ht="16.5">
      <c r="A27" s="2" t="s">
        <v>345</v>
      </c>
      <c r="B27" s="50">
        <f>B24*B25*B26*4.186/10^6</f>
        <v>1.424429615945946</v>
      </c>
      <c r="C27" s="32" t="s">
        <v>5</v>
      </c>
      <c r="D27"/>
      <c r="E27"/>
    </row>
    <row r="28" spans="1:5" ht="15">
      <c r="A28" s="2" t="s">
        <v>96</v>
      </c>
      <c r="B28" s="92">
        <f>B24*4.186/10^3</f>
        <v>15.172229729729729</v>
      </c>
      <c r="C28" s="32" t="s">
        <v>110</v>
      </c>
      <c r="D28"/>
      <c r="E28"/>
    </row>
    <row r="29" spans="1:5" ht="18" thickBot="1">
      <c r="A29" s="3" t="s">
        <v>6</v>
      </c>
      <c r="B29" s="194">
        <f>B27/B28</f>
        <v>9.3884000000000009E-2</v>
      </c>
      <c r="C29" s="33" t="s">
        <v>7</v>
      </c>
      <c r="D29"/>
      <c r="E29"/>
    </row>
    <row r="30" spans="1:5" ht="15.75" thickTop="1">
      <c r="A30" s="12"/>
      <c r="B30" s="12"/>
      <c r="C30" s="12"/>
      <c r="D30"/>
      <c r="E30"/>
    </row>
    <row r="31" spans="1:5" ht="15">
      <c r="A31" s="22" t="s">
        <v>101</v>
      </c>
      <c r="B31" s="12"/>
      <c r="C31" s="12"/>
    </row>
    <row r="32" spans="1:5" ht="15">
      <c r="A32" s="12" t="s">
        <v>346</v>
      </c>
      <c r="B32" s="12"/>
      <c r="C32" s="12"/>
    </row>
    <row r="33" spans="1:3" ht="15">
      <c r="A33" s="80" t="s">
        <v>402</v>
      </c>
      <c r="B33" s="12"/>
      <c r="C33" s="12"/>
    </row>
    <row r="34" spans="1:3" ht="16.5">
      <c r="A34" s="12" t="s">
        <v>347</v>
      </c>
      <c r="B34" s="12"/>
      <c r="C34" s="12"/>
    </row>
    <row r="35" spans="1:3" ht="15">
      <c r="A35" s="12"/>
      <c r="B35" s="12"/>
      <c r="C35" s="12"/>
    </row>
  </sheetData>
  <customSheetViews>
    <customSheetView guid="{1D975FE4-3492-48C8-AB90-CC87D7FD201F}" showPageBreaks="1" printArea="1">
      <selection activeCell="B16" sqref="B16"/>
      <pageMargins left="0.75" right="0.75" top="1" bottom="1" header="0.5" footer="0.5"/>
      <pageSetup orientation="portrait" r:id="rId1"/>
      <headerFooter alignWithMargins="0"/>
    </customSheetView>
  </customSheetViews>
  <mergeCells count="5">
    <mergeCell ref="A11:C11"/>
    <mergeCell ref="A10:C10"/>
    <mergeCell ref="A22:C22"/>
    <mergeCell ref="A1:C1"/>
    <mergeCell ref="A19:C19"/>
  </mergeCells>
  <phoneticPr fontId="1"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dimension ref="A2:F7"/>
  <sheetViews>
    <sheetView showGridLines="0" view="pageBreakPreview" zoomScaleNormal="100" zoomScaleSheetLayoutView="100" workbookViewId="0">
      <selection activeCell="C5" sqref="C5"/>
    </sheetView>
  </sheetViews>
  <sheetFormatPr defaultRowHeight="12.75"/>
  <cols>
    <col min="1" max="1" width="24.5703125" style="75" customWidth="1"/>
    <col min="2" max="6" width="14.7109375" style="75" customWidth="1"/>
    <col min="7" max="16384" width="9.140625" style="75"/>
  </cols>
  <sheetData>
    <row r="2" spans="1:6" ht="13.5" thickBot="1"/>
    <row r="3" spans="1:6" ht="15" customHeight="1" thickBot="1">
      <c r="A3" s="292" t="s">
        <v>260</v>
      </c>
      <c r="B3" s="293"/>
      <c r="C3" s="293"/>
      <c r="D3" s="293"/>
      <c r="E3" s="293"/>
      <c r="F3" s="294"/>
    </row>
    <row r="4" spans="1:6" ht="13.5" thickBot="1">
      <c r="A4" s="76" t="s">
        <v>261</v>
      </c>
      <c r="B4" s="77" t="s">
        <v>263</v>
      </c>
      <c r="C4" s="77" t="s">
        <v>264</v>
      </c>
      <c r="D4" s="77" t="s">
        <v>265</v>
      </c>
      <c r="E4" s="77" t="s">
        <v>266</v>
      </c>
      <c r="F4" s="77" t="s">
        <v>447</v>
      </c>
    </row>
    <row r="5" spans="1:6" ht="54.75" customHeight="1" thickBot="1">
      <c r="A5" s="76" t="s">
        <v>448</v>
      </c>
      <c r="B5" s="192">
        <v>0.18456782153983708</v>
      </c>
      <c r="C5" s="192">
        <v>0.19043302337816048</v>
      </c>
      <c r="D5" s="192">
        <v>0.17405789432610741</v>
      </c>
      <c r="E5" s="192">
        <v>0.15942312771654832</v>
      </c>
      <c r="F5" s="192">
        <v>0.1764464348211735</v>
      </c>
    </row>
    <row r="6" spans="1:6" ht="29.25" customHeight="1" thickBot="1">
      <c r="A6" s="76" t="s">
        <v>262</v>
      </c>
      <c r="B6" s="298">
        <f>AVERAGE(B5:F5)</f>
        <v>0.17698566035636537</v>
      </c>
      <c r="C6" s="299"/>
      <c r="D6" s="299"/>
      <c r="E6" s="299"/>
      <c r="F6" s="300"/>
    </row>
    <row r="7" spans="1:6" ht="32.25" customHeight="1" thickBot="1">
      <c r="A7" s="295" t="s">
        <v>449</v>
      </c>
      <c r="B7" s="296"/>
      <c r="C7" s="296"/>
      <c r="D7" s="296"/>
      <c r="E7" s="296"/>
      <c r="F7" s="297"/>
    </row>
  </sheetData>
  <mergeCells count="3">
    <mergeCell ref="A3:F3"/>
    <mergeCell ref="A7:F7"/>
    <mergeCell ref="B6:F6"/>
  </mergeCells>
  <pageMargins left="0.7" right="0.7"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J58"/>
  <sheetViews>
    <sheetView showGridLines="0" view="pageBreakPreview" topLeftCell="A34" zoomScale="115" zoomScaleSheetLayoutView="115" workbookViewId="0">
      <selection activeCell="B20" sqref="B20"/>
    </sheetView>
  </sheetViews>
  <sheetFormatPr defaultRowHeight="15"/>
  <cols>
    <col min="1" max="1" width="55" style="12" customWidth="1"/>
    <col min="2" max="2" width="16.85546875" style="12" bestFit="1" customWidth="1"/>
    <col min="3" max="3" width="20" style="12" customWidth="1"/>
    <col min="4" max="4" width="19.140625" style="12" customWidth="1"/>
    <col min="5" max="5" width="12.85546875" style="12" customWidth="1"/>
    <col min="6" max="7" width="9.140625" style="12"/>
    <col min="8" max="8" width="12" style="12" bestFit="1" customWidth="1"/>
    <col min="9" max="16384" width="9.140625" style="12"/>
  </cols>
  <sheetData>
    <row r="1" spans="1:4">
      <c r="A1" s="226" t="s">
        <v>98</v>
      </c>
      <c r="B1" s="227"/>
      <c r="C1" s="227"/>
    </row>
    <row r="2" spans="1:4" ht="16.5">
      <c r="A2" s="223" t="s">
        <v>46</v>
      </c>
      <c r="B2" s="224"/>
      <c r="C2" s="225"/>
    </row>
    <row r="3" spans="1:4">
      <c r="A3" s="117" t="s">
        <v>84</v>
      </c>
      <c r="B3" s="5" t="s">
        <v>85</v>
      </c>
      <c r="C3" s="118" t="s">
        <v>86</v>
      </c>
    </row>
    <row r="4" spans="1:4">
      <c r="A4" s="17" t="s">
        <v>100</v>
      </c>
      <c r="B4" s="18">
        <f>B21</f>
        <v>2762.6521499999999</v>
      </c>
      <c r="C4" s="121" t="s">
        <v>88</v>
      </c>
    </row>
    <row r="5" spans="1:4" ht="18.75">
      <c r="A5" s="17" t="s">
        <v>47</v>
      </c>
      <c r="B5" s="19">
        <f>B35</f>
        <v>504355190.9480828</v>
      </c>
      <c r="C5" s="121" t="s">
        <v>141</v>
      </c>
    </row>
    <row r="6" spans="1:4" ht="18.75">
      <c r="A6" s="13" t="s">
        <v>48</v>
      </c>
      <c r="B6" s="20">
        <f>B54</f>
        <v>2.0057009700000005E-3</v>
      </c>
      <c r="C6" s="21" t="s">
        <v>142</v>
      </c>
    </row>
    <row r="7" spans="1:4" ht="17.25">
      <c r="A7" s="7" t="s">
        <v>348</v>
      </c>
      <c r="B7" s="198">
        <f>B5*B6</f>
        <v>1011585.6957091051</v>
      </c>
      <c r="C7" s="5" t="s">
        <v>49</v>
      </c>
      <c r="D7" s="101"/>
    </row>
    <row r="8" spans="1:4">
      <c r="A8" s="7"/>
      <c r="B8" s="16"/>
      <c r="C8" s="122"/>
    </row>
    <row r="9" spans="1:4">
      <c r="A9" s="22" t="s">
        <v>101</v>
      </c>
    </row>
    <row r="10" spans="1:4">
      <c r="A10" s="12" t="s">
        <v>102</v>
      </c>
    </row>
    <row r="11" spans="1:4">
      <c r="A11" s="12" t="s">
        <v>103</v>
      </c>
    </row>
    <row r="12" spans="1:4">
      <c r="A12" s="12" t="s">
        <v>104</v>
      </c>
    </row>
    <row r="14" spans="1:4" ht="15.75" thickBot="1">
      <c r="A14" s="228" t="s">
        <v>107</v>
      </c>
      <c r="B14" s="229"/>
      <c r="C14" s="230"/>
    </row>
    <row r="15" spans="1:4">
      <c r="A15" s="51" t="s">
        <v>84</v>
      </c>
      <c r="B15" s="52" t="s">
        <v>85</v>
      </c>
      <c r="C15" s="52" t="s">
        <v>86</v>
      </c>
    </row>
    <row r="16" spans="1:4">
      <c r="A16" s="16" t="s">
        <v>105</v>
      </c>
      <c r="B16" s="128">
        <v>382.5</v>
      </c>
      <c r="C16" s="122" t="s">
        <v>113</v>
      </c>
    </row>
    <row r="17" spans="1:10">
      <c r="A17" s="16" t="s">
        <v>178</v>
      </c>
      <c r="B17" s="19">
        <f>365*0.85*24</f>
        <v>7446</v>
      </c>
      <c r="C17" s="122" t="s">
        <v>87</v>
      </c>
    </row>
    <row r="18" spans="1:10">
      <c r="A18" s="16" t="s">
        <v>106</v>
      </c>
      <c r="B18" s="23">
        <f>B16*B17/1000</f>
        <v>2848.0949999999998</v>
      </c>
      <c r="C18" s="122" t="s">
        <v>88</v>
      </c>
    </row>
    <row r="19" spans="1:10">
      <c r="A19" s="16" t="s">
        <v>179</v>
      </c>
      <c r="B19" s="23">
        <v>3</v>
      </c>
      <c r="C19" s="122" t="s">
        <v>90</v>
      </c>
    </row>
    <row r="20" spans="1:10">
      <c r="A20" s="16" t="s">
        <v>89</v>
      </c>
      <c r="B20" s="18">
        <f>B19*B18/100</f>
        <v>85.442849999999993</v>
      </c>
      <c r="C20" s="122" t="s">
        <v>88</v>
      </c>
    </row>
    <row r="21" spans="1:10">
      <c r="A21" s="7" t="s">
        <v>99</v>
      </c>
      <c r="B21" s="71">
        <f>B18-B20</f>
        <v>2762.6521499999999</v>
      </c>
      <c r="C21" s="65" t="s">
        <v>88</v>
      </c>
    </row>
    <row r="22" spans="1:10">
      <c r="A22" s="7" t="s">
        <v>99</v>
      </c>
      <c r="B22" s="72">
        <f>B21*1000</f>
        <v>2762652.15</v>
      </c>
      <c r="C22" s="5" t="s">
        <v>113</v>
      </c>
    </row>
    <row r="24" spans="1:10">
      <c r="A24" s="22" t="s">
        <v>92</v>
      </c>
    </row>
    <row r="25" spans="1:10">
      <c r="A25" s="12" t="s">
        <v>126</v>
      </c>
    </row>
    <row r="26" spans="1:10">
      <c r="A26" s="12" t="s">
        <v>453</v>
      </c>
    </row>
    <row r="27" spans="1:10">
      <c r="A27" s="12" t="s">
        <v>403</v>
      </c>
    </row>
    <row r="30" spans="1:10" ht="16.5">
      <c r="A30" s="221" t="s">
        <v>50</v>
      </c>
      <c r="B30" s="222"/>
      <c r="C30" s="222"/>
    </row>
    <row r="31" spans="1:10">
      <c r="A31" s="7" t="s">
        <v>84</v>
      </c>
      <c r="B31" s="5" t="s">
        <v>85</v>
      </c>
      <c r="C31" s="5" t="s">
        <v>86</v>
      </c>
      <c r="J31" s="74"/>
    </row>
    <row r="32" spans="1:10">
      <c r="A32" s="16" t="s">
        <v>444</v>
      </c>
      <c r="B32" s="19">
        <f>6527/4.186*1.1</f>
        <v>1715.1696129956999</v>
      </c>
      <c r="C32" s="122" t="s">
        <v>91</v>
      </c>
      <c r="J32" s="74"/>
    </row>
    <row r="33" spans="1:10" ht="18">
      <c r="A33" s="16" t="s">
        <v>192</v>
      </c>
      <c r="B33" s="24">
        <f>C44*1.1</f>
        <v>9395.0000000000018</v>
      </c>
      <c r="C33" s="122" t="s">
        <v>51</v>
      </c>
      <c r="J33" s="74"/>
    </row>
    <row r="34" spans="1:10">
      <c r="A34" s="16" t="s">
        <v>131</v>
      </c>
      <c r="B34" s="19">
        <f>B21</f>
        <v>2762.6521499999999</v>
      </c>
      <c r="C34" s="122" t="s">
        <v>88</v>
      </c>
      <c r="D34"/>
      <c r="E34"/>
      <c r="F34"/>
      <c r="G34"/>
    </row>
    <row r="35" spans="1:10" ht="18.75" thickBot="1">
      <c r="A35" s="7" t="s">
        <v>52</v>
      </c>
      <c r="B35" s="197">
        <f>B34*B32/B33*1000000</f>
        <v>504355190.9480828</v>
      </c>
      <c r="C35" s="5" t="s">
        <v>138</v>
      </c>
      <c r="D35"/>
      <c r="E35"/>
      <c r="F35"/>
      <c r="G35"/>
    </row>
    <row r="36" spans="1:10" ht="15.75" thickTop="1">
      <c r="A36" s="4"/>
      <c r="B36" s="4"/>
      <c r="C36" s="4"/>
      <c r="D36"/>
      <c r="E36"/>
      <c r="F36"/>
      <c r="G36"/>
    </row>
    <row r="37" spans="1:10">
      <c r="A37" s="22" t="s">
        <v>92</v>
      </c>
      <c r="D37"/>
      <c r="E37"/>
      <c r="F37"/>
      <c r="G37"/>
    </row>
    <row r="38" spans="1:10">
      <c r="A38" s="12" t="s">
        <v>404</v>
      </c>
      <c r="D38"/>
      <c r="E38"/>
      <c r="F38"/>
      <c r="G38"/>
    </row>
    <row r="39" spans="1:10">
      <c r="A39" s="12" t="s">
        <v>369</v>
      </c>
      <c r="D39"/>
      <c r="E39"/>
      <c r="F39"/>
      <c r="G39"/>
    </row>
    <row r="40" spans="1:10">
      <c r="A40" s="12" t="s">
        <v>368</v>
      </c>
      <c r="D40"/>
      <c r="E40"/>
      <c r="F40"/>
      <c r="G40"/>
      <c r="H40"/>
      <c r="I40"/>
    </row>
    <row r="41" spans="1:10" ht="17.25">
      <c r="A41" s="117" t="s">
        <v>81</v>
      </c>
      <c r="B41" s="5" t="s">
        <v>182</v>
      </c>
      <c r="C41" s="118" t="s">
        <v>184</v>
      </c>
      <c r="D41"/>
      <c r="E41"/>
      <c r="F41"/>
      <c r="G41"/>
      <c r="H41"/>
      <c r="I41"/>
    </row>
    <row r="42" spans="1:10">
      <c r="A42" s="2" t="s">
        <v>362</v>
      </c>
      <c r="B42" s="10">
        <v>0.5</v>
      </c>
      <c r="C42" s="127">
        <f>8100</f>
        <v>8100</v>
      </c>
      <c r="D42"/>
      <c r="E42"/>
      <c r="F42"/>
      <c r="G42"/>
      <c r="H42"/>
      <c r="I42"/>
    </row>
    <row r="43" spans="1:10">
      <c r="A43" s="2" t="s">
        <v>361</v>
      </c>
      <c r="B43" s="10">
        <v>0.5</v>
      </c>
      <c r="C43" s="127">
        <f>9880/1.1</f>
        <v>8981.818181818182</v>
      </c>
      <c r="D43"/>
      <c r="E43"/>
      <c r="F43"/>
      <c r="G43"/>
      <c r="H43"/>
      <c r="I43"/>
    </row>
    <row r="44" spans="1:10" ht="18" thickBot="1">
      <c r="A44" s="3" t="s">
        <v>183</v>
      </c>
      <c r="B44" s="47"/>
      <c r="C44" s="59">
        <f>(C42*B42)+(C43*B43)</f>
        <v>8540.9090909090919</v>
      </c>
      <c r="D44"/>
      <c r="E44"/>
      <c r="F44"/>
      <c r="G44"/>
      <c r="H44"/>
      <c r="I44"/>
    </row>
    <row r="45" spans="1:10" ht="30.75" customHeight="1" thickTop="1">
      <c r="A45" s="220" t="s">
        <v>405</v>
      </c>
      <c r="B45" s="220"/>
      <c r="C45" s="220"/>
    </row>
    <row r="46" spans="1:10">
      <c r="A46" s="220" t="s">
        <v>364</v>
      </c>
      <c r="B46" s="220"/>
      <c r="C46" s="220"/>
    </row>
    <row r="47" spans="1:10" ht="29.25" customHeight="1">
      <c r="A47" s="220" t="s">
        <v>363</v>
      </c>
      <c r="B47" s="220"/>
      <c r="C47" s="220"/>
    </row>
    <row r="48" spans="1:10" ht="20.25" customHeight="1">
      <c r="F48"/>
      <c r="G48"/>
      <c r="H48"/>
    </row>
    <row r="49" spans="1:8" ht="16.5">
      <c r="A49" s="223" t="s">
        <v>310</v>
      </c>
      <c r="B49" s="224"/>
      <c r="C49" s="225"/>
      <c r="F49"/>
      <c r="G49"/>
      <c r="H49"/>
    </row>
    <row r="50" spans="1:8" ht="18">
      <c r="A50" s="26" t="s">
        <v>180</v>
      </c>
      <c r="B50" s="19">
        <f>C44</f>
        <v>8540.9090909090919</v>
      </c>
      <c r="C50" s="27" t="s">
        <v>140</v>
      </c>
      <c r="F50"/>
      <c r="G50"/>
      <c r="H50"/>
    </row>
    <row r="51" spans="1:8" ht="18.75">
      <c r="A51" s="26" t="s">
        <v>53</v>
      </c>
      <c r="B51" s="70">
        <f>B50*4.186/1000000</f>
        <v>3.5752245454545459E-2</v>
      </c>
      <c r="C51" s="27" t="s">
        <v>185</v>
      </c>
      <c r="D51" s="100"/>
      <c r="E51" s="115"/>
      <c r="F51"/>
      <c r="G51"/>
      <c r="H51"/>
    </row>
    <row r="52" spans="1:8" ht="16.5">
      <c r="A52" s="26" t="s">
        <v>181</v>
      </c>
      <c r="B52" s="129">
        <f>15.3*44/12/1000</f>
        <v>5.6100000000000004E-2</v>
      </c>
      <c r="C52" s="27" t="s">
        <v>186</v>
      </c>
      <c r="D52" s="102"/>
    </row>
    <row r="53" spans="1:8" ht="16.5">
      <c r="A53" s="26" t="s">
        <v>188</v>
      </c>
      <c r="B53" s="24">
        <v>1</v>
      </c>
      <c r="C53" s="27"/>
    </row>
    <row r="54" spans="1:8" ht="18.75" thickBot="1">
      <c r="A54" s="28" t="s">
        <v>54</v>
      </c>
      <c r="B54" s="29">
        <f>B51*B52*B53</f>
        <v>2.0057009700000005E-3</v>
      </c>
      <c r="C54" s="15" t="s">
        <v>177</v>
      </c>
    </row>
    <row r="55" spans="1:8" ht="17.25" thickTop="1">
      <c r="A55" s="12" t="s">
        <v>187</v>
      </c>
    </row>
    <row r="56" spans="1:8">
      <c r="A56" s="22" t="s">
        <v>92</v>
      </c>
    </row>
    <row r="57" spans="1:8">
      <c r="A57" s="12" t="s">
        <v>194</v>
      </c>
    </row>
    <row r="58" spans="1:8">
      <c r="A58" s="12" t="s">
        <v>189</v>
      </c>
    </row>
  </sheetData>
  <customSheetViews>
    <customSheetView guid="{1D975FE4-3492-48C8-AB90-CC87D7FD201F}" showPageBreaks="1" printArea="1" topLeftCell="A40">
      <selection activeCell="H49" sqref="H49"/>
      <pageMargins left="0.75" right="0.75" top="0.5" bottom="0.5" header="0" footer="0"/>
      <printOptions horizontalCentered="1"/>
      <pageSetup scale="79" orientation="portrait" r:id="rId1"/>
      <headerFooter alignWithMargins="0"/>
    </customSheetView>
  </customSheetViews>
  <mergeCells count="8">
    <mergeCell ref="A30:C30"/>
    <mergeCell ref="A49:C49"/>
    <mergeCell ref="A1:C1"/>
    <mergeCell ref="A2:C2"/>
    <mergeCell ref="A14:C14"/>
    <mergeCell ref="A45:C45"/>
    <mergeCell ref="A47:C47"/>
    <mergeCell ref="A46:C46"/>
  </mergeCells>
  <phoneticPr fontId="1" type="noConversion"/>
  <hyperlinks>
    <hyperlink ref="A47" r:id="rId2" display="http://wtocentre.iift.ac.in/DOC/subsidies discipline final report-Natural resourse Pricing1.pdf"/>
    <hyperlink ref="A46" r:id="rId3" display="http://wtocentre.iift.ac.in/DOC/subsidies discipline final report-Natural resourse Pricing1.pdf"/>
  </hyperlinks>
  <printOptions horizontalCentered="1"/>
  <pageMargins left="0.75" right="0.75" top="0.5" bottom="0.5" header="0" footer="0"/>
  <pageSetup scale="78" orientation="portrait" r:id="rId4"/>
  <headerFooter alignWithMargins="0"/>
  <rowBreaks count="2" manualBreakCount="2">
    <brk id="34" max="16383" man="1"/>
    <brk id="38" max="2" man="1"/>
  </rowBreaks>
  <colBreaks count="1" manualBreakCount="1">
    <brk id="3" max="1048575" man="1"/>
  </colBreaks>
</worksheet>
</file>

<file path=xl/worksheets/sheet3.xml><?xml version="1.0" encoding="utf-8"?>
<worksheet xmlns="http://schemas.openxmlformats.org/spreadsheetml/2006/main" xmlns:r="http://schemas.openxmlformats.org/officeDocument/2006/relationships">
  <dimension ref="A1:K167"/>
  <sheetViews>
    <sheetView showGridLines="0" view="pageBreakPreview" topLeftCell="A13" zoomScale="115" zoomScaleNormal="90" zoomScaleSheetLayoutView="115" workbookViewId="0">
      <selection activeCell="B22" sqref="B22"/>
    </sheetView>
  </sheetViews>
  <sheetFormatPr defaultRowHeight="15"/>
  <cols>
    <col min="1" max="1" width="92.5703125" style="12" customWidth="1"/>
    <col min="2" max="2" width="15.42578125" style="12" customWidth="1"/>
    <col min="3" max="3" width="12.140625" style="12" customWidth="1"/>
    <col min="4" max="5" width="11.140625" style="12" customWidth="1"/>
    <col min="6" max="6" width="15" style="12" customWidth="1"/>
    <col min="7" max="12" width="9.140625" style="12" customWidth="1"/>
    <col min="13" max="16384" width="9.140625" style="12"/>
  </cols>
  <sheetData>
    <row r="1" spans="1:11" ht="17.25">
      <c r="A1" s="30" t="s">
        <v>12</v>
      </c>
    </row>
    <row r="2" spans="1:11">
      <c r="A2" s="117" t="s">
        <v>94</v>
      </c>
      <c r="B2" s="123"/>
      <c r="C2" s="124"/>
    </row>
    <row r="3" spans="1:11">
      <c r="A3" s="117" t="s">
        <v>81</v>
      </c>
      <c r="B3" s="5" t="s">
        <v>85</v>
      </c>
      <c r="C3" s="118" t="s">
        <v>86</v>
      </c>
    </row>
    <row r="4" spans="1:11" ht="16.5">
      <c r="A4" s="2" t="s">
        <v>13</v>
      </c>
      <c r="B4" s="50">
        <f>B33</f>
        <v>30822.56492180303</v>
      </c>
      <c r="C4" s="32" t="s">
        <v>14</v>
      </c>
    </row>
    <row r="5" spans="1:11">
      <c r="A5" s="2"/>
      <c r="B5" s="31"/>
      <c r="C5" s="32"/>
    </row>
    <row r="6" spans="1:11" ht="46.5">
      <c r="A6" s="53" t="s">
        <v>15</v>
      </c>
      <c r="B6" s="50">
        <f>B57</f>
        <v>59505.040924064997</v>
      </c>
      <c r="C6" s="32" t="s">
        <v>14</v>
      </c>
      <c r="D6" s="126"/>
      <c r="E6" s="126"/>
      <c r="F6" s="126"/>
      <c r="G6" s="126"/>
      <c r="H6" s="126"/>
      <c r="I6" s="126"/>
      <c r="J6" s="126"/>
      <c r="K6" s="126"/>
    </row>
    <row r="7" spans="1:11">
      <c r="A7" s="2"/>
      <c r="B7" s="31"/>
      <c r="C7" s="32"/>
    </row>
    <row r="8" spans="1:11" ht="18" thickBot="1">
      <c r="A8" s="3" t="s">
        <v>259</v>
      </c>
      <c r="B8" s="196">
        <f>B6+B4</f>
        <v>90327.605845868035</v>
      </c>
      <c r="C8" s="33" t="s">
        <v>16</v>
      </c>
    </row>
    <row r="9" spans="1:11" ht="15.75" thickTop="1"/>
    <row r="10" spans="1:11">
      <c r="A10" s="34" t="s">
        <v>101</v>
      </c>
    </row>
    <row r="11" spans="1:11" ht="16.5">
      <c r="A11" s="12" t="s">
        <v>17</v>
      </c>
    </row>
    <row r="13" spans="1:11">
      <c r="A13" s="12" t="s">
        <v>132</v>
      </c>
    </row>
    <row r="14" spans="1:11">
      <c r="A14" s="12" t="s">
        <v>133</v>
      </c>
    </row>
    <row r="15" spans="1:11" ht="16.5">
      <c r="A15" s="12" t="s">
        <v>18</v>
      </c>
    </row>
    <row r="18" spans="1:3" ht="17.25">
      <c r="A18" s="217" t="s">
        <v>19</v>
      </c>
      <c r="B18" s="224"/>
      <c r="C18" s="225"/>
    </row>
    <row r="19" spans="1:3">
      <c r="A19" s="117" t="s">
        <v>81</v>
      </c>
      <c r="B19" s="5" t="s">
        <v>85</v>
      </c>
      <c r="C19" s="118" t="s">
        <v>86</v>
      </c>
    </row>
    <row r="20" spans="1:3" ht="18.75">
      <c r="A20" s="2" t="s">
        <v>20</v>
      </c>
      <c r="B20" s="54">
        <f>B69</f>
        <v>504355190.9480828</v>
      </c>
      <c r="C20" s="32" t="s">
        <v>21</v>
      </c>
    </row>
    <row r="21" spans="1:3">
      <c r="A21" s="2"/>
      <c r="B21" s="31"/>
      <c r="C21" s="32"/>
    </row>
    <row r="22" spans="1:3" ht="18.75">
      <c r="A22" s="2" t="s">
        <v>312</v>
      </c>
      <c r="B22" s="55">
        <f>B75</f>
        <v>3.5752245454545459E-2</v>
      </c>
      <c r="C22" s="32" t="s">
        <v>22</v>
      </c>
    </row>
    <row r="23" spans="1:3">
      <c r="A23" s="2"/>
      <c r="B23" s="31"/>
      <c r="C23" s="32"/>
    </row>
    <row r="24" spans="1:3" ht="16.5">
      <c r="A24" s="2" t="s">
        <v>23</v>
      </c>
      <c r="B24" s="56">
        <f>B88</f>
        <v>1.6000000000000001E-4</v>
      </c>
      <c r="C24" s="32" t="s">
        <v>24</v>
      </c>
    </row>
    <row r="25" spans="1:3">
      <c r="A25" s="2"/>
      <c r="B25" s="31"/>
      <c r="C25" s="32"/>
    </row>
    <row r="26" spans="1:3" ht="16.5">
      <c r="A26" s="2" t="s">
        <v>25</v>
      </c>
      <c r="B26" s="57">
        <f>B94</f>
        <v>2762652.15</v>
      </c>
      <c r="C26" s="32" t="s">
        <v>113</v>
      </c>
    </row>
    <row r="27" spans="1:3">
      <c r="A27" s="2"/>
      <c r="B27" s="31"/>
      <c r="C27" s="32"/>
    </row>
    <row r="28" spans="1:3">
      <c r="A28" s="2" t="s">
        <v>114</v>
      </c>
      <c r="B28" s="31"/>
      <c r="C28" s="32"/>
    </row>
    <row r="29" spans="1:3" ht="16.5">
      <c r="A29" s="2" t="s">
        <v>26</v>
      </c>
      <c r="B29" s="210">
        <f>'Section 5 - EFbl,upstream,ch4'!B16</f>
        <v>5.1304023437604167E-4</v>
      </c>
      <c r="C29" s="32" t="s">
        <v>27</v>
      </c>
    </row>
    <row r="30" spans="1:3">
      <c r="A30" s="2"/>
      <c r="B30" s="31"/>
      <c r="C30" s="32"/>
    </row>
    <row r="31" spans="1:3" ht="16.5">
      <c r="A31" s="2" t="s">
        <v>28</v>
      </c>
      <c r="B31" s="31">
        <v>21</v>
      </c>
      <c r="C31" s="32"/>
    </row>
    <row r="32" spans="1:3">
      <c r="A32" s="2"/>
      <c r="B32" s="31"/>
      <c r="C32" s="32"/>
    </row>
    <row r="33" spans="1:3" ht="18" thickBot="1">
      <c r="A33" s="3" t="s">
        <v>258</v>
      </c>
      <c r="B33" s="196">
        <f>((B20*B22*B24)-(B26*B29))*B31</f>
        <v>30822.56492180303</v>
      </c>
      <c r="C33" s="33" t="s">
        <v>16</v>
      </c>
    </row>
    <row r="34" spans="1:3" ht="15.75" thickTop="1"/>
    <row r="36" spans="1:3">
      <c r="A36" s="34" t="s">
        <v>101</v>
      </c>
    </row>
    <row r="37" spans="1:3">
      <c r="A37" s="12" t="s">
        <v>118</v>
      </c>
    </row>
    <row r="38" spans="1:3">
      <c r="A38" s="12" t="s">
        <v>119</v>
      </c>
    </row>
    <row r="39" spans="1:3">
      <c r="A39" s="12" t="s">
        <v>120</v>
      </c>
    </row>
    <row r="40" spans="1:3">
      <c r="A40" s="12" t="s">
        <v>121</v>
      </c>
    </row>
    <row r="41" spans="1:3">
      <c r="A41" s="12" t="s">
        <v>122</v>
      </c>
    </row>
    <row r="42" spans="1:3">
      <c r="A42" s="235" t="s">
        <v>311</v>
      </c>
      <c r="B42" s="236"/>
      <c r="C42" s="236"/>
    </row>
    <row r="43" spans="1:3">
      <c r="A43" s="236"/>
      <c r="B43" s="236"/>
    </row>
    <row r="45" spans="1:3" ht="12.75" customHeight="1">
      <c r="A45" s="237" t="s">
        <v>29</v>
      </c>
      <c r="B45" s="215"/>
      <c r="C45" s="216"/>
    </row>
    <row r="46" spans="1:3">
      <c r="A46" s="238"/>
      <c r="B46" s="233"/>
      <c r="C46" s="234"/>
    </row>
    <row r="47" spans="1:3">
      <c r="A47" s="239"/>
      <c r="B47" s="233"/>
      <c r="C47" s="234"/>
    </row>
    <row r="48" spans="1:3">
      <c r="A48" s="117" t="s">
        <v>81</v>
      </c>
      <c r="B48" s="5" t="s">
        <v>85</v>
      </c>
      <c r="C48" s="118" t="s">
        <v>86</v>
      </c>
    </row>
    <row r="49" spans="1:6" ht="16.5">
      <c r="A49" s="2" t="s">
        <v>30</v>
      </c>
      <c r="B49" s="50">
        <f>B108</f>
        <v>9917.5068206774995</v>
      </c>
      <c r="C49" s="32" t="s">
        <v>116</v>
      </c>
      <c r="F49" s="103"/>
    </row>
    <row r="50" spans="1:6">
      <c r="A50" s="2"/>
      <c r="B50" s="10"/>
      <c r="C50" s="32"/>
    </row>
    <row r="51" spans="1:6">
      <c r="A51" s="240" t="s">
        <v>31</v>
      </c>
      <c r="B51" s="10"/>
      <c r="C51" s="32"/>
    </row>
    <row r="52" spans="1:6">
      <c r="A52" s="241"/>
      <c r="B52" s="10"/>
      <c r="C52" s="32"/>
    </row>
    <row r="53" spans="1:6" ht="16.5">
      <c r="A53" s="241"/>
      <c r="B53" s="10">
        <v>6</v>
      </c>
      <c r="C53" s="32" t="s">
        <v>32</v>
      </c>
    </row>
    <row r="54" spans="1:6">
      <c r="A54" s="2"/>
      <c r="B54" s="10"/>
      <c r="C54" s="32"/>
    </row>
    <row r="55" spans="1:6">
      <c r="A55" s="242" t="s">
        <v>33</v>
      </c>
      <c r="B55" s="43"/>
      <c r="C55" s="49"/>
    </row>
    <row r="56" spans="1:6">
      <c r="A56" s="243"/>
      <c r="B56" s="43"/>
      <c r="C56" s="49"/>
    </row>
    <row r="57" spans="1:6" ht="18" thickBot="1">
      <c r="A57" s="244"/>
      <c r="B57" s="25">
        <f>B53*B49</f>
        <v>59505.040924064997</v>
      </c>
      <c r="C57" s="33" t="s">
        <v>16</v>
      </c>
      <c r="F57" s="104"/>
    </row>
    <row r="58" spans="1:6" ht="15.75" thickTop="1"/>
    <row r="59" spans="1:6">
      <c r="A59" s="34" t="s">
        <v>101</v>
      </c>
    </row>
    <row r="60" spans="1:6">
      <c r="A60" s="12" t="s">
        <v>123</v>
      </c>
    </row>
    <row r="61" spans="1:6">
      <c r="A61" s="4" t="s">
        <v>124</v>
      </c>
    </row>
    <row r="62" spans="1:6">
      <c r="A62" s="217" t="s">
        <v>115</v>
      </c>
      <c r="B62" s="231"/>
      <c r="C62" s="232"/>
    </row>
    <row r="63" spans="1:6">
      <c r="A63" s="117" t="s">
        <v>81</v>
      </c>
      <c r="B63" s="5" t="s">
        <v>85</v>
      </c>
      <c r="C63" s="118" t="s">
        <v>86</v>
      </c>
    </row>
    <row r="64" spans="1:6" ht="17.25">
      <c r="A64" s="58" t="s">
        <v>34</v>
      </c>
      <c r="B64" s="10"/>
      <c r="C64" s="41"/>
    </row>
    <row r="65" spans="1:3">
      <c r="A65" s="48"/>
      <c r="B65" s="10"/>
      <c r="C65" s="41"/>
    </row>
    <row r="66" spans="1:3" ht="18">
      <c r="A66" s="2" t="s">
        <v>125</v>
      </c>
      <c r="B66" s="54">
        <f>'project emissions'!B35</f>
        <v>504355190.9480828</v>
      </c>
      <c r="C66" s="32" t="s">
        <v>141</v>
      </c>
    </row>
    <row r="67" spans="1:3">
      <c r="A67" s="2"/>
      <c r="B67" s="54"/>
      <c r="C67" s="32"/>
    </row>
    <row r="68" spans="1:3">
      <c r="A68" s="2"/>
      <c r="B68" s="10"/>
      <c r="C68" s="32"/>
    </row>
    <row r="69" spans="1:3" ht="18.75" thickBot="1">
      <c r="A69" s="48" t="s">
        <v>35</v>
      </c>
      <c r="B69" s="59">
        <f>B66</f>
        <v>504355190.9480828</v>
      </c>
      <c r="C69" s="60" t="s">
        <v>36</v>
      </c>
    </row>
    <row r="70" spans="1:3" ht="15.75" thickTop="1">
      <c r="A70" s="2"/>
      <c r="B70" s="10"/>
      <c r="C70" s="32"/>
    </row>
    <row r="71" spans="1:3" ht="17.25">
      <c r="A71" s="58" t="s">
        <v>190</v>
      </c>
      <c r="B71" s="10"/>
      <c r="C71" s="32"/>
    </row>
    <row r="72" spans="1:3">
      <c r="A72" s="2"/>
      <c r="B72" s="10"/>
      <c r="C72" s="32"/>
    </row>
    <row r="73" spans="1:3" ht="18">
      <c r="A73" s="2" t="s">
        <v>78</v>
      </c>
      <c r="B73" s="61">
        <f>'project emissions'!C44</f>
        <v>8540.9090909090919</v>
      </c>
      <c r="C73" s="32" t="s">
        <v>37</v>
      </c>
    </row>
    <row r="74" spans="1:3">
      <c r="A74" s="2"/>
      <c r="B74" s="10"/>
      <c r="C74" s="32"/>
    </row>
    <row r="75" spans="1:3" ht="18.75" thickBot="1">
      <c r="A75" s="48" t="s">
        <v>191</v>
      </c>
      <c r="B75" s="25">
        <f>B73*4.186/10^6</f>
        <v>3.5752245454545459E-2</v>
      </c>
      <c r="C75" s="60" t="s">
        <v>38</v>
      </c>
    </row>
    <row r="76" spans="1:3" ht="15.75" thickTop="1">
      <c r="A76" s="2"/>
      <c r="B76" s="10"/>
      <c r="C76" s="32"/>
    </row>
    <row r="77" spans="1:3">
      <c r="A77" s="58" t="s">
        <v>117</v>
      </c>
      <c r="B77" s="10"/>
      <c r="C77" s="32"/>
    </row>
    <row r="78" spans="1:3" ht="17.25">
      <c r="A78" s="58" t="s">
        <v>39</v>
      </c>
      <c r="B78" s="10"/>
      <c r="C78" s="32"/>
    </row>
    <row r="79" spans="1:3">
      <c r="A79" s="2"/>
      <c r="B79" s="10"/>
      <c r="C79" s="32"/>
    </row>
    <row r="80" spans="1:3" ht="16.5">
      <c r="A80" s="2" t="s">
        <v>143</v>
      </c>
      <c r="B80" s="10">
        <v>72</v>
      </c>
      <c r="C80" s="32" t="s">
        <v>10</v>
      </c>
    </row>
    <row r="81" spans="1:3">
      <c r="A81" s="2"/>
      <c r="B81" s="10"/>
      <c r="C81" s="32"/>
    </row>
    <row r="82" spans="1:3">
      <c r="A82" s="2" t="s">
        <v>11</v>
      </c>
      <c r="B82" s="10"/>
      <c r="C82" s="32"/>
    </row>
    <row r="83" spans="1:3" ht="16.5">
      <c r="A83" s="48" t="s">
        <v>144</v>
      </c>
      <c r="B83" s="10">
        <v>88</v>
      </c>
      <c r="C83" s="32" t="s">
        <v>10</v>
      </c>
    </row>
    <row r="84" spans="1:3">
      <c r="A84" s="48"/>
      <c r="B84" s="10"/>
      <c r="C84" s="32"/>
    </row>
    <row r="85" spans="1:3" ht="16.5">
      <c r="A85" s="2" t="s">
        <v>76</v>
      </c>
      <c r="B85" s="10">
        <f>B83+B80</f>
        <v>160</v>
      </c>
      <c r="C85" s="32" t="s">
        <v>10</v>
      </c>
    </row>
    <row r="86" spans="1:3">
      <c r="A86" s="2" t="s">
        <v>75</v>
      </c>
      <c r="B86" s="10"/>
      <c r="C86" s="32"/>
    </row>
    <row r="87" spans="1:3">
      <c r="A87" s="2"/>
      <c r="B87" s="10"/>
      <c r="C87" s="32"/>
    </row>
    <row r="88" spans="1:3" ht="18" thickBot="1">
      <c r="A88" s="48" t="s">
        <v>40</v>
      </c>
      <c r="B88" s="73">
        <f>B85/10^6</f>
        <v>1.6000000000000001E-4</v>
      </c>
      <c r="C88" s="49" t="s">
        <v>9</v>
      </c>
    </row>
    <row r="89" spans="1:3" ht="15.75" thickTop="1">
      <c r="A89" s="2"/>
      <c r="B89" s="10"/>
      <c r="C89" s="32"/>
    </row>
    <row r="90" spans="1:3" ht="17.25">
      <c r="A90" s="58" t="s">
        <v>41</v>
      </c>
      <c r="B90" s="10"/>
      <c r="C90" s="32"/>
    </row>
    <row r="91" spans="1:3">
      <c r="A91" s="58"/>
      <c r="B91" s="10"/>
      <c r="C91" s="32"/>
    </row>
    <row r="92" spans="1:3">
      <c r="A92" s="2" t="s">
        <v>77</v>
      </c>
      <c r="B92" s="10">
        <f>'project emissions'!B21</f>
        <v>2762.6521499999999</v>
      </c>
      <c r="C92" s="32" t="s">
        <v>88</v>
      </c>
    </row>
    <row r="93" spans="1:3">
      <c r="A93" s="2"/>
      <c r="B93" s="10"/>
      <c r="C93" s="32"/>
    </row>
    <row r="94" spans="1:3" ht="18" thickBot="1">
      <c r="A94" s="48" t="s">
        <v>42</v>
      </c>
      <c r="B94" s="25">
        <f>B92*1000</f>
        <v>2762652.15</v>
      </c>
      <c r="C94" s="60" t="s">
        <v>113</v>
      </c>
    </row>
    <row r="95" spans="1:3" ht="15.75" thickTop="1">
      <c r="A95" s="48"/>
      <c r="B95" s="43"/>
      <c r="C95" s="49"/>
    </row>
    <row r="96" spans="1:3" ht="17.25">
      <c r="A96" s="58" t="s">
        <v>43</v>
      </c>
      <c r="B96" s="10"/>
      <c r="C96" s="32"/>
    </row>
    <row r="97" spans="1:9">
      <c r="A97" s="58"/>
      <c r="B97" s="10"/>
      <c r="C97" s="32"/>
    </row>
    <row r="98" spans="1:9" ht="16.5" customHeight="1">
      <c r="A98" s="2" t="s">
        <v>175</v>
      </c>
      <c r="B98" s="56">
        <f>'project emissions'!B21</f>
        <v>2762.6521499999999</v>
      </c>
      <c r="C98" s="32" t="s">
        <v>88</v>
      </c>
    </row>
    <row r="99" spans="1:9" ht="15.75" customHeight="1">
      <c r="A99" s="2" t="s">
        <v>356</v>
      </c>
      <c r="B99" s="10">
        <f>B98*50/100</f>
        <v>1381.3260749999999</v>
      </c>
      <c r="C99" s="32" t="s">
        <v>88</v>
      </c>
    </row>
    <row r="100" spans="1:9" ht="16.5" customHeight="1">
      <c r="A100" s="2" t="s">
        <v>193</v>
      </c>
      <c r="B100" s="54">
        <f>'project emissions'!C43*1.1</f>
        <v>9880.0000000000018</v>
      </c>
      <c r="C100" s="32" t="s">
        <v>37</v>
      </c>
    </row>
    <row r="101" spans="1:9">
      <c r="A101" s="2" t="s">
        <v>445</v>
      </c>
      <c r="B101" s="39">
        <f>'project emissions'!B32</f>
        <v>1715.1696129956999</v>
      </c>
      <c r="C101" s="32" t="s">
        <v>174</v>
      </c>
    </row>
    <row r="102" spans="1:9" ht="15.75" customHeight="1" thickBot="1">
      <c r="A102" s="48" t="s">
        <v>176</v>
      </c>
      <c r="B102" s="25">
        <f>B99*B101/B100*1000000</f>
        <v>239798432.13346344</v>
      </c>
      <c r="C102" s="49" t="s">
        <v>138</v>
      </c>
    </row>
    <row r="103" spans="1:9" ht="15" customHeight="1" thickTop="1">
      <c r="A103" s="58"/>
      <c r="B103" s="10"/>
      <c r="C103" s="32"/>
    </row>
    <row r="104" spans="1:9" ht="15" customHeight="1">
      <c r="A104" s="2" t="s">
        <v>360</v>
      </c>
      <c r="B104" s="54">
        <f>B100</f>
        <v>9880.0000000000018</v>
      </c>
      <c r="C104" s="32" t="s">
        <v>140</v>
      </c>
      <c r="I104" s="116"/>
    </row>
    <row r="105" spans="1:9">
      <c r="A105" s="2"/>
      <c r="B105" s="10"/>
      <c r="C105" s="32"/>
    </row>
    <row r="106" spans="1:9" ht="15" customHeight="1">
      <c r="A106" s="2" t="s">
        <v>176</v>
      </c>
      <c r="B106" s="62">
        <f>B104*B102/1000</f>
        <v>2369208509.4786191</v>
      </c>
      <c r="C106" s="42" t="s">
        <v>44</v>
      </c>
    </row>
    <row r="107" spans="1:9">
      <c r="A107" s="2"/>
      <c r="B107" s="2"/>
      <c r="C107" s="42"/>
    </row>
    <row r="108" spans="1:9" ht="16.5" customHeight="1" thickBot="1">
      <c r="A108" s="43" t="s">
        <v>45</v>
      </c>
      <c r="B108" s="25">
        <f>B106*4.186/10^6</f>
        <v>9917.5068206774995</v>
      </c>
      <c r="C108" s="44" t="s">
        <v>116</v>
      </c>
    </row>
    <row r="109" spans="1:9" ht="15.75" thickTop="1">
      <c r="A109" s="2"/>
      <c r="B109" s="10"/>
      <c r="C109" s="32"/>
    </row>
    <row r="110" spans="1:9">
      <c r="A110" s="2" t="s">
        <v>357</v>
      </c>
      <c r="B110" s="10"/>
      <c r="C110" s="32"/>
    </row>
    <row r="111" spans="1:9">
      <c r="A111" s="2"/>
      <c r="B111" s="10"/>
      <c r="C111" s="32"/>
    </row>
    <row r="112" spans="1:9">
      <c r="A112" s="48" t="s">
        <v>101</v>
      </c>
      <c r="B112" s="10"/>
      <c r="C112" s="32"/>
    </row>
    <row r="113" spans="1:3">
      <c r="A113" s="2" t="s">
        <v>79</v>
      </c>
      <c r="B113" s="10"/>
      <c r="C113" s="32"/>
    </row>
    <row r="114" spans="1:3" s="4" customFormat="1">
      <c r="A114" s="2" t="s">
        <v>406</v>
      </c>
      <c r="B114" s="10"/>
      <c r="C114" s="32"/>
    </row>
    <row r="115" spans="1:3">
      <c r="A115" s="11" t="s">
        <v>400</v>
      </c>
      <c r="B115" s="14"/>
      <c r="C115" s="63"/>
    </row>
    <row r="116" spans="1:3">
      <c r="A116" s="4" t="s">
        <v>446</v>
      </c>
      <c r="B116" s="4"/>
      <c r="C116" s="35"/>
    </row>
    <row r="117" spans="1:3">
      <c r="A117" s="4"/>
      <c r="B117" s="4"/>
      <c r="C117" s="35"/>
    </row>
    <row r="118" spans="1:3">
      <c r="C118" s="36"/>
    </row>
    <row r="119" spans="1:3">
      <c r="C119" s="36"/>
    </row>
    <row r="120" spans="1:3">
      <c r="C120" s="36"/>
    </row>
    <row r="121" spans="1:3">
      <c r="C121" s="36"/>
    </row>
    <row r="122" spans="1:3">
      <c r="C122" s="36"/>
    </row>
    <row r="123" spans="1:3">
      <c r="C123" s="36"/>
    </row>
    <row r="124" spans="1:3">
      <c r="C124" s="36"/>
    </row>
    <row r="125" spans="1:3">
      <c r="C125" s="36"/>
    </row>
    <row r="126" spans="1:3">
      <c r="C126" s="36"/>
    </row>
    <row r="127" spans="1:3">
      <c r="C127" s="36"/>
    </row>
    <row r="128" spans="1:3">
      <c r="C128" s="36"/>
    </row>
    <row r="129" spans="3:3">
      <c r="C129" s="36"/>
    </row>
    <row r="130" spans="3:3">
      <c r="C130" s="36"/>
    </row>
    <row r="131" spans="3:3">
      <c r="C131" s="36"/>
    </row>
    <row r="132" spans="3:3">
      <c r="C132" s="36"/>
    </row>
    <row r="133" spans="3:3">
      <c r="C133" s="36"/>
    </row>
    <row r="134" spans="3:3">
      <c r="C134" s="36"/>
    </row>
    <row r="135" spans="3:3">
      <c r="C135" s="36"/>
    </row>
    <row r="136" spans="3:3">
      <c r="C136" s="36"/>
    </row>
    <row r="137" spans="3:3">
      <c r="C137" s="36"/>
    </row>
    <row r="138" spans="3:3">
      <c r="C138" s="36"/>
    </row>
    <row r="139" spans="3:3">
      <c r="C139" s="36"/>
    </row>
    <row r="140" spans="3:3">
      <c r="C140" s="36"/>
    </row>
    <row r="141" spans="3:3">
      <c r="C141" s="36"/>
    </row>
    <row r="142" spans="3:3">
      <c r="C142" s="36"/>
    </row>
    <row r="143" spans="3:3">
      <c r="C143" s="36"/>
    </row>
    <row r="144" spans="3:3">
      <c r="C144" s="36"/>
    </row>
    <row r="145" spans="3:3">
      <c r="C145" s="36"/>
    </row>
    <row r="146" spans="3:3">
      <c r="C146" s="36"/>
    </row>
    <row r="147" spans="3:3">
      <c r="C147" s="36"/>
    </row>
    <row r="148" spans="3:3">
      <c r="C148" s="36"/>
    </row>
    <row r="149" spans="3:3">
      <c r="C149" s="36"/>
    </row>
    <row r="150" spans="3:3">
      <c r="C150" s="36"/>
    </row>
    <row r="151" spans="3:3">
      <c r="C151" s="36"/>
    </row>
    <row r="152" spans="3:3">
      <c r="C152" s="36"/>
    </row>
    <row r="153" spans="3:3">
      <c r="C153" s="36"/>
    </row>
    <row r="154" spans="3:3">
      <c r="C154" s="36"/>
    </row>
    <row r="155" spans="3:3">
      <c r="C155" s="36"/>
    </row>
    <row r="156" spans="3:3">
      <c r="C156" s="36"/>
    </row>
    <row r="157" spans="3:3">
      <c r="C157" s="36"/>
    </row>
    <row r="158" spans="3:3">
      <c r="C158" s="36"/>
    </row>
    <row r="159" spans="3:3">
      <c r="C159" s="36"/>
    </row>
    <row r="160" spans="3:3">
      <c r="C160" s="36"/>
    </row>
    <row r="161" spans="3:3">
      <c r="C161" s="36"/>
    </row>
    <row r="162" spans="3:3">
      <c r="C162" s="36"/>
    </row>
    <row r="163" spans="3:3">
      <c r="C163" s="36"/>
    </row>
    <row r="164" spans="3:3">
      <c r="C164" s="36"/>
    </row>
    <row r="165" spans="3:3">
      <c r="C165" s="36"/>
    </row>
    <row r="166" spans="3:3">
      <c r="C166" s="36"/>
    </row>
    <row r="167" spans="3:3">
      <c r="C167" s="36"/>
    </row>
  </sheetData>
  <customSheetViews>
    <customSheetView guid="{1D975FE4-3492-48C8-AB90-CC87D7FD201F}" scale="90" showPageBreaks="1" printArea="1" view="pageBreakPreview" topLeftCell="A16">
      <selection activeCell="A117" sqref="A117"/>
      <rowBreaks count="1" manualBreakCount="1">
        <brk id="61" max="2" man="1"/>
      </rowBreaks>
      <pageMargins left="0.75" right="0.75" top="1" bottom="1" header="0.5" footer="0.5"/>
      <printOptions horizontalCentered="1"/>
      <pageSetup scale="68" orientation="portrait" r:id="rId1"/>
      <headerFooter alignWithMargins="0"/>
    </customSheetView>
  </customSheetViews>
  <mergeCells count="8">
    <mergeCell ref="A62:C62"/>
    <mergeCell ref="A18:C18"/>
    <mergeCell ref="B45:C47"/>
    <mergeCell ref="A42:C42"/>
    <mergeCell ref="A45:A47"/>
    <mergeCell ref="A51:A53"/>
    <mergeCell ref="A55:A57"/>
    <mergeCell ref="A43:B43"/>
  </mergeCells>
  <phoneticPr fontId="1" type="noConversion"/>
  <printOptions horizontalCentered="1"/>
  <pageMargins left="0.75" right="0.75" top="1" bottom="1" header="0.5" footer="0.5"/>
  <pageSetup scale="66" orientation="portrait" r:id="rId2"/>
  <headerFooter alignWithMargins="0"/>
  <rowBreaks count="1" manualBreakCount="1">
    <brk id="61" max="2" man="1"/>
  </rowBreaks>
</worksheet>
</file>

<file path=xl/worksheets/sheet4.xml><?xml version="1.0" encoding="utf-8"?>
<worksheet xmlns="http://schemas.openxmlformats.org/spreadsheetml/2006/main" xmlns:r="http://schemas.openxmlformats.org/officeDocument/2006/relationships">
  <dimension ref="A1:P41"/>
  <sheetViews>
    <sheetView showGridLines="0" tabSelected="1" view="pageBreakPreview" topLeftCell="A24" zoomScale="110" zoomScaleNormal="115" zoomScaleSheetLayoutView="110" workbookViewId="0">
      <selection activeCell="B26" sqref="B26"/>
    </sheetView>
  </sheetViews>
  <sheetFormatPr defaultRowHeight="15"/>
  <cols>
    <col min="1" max="1" width="38.5703125" style="133" customWidth="1"/>
    <col min="2" max="2" width="18.85546875" style="133" customWidth="1"/>
    <col min="3" max="3" width="15.7109375" style="133" customWidth="1"/>
    <col min="4" max="4" width="7.28515625" style="133" bestFit="1" customWidth="1"/>
    <col min="5" max="5" width="13.85546875" style="133" customWidth="1"/>
    <col min="6" max="6" width="10" style="133" customWidth="1"/>
    <col min="7" max="7" width="7.28515625" style="133" bestFit="1" customWidth="1"/>
    <col min="8" max="8" width="13.5703125" style="133" customWidth="1"/>
    <col min="9" max="9" width="8.28515625" style="133" bestFit="1" customWidth="1"/>
    <col min="10" max="10" width="7.28515625" style="133" bestFit="1" customWidth="1"/>
    <col min="11" max="11" width="13.28515625" style="133" customWidth="1"/>
    <col min="12" max="12" width="8.28515625" style="133" bestFit="1" customWidth="1"/>
    <col min="13" max="13" width="8.85546875" style="133" customWidth="1"/>
    <col min="14" max="14" width="22.140625" style="133" bestFit="1" customWidth="1"/>
    <col min="15" max="15" width="17.42578125" style="133" bestFit="1" customWidth="1"/>
    <col min="16" max="256" width="9.140625" style="133"/>
    <col min="257" max="257" width="34.5703125" style="133" customWidth="1"/>
    <col min="258" max="258" width="15" style="133" customWidth="1"/>
    <col min="259" max="259" width="11.42578125" style="133" customWidth="1"/>
    <col min="260" max="260" width="7.28515625" style="133" bestFit="1" customWidth="1"/>
    <col min="261" max="261" width="13.85546875" style="133" customWidth="1"/>
    <col min="262" max="262" width="10" style="133" customWidth="1"/>
    <col min="263" max="263" width="7.28515625" style="133" bestFit="1" customWidth="1"/>
    <col min="264" max="264" width="13.5703125" style="133" customWidth="1"/>
    <col min="265" max="265" width="8.28515625" style="133" bestFit="1" customWidth="1"/>
    <col min="266" max="266" width="7.28515625" style="133" bestFit="1" customWidth="1"/>
    <col min="267" max="267" width="13.28515625" style="133" customWidth="1"/>
    <col min="268" max="268" width="8.28515625" style="133" bestFit="1" customWidth="1"/>
    <col min="269" max="269" width="8.85546875" style="133" customWidth="1"/>
    <col min="270" max="270" width="22.140625" style="133" bestFit="1" customWidth="1"/>
    <col min="271" max="271" width="17.42578125" style="133" bestFit="1" customWidth="1"/>
    <col min="272" max="512" width="9.140625" style="133"/>
    <col min="513" max="513" width="34.5703125" style="133" customWidth="1"/>
    <col min="514" max="514" width="15" style="133" customWidth="1"/>
    <col min="515" max="515" width="11.42578125" style="133" customWidth="1"/>
    <col min="516" max="516" width="7.28515625" style="133" bestFit="1" customWidth="1"/>
    <col min="517" max="517" width="13.85546875" style="133" customWidth="1"/>
    <col min="518" max="518" width="10" style="133" customWidth="1"/>
    <col min="519" max="519" width="7.28515625" style="133" bestFit="1" customWidth="1"/>
    <col min="520" max="520" width="13.5703125" style="133" customWidth="1"/>
    <col min="521" max="521" width="8.28515625" style="133" bestFit="1" customWidth="1"/>
    <col min="522" max="522" width="7.28515625" style="133" bestFit="1" customWidth="1"/>
    <col min="523" max="523" width="13.28515625" style="133" customWidth="1"/>
    <col min="524" max="524" width="8.28515625" style="133" bestFit="1" customWidth="1"/>
    <col min="525" max="525" width="8.85546875" style="133" customWidth="1"/>
    <col min="526" max="526" width="22.140625" style="133" bestFit="1" customWidth="1"/>
    <col min="527" max="527" width="17.42578125" style="133" bestFit="1" customWidth="1"/>
    <col min="528" max="768" width="9.140625" style="133"/>
    <col min="769" max="769" width="34.5703125" style="133" customWidth="1"/>
    <col min="770" max="770" width="15" style="133" customWidth="1"/>
    <col min="771" max="771" width="11.42578125" style="133" customWidth="1"/>
    <col min="772" max="772" width="7.28515625" style="133" bestFit="1" customWidth="1"/>
    <col min="773" max="773" width="13.85546875" style="133" customWidth="1"/>
    <col min="774" max="774" width="10" style="133" customWidth="1"/>
    <col min="775" max="775" width="7.28515625" style="133" bestFit="1" customWidth="1"/>
    <col min="776" max="776" width="13.5703125" style="133" customWidth="1"/>
    <col min="777" max="777" width="8.28515625" style="133" bestFit="1" customWidth="1"/>
    <col min="778" max="778" width="7.28515625" style="133" bestFit="1" customWidth="1"/>
    <col min="779" max="779" width="13.28515625" style="133" customWidth="1"/>
    <col min="780" max="780" width="8.28515625" style="133" bestFit="1" customWidth="1"/>
    <col min="781" max="781" width="8.85546875" style="133" customWidth="1"/>
    <col min="782" max="782" width="22.140625" style="133" bestFit="1" customWidth="1"/>
    <col min="783" max="783" width="17.42578125" style="133" bestFit="1" customWidth="1"/>
    <col min="784" max="1024" width="9.140625" style="133"/>
    <col min="1025" max="1025" width="34.5703125" style="133" customWidth="1"/>
    <col min="1026" max="1026" width="15" style="133" customWidth="1"/>
    <col min="1027" max="1027" width="11.42578125" style="133" customWidth="1"/>
    <col min="1028" max="1028" width="7.28515625" style="133" bestFit="1" customWidth="1"/>
    <col min="1029" max="1029" width="13.85546875" style="133" customWidth="1"/>
    <col min="1030" max="1030" width="10" style="133" customWidth="1"/>
    <col min="1031" max="1031" width="7.28515625" style="133" bestFit="1" customWidth="1"/>
    <col min="1032" max="1032" width="13.5703125" style="133" customWidth="1"/>
    <col min="1033" max="1033" width="8.28515625" style="133" bestFit="1" customWidth="1"/>
    <col min="1034" max="1034" width="7.28515625" style="133" bestFit="1" customWidth="1"/>
    <col min="1035" max="1035" width="13.28515625" style="133" customWidth="1"/>
    <col min="1036" max="1036" width="8.28515625" style="133" bestFit="1" customWidth="1"/>
    <col min="1037" max="1037" width="8.85546875" style="133" customWidth="1"/>
    <col min="1038" max="1038" width="22.140625" style="133" bestFit="1" customWidth="1"/>
    <col min="1039" max="1039" width="17.42578125" style="133" bestFit="1" customWidth="1"/>
    <col min="1040" max="1280" width="9.140625" style="133"/>
    <col min="1281" max="1281" width="34.5703125" style="133" customWidth="1"/>
    <col min="1282" max="1282" width="15" style="133" customWidth="1"/>
    <col min="1283" max="1283" width="11.42578125" style="133" customWidth="1"/>
    <col min="1284" max="1284" width="7.28515625" style="133" bestFit="1" customWidth="1"/>
    <col min="1285" max="1285" width="13.85546875" style="133" customWidth="1"/>
    <col min="1286" max="1286" width="10" style="133" customWidth="1"/>
    <col min="1287" max="1287" width="7.28515625" style="133" bestFit="1" customWidth="1"/>
    <col min="1288" max="1288" width="13.5703125" style="133" customWidth="1"/>
    <col min="1289" max="1289" width="8.28515625" style="133" bestFit="1" customWidth="1"/>
    <col min="1290" max="1290" width="7.28515625" style="133" bestFit="1" customWidth="1"/>
    <col min="1291" max="1291" width="13.28515625" style="133" customWidth="1"/>
    <col min="1292" max="1292" width="8.28515625" style="133" bestFit="1" customWidth="1"/>
    <col min="1293" max="1293" width="8.85546875" style="133" customWidth="1"/>
    <col min="1294" max="1294" width="22.140625" style="133" bestFit="1" customWidth="1"/>
    <col min="1295" max="1295" width="17.42578125" style="133" bestFit="1" customWidth="1"/>
    <col min="1296" max="1536" width="9.140625" style="133"/>
    <col min="1537" max="1537" width="34.5703125" style="133" customWidth="1"/>
    <col min="1538" max="1538" width="15" style="133" customWidth="1"/>
    <col min="1539" max="1539" width="11.42578125" style="133" customWidth="1"/>
    <col min="1540" max="1540" width="7.28515625" style="133" bestFit="1" customWidth="1"/>
    <col min="1541" max="1541" width="13.85546875" style="133" customWidth="1"/>
    <col min="1542" max="1542" width="10" style="133" customWidth="1"/>
    <col min="1543" max="1543" width="7.28515625" style="133" bestFit="1" customWidth="1"/>
    <col min="1544" max="1544" width="13.5703125" style="133" customWidth="1"/>
    <col min="1545" max="1545" width="8.28515625" style="133" bestFit="1" customWidth="1"/>
    <col min="1546" max="1546" width="7.28515625" style="133" bestFit="1" customWidth="1"/>
    <col min="1547" max="1547" width="13.28515625" style="133" customWidth="1"/>
    <col min="1548" max="1548" width="8.28515625" style="133" bestFit="1" customWidth="1"/>
    <col min="1549" max="1549" width="8.85546875" style="133" customWidth="1"/>
    <col min="1550" max="1550" width="22.140625" style="133" bestFit="1" customWidth="1"/>
    <col min="1551" max="1551" width="17.42578125" style="133" bestFit="1" customWidth="1"/>
    <col min="1552" max="1792" width="9.140625" style="133"/>
    <col min="1793" max="1793" width="34.5703125" style="133" customWidth="1"/>
    <col min="1794" max="1794" width="15" style="133" customWidth="1"/>
    <col min="1795" max="1795" width="11.42578125" style="133" customWidth="1"/>
    <col min="1796" max="1796" width="7.28515625" style="133" bestFit="1" customWidth="1"/>
    <col min="1797" max="1797" width="13.85546875" style="133" customWidth="1"/>
    <col min="1798" max="1798" width="10" style="133" customWidth="1"/>
    <col min="1799" max="1799" width="7.28515625" style="133" bestFit="1" customWidth="1"/>
    <col min="1800" max="1800" width="13.5703125" style="133" customWidth="1"/>
    <col min="1801" max="1801" width="8.28515625" style="133" bestFit="1" customWidth="1"/>
    <col min="1802" max="1802" width="7.28515625" style="133" bestFit="1" customWidth="1"/>
    <col min="1803" max="1803" width="13.28515625" style="133" customWidth="1"/>
    <col min="1804" max="1804" width="8.28515625" style="133" bestFit="1" customWidth="1"/>
    <col min="1805" max="1805" width="8.85546875" style="133" customWidth="1"/>
    <col min="1806" max="1806" width="22.140625" style="133" bestFit="1" customWidth="1"/>
    <col min="1807" max="1807" width="17.42578125" style="133" bestFit="1" customWidth="1"/>
    <col min="1808" max="2048" width="9.140625" style="133"/>
    <col min="2049" max="2049" width="34.5703125" style="133" customWidth="1"/>
    <col min="2050" max="2050" width="15" style="133" customWidth="1"/>
    <col min="2051" max="2051" width="11.42578125" style="133" customWidth="1"/>
    <col min="2052" max="2052" width="7.28515625" style="133" bestFit="1" customWidth="1"/>
    <col min="2053" max="2053" width="13.85546875" style="133" customWidth="1"/>
    <col min="2054" max="2054" width="10" style="133" customWidth="1"/>
    <col min="2055" max="2055" width="7.28515625" style="133" bestFit="1" customWidth="1"/>
    <col min="2056" max="2056" width="13.5703125" style="133" customWidth="1"/>
    <col min="2057" max="2057" width="8.28515625" style="133" bestFit="1" customWidth="1"/>
    <col min="2058" max="2058" width="7.28515625" style="133" bestFit="1" customWidth="1"/>
    <col min="2059" max="2059" width="13.28515625" style="133" customWidth="1"/>
    <col min="2060" max="2060" width="8.28515625" style="133" bestFit="1" customWidth="1"/>
    <col min="2061" max="2061" width="8.85546875" style="133" customWidth="1"/>
    <col min="2062" max="2062" width="22.140625" style="133" bestFit="1" customWidth="1"/>
    <col min="2063" max="2063" width="17.42578125" style="133" bestFit="1" customWidth="1"/>
    <col min="2064" max="2304" width="9.140625" style="133"/>
    <col min="2305" max="2305" width="34.5703125" style="133" customWidth="1"/>
    <col min="2306" max="2306" width="15" style="133" customWidth="1"/>
    <col min="2307" max="2307" width="11.42578125" style="133" customWidth="1"/>
    <col min="2308" max="2308" width="7.28515625" style="133" bestFit="1" customWidth="1"/>
    <col min="2309" max="2309" width="13.85546875" style="133" customWidth="1"/>
    <col min="2310" max="2310" width="10" style="133" customWidth="1"/>
    <col min="2311" max="2311" width="7.28515625" style="133" bestFit="1" customWidth="1"/>
    <col min="2312" max="2312" width="13.5703125" style="133" customWidth="1"/>
    <col min="2313" max="2313" width="8.28515625" style="133" bestFit="1" customWidth="1"/>
    <col min="2314" max="2314" width="7.28515625" style="133" bestFit="1" customWidth="1"/>
    <col min="2315" max="2315" width="13.28515625" style="133" customWidth="1"/>
    <col min="2316" max="2316" width="8.28515625" style="133" bestFit="1" customWidth="1"/>
    <col min="2317" max="2317" width="8.85546875" style="133" customWidth="1"/>
    <col min="2318" max="2318" width="22.140625" style="133" bestFit="1" customWidth="1"/>
    <col min="2319" max="2319" width="17.42578125" style="133" bestFit="1" customWidth="1"/>
    <col min="2320" max="2560" width="9.140625" style="133"/>
    <col min="2561" max="2561" width="34.5703125" style="133" customWidth="1"/>
    <col min="2562" max="2562" width="15" style="133" customWidth="1"/>
    <col min="2563" max="2563" width="11.42578125" style="133" customWidth="1"/>
    <col min="2564" max="2564" width="7.28515625" style="133" bestFit="1" customWidth="1"/>
    <col min="2565" max="2565" width="13.85546875" style="133" customWidth="1"/>
    <col min="2566" max="2566" width="10" style="133" customWidth="1"/>
    <col min="2567" max="2567" width="7.28515625" style="133" bestFit="1" customWidth="1"/>
    <col min="2568" max="2568" width="13.5703125" style="133" customWidth="1"/>
    <col min="2569" max="2569" width="8.28515625" style="133" bestFit="1" customWidth="1"/>
    <col min="2570" max="2570" width="7.28515625" style="133" bestFit="1" customWidth="1"/>
    <col min="2571" max="2571" width="13.28515625" style="133" customWidth="1"/>
    <col min="2572" max="2572" width="8.28515625" style="133" bestFit="1" customWidth="1"/>
    <col min="2573" max="2573" width="8.85546875" style="133" customWidth="1"/>
    <col min="2574" max="2574" width="22.140625" style="133" bestFit="1" customWidth="1"/>
    <col min="2575" max="2575" width="17.42578125" style="133" bestFit="1" customWidth="1"/>
    <col min="2576" max="2816" width="9.140625" style="133"/>
    <col min="2817" max="2817" width="34.5703125" style="133" customWidth="1"/>
    <col min="2818" max="2818" width="15" style="133" customWidth="1"/>
    <col min="2819" max="2819" width="11.42578125" style="133" customWidth="1"/>
    <col min="2820" max="2820" width="7.28515625" style="133" bestFit="1" customWidth="1"/>
    <col min="2821" max="2821" width="13.85546875" style="133" customWidth="1"/>
    <col min="2822" max="2822" width="10" style="133" customWidth="1"/>
    <col min="2823" max="2823" width="7.28515625" style="133" bestFit="1" customWidth="1"/>
    <col min="2824" max="2824" width="13.5703125" style="133" customWidth="1"/>
    <col min="2825" max="2825" width="8.28515625" style="133" bestFit="1" customWidth="1"/>
    <col min="2826" max="2826" width="7.28515625" style="133" bestFit="1" customWidth="1"/>
    <col min="2827" max="2827" width="13.28515625" style="133" customWidth="1"/>
    <col min="2828" max="2828" width="8.28515625" style="133" bestFit="1" customWidth="1"/>
    <col min="2829" max="2829" width="8.85546875" style="133" customWidth="1"/>
    <col min="2830" max="2830" width="22.140625" style="133" bestFit="1" customWidth="1"/>
    <col min="2831" max="2831" width="17.42578125" style="133" bestFit="1" customWidth="1"/>
    <col min="2832" max="3072" width="9.140625" style="133"/>
    <col min="3073" max="3073" width="34.5703125" style="133" customWidth="1"/>
    <col min="3074" max="3074" width="15" style="133" customWidth="1"/>
    <col min="3075" max="3075" width="11.42578125" style="133" customWidth="1"/>
    <col min="3076" max="3076" width="7.28515625" style="133" bestFit="1" customWidth="1"/>
    <col min="3077" max="3077" width="13.85546875" style="133" customWidth="1"/>
    <col min="3078" max="3078" width="10" style="133" customWidth="1"/>
    <col min="3079" max="3079" width="7.28515625" style="133" bestFit="1" customWidth="1"/>
    <col min="3080" max="3080" width="13.5703125" style="133" customWidth="1"/>
    <col min="3081" max="3081" width="8.28515625" style="133" bestFit="1" customWidth="1"/>
    <col min="3082" max="3082" width="7.28515625" style="133" bestFit="1" customWidth="1"/>
    <col min="3083" max="3083" width="13.28515625" style="133" customWidth="1"/>
    <col min="3084" max="3084" width="8.28515625" style="133" bestFit="1" customWidth="1"/>
    <col min="3085" max="3085" width="8.85546875" style="133" customWidth="1"/>
    <col min="3086" max="3086" width="22.140625" style="133" bestFit="1" customWidth="1"/>
    <col min="3087" max="3087" width="17.42578125" style="133" bestFit="1" customWidth="1"/>
    <col min="3088" max="3328" width="9.140625" style="133"/>
    <col min="3329" max="3329" width="34.5703125" style="133" customWidth="1"/>
    <col min="3330" max="3330" width="15" style="133" customWidth="1"/>
    <col min="3331" max="3331" width="11.42578125" style="133" customWidth="1"/>
    <col min="3332" max="3332" width="7.28515625" style="133" bestFit="1" customWidth="1"/>
    <col min="3333" max="3333" width="13.85546875" style="133" customWidth="1"/>
    <col min="3334" max="3334" width="10" style="133" customWidth="1"/>
    <col min="3335" max="3335" width="7.28515625" style="133" bestFit="1" customWidth="1"/>
    <col min="3336" max="3336" width="13.5703125" style="133" customWidth="1"/>
    <col min="3337" max="3337" width="8.28515625" style="133" bestFit="1" customWidth="1"/>
    <col min="3338" max="3338" width="7.28515625" style="133" bestFit="1" customWidth="1"/>
    <col min="3339" max="3339" width="13.28515625" style="133" customWidth="1"/>
    <col min="3340" max="3340" width="8.28515625" style="133" bestFit="1" customWidth="1"/>
    <col min="3341" max="3341" width="8.85546875" style="133" customWidth="1"/>
    <col min="3342" max="3342" width="22.140625" style="133" bestFit="1" customWidth="1"/>
    <col min="3343" max="3343" width="17.42578125" style="133" bestFit="1" customWidth="1"/>
    <col min="3344" max="3584" width="9.140625" style="133"/>
    <col min="3585" max="3585" width="34.5703125" style="133" customWidth="1"/>
    <col min="3586" max="3586" width="15" style="133" customWidth="1"/>
    <col min="3587" max="3587" width="11.42578125" style="133" customWidth="1"/>
    <col min="3588" max="3588" width="7.28515625" style="133" bestFit="1" customWidth="1"/>
    <col min="3589" max="3589" width="13.85546875" style="133" customWidth="1"/>
    <col min="3590" max="3590" width="10" style="133" customWidth="1"/>
    <col min="3591" max="3591" width="7.28515625" style="133" bestFit="1" customWidth="1"/>
    <col min="3592" max="3592" width="13.5703125" style="133" customWidth="1"/>
    <col min="3593" max="3593" width="8.28515625" style="133" bestFit="1" customWidth="1"/>
    <col min="3594" max="3594" width="7.28515625" style="133" bestFit="1" customWidth="1"/>
    <col min="3595" max="3595" width="13.28515625" style="133" customWidth="1"/>
    <col min="3596" max="3596" width="8.28515625" style="133" bestFit="1" customWidth="1"/>
    <col min="3597" max="3597" width="8.85546875" style="133" customWidth="1"/>
    <col min="3598" max="3598" width="22.140625" style="133" bestFit="1" customWidth="1"/>
    <col min="3599" max="3599" width="17.42578125" style="133" bestFit="1" customWidth="1"/>
    <col min="3600" max="3840" width="9.140625" style="133"/>
    <col min="3841" max="3841" width="34.5703125" style="133" customWidth="1"/>
    <col min="3842" max="3842" width="15" style="133" customWidth="1"/>
    <col min="3843" max="3843" width="11.42578125" style="133" customWidth="1"/>
    <col min="3844" max="3844" width="7.28515625" style="133" bestFit="1" customWidth="1"/>
    <col min="3845" max="3845" width="13.85546875" style="133" customWidth="1"/>
    <col min="3846" max="3846" width="10" style="133" customWidth="1"/>
    <col min="3847" max="3847" width="7.28515625" style="133" bestFit="1" customWidth="1"/>
    <col min="3848" max="3848" width="13.5703125" style="133" customWidth="1"/>
    <col min="3849" max="3849" width="8.28515625" style="133" bestFit="1" customWidth="1"/>
    <col min="3850" max="3850" width="7.28515625" style="133" bestFit="1" customWidth="1"/>
    <col min="3851" max="3851" width="13.28515625" style="133" customWidth="1"/>
    <col min="3852" max="3852" width="8.28515625" style="133" bestFit="1" customWidth="1"/>
    <col min="3853" max="3853" width="8.85546875" style="133" customWidth="1"/>
    <col min="3854" max="3854" width="22.140625" style="133" bestFit="1" customWidth="1"/>
    <col min="3855" max="3855" width="17.42578125" style="133" bestFit="1" customWidth="1"/>
    <col min="3856" max="4096" width="9.140625" style="133"/>
    <col min="4097" max="4097" width="34.5703125" style="133" customWidth="1"/>
    <col min="4098" max="4098" width="15" style="133" customWidth="1"/>
    <col min="4099" max="4099" width="11.42578125" style="133" customWidth="1"/>
    <col min="4100" max="4100" width="7.28515625" style="133" bestFit="1" customWidth="1"/>
    <col min="4101" max="4101" width="13.85546875" style="133" customWidth="1"/>
    <col min="4102" max="4102" width="10" style="133" customWidth="1"/>
    <col min="4103" max="4103" width="7.28515625" style="133" bestFit="1" customWidth="1"/>
    <col min="4104" max="4104" width="13.5703125" style="133" customWidth="1"/>
    <col min="4105" max="4105" width="8.28515625" style="133" bestFit="1" customWidth="1"/>
    <col min="4106" max="4106" width="7.28515625" style="133" bestFit="1" customWidth="1"/>
    <col min="4107" max="4107" width="13.28515625" style="133" customWidth="1"/>
    <col min="4108" max="4108" width="8.28515625" style="133" bestFit="1" customWidth="1"/>
    <col min="4109" max="4109" width="8.85546875" style="133" customWidth="1"/>
    <col min="4110" max="4110" width="22.140625" style="133" bestFit="1" customWidth="1"/>
    <col min="4111" max="4111" width="17.42578125" style="133" bestFit="1" customWidth="1"/>
    <col min="4112" max="4352" width="9.140625" style="133"/>
    <col min="4353" max="4353" width="34.5703125" style="133" customWidth="1"/>
    <col min="4354" max="4354" width="15" style="133" customWidth="1"/>
    <col min="4355" max="4355" width="11.42578125" style="133" customWidth="1"/>
    <col min="4356" max="4356" width="7.28515625" style="133" bestFit="1" customWidth="1"/>
    <col min="4357" max="4357" width="13.85546875" style="133" customWidth="1"/>
    <col min="4358" max="4358" width="10" style="133" customWidth="1"/>
    <col min="4359" max="4359" width="7.28515625" style="133" bestFit="1" customWidth="1"/>
    <col min="4360" max="4360" width="13.5703125" style="133" customWidth="1"/>
    <col min="4361" max="4361" width="8.28515625" style="133" bestFit="1" customWidth="1"/>
    <col min="4362" max="4362" width="7.28515625" style="133" bestFit="1" customWidth="1"/>
    <col min="4363" max="4363" width="13.28515625" style="133" customWidth="1"/>
    <col min="4364" max="4364" width="8.28515625" style="133" bestFit="1" customWidth="1"/>
    <col min="4365" max="4365" width="8.85546875" style="133" customWidth="1"/>
    <col min="4366" max="4366" width="22.140625" style="133" bestFit="1" customWidth="1"/>
    <col min="4367" max="4367" width="17.42578125" style="133" bestFit="1" customWidth="1"/>
    <col min="4368" max="4608" width="9.140625" style="133"/>
    <col min="4609" max="4609" width="34.5703125" style="133" customWidth="1"/>
    <col min="4610" max="4610" width="15" style="133" customWidth="1"/>
    <col min="4611" max="4611" width="11.42578125" style="133" customWidth="1"/>
    <col min="4612" max="4612" width="7.28515625" style="133" bestFit="1" customWidth="1"/>
    <col min="4613" max="4613" width="13.85546875" style="133" customWidth="1"/>
    <col min="4614" max="4614" width="10" style="133" customWidth="1"/>
    <col min="4615" max="4615" width="7.28515625" style="133" bestFit="1" customWidth="1"/>
    <col min="4616" max="4616" width="13.5703125" style="133" customWidth="1"/>
    <col min="4617" max="4617" width="8.28515625" style="133" bestFit="1" customWidth="1"/>
    <col min="4618" max="4618" width="7.28515625" style="133" bestFit="1" customWidth="1"/>
    <col min="4619" max="4619" width="13.28515625" style="133" customWidth="1"/>
    <col min="4620" max="4620" width="8.28515625" style="133" bestFit="1" customWidth="1"/>
    <col min="4621" max="4621" width="8.85546875" style="133" customWidth="1"/>
    <col min="4622" max="4622" width="22.140625" style="133" bestFit="1" customWidth="1"/>
    <col min="4623" max="4623" width="17.42578125" style="133" bestFit="1" customWidth="1"/>
    <col min="4624" max="4864" width="9.140625" style="133"/>
    <col min="4865" max="4865" width="34.5703125" style="133" customWidth="1"/>
    <col min="4866" max="4866" width="15" style="133" customWidth="1"/>
    <col min="4867" max="4867" width="11.42578125" style="133" customWidth="1"/>
    <col min="4868" max="4868" width="7.28515625" style="133" bestFit="1" customWidth="1"/>
    <col min="4869" max="4869" width="13.85546875" style="133" customWidth="1"/>
    <col min="4870" max="4870" width="10" style="133" customWidth="1"/>
    <col min="4871" max="4871" width="7.28515625" style="133" bestFit="1" customWidth="1"/>
    <col min="4872" max="4872" width="13.5703125" style="133" customWidth="1"/>
    <col min="4873" max="4873" width="8.28515625" style="133" bestFit="1" customWidth="1"/>
    <col min="4874" max="4874" width="7.28515625" style="133" bestFit="1" customWidth="1"/>
    <col min="4875" max="4875" width="13.28515625" style="133" customWidth="1"/>
    <col min="4876" max="4876" width="8.28515625" style="133" bestFit="1" customWidth="1"/>
    <col min="4877" max="4877" width="8.85546875" style="133" customWidth="1"/>
    <col min="4878" max="4878" width="22.140625" style="133" bestFit="1" customWidth="1"/>
    <col min="4879" max="4879" width="17.42578125" style="133" bestFit="1" customWidth="1"/>
    <col min="4880" max="5120" width="9.140625" style="133"/>
    <col min="5121" max="5121" width="34.5703125" style="133" customWidth="1"/>
    <col min="5122" max="5122" width="15" style="133" customWidth="1"/>
    <col min="5123" max="5123" width="11.42578125" style="133" customWidth="1"/>
    <col min="5124" max="5124" width="7.28515625" style="133" bestFit="1" customWidth="1"/>
    <col min="5125" max="5125" width="13.85546875" style="133" customWidth="1"/>
    <col min="5126" max="5126" width="10" style="133" customWidth="1"/>
    <col min="5127" max="5127" width="7.28515625" style="133" bestFit="1" customWidth="1"/>
    <col min="5128" max="5128" width="13.5703125" style="133" customWidth="1"/>
    <col min="5129" max="5129" width="8.28515625" style="133" bestFit="1" customWidth="1"/>
    <col min="5130" max="5130" width="7.28515625" style="133" bestFit="1" customWidth="1"/>
    <col min="5131" max="5131" width="13.28515625" style="133" customWidth="1"/>
    <col min="5132" max="5132" width="8.28515625" style="133" bestFit="1" customWidth="1"/>
    <col min="5133" max="5133" width="8.85546875" style="133" customWidth="1"/>
    <col min="5134" max="5134" width="22.140625" style="133" bestFit="1" customWidth="1"/>
    <col min="5135" max="5135" width="17.42578125" style="133" bestFit="1" customWidth="1"/>
    <col min="5136" max="5376" width="9.140625" style="133"/>
    <col min="5377" max="5377" width="34.5703125" style="133" customWidth="1"/>
    <col min="5378" max="5378" width="15" style="133" customWidth="1"/>
    <col min="5379" max="5379" width="11.42578125" style="133" customWidth="1"/>
    <col min="5380" max="5380" width="7.28515625" style="133" bestFit="1" customWidth="1"/>
    <col min="5381" max="5381" width="13.85546875" style="133" customWidth="1"/>
    <col min="5382" max="5382" width="10" style="133" customWidth="1"/>
    <col min="5383" max="5383" width="7.28515625" style="133" bestFit="1" customWidth="1"/>
    <col min="5384" max="5384" width="13.5703125" style="133" customWidth="1"/>
    <col min="5385" max="5385" width="8.28515625" style="133" bestFit="1" customWidth="1"/>
    <col min="5386" max="5386" width="7.28515625" style="133" bestFit="1" customWidth="1"/>
    <col min="5387" max="5387" width="13.28515625" style="133" customWidth="1"/>
    <col min="5388" max="5388" width="8.28515625" style="133" bestFit="1" customWidth="1"/>
    <col min="5389" max="5389" width="8.85546875" style="133" customWidth="1"/>
    <col min="5390" max="5390" width="22.140625" style="133" bestFit="1" customWidth="1"/>
    <col min="5391" max="5391" width="17.42578125" style="133" bestFit="1" customWidth="1"/>
    <col min="5392" max="5632" width="9.140625" style="133"/>
    <col min="5633" max="5633" width="34.5703125" style="133" customWidth="1"/>
    <col min="5634" max="5634" width="15" style="133" customWidth="1"/>
    <col min="5635" max="5635" width="11.42578125" style="133" customWidth="1"/>
    <col min="5636" max="5636" width="7.28515625" style="133" bestFit="1" customWidth="1"/>
    <col min="5637" max="5637" width="13.85546875" style="133" customWidth="1"/>
    <col min="5638" max="5638" width="10" style="133" customWidth="1"/>
    <col min="5639" max="5639" width="7.28515625" style="133" bestFit="1" customWidth="1"/>
    <col min="5640" max="5640" width="13.5703125" style="133" customWidth="1"/>
    <col min="5641" max="5641" width="8.28515625" style="133" bestFit="1" customWidth="1"/>
    <col min="5642" max="5642" width="7.28515625" style="133" bestFit="1" customWidth="1"/>
    <col min="5643" max="5643" width="13.28515625" style="133" customWidth="1"/>
    <col min="5644" max="5644" width="8.28515625" style="133" bestFit="1" customWidth="1"/>
    <col min="5645" max="5645" width="8.85546875" style="133" customWidth="1"/>
    <col min="5646" max="5646" width="22.140625" style="133" bestFit="1" customWidth="1"/>
    <col min="5647" max="5647" width="17.42578125" style="133" bestFit="1" customWidth="1"/>
    <col min="5648" max="5888" width="9.140625" style="133"/>
    <col min="5889" max="5889" width="34.5703125" style="133" customWidth="1"/>
    <col min="5890" max="5890" width="15" style="133" customWidth="1"/>
    <col min="5891" max="5891" width="11.42578125" style="133" customWidth="1"/>
    <col min="5892" max="5892" width="7.28515625" style="133" bestFit="1" customWidth="1"/>
    <col min="5893" max="5893" width="13.85546875" style="133" customWidth="1"/>
    <col min="5894" max="5894" width="10" style="133" customWidth="1"/>
    <col min="5895" max="5895" width="7.28515625" style="133" bestFit="1" customWidth="1"/>
    <col min="5896" max="5896" width="13.5703125" style="133" customWidth="1"/>
    <col min="5897" max="5897" width="8.28515625" style="133" bestFit="1" customWidth="1"/>
    <col min="5898" max="5898" width="7.28515625" style="133" bestFit="1" customWidth="1"/>
    <col min="5899" max="5899" width="13.28515625" style="133" customWidth="1"/>
    <col min="5900" max="5900" width="8.28515625" style="133" bestFit="1" customWidth="1"/>
    <col min="5901" max="5901" width="8.85546875" style="133" customWidth="1"/>
    <col min="5902" max="5902" width="22.140625" style="133" bestFit="1" customWidth="1"/>
    <col min="5903" max="5903" width="17.42578125" style="133" bestFit="1" customWidth="1"/>
    <col min="5904" max="6144" width="9.140625" style="133"/>
    <col min="6145" max="6145" width="34.5703125" style="133" customWidth="1"/>
    <col min="6146" max="6146" width="15" style="133" customWidth="1"/>
    <col min="6147" max="6147" width="11.42578125" style="133" customWidth="1"/>
    <col min="6148" max="6148" width="7.28515625" style="133" bestFit="1" customWidth="1"/>
    <col min="6149" max="6149" width="13.85546875" style="133" customWidth="1"/>
    <col min="6150" max="6150" width="10" style="133" customWidth="1"/>
    <col min="6151" max="6151" width="7.28515625" style="133" bestFit="1" customWidth="1"/>
    <col min="6152" max="6152" width="13.5703125" style="133" customWidth="1"/>
    <col min="6153" max="6153" width="8.28515625" style="133" bestFit="1" customWidth="1"/>
    <col min="6154" max="6154" width="7.28515625" style="133" bestFit="1" customWidth="1"/>
    <col min="6155" max="6155" width="13.28515625" style="133" customWidth="1"/>
    <col min="6156" max="6156" width="8.28515625" style="133" bestFit="1" customWidth="1"/>
    <col min="6157" max="6157" width="8.85546875" style="133" customWidth="1"/>
    <col min="6158" max="6158" width="22.140625" style="133" bestFit="1" customWidth="1"/>
    <col min="6159" max="6159" width="17.42578125" style="133" bestFit="1" customWidth="1"/>
    <col min="6160" max="6400" width="9.140625" style="133"/>
    <col min="6401" max="6401" width="34.5703125" style="133" customWidth="1"/>
    <col min="6402" max="6402" width="15" style="133" customWidth="1"/>
    <col min="6403" max="6403" width="11.42578125" style="133" customWidth="1"/>
    <col min="6404" max="6404" width="7.28515625" style="133" bestFit="1" customWidth="1"/>
    <col min="6405" max="6405" width="13.85546875" style="133" customWidth="1"/>
    <col min="6406" max="6406" width="10" style="133" customWidth="1"/>
    <col min="6407" max="6407" width="7.28515625" style="133" bestFit="1" customWidth="1"/>
    <col min="6408" max="6408" width="13.5703125" style="133" customWidth="1"/>
    <col min="6409" max="6409" width="8.28515625" style="133" bestFit="1" customWidth="1"/>
    <col min="6410" max="6410" width="7.28515625" style="133" bestFit="1" customWidth="1"/>
    <col min="6411" max="6411" width="13.28515625" style="133" customWidth="1"/>
    <col min="6412" max="6412" width="8.28515625" style="133" bestFit="1" customWidth="1"/>
    <col min="6413" max="6413" width="8.85546875" style="133" customWidth="1"/>
    <col min="6414" max="6414" width="22.140625" style="133" bestFit="1" customWidth="1"/>
    <col min="6415" max="6415" width="17.42578125" style="133" bestFit="1" customWidth="1"/>
    <col min="6416" max="6656" width="9.140625" style="133"/>
    <col min="6657" max="6657" width="34.5703125" style="133" customWidth="1"/>
    <col min="6658" max="6658" width="15" style="133" customWidth="1"/>
    <col min="6659" max="6659" width="11.42578125" style="133" customWidth="1"/>
    <col min="6660" max="6660" width="7.28515625" style="133" bestFit="1" customWidth="1"/>
    <col min="6661" max="6661" width="13.85546875" style="133" customWidth="1"/>
    <col min="6662" max="6662" width="10" style="133" customWidth="1"/>
    <col min="6663" max="6663" width="7.28515625" style="133" bestFit="1" customWidth="1"/>
    <col min="6664" max="6664" width="13.5703125" style="133" customWidth="1"/>
    <col min="6665" max="6665" width="8.28515625" style="133" bestFit="1" customWidth="1"/>
    <col min="6666" max="6666" width="7.28515625" style="133" bestFit="1" customWidth="1"/>
    <col min="6667" max="6667" width="13.28515625" style="133" customWidth="1"/>
    <col min="6668" max="6668" width="8.28515625" style="133" bestFit="1" customWidth="1"/>
    <col min="6669" max="6669" width="8.85546875" style="133" customWidth="1"/>
    <col min="6670" max="6670" width="22.140625" style="133" bestFit="1" customWidth="1"/>
    <col min="6671" max="6671" width="17.42578125" style="133" bestFit="1" customWidth="1"/>
    <col min="6672" max="6912" width="9.140625" style="133"/>
    <col min="6913" max="6913" width="34.5703125" style="133" customWidth="1"/>
    <col min="6914" max="6914" width="15" style="133" customWidth="1"/>
    <col min="6915" max="6915" width="11.42578125" style="133" customWidth="1"/>
    <col min="6916" max="6916" width="7.28515625" style="133" bestFit="1" customWidth="1"/>
    <col min="6917" max="6917" width="13.85546875" style="133" customWidth="1"/>
    <col min="6918" max="6918" width="10" style="133" customWidth="1"/>
    <col min="6919" max="6919" width="7.28515625" style="133" bestFit="1" customWidth="1"/>
    <col min="6920" max="6920" width="13.5703125" style="133" customWidth="1"/>
    <col min="6921" max="6921" width="8.28515625" style="133" bestFit="1" customWidth="1"/>
    <col min="6922" max="6922" width="7.28515625" style="133" bestFit="1" customWidth="1"/>
    <col min="6923" max="6923" width="13.28515625" style="133" customWidth="1"/>
    <col min="6924" max="6924" width="8.28515625" style="133" bestFit="1" customWidth="1"/>
    <col min="6925" max="6925" width="8.85546875" style="133" customWidth="1"/>
    <col min="6926" max="6926" width="22.140625" style="133" bestFit="1" customWidth="1"/>
    <col min="6927" max="6927" width="17.42578125" style="133" bestFit="1" customWidth="1"/>
    <col min="6928" max="7168" width="9.140625" style="133"/>
    <col min="7169" max="7169" width="34.5703125" style="133" customWidth="1"/>
    <col min="7170" max="7170" width="15" style="133" customWidth="1"/>
    <col min="7171" max="7171" width="11.42578125" style="133" customWidth="1"/>
    <col min="7172" max="7172" width="7.28515625" style="133" bestFit="1" customWidth="1"/>
    <col min="7173" max="7173" width="13.85546875" style="133" customWidth="1"/>
    <col min="7174" max="7174" width="10" style="133" customWidth="1"/>
    <col min="7175" max="7175" width="7.28515625" style="133" bestFit="1" customWidth="1"/>
    <col min="7176" max="7176" width="13.5703125" style="133" customWidth="1"/>
    <col min="7177" max="7177" width="8.28515625" style="133" bestFit="1" customWidth="1"/>
    <col min="7178" max="7178" width="7.28515625" style="133" bestFit="1" customWidth="1"/>
    <col min="7179" max="7179" width="13.28515625" style="133" customWidth="1"/>
    <col min="7180" max="7180" width="8.28515625" style="133" bestFit="1" customWidth="1"/>
    <col min="7181" max="7181" width="8.85546875" style="133" customWidth="1"/>
    <col min="7182" max="7182" width="22.140625" style="133" bestFit="1" customWidth="1"/>
    <col min="7183" max="7183" width="17.42578125" style="133" bestFit="1" customWidth="1"/>
    <col min="7184" max="7424" width="9.140625" style="133"/>
    <col min="7425" max="7425" width="34.5703125" style="133" customWidth="1"/>
    <col min="7426" max="7426" width="15" style="133" customWidth="1"/>
    <col min="7427" max="7427" width="11.42578125" style="133" customWidth="1"/>
    <col min="7428" max="7428" width="7.28515625" style="133" bestFit="1" customWidth="1"/>
    <col min="7429" max="7429" width="13.85546875" style="133" customWidth="1"/>
    <col min="7430" max="7430" width="10" style="133" customWidth="1"/>
    <col min="7431" max="7431" width="7.28515625" style="133" bestFit="1" customWidth="1"/>
    <col min="7432" max="7432" width="13.5703125" style="133" customWidth="1"/>
    <col min="7433" max="7433" width="8.28515625" style="133" bestFit="1" customWidth="1"/>
    <col min="7434" max="7434" width="7.28515625" style="133" bestFit="1" customWidth="1"/>
    <col min="7435" max="7435" width="13.28515625" style="133" customWidth="1"/>
    <col min="7436" max="7436" width="8.28515625" style="133" bestFit="1" customWidth="1"/>
    <col min="7437" max="7437" width="8.85546875" style="133" customWidth="1"/>
    <col min="7438" max="7438" width="22.140625" style="133" bestFit="1" customWidth="1"/>
    <col min="7439" max="7439" width="17.42578125" style="133" bestFit="1" customWidth="1"/>
    <col min="7440" max="7680" width="9.140625" style="133"/>
    <col min="7681" max="7681" width="34.5703125" style="133" customWidth="1"/>
    <col min="7682" max="7682" width="15" style="133" customWidth="1"/>
    <col min="7683" max="7683" width="11.42578125" style="133" customWidth="1"/>
    <col min="7684" max="7684" width="7.28515625" style="133" bestFit="1" customWidth="1"/>
    <col min="7685" max="7685" width="13.85546875" style="133" customWidth="1"/>
    <col min="7686" max="7686" width="10" style="133" customWidth="1"/>
    <col min="7687" max="7687" width="7.28515625" style="133" bestFit="1" customWidth="1"/>
    <col min="7688" max="7688" width="13.5703125" style="133" customWidth="1"/>
    <col min="7689" max="7689" width="8.28515625" style="133" bestFit="1" customWidth="1"/>
    <col min="7690" max="7690" width="7.28515625" style="133" bestFit="1" customWidth="1"/>
    <col min="7691" max="7691" width="13.28515625" style="133" customWidth="1"/>
    <col min="7692" max="7692" width="8.28515625" style="133" bestFit="1" customWidth="1"/>
    <col min="7693" max="7693" width="8.85546875" style="133" customWidth="1"/>
    <col min="7694" max="7694" width="22.140625" style="133" bestFit="1" customWidth="1"/>
    <col min="7695" max="7695" width="17.42578125" style="133" bestFit="1" customWidth="1"/>
    <col min="7696" max="7936" width="9.140625" style="133"/>
    <col min="7937" max="7937" width="34.5703125" style="133" customWidth="1"/>
    <col min="7938" max="7938" width="15" style="133" customWidth="1"/>
    <col min="7939" max="7939" width="11.42578125" style="133" customWidth="1"/>
    <col min="7940" max="7940" width="7.28515625" style="133" bestFit="1" customWidth="1"/>
    <col min="7941" max="7941" width="13.85546875" style="133" customWidth="1"/>
    <col min="7942" max="7942" width="10" style="133" customWidth="1"/>
    <col min="7943" max="7943" width="7.28515625" style="133" bestFit="1" customWidth="1"/>
    <col min="7944" max="7944" width="13.5703125" style="133" customWidth="1"/>
    <col min="7945" max="7945" width="8.28515625" style="133" bestFit="1" customWidth="1"/>
    <col min="7946" max="7946" width="7.28515625" style="133" bestFit="1" customWidth="1"/>
    <col min="7947" max="7947" width="13.28515625" style="133" customWidth="1"/>
    <col min="7948" max="7948" width="8.28515625" style="133" bestFit="1" customWidth="1"/>
    <col min="7949" max="7949" width="8.85546875" style="133" customWidth="1"/>
    <col min="7950" max="7950" width="22.140625" style="133" bestFit="1" customWidth="1"/>
    <col min="7951" max="7951" width="17.42578125" style="133" bestFit="1" customWidth="1"/>
    <col min="7952" max="8192" width="9.140625" style="133"/>
    <col min="8193" max="8193" width="34.5703125" style="133" customWidth="1"/>
    <col min="8194" max="8194" width="15" style="133" customWidth="1"/>
    <col min="8195" max="8195" width="11.42578125" style="133" customWidth="1"/>
    <col min="8196" max="8196" width="7.28515625" style="133" bestFit="1" customWidth="1"/>
    <col min="8197" max="8197" width="13.85546875" style="133" customWidth="1"/>
    <col min="8198" max="8198" width="10" style="133" customWidth="1"/>
    <col min="8199" max="8199" width="7.28515625" style="133" bestFit="1" customWidth="1"/>
    <col min="8200" max="8200" width="13.5703125" style="133" customWidth="1"/>
    <col min="8201" max="8201" width="8.28515625" style="133" bestFit="1" customWidth="1"/>
    <col min="8202" max="8202" width="7.28515625" style="133" bestFit="1" customWidth="1"/>
    <col min="8203" max="8203" width="13.28515625" style="133" customWidth="1"/>
    <col min="8204" max="8204" width="8.28515625" style="133" bestFit="1" customWidth="1"/>
    <col min="8205" max="8205" width="8.85546875" style="133" customWidth="1"/>
    <col min="8206" max="8206" width="22.140625" style="133" bestFit="1" customWidth="1"/>
    <col min="8207" max="8207" width="17.42578125" style="133" bestFit="1" customWidth="1"/>
    <col min="8208" max="8448" width="9.140625" style="133"/>
    <col min="8449" max="8449" width="34.5703125" style="133" customWidth="1"/>
    <col min="8450" max="8450" width="15" style="133" customWidth="1"/>
    <col min="8451" max="8451" width="11.42578125" style="133" customWidth="1"/>
    <col min="8452" max="8452" width="7.28515625" style="133" bestFit="1" customWidth="1"/>
    <col min="8453" max="8453" width="13.85546875" style="133" customWidth="1"/>
    <col min="8454" max="8454" width="10" style="133" customWidth="1"/>
    <col min="8455" max="8455" width="7.28515625" style="133" bestFit="1" customWidth="1"/>
    <col min="8456" max="8456" width="13.5703125" style="133" customWidth="1"/>
    <col min="8457" max="8457" width="8.28515625" style="133" bestFit="1" customWidth="1"/>
    <col min="8458" max="8458" width="7.28515625" style="133" bestFit="1" customWidth="1"/>
    <col min="8459" max="8459" width="13.28515625" style="133" customWidth="1"/>
    <col min="8460" max="8460" width="8.28515625" style="133" bestFit="1" customWidth="1"/>
    <col min="8461" max="8461" width="8.85546875" style="133" customWidth="1"/>
    <col min="8462" max="8462" width="22.140625" style="133" bestFit="1" customWidth="1"/>
    <col min="8463" max="8463" width="17.42578125" style="133" bestFit="1" customWidth="1"/>
    <col min="8464" max="8704" width="9.140625" style="133"/>
    <col min="8705" max="8705" width="34.5703125" style="133" customWidth="1"/>
    <col min="8706" max="8706" width="15" style="133" customWidth="1"/>
    <col min="8707" max="8707" width="11.42578125" style="133" customWidth="1"/>
    <col min="8708" max="8708" width="7.28515625" style="133" bestFit="1" customWidth="1"/>
    <col min="8709" max="8709" width="13.85546875" style="133" customWidth="1"/>
    <col min="8710" max="8710" width="10" style="133" customWidth="1"/>
    <col min="8711" max="8711" width="7.28515625" style="133" bestFit="1" customWidth="1"/>
    <col min="8712" max="8712" width="13.5703125" style="133" customWidth="1"/>
    <col min="8713" max="8713" width="8.28515625" style="133" bestFit="1" customWidth="1"/>
    <col min="8714" max="8714" width="7.28515625" style="133" bestFit="1" customWidth="1"/>
    <col min="8715" max="8715" width="13.28515625" style="133" customWidth="1"/>
    <col min="8716" max="8716" width="8.28515625" style="133" bestFit="1" customWidth="1"/>
    <col min="8717" max="8717" width="8.85546875" style="133" customWidth="1"/>
    <col min="8718" max="8718" width="22.140625" style="133" bestFit="1" customWidth="1"/>
    <col min="8719" max="8719" width="17.42578125" style="133" bestFit="1" customWidth="1"/>
    <col min="8720" max="8960" width="9.140625" style="133"/>
    <col min="8961" max="8961" width="34.5703125" style="133" customWidth="1"/>
    <col min="8962" max="8962" width="15" style="133" customWidth="1"/>
    <col min="8963" max="8963" width="11.42578125" style="133" customWidth="1"/>
    <col min="8964" max="8964" width="7.28515625" style="133" bestFit="1" customWidth="1"/>
    <col min="8965" max="8965" width="13.85546875" style="133" customWidth="1"/>
    <col min="8966" max="8966" width="10" style="133" customWidth="1"/>
    <col min="8967" max="8967" width="7.28515625" style="133" bestFit="1" customWidth="1"/>
    <col min="8968" max="8968" width="13.5703125" style="133" customWidth="1"/>
    <col min="8969" max="8969" width="8.28515625" style="133" bestFit="1" customWidth="1"/>
    <col min="8970" max="8970" width="7.28515625" style="133" bestFit="1" customWidth="1"/>
    <col min="8971" max="8971" width="13.28515625" style="133" customWidth="1"/>
    <col min="8972" max="8972" width="8.28515625" style="133" bestFit="1" customWidth="1"/>
    <col min="8973" max="8973" width="8.85546875" style="133" customWidth="1"/>
    <col min="8974" max="8974" width="22.140625" style="133" bestFit="1" customWidth="1"/>
    <col min="8975" max="8975" width="17.42578125" style="133" bestFit="1" customWidth="1"/>
    <col min="8976" max="9216" width="9.140625" style="133"/>
    <col min="9217" max="9217" width="34.5703125" style="133" customWidth="1"/>
    <col min="9218" max="9218" width="15" style="133" customWidth="1"/>
    <col min="9219" max="9219" width="11.42578125" style="133" customWidth="1"/>
    <col min="9220" max="9220" width="7.28515625" style="133" bestFit="1" customWidth="1"/>
    <col min="9221" max="9221" width="13.85546875" style="133" customWidth="1"/>
    <col min="9222" max="9222" width="10" style="133" customWidth="1"/>
    <col min="9223" max="9223" width="7.28515625" style="133" bestFit="1" customWidth="1"/>
    <col min="9224" max="9224" width="13.5703125" style="133" customWidth="1"/>
    <col min="9225" max="9225" width="8.28515625" style="133" bestFit="1" customWidth="1"/>
    <col min="9226" max="9226" width="7.28515625" style="133" bestFit="1" customWidth="1"/>
    <col min="9227" max="9227" width="13.28515625" style="133" customWidth="1"/>
    <col min="9228" max="9228" width="8.28515625" style="133" bestFit="1" customWidth="1"/>
    <col min="9229" max="9229" width="8.85546875" style="133" customWidth="1"/>
    <col min="9230" max="9230" width="22.140625" style="133" bestFit="1" customWidth="1"/>
    <col min="9231" max="9231" width="17.42578125" style="133" bestFit="1" customWidth="1"/>
    <col min="9232" max="9472" width="9.140625" style="133"/>
    <col min="9473" max="9473" width="34.5703125" style="133" customWidth="1"/>
    <col min="9474" max="9474" width="15" style="133" customWidth="1"/>
    <col min="9475" max="9475" width="11.42578125" style="133" customWidth="1"/>
    <col min="9476" max="9476" width="7.28515625" style="133" bestFit="1" customWidth="1"/>
    <col min="9477" max="9477" width="13.85546875" style="133" customWidth="1"/>
    <col min="9478" max="9478" width="10" style="133" customWidth="1"/>
    <col min="9479" max="9479" width="7.28515625" style="133" bestFit="1" customWidth="1"/>
    <col min="9480" max="9480" width="13.5703125" style="133" customWidth="1"/>
    <col min="9481" max="9481" width="8.28515625" style="133" bestFit="1" customWidth="1"/>
    <col min="9482" max="9482" width="7.28515625" style="133" bestFit="1" customWidth="1"/>
    <col min="9483" max="9483" width="13.28515625" style="133" customWidth="1"/>
    <col min="9484" max="9484" width="8.28515625" style="133" bestFit="1" customWidth="1"/>
    <col min="9485" max="9485" width="8.85546875" style="133" customWidth="1"/>
    <col min="9486" max="9486" width="22.140625" style="133" bestFit="1" customWidth="1"/>
    <col min="9487" max="9487" width="17.42578125" style="133" bestFit="1" customWidth="1"/>
    <col min="9488" max="9728" width="9.140625" style="133"/>
    <col min="9729" max="9729" width="34.5703125" style="133" customWidth="1"/>
    <col min="9730" max="9730" width="15" style="133" customWidth="1"/>
    <col min="9731" max="9731" width="11.42578125" style="133" customWidth="1"/>
    <col min="9732" max="9732" width="7.28515625" style="133" bestFit="1" customWidth="1"/>
    <col min="9733" max="9733" width="13.85546875" style="133" customWidth="1"/>
    <col min="9734" max="9734" width="10" style="133" customWidth="1"/>
    <col min="9735" max="9735" width="7.28515625" style="133" bestFit="1" customWidth="1"/>
    <col min="9736" max="9736" width="13.5703125" style="133" customWidth="1"/>
    <col min="9737" max="9737" width="8.28515625" style="133" bestFit="1" customWidth="1"/>
    <col min="9738" max="9738" width="7.28515625" style="133" bestFit="1" customWidth="1"/>
    <col min="9739" max="9739" width="13.28515625" style="133" customWidth="1"/>
    <col min="9740" max="9740" width="8.28515625" style="133" bestFit="1" customWidth="1"/>
    <col min="9741" max="9741" width="8.85546875" style="133" customWidth="1"/>
    <col min="9742" max="9742" width="22.140625" style="133" bestFit="1" customWidth="1"/>
    <col min="9743" max="9743" width="17.42578125" style="133" bestFit="1" customWidth="1"/>
    <col min="9744" max="9984" width="9.140625" style="133"/>
    <col min="9985" max="9985" width="34.5703125" style="133" customWidth="1"/>
    <col min="9986" max="9986" width="15" style="133" customWidth="1"/>
    <col min="9987" max="9987" width="11.42578125" style="133" customWidth="1"/>
    <col min="9988" max="9988" width="7.28515625" style="133" bestFit="1" customWidth="1"/>
    <col min="9989" max="9989" width="13.85546875" style="133" customWidth="1"/>
    <col min="9990" max="9990" width="10" style="133" customWidth="1"/>
    <col min="9991" max="9991" width="7.28515625" style="133" bestFit="1" customWidth="1"/>
    <col min="9992" max="9992" width="13.5703125" style="133" customWidth="1"/>
    <col min="9993" max="9993" width="8.28515625" style="133" bestFit="1" customWidth="1"/>
    <col min="9994" max="9994" width="7.28515625" style="133" bestFit="1" customWidth="1"/>
    <col min="9995" max="9995" width="13.28515625" style="133" customWidth="1"/>
    <col min="9996" max="9996" width="8.28515625" style="133" bestFit="1" customWidth="1"/>
    <col min="9997" max="9997" width="8.85546875" style="133" customWidth="1"/>
    <col min="9998" max="9998" width="22.140625" style="133" bestFit="1" customWidth="1"/>
    <col min="9999" max="9999" width="17.42578125" style="133" bestFit="1" customWidth="1"/>
    <col min="10000" max="10240" width="9.140625" style="133"/>
    <col min="10241" max="10241" width="34.5703125" style="133" customWidth="1"/>
    <col min="10242" max="10242" width="15" style="133" customWidth="1"/>
    <col min="10243" max="10243" width="11.42578125" style="133" customWidth="1"/>
    <col min="10244" max="10244" width="7.28515625" style="133" bestFit="1" customWidth="1"/>
    <col min="10245" max="10245" width="13.85546875" style="133" customWidth="1"/>
    <col min="10246" max="10246" width="10" style="133" customWidth="1"/>
    <col min="10247" max="10247" width="7.28515625" style="133" bestFit="1" customWidth="1"/>
    <col min="10248" max="10248" width="13.5703125" style="133" customWidth="1"/>
    <col min="10249" max="10249" width="8.28515625" style="133" bestFit="1" customWidth="1"/>
    <col min="10250" max="10250" width="7.28515625" style="133" bestFit="1" customWidth="1"/>
    <col min="10251" max="10251" width="13.28515625" style="133" customWidth="1"/>
    <col min="10252" max="10252" width="8.28515625" style="133" bestFit="1" customWidth="1"/>
    <col min="10253" max="10253" width="8.85546875" style="133" customWidth="1"/>
    <col min="10254" max="10254" width="22.140625" style="133" bestFit="1" customWidth="1"/>
    <col min="10255" max="10255" width="17.42578125" style="133" bestFit="1" customWidth="1"/>
    <col min="10256" max="10496" width="9.140625" style="133"/>
    <col min="10497" max="10497" width="34.5703125" style="133" customWidth="1"/>
    <col min="10498" max="10498" width="15" style="133" customWidth="1"/>
    <col min="10499" max="10499" width="11.42578125" style="133" customWidth="1"/>
    <col min="10500" max="10500" width="7.28515625" style="133" bestFit="1" customWidth="1"/>
    <col min="10501" max="10501" width="13.85546875" style="133" customWidth="1"/>
    <col min="10502" max="10502" width="10" style="133" customWidth="1"/>
    <col min="10503" max="10503" width="7.28515625" style="133" bestFit="1" customWidth="1"/>
    <col min="10504" max="10504" width="13.5703125" style="133" customWidth="1"/>
    <col min="10505" max="10505" width="8.28515625" style="133" bestFit="1" customWidth="1"/>
    <col min="10506" max="10506" width="7.28515625" style="133" bestFit="1" customWidth="1"/>
    <col min="10507" max="10507" width="13.28515625" style="133" customWidth="1"/>
    <col min="10508" max="10508" width="8.28515625" style="133" bestFit="1" customWidth="1"/>
    <col min="10509" max="10509" width="8.85546875" style="133" customWidth="1"/>
    <col min="10510" max="10510" width="22.140625" style="133" bestFit="1" customWidth="1"/>
    <col min="10511" max="10511" width="17.42578125" style="133" bestFit="1" customWidth="1"/>
    <col min="10512" max="10752" width="9.140625" style="133"/>
    <col min="10753" max="10753" width="34.5703125" style="133" customWidth="1"/>
    <col min="10754" max="10754" width="15" style="133" customWidth="1"/>
    <col min="10755" max="10755" width="11.42578125" style="133" customWidth="1"/>
    <col min="10756" max="10756" width="7.28515625" style="133" bestFit="1" customWidth="1"/>
    <col min="10757" max="10757" width="13.85546875" style="133" customWidth="1"/>
    <col min="10758" max="10758" width="10" style="133" customWidth="1"/>
    <col min="10759" max="10759" width="7.28515625" style="133" bestFit="1" customWidth="1"/>
    <col min="10760" max="10760" width="13.5703125" style="133" customWidth="1"/>
    <col min="10761" max="10761" width="8.28515625" style="133" bestFit="1" customWidth="1"/>
    <col min="10762" max="10762" width="7.28515625" style="133" bestFit="1" customWidth="1"/>
    <col min="10763" max="10763" width="13.28515625" style="133" customWidth="1"/>
    <col min="10764" max="10764" width="8.28515625" style="133" bestFit="1" customWidth="1"/>
    <col min="10765" max="10765" width="8.85546875" style="133" customWidth="1"/>
    <col min="10766" max="10766" width="22.140625" style="133" bestFit="1" customWidth="1"/>
    <col min="10767" max="10767" width="17.42578125" style="133" bestFit="1" customWidth="1"/>
    <col min="10768" max="11008" width="9.140625" style="133"/>
    <col min="11009" max="11009" width="34.5703125" style="133" customWidth="1"/>
    <col min="11010" max="11010" width="15" style="133" customWidth="1"/>
    <col min="11011" max="11011" width="11.42578125" style="133" customWidth="1"/>
    <col min="11012" max="11012" width="7.28515625" style="133" bestFit="1" customWidth="1"/>
    <col min="11013" max="11013" width="13.85546875" style="133" customWidth="1"/>
    <col min="11014" max="11014" width="10" style="133" customWidth="1"/>
    <col min="11015" max="11015" width="7.28515625" style="133" bestFit="1" customWidth="1"/>
    <col min="11016" max="11016" width="13.5703125" style="133" customWidth="1"/>
    <col min="11017" max="11017" width="8.28515625" style="133" bestFit="1" customWidth="1"/>
    <col min="11018" max="11018" width="7.28515625" style="133" bestFit="1" customWidth="1"/>
    <col min="11019" max="11019" width="13.28515625" style="133" customWidth="1"/>
    <col min="11020" max="11020" width="8.28515625" style="133" bestFit="1" customWidth="1"/>
    <col min="11021" max="11021" width="8.85546875" style="133" customWidth="1"/>
    <col min="11022" max="11022" width="22.140625" style="133" bestFit="1" customWidth="1"/>
    <col min="11023" max="11023" width="17.42578125" style="133" bestFit="1" customWidth="1"/>
    <col min="11024" max="11264" width="9.140625" style="133"/>
    <col min="11265" max="11265" width="34.5703125" style="133" customWidth="1"/>
    <col min="11266" max="11266" width="15" style="133" customWidth="1"/>
    <col min="11267" max="11267" width="11.42578125" style="133" customWidth="1"/>
    <col min="11268" max="11268" width="7.28515625" style="133" bestFit="1" customWidth="1"/>
    <col min="11269" max="11269" width="13.85546875" style="133" customWidth="1"/>
    <col min="11270" max="11270" width="10" style="133" customWidth="1"/>
    <col min="11271" max="11271" width="7.28515625" style="133" bestFit="1" customWidth="1"/>
    <col min="11272" max="11272" width="13.5703125" style="133" customWidth="1"/>
    <col min="11273" max="11273" width="8.28515625" style="133" bestFit="1" customWidth="1"/>
    <col min="11274" max="11274" width="7.28515625" style="133" bestFit="1" customWidth="1"/>
    <col min="11275" max="11275" width="13.28515625" style="133" customWidth="1"/>
    <col min="11276" max="11276" width="8.28515625" style="133" bestFit="1" customWidth="1"/>
    <col min="11277" max="11277" width="8.85546875" style="133" customWidth="1"/>
    <col min="11278" max="11278" width="22.140625" style="133" bestFit="1" customWidth="1"/>
    <col min="11279" max="11279" width="17.42578125" style="133" bestFit="1" customWidth="1"/>
    <col min="11280" max="11520" width="9.140625" style="133"/>
    <col min="11521" max="11521" width="34.5703125" style="133" customWidth="1"/>
    <col min="11522" max="11522" width="15" style="133" customWidth="1"/>
    <col min="11523" max="11523" width="11.42578125" style="133" customWidth="1"/>
    <col min="11524" max="11524" width="7.28515625" style="133" bestFit="1" customWidth="1"/>
    <col min="11525" max="11525" width="13.85546875" style="133" customWidth="1"/>
    <col min="11526" max="11526" width="10" style="133" customWidth="1"/>
    <col min="11527" max="11527" width="7.28515625" style="133" bestFit="1" customWidth="1"/>
    <col min="11528" max="11528" width="13.5703125" style="133" customWidth="1"/>
    <col min="11529" max="11529" width="8.28515625" style="133" bestFit="1" customWidth="1"/>
    <col min="11530" max="11530" width="7.28515625" style="133" bestFit="1" customWidth="1"/>
    <col min="11531" max="11531" width="13.28515625" style="133" customWidth="1"/>
    <col min="11532" max="11532" width="8.28515625" style="133" bestFit="1" customWidth="1"/>
    <col min="11533" max="11533" width="8.85546875" style="133" customWidth="1"/>
    <col min="11534" max="11534" width="22.140625" style="133" bestFit="1" customWidth="1"/>
    <col min="11535" max="11535" width="17.42578125" style="133" bestFit="1" customWidth="1"/>
    <col min="11536" max="11776" width="9.140625" style="133"/>
    <col min="11777" max="11777" width="34.5703125" style="133" customWidth="1"/>
    <col min="11778" max="11778" width="15" style="133" customWidth="1"/>
    <col min="11779" max="11779" width="11.42578125" style="133" customWidth="1"/>
    <col min="11780" max="11780" width="7.28515625" style="133" bestFit="1" customWidth="1"/>
    <col min="11781" max="11781" width="13.85546875" style="133" customWidth="1"/>
    <col min="11782" max="11782" width="10" style="133" customWidth="1"/>
    <col min="11783" max="11783" width="7.28515625" style="133" bestFit="1" customWidth="1"/>
    <col min="11784" max="11784" width="13.5703125" style="133" customWidth="1"/>
    <col min="11785" max="11785" width="8.28515625" style="133" bestFit="1" customWidth="1"/>
    <col min="11786" max="11786" width="7.28515625" style="133" bestFit="1" customWidth="1"/>
    <col min="11787" max="11787" width="13.28515625" style="133" customWidth="1"/>
    <col min="11788" max="11788" width="8.28515625" style="133" bestFit="1" customWidth="1"/>
    <col min="11789" max="11789" width="8.85546875" style="133" customWidth="1"/>
    <col min="11790" max="11790" width="22.140625" style="133" bestFit="1" customWidth="1"/>
    <col min="11791" max="11791" width="17.42578125" style="133" bestFit="1" customWidth="1"/>
    <col min="11792" max="12032" width="9.140625" style="133"/>
    <col min="12033" max="12033" width="34.5703125" style="133" customWidth="1"/>
    <col min="12034" max="12034" width="15" style="133" customWidth="1"/>
    <col min="12035" max="12035" width="11.42578125" style="133" customWidth="1"/>
    <col min="12036" max="12036" width="7.28515625" style="133" bestFit="1" customWidth="1"/>
    <col min="12037" max="12037" width="13.85546875" style="133" customWidth="1"/>
    <col min="12038" max="12038" width="10" style="133" customWidth="1"/>
    <col min="12039" max="12039" width="7.28515625" style="133" bestFit="1" customWidth="1"/>
    <col min="12040" max="12040" width="13.5703125" style="133" customWidth="1"/>
    <col min="12041" max="12041" width="8.28515625" style="133" bestFit="1" customWidth="1"/>
    <col min="12042" max="12042" width="7.28515625" style="133" bestFit="1" customWidth="1"/>
    <col min="12043" max="12043" width="13.28515625" style="133" customWidth="1"/>
    <col min="12044" max="12044" width="8.28515625" style="133" bestFit="1" customWidth="1"/>
    <col min="12045" max="12045" width="8.85546875" style="133" customWidth="1"/>
    <col min="12046" max="12046" width="22.140625" style="133" bestFit="1" customWidth="1"/>
    <col min="12047" max="12047" width="17.42578125" style="133" bestFit="1" customWidth="1"/>
    <col min="12048" max="12288" width="9.140625" style="133"/>
    <col min="12289" max="12289" width="34.5703125" style="133" customWidth="1"/>
    <col min="12290" max="12290" width="15" style="133" customWidth="1"/>
    <col min="12291" max="12291" width="11.42578125" style="133" customWidth="1"/>
    <col min="12292" max="12292" width="7.28515625" style="133" bestFit="1" customWidth="1"/>
    <col min="12293" max="12293" width="13.85546875" style="133" customWidth="1"/>
    <col min="12294" max="12294" width="10" style="133" customWidth="1"/>
    <col min="12295" max="12295" width="7.28515625" style="133" bestFit="1" customWidth="1"/>
    <col min="12296" max="12296" width="13.5703125" style="133" customWidth="1"/>
    <col min="12297" max="12297" width="8.28515625" style="133" bestFit="1" customWidth="1"/>
    <col min="12298" max="12298" width="7.28515625" style="133" bestFit="1" customWidth="1"/>
    <col min="12299" max="12299" width="13.28515625" style="133" customWidth="1"/>
    <col min="12300" max="12300" width="8.28515625" style="133" bestFit="1" customWidth="1"/>
    <col min="12301" max="12301" width="8.85546875" style="133" customWidth="1"/>
    <col min="12302" max="12302" width="22.140625" style="133" bestFit="1" customWidth="1"/>
    <col min="12303" max="12303" width="17.42578125" style="133" bestFit="1" customWidth="1"/>
    <col min="12304" max="12544" width="9.140625" style="133"/>
    <col min="12545" max="12545" width="34.5703125" style="133" customWidth="1"/>
    <col min="12546" max="12546" width="15" style="133" customWidth="1"/>
    <col min="12547" max="12547" width="11.42578125" style="133" customWidth="1"/>
    <col min="12548" max="12548" width="7.28515625" style="133" bestFit="1" customWidth="1"/>
    <col min="12549" max="12549" width="13.85546875" style="133" customWidth="1"/>
    <col min="12550" max="12550" width="10" style="133" customWidth="1"/>
    <col min="12551" max="12551" width="7.28515625" style="133" bestFit="1" customWidth="1"/>
    <col min="12552" max="12552" width="13.5703125" style="133" customWidth="1"/>
    <col min="12553" max="12553" width="8.28515625" style="133" bestFit="1" customWidth="1"/>
    <col min="12554" max="12554" width="7.28515625" style="133" bestFit="1" customWidth="1"/>
    <col min="12555" max="12555" width="13.28515625" style="133" customWidth="1"/>
    <col min="12556" max="12556" width="8.28515625" style="133" bestFit="1" customWidth="1"/>
    <col min="12557" max="12557" width="8.85546875" style="133" customWidth="1"/>
    <col min="12558" max="12558" width="22.140625" style="133" bestFit="1" customWidth="1"/>
    <col min="12559" max="12559" width="17.42578125" style="133" bestFit="1" customWidth="1"/>
    <col min="12560" max="12800" width="9.140625" style="133"/>
    <col min="12801" max="12801" width="34.5703125" style="133" customWidth="1"/>
    <col min="12802" max="12802" width="15" style="133" customWidth="1"/>
    <col min="12803" max="12803" width="11.42578125" style="133" customWidth="1"/>
    <col min="12804" max="12804" width="7.28515625" style="133" bestFit="1" customWidth="1"/>
    <col min="12805" max="12805" width="13.85546875" style="133" customWidth="1"/>
    <col min="12806" max="12806" width="10" style="133" customWidth="1"/>
    <col min="12807" max="12807" width="7.28515625" style="133" bestFit="1" customWidth="1"/>
    <col min="12808" max="12808" width="13.5703125" style="133" customWidth="1"/>
    <col min="12809" max="12809" width="8.28515625" style="133" bestFit="1" customWidth="1"/>
    <col min="12810" max="12810" width="7.28515625" style="133" bestFit="1" customWidth="1"/>
    <col min="12811" max="12811" width="13.28515625" style="133" customWidth="1"/>
    <col min="12812" max="12812" width="8.28515625" style="133" bestFit="1" customWidth="1"/>
    <col min="12813" max="12813" width="8.85546875" style="133" customWidth="1"/>
    <col min="12814" max="12814" width="22.140625" style="133" bestFit="1" customWidth="1"/>
    <col min="12815" max="12815" width="17.42578125" style="133" bestFit="1" customWidth="1"/>
    <col min="12816" max="13056" width="9.140625" style="133"/>
    <col min="13057" max="13057" width="34.5703125" style="133" customWidth="1"/>
    <col min="13058" max="13058" width="15" style="133" customWidth="1"/>
    <col min="13059" max="13059" width="11.42578125" style="133" customWidth="1"/>
    <col min="13060" max="13060" width="7.28515625" style="133" bestFit="1" customWidth="1"/>
    <col min="13061" max="13061" width="13.85546875" style="133" customWidth="1"/>
    <col min="13062" max="13062" width="10" style="133" customWidth="1"/>
    <col min="13063" max="13063" width="7.28515625" style="133" bestFit="1" customWidth="1"/>
    <col min="13064" max="13064" width="13.5703125" style="133" customWidth="1"/>
    <col min="13065" max="13065" width="8.28515625" style="133" bestFit="1" customWidth="1"/>
    <col min="13066" max="13066" width="7.28515625" style="133" bestFit="1" customWidth="1"/>
    <col min="13067" max="13067" width="13.28515625" style="133" customWidth="1"/>
    <col min="13068" max="13068" width="8.28515625" style="133" bestFit="1" customWidth="1"/>
    <col min="13069" max="13069" width="8.85546875" style="133" customWidth="1"/>
    <col min="13070" max="13070" width="22.140625" style="133" bestFit="1" customWidth="1"/>
    <col min="13071" max="13071" width="17.42578125" style="133" bestFit="1" customWidth="1"/>
    <col min="13072" max="13312" width="9.140625" style="133"/>
    <col min="13313" max="13313" width="34.5703125" style="133" customWidth="1"/>
    <col min="13314" max="13314" width="15" style="133" customWidth="1"/>
    <col min="13315" max="13315" width="11.42578125" style="133" customWidth="1"/>
    <col min="13316" max="13316" width="7.28515625" style="133" bestFit="1" customWidth="1"/>
    <col min="13317" max="13317" width="13.85546875" style="133" customWidth="1"/>
    <col min="13318" max="13318" width="10" style="133" customWidth="1"/>
    <col min="13319" max="13319" width="7.28515625" style="133" bestFit="1" customWidth="1"/>
    <col min="13320" max="13320" width="13.5703125" style="133" customWidth="1"/>
    <col min="13321" max="13321" width="8.28515625" style="133" bestFit="1" customWidth="1"/>
    <col min="13322" max="13322" width="7.28515625" style="133" bestFit="1" customWidth="1"/>
    <col min="13323" max="13323" width="13.28515625" style="133" customWidth="1"/>
    <col min="13324" max="13324" width="8.28515625" style="133" bestFit="1" customWidth="1"/>
    <col min="13325" max="13325" width="8.85546875" style="133" customWidth="1"/>
    <col min="13326" max="13326" width="22.140625" style="133" bestFit="1" customWidth="1"/>
    <col min="13327" max="13327" width="17.42578125" style="133" bestFit="1" customWidth="1"/>
    <col min="13328" max="13568" width="9.140625" style="133"/>
    <col min="13569" max="13569" width="34.5703125" style="133" customWidth="1"/>
    <col min="13570" max="13570" width="15" style="133" customWidth="1"/>
    <col min="13571" max="13571" width="11.42578125" style="133" customWidth="1"/>
    <col min="13572" max="13572" width="7.28515625" style="133" bestFit="1" customWidth="1"/>
    <col min="13573" max="13573" width="13.85546875" style="133" customWidth="1"/>
    <col min="13574" max="13574" width="10" style="133" customWidth="1"/>
    <col min="13575" max="13575" width="7.28515625" style="133" bestFit="1" customWidth="1"/>
    <col min="13576" max="13576" width="13.5703125" style="133" customWidth="1"/>
    <col min="13577" max="13577" width="8.28515625" style="133" bestFit="1" customWidth="1"/>
    <col min="13578" max="13578" width="7.28515625" style="133" bestFit="1" customWidth="1"/>
    <col min="13579" max="13579" width="13.28515625" style="133" customWidth="1"/>
    <col min="13580" max="13580" width="8.28515625" style="133" bestFit="1" customWidth="1"/>
    <col min="13581" max="13581" width="8.85546875" style="133" customWidth="1"/>
    <col min="13582" max="13582" width="22.140625" style="133" bestFit="1" customWidth="1"/>
    <col min="13583" max="13583" width="17.42578125" style="133" bestFit="1" customWidth="1"/>
    <col min="13584" max="13824" width="9.140625" style="133"/>
    <col min="13825" max="13825" width="34.5703125" style="133" customWidth="1"/>
    <col min="13826" max="13826" width="15" style="133" customWidth="1"/>
    <col min="13827" max="13827" width="11.42578125" style="133" customWidth="1"/>
    <col min="13828" max="13828" width="7.28515625" style="133" bestFit="1" customWidth="1"/>
    <col min="13829" max="13829" width="13.85546875" style="133" customWidth="1"/>
    <col min="13830" max="13830" width="10" style="133" customWidth="1"/>
    <col min="13831" max="13831" width="7.28515625" style="133" bestFit="1" customWidth="1"/>
    <col min="13832" max="13832" width="13.5703125" style="133" customWidth="1"/>
    <col min="13833" max="13833" width="8.28515625" style="133" bestFit="1" customWidth="1"/>
    <col min="13834" max="13834" width="7.28515625" style="133" bestFit="1" customWidth="1"/>
    <col min="13835" max="13835" width="13.28515625" style="133" customWidth="1"/>
    <col min="13836" max="13836" width="8.28515625" style="133" bestFit="1" customWidth="1"/>
    <col min="13837" max="13837" width="8.85546875" style="133" customWidth="1"/>
    <col min="13838" max="13838" width="22.140625" style="133" bestFit="1" customWidth="1"/>
    <col min="13839" max="13839" width="17.42578125" style="133" bestFit="1" customWidth="1"/>
    <col min="13840" max="14080" width="9.140625" style="133"/>
    <col min="14081" max="14081" width="34.5703125" style="133" customWidth="1"/>
    <col min="14082" max="14082" width="15" style="133" customWidth="1"/>
    <col min="14083" max="14083" width="11.42578125" style="133" customWidth="1"/>
    <col min="14084" max="14084" width="7.28515625" style="133" bestFit="1" customWidth="1"/>
    <col min="14085" max="14085" width="13.85546875" style="133" customWidth="1"/>
    <col min="14086" max="14086" width="10" style="133" customWidth="1"/>
    <col min="14087" max="14087" width="7.28515625" style="133" bestFit="1" customWidth="1"/>
    <col min="14088" max="14088" width="13.5703125" style="133" customWidth="1"/>
    <col min="14089" max="14089" width="8.28515625" style="133" bestFit="1" customWidth="1"/>
    <col min="14090" max="14090" width="7.28515625" style="133" bestFit="1" customWidth="1"/>
    <col min="14091" max="14091" width="13.28515625" style="133" customWidth="1"/>
    <col min="14092" max="14092" width="8.28515625" style="133" bestFit="1" customWidth="1"/>
    <col min="14093" max="14093" width="8.85546875" style="133" customWidth="1"/>
    <col min="14094" max="14094" width="22.140625" style="133" bestFit="1" customWidth="1"/>
    <col min="14095" max="14095" width="17.42578125" style="133" bestFit="1" customWidth="1"/>
    <col min="14096" max="14336" width="9.140625" style="133"/>
    <col min="14337" max="14337" width="34.5703125" style="133" customWidth="1"/>
    <col min="14338" max="14338" width="15" style="133" customWidth="1"/>
    <col min="14339" max="14339" width="11.42578125" style="133" customWidth="1"/>
    <col min="14340" max="14340" width="7.28515625" style="133" bestFit="1" customWidth="1"/>
    <col min="14341" max="14341" width="13.85546875" style="133" customWidth="1"/>
    <col min="14342" max="14342" width="10" style="133" customWidth="1"/>
    <col min="14343" max="14343" width="7.28515625" style="133" bestFit="1" customWidth="1"/>
    <col min="14344" max="14344" width="13.5703125" style="133" customWidth="1"/>
    <col min="14345" max="14345" width="8.28515625" style="133" bestFit="1" customWidth="1"/>
    <col min="14346" max="14346" width="7.28515625" style="133" bestFit="1" customWidth="1"/>
    <col min="14347" max="14347" width="13.28515625" style="133" customWidth="1"/>
    <col min="14348" max="14348" width="8.28515625" style="133" bestFit="1" customWidth="1"/>
    <col min="14349" max="14349" width="8.85546875" style="133" customWidth="1"/>
    <col min="14350" max="14350" width="22.140625" style="133" bestFit="1" customWidth="1"/>
    <col min="14351" max="14351" width="17.42578125" style="133" bestFit="1" customWidth="1"/>
    <col min="14352" max="14592" width="9.140625" style="133"/>
    <col min="14593" max="14593" width="34.5703125" style="133" customWidth="1"/>
    <col min="14594" max="14594" width="15" style="133" customWidth="1"/>
    <col min="14595" max="14595" width="11.42578125" style="133" customWidth="1"/>
    <col min="14596" max="14596" width="7.28515625" style="133" bestFit="1" customWidth="1"/>
    <col min="14597" max="14597" width="13.85546875" style="133" customWidth="1"/>
    <col min="14598" max="14598" width="10" style="133" customWidth="1"/>
    <col min="14599" max="14599" width="7.28515625" style="133" bestFit="1" customWidth="1"/>
    <col min="14600" max="14600" width="13.5703125" style="133" customWidth="1"/>
    <col min="14601" max="14601" width="8.28515625" style="133" bestFit="1" customWidth="1"/>
    <col min="14602" max="14602" width="7.28515625" style="133" bestFit="1" customWidth="1"/>
    <col min="14603" max="14603" width="13.28515625" style="133" customWidth="1"/>
    <col min="14604" max="14604" width="8.28515625" style="133" bestFit="1" customWidth="1"/>
    <col min="14605" max="14605" width="8.85546875" style="133" customWidth="1"/>
    <col min="14606" max="14606" width="22.140625" style="133" bestFit="1" customWidth="1"/>
    <col min="14607" max="14607" width="17.42578125" style="133" bestFit="1" customWidth="1"/>
    <col min="14608" max="14848" width="9.140625" style="133"/>
    <col min="14849" max="14849" width="34.5703125" style="133" customWidth="1"/>
    <col min="14850" max="14850" width="15" style="133" customWidth="1"/>
    <col min="14851" max="14851" width="11.42578125" style="133" customWidth="1"/>
    <col min="14852" max="14852" width="7.28515625" style="133" bestFit="1" customWidth="1"/>
    <col min="14853" max="14853" width="13.85546875" style="133" customWidth="1"/>
    <col min="14854" max="14854" width="10" style="133" customWidth="1"/>
    <col min="14855" max="14855" width="7.28515625" style="133" bestFit="1" customWidth="1"/>
    <col min="14856" max="14856" width="13.5703125" style="133" customWidth="1"/>
    <col min="14857" max="14857" width="8.28515625" style="133" bestFit="1" customWidth="1"/>
    <col min="14858" max="14858" width="7.28515625" style="133" bestFit="1" customWidth="1"/>
    <col min="14859" max="14859" width="13.28515625" style="133" customWidth="1"/>
    <col min="14860" max="14860" width="8.28515625" style="133" bestFit="1" customWidth="1"/>
    <col min="14861" max="14861" width="8.85546875" style="133" customWidth="1"/>
    <col min="14862" max="14862" width="22.140625" style="133" bestFit="1" customWidth="1"/>
    <col min="14863" max="14863" width="17.42578125" style="133" bestFit="1" customWidth="1"/>
    <col min="14864" max="15104" width="9.140625" style="133"/>
    <col min="15105" max="15105" width="34.5703125" style="133" customWidth="1"/>
    <col min="15106" max="15106" width="15" style="133" customWidth="1"/>
    <col min="15107" max="15107" width="11.42578125" style="133" customWidth="1"/>
    <col min="15108" max="15108" width="7.28515625" style="133" bestFit="1" customWidth="1"/>
    <col min="15109" max="15109" width="13.85546875" style="133" customWidth="1"/>
    <col min="15110" max="15110" width="10" style="133" customWidth="1"/>
    <col min="15111" max="15111" width="7.28515625" style="133" bestFit="1" customWidth="1"/>
    <col min="15112" max="15112" width="13.5703125" style="133" customWidth="1"/>
    <col min="15113" max="15113" width="8.28515625" style="133" bestFit="1" customWidth="1"/>
    <col min="15114" max="15114" width="7.28515625" style="133" bestFit="1" customWidth="1"/>
    <col min="15115" max="15115" width="13.28515625" style="133" customWidth="1"/>
    <col min="15116" max="15116" width="8.28515625" style="133" bestFit="1" customWidth="1"/>
    <col min="15117" max="15117" width="8.85546875" style="133" customWidth="1"/>
    <col min="15118" max="15118" width="22.140625" style="133" bestFit="1" customWidth="1"/>
    <col min="15119" max="15119" width="17.42578125" style="133" bestFit="1" customWidth="1"/>
    <col min="15120" max="15360" width="9.140625" style="133"/>
    <col min="15361" max="15361" width="34.5703125" style="133" customWidth="1"/>
    <col min="15362" max="15362" width="15" style="133" customWidth="1"/>
    <col min="15363" max="15363" width="11.42578125" style="133" customWidth="1"/>
    <col min="15364" max="15364" width="7.28515625" style="133" bestFit="1" customWidth="1"/>
    <col min="15365" max="15365" width="13.85546875" style="133" customWidth="1"/>
    <col min="15366" max="15366" width="10" style="133" customWidth="1"/>
    <col min="15367" max="15367" width="7.28515625" style="133" bestFit="1" customWidth="1"/>
    <col min="15368" max="15368" width="13.5703125" style="133" customWidth="1"/>
    <col min="15369" max="15369" width="8.28515625" style="133" bestFit="1" customWidth="1"/>
    <col min="15370" max="15370" width="7.28515625" style="133" bestFit="1" customWidth="1"/>
    <col min="15371" max="15371" width="13.28515625" style="133" customWidth="1"/>
    <col min="15372" max="15372" width="8.28515625" style="133" bestFit="1" customWidth="1"/>
    <col min="15373" max="15373" width="8.85546875" style="133" customWidth="1"/>
    <col min="15374" max="15374" width="22.140625" style="133" bestFit="1" customWidth="1"/>
    <col min="15375" max="15375" width="17.42578125" style="133" bestFit="1" customWidth="1"/>
    <col min="15376" max="15616" width="9.140625" style="133"/>
    <col min="15617" max="15617" width="34.5703125" style="133" customWidth="1"/>
    <col min="15618" max="15618" width="15" style="133" customWidth="1"/>
    <col min="15619" max="15619" width="11.42578125" style="133" customWidth="1"/>
    <col min="15620" max="15620" width="7.28515625" style="133" bestFit="1" customWidth="1"/>
    <col min="15621" max="15621" width="13.85546875" style="133" customWidth="1"/>
    <col min="15622" max="15622" width="10" style="133" customWidth="1"/>
    <col min="15623" max="15623" width="7.28515625" style="133" bestFit="1" customWidth="1"/>
    <col min="15624" max="15624" width="13.5703125" style="133" customWidth="1"/>
    <col min="15625" max="15625" width="8.28515625" style="133" bestFit="1" customWidth="1"/>
    <col min="15626" max="15626" width="7.28515625" style="133" bestFit="1" customWidth="1"/>
    <col min="15627" max="15627" width="13.28515625" style="133" customWidth="1"/>
    <col min="15628" max="15628" width="8.28515625" style="133" bestFit="1" customWidth="1"/>
    <col min="15629" max="15629" width="8.85546875" style="133" customWidth="1"/>
    <col min="15630" max="15630" width="22.140625" style="133" bestFit="1" customWidth="1"/>
    <col min="15631" max="15631" width="17.42578125" style="133" bestFit="1" customWidth="1"/>
    <col min="15632" max="15872" width="9.140625" style="133"/>
    <col min="15873" max="15873" width="34.5703125" style="133" customWidth="1"/>
    <col min="15874" max="15874" width="15" style="133" customWidth="1"/>
    <col min="15875" max="15875" width="11.42578125" style="133" customWidth="1"/>
    <col min="15876" max="15876" width="7.28515625" style="133" bestFit="1" customWidth="1"/>
    <col min="15877" max="15877" width="13.85546875" style="133" customWidth="1"/>
    <col min="15878" max="15878" width="10" style="133" customWidth="1"/>
    <col min="15879" max="15879" width="7.28515625" style="133" bestFit="1" customWidth="1"/>
    <col min="15880" max="15880" width="13.5703125" style="133" customWidth="1"/>
    <col min="15881" max="15881" width="8.28515625" style="133" bestFit="1" customWidth="1"/>
    <col min="15882" max="15882" width="7.28515625" style="133" bestFit="1" customWidth="1"/>
    <col min="15883" max="15883" width="13.28515625" style="133" customWidth="1"/>
    <col min="15884" max="15884" width="8.28515625" style="133" bestFit="1" customWidth="1"/>
    <col min="15885" max="15885" width="8.85546875" style="133" customWidth="1"/>
    <col min="15886" max="15886" width="22.140625" style="133" bestFit="1" customWidth="1"/>
    <col min="15887" max="15887" width="17.42578125" style="133" bestFit="1" customWidth="1"/>
    <col min="15888" max="16128" width="9.140625" style="133"/>
    <col min="16129" max="16129" width="34.5703125" style="133" customWidth="1"/>
    <col min="16130" max="16130" width="15" style="133" customWidth="1"/>
    <col min="16131" max="16131" width="11.42578125" style="133" customWidth="1"/>
    <col min="16132" max="16132" width="7.28515625" style="133" bestFit="1" customWidth="1"/>
    <col min="16133" max="16133" width="13.85546875" style="133" customWidth="1"/>
    <col min="16134" max="16134" width="10" style="133" customWidth="1"/>
    <col min="16135" max="16135" width="7.28515625" style="133" bestFit="1" customWidth="1"/>
    <col min="16136" max="16136" width="13.5703125" style="133" customWidth="1"/>
    <col min="16137" max="16137" width="8.28515625" style="133" bestFit="1" customWidth="1"/>
    <col min="16138" max="16138" width="7.28515625" style="133" bestFit="1" customWidth="1"/>
    <col min="16139" max="16139" width="13.28515625" style="133" customWidth="1"/>
    <col min="16140" max="16140" width="8.28515625" style="133" bestFit="1" customWidth="1"/>
    <col min="16141" max="16141" width="8.85546875" style="133" customWidth="1"/>
    <col min="16142" max="16142" width="22.140625" style="133" bestFit="1" customWidth="1"/>
    <col min="16143" max="16143" width="17.42578125" style="133" bestFit="1" customWidth="1"/>
    <col min="16144" max="16384" width="9.140625" style="133"/>
  </cols>
  <sheetData>
    <row r="1" spans="1:16" s="131" customFormat="1" ht="35.25" customHeight="1">
      <c r="A1" s="274" t="s">
        <v>452</v>
      </c>
      <c r="B1" s="274"/>
      <c r="C1" s="274"/>
      <c r="D1" s="274"/>
      <c r="E1" s="274"/>
      <c r="F1" s="274"/>
      <c r="G1" s="274"/>
      <c r="H1" s="274"/>
      <c r="I1" s="274"/>
      <c r="J1" s="274"/>
      <c r="K1" s="274"/>
      <c r="L1" s="274"/>
      <c r="M1" s="274"/>
      <c r="N1" s="130"/>
      <c r="O1" s="130"/>
      <c r="P1" s="130"/>
    </row>
    <row r="2" spans="1:16">
      <c r="A2" s="275" t="s">
        <v>370</v>
      </c>
      <c r="B2" s="277" t="s">
        <v>80</v>
      </c>
      <c r="C2" s="277"/>
      <c r="D2" s="277"/>
      <c r="E2" s="277" t="s">
        <v>82</v>
      </c>
      <c r="F2" s="277"/>
      <c r="G2" s="277"/>
      <c r="H2" s="277" t="s">
        <v>371</v>
      </c>
      <c r="I2" s="277"/>
      <c r="J2" s="277"/>
      <c r="K2" s="277" t="s">
        <v>95</v>
      </c>
      <c r="L2" s="277"/>
      <c r="M2" s="277"/>
      <c r="N2" s="132"/>
      <c r="O2" s="132"/>
      <c r="P2" s="132"/>
    </row>
    <row r="3" spans="1:16">
      <c r="A3" s="276"/>
      <c r="B3" s="134" t="s">
        <v>85</v>
      </c>
      <c r="C3" s="134" t="s">
        <v>86</v>
      </c>
      <c r="D3" s="134" t="s">
        <v>372</v>
      </c>
      <c r="E3" s="134" t="s">
        <v>85</v>
      </c>
      <c r="F3" s="134" t="s">
        <v>86</v>
      </c>
      <c r="G3" s="134" t="s">
        <v>372</v>
      </c>
      <c r="H3" s="134" t="s">
        <v>85</v>
      </c>
      <c r="I3" s="134" t="s">
        <v>86</v>
      </c>
      <c r="J3" s="134" t="s">
        <v>372</v>
      </c>
      <c r="K3" s="134" t="s">
        <v>85</v>
      </c>
      <c r="L3" s="134" t="s">
        <v>86</v>
      </c>
      <c r="M3" s="134" t="s">
        <v>372</v>
      </c>
    </row>
    <row r="4" spans="1:16" ht="15" customHeight="1">
      <c r="A4" s="134" t="s">
        <v>373</v>
      </c>
      <c r="B4" s="135">
        <f>'Sample BM plants'!M64</f>
        <v>92360.975214047357</v>
      </c>
      <c r="C4" s="136" t="s">
        <v>88</v>
      </c>
      <c r="D4" s="136"/>
      <c r="E4" s="135">
        <f>'Sample BM plants'!M92</f>
        <v>2158.5882387454549</v>
      </c>
      <c r="F4" s="136" t="s">
        <v>88</v>
      </c>
      <c r="G4" s="136"/>
      <c r="H4" s="135">
        <f>'Sample BM plants'!M79</f>
        <v>4343.9438037190084</v>
      </c>
      <c r="I4" s="136" t="s">
        <v>88</v>
      </c>
      <c r="J4" s="136"/>
      <c r="K4" s="135">
        <f>'Sample BM plants'!M100</f>
        <v>4454.80357</v>
      </c>
      <c r="L4" s="136" t="s">
        <v>88</v>
      </c>
      <c r="M4" s="136"/>
      <c r="N4" s="137"/>
      <c r="O4" s="137"/>
    </row>
    <row r="5" spans="1:16" ht="15" customHeight="1">
      <c r="A5" s="134" t="s">
        <v>374</v>
      </c>
      <c r="B5" s="135">
        <f>B39</f>
        <v>94252842.713144928</v>
      </c>
      <c r="C5" s="136" t="s">
        <v>375</v>
      </c>
      <c r="D5" s="136"/>
      <c r="E5" s="135">
        <f>C39</f>
        <v>2811984.4486620254</v>
      </c>
      <c r="F5" s="136" t="s">
        <v>375</v>
      </c>
      <c r="G5" s="136"/>
      <c r="H5" s="138">
        <f>'Sample BM plants'!N79</f>
        <v>1813857.725326539</v>
      </c>
      <c r="I5" s="136" t="s">
        <v>375</v>
      </c>
      <c r="J5" s="136"/>
      <c r="K5" s="135">
        <f>'Sample BM plants'!N100</f>
        <v>1667303.521923336</v>
      </c>
      <c r="L5" s="136" t="s">
        <v>375</v>
      </c>
      <c r="M5" s="136"/>
      <c r="N5" s="137"/>
    </row>
    <row r="6" spans="1:16" ht="15" customHeight="1">
      <c r="A6" s="134" t="s">
        <v>376</v>
      </c>
      <c r="B6" s="135">
        <f>'combined, most likely senario '!B24*1.036</f>
        <v>3755</v>
      </c>
      <c r="C6" s="136" t="s">
        <v>377</v>
      </c>
      <c r="D6" s="134" t="s">
        <v>397</v>
      </c>
      <c r="E6" s="135">
        <v>3500</v>
      </c>
      <c r="F6" s="136" t="s">
        <v>377</v>
      </c>
      <c r="G6" s="150" t="s">
        <v>398</v>
      </c>
      <c r="H6" s="135"/>
      <c r="I6" s="136"/>
      <c r="J6" s="136"/>
      <c r="K6" s="135"/>
      <c r="L6" s="136"/>
      <c r="M6" s="136"/>
      <c r="N6" s="139"/>
    </row>
    <row r="7" spans="1:16" ht="15" customHeight="1">
      <c r="A7" s="134" t="s">
        <v>376</v>
      </c>
      <c r="B7" s="134">
        <f>B6*4.186/1000</f>
        <v>15.71843</v>
      </c>
      <c r="C7" s="136" t="s">
        <v>378</v>
      </c>
      <c r="D7" s="136"/>
      <c r="E7" s="134">
        <f>E6*4.186/1000</f>
        <v>14.651</v>
      </c>
      <c r="F7" s="136" t="s">
        <v>378</v>
      </c>
      <c r="G7" s="136"/>
      <c r="H7" s="134"/>
      <c r="I7" s="136"/>
      <c r="J7" s="136"/>
      <c r="K7" s="134"/>
      <c r="L7" s="136"/>
      <c r="M7" s="136"/>
    </row>
    <row r="8" spans="1:16" ht="15" customHeight="1">
      <c r="A8" s="136" t="s">
        <v>379</v>
      </c>
      <c r="B8" s="140">
        <v>92.5</v>
      </c>
      <c r="C8" s="136" t="s">
        <v>380</v>
      </c>
      <c r="D8" s="134" t="s">
        <v>397</v>
      </c>
      <c r="E8" s="134">
        <v>102.5</v>
      </c>
      <c r="F8" s="136" t="s">
        <v>380</v>
      </c>
      <c r="G8" s="134" t="s">
        <v>397</v>
      </c>
      <c r="H8" s="134">
        <v>49.4</v>
      </c>
      <c r="I8" s="136" t="s">
        <v>380</v>
      </c>
      <c r="J8" s="134" t="s">
        <v>397</v>
      </c>
      <c r="K8" s="134">
        <v>66</v>
      </c>
      <c r="L8" s="136" t="s">
        <v>380</v>
      </c>
      <c r="M8" s="134" t="s">
        <v>397</v>
      </c>
    </row>
    <row r="9" spans="1:16" ht="15" customHeight="1">
      <c r="A9" s="134" t="s">
        <v>381</v>
      </c>
      <c r="B9" s="134">
        <v>0.98</v>
      </c>
      <c r="C9" s="136" t="s">
        <v>382</v>
      </c>
      <c r="D9" s="134" t="s">
        <v>397</v>
      </c>
      <c r="E9" s="134">
        <v>0.98</v>
      </c>
      <c r="F9" s="136" t="s">
        <v>382</v>
      </c>
      <c r="G9" s="134" t="s">
        <v>397</v>
      </c>
      <c r="H9" s="141">
        <v>1</v>
      </c>
      <c r="I9" s="136" t="s">
        <v>382</v>
      </c>
      <c r="J9" s="134" t="s">
        <v>397</v>
      </c>
      <c r="K9" s="141">
        <v>1</v>
      </c>
      <c r="L9" s="136" t="s">
        <v>382</v>
      </c>
      <c r="M9" s="134" t="s">
        <v>397</v>
      </c>
    </row>
    <row r="10" spans="1:16" ht="15" customHeight="1">
      <c r="A10" s="136" t="s">
        <v>383</v>
      </c>
      <c r="B10" s="134">
        <f>B5/B9/B8</f>
        <v>1039744.5417886919</v>
      </c>
      <c r="C10" s="136" t="s">
        <v>116</v>
      </c>
      <c r="D10" s="136"/>
      <c r="E10" s="134">
        <f>E5/E9/E8</f>
        <v>27993.872062339724</v>
      </c>
      <c r="F10" s="136" t="s">
        <v>116</v>
      </c>
      <c r="G10" s="136"/>
      <c r="H10" s="134">
        <f>H5/H9/H8</f>
        <v>36717.767719160707</v>
      </c>
      <c r="I10" s="136" t="s">
        <v>116</v>
      </c>
      <c r="J10" s="136"/>
      <c r="K10" s="134">
        <f>K5/K9/K8</f>
        <v>25262.174574596</v>
      </c>
      <c r="L10" s="136" t="s">
        <v>116</v>
      </c>
      <c r="M10" s="136"/>
    </row>
    <row r="11" spans="1:16" ht="15" customHeight="1">
      <c r="A11" s="136" t="s">
        <v>384</v>
      </c>
      <c r="B11" s="134">
        <f>B10/B7</f>
        <v>66148.116687779373</v>
      </c>
      <c r="C11" s="136" t="s">
        <v>385</v>
      </c>
      <c r="D11" s="136"/>
      <c r="E11" s="134">
        <f>E10/E7</f>
        <v>1910.7140852050866</v>
      </c>
      <c r="F11" s="136" t="s">
        <v>385</v>
      </c>
      <c r="G11" s="136"/>
      <c r="H11" s="134"/>
      <c r="I11" s="136"/>
      <c r="J11" s="136"/>
      <c r="K11" s="134"/>
      <c r="L11" s="136"/>
      <c r="M11" s="136"/>
    </row>
    <row r="12" spans="1:16" ht="15" customHeight="1">
      <c r="A12" s="136" t="s">
        <v>386</v>
      </c>
      <c r="B12" s="134">
        <v>0.8</v>
      </c>
      <c r="C12" s="136" t="s">
        <v>387</v>
      </c>
      <c r="D12" s="150" t="s">
        <v>399</v>
      </c>
      <c r="E12" s="134">
        <v>0.8</v>
      </c>
      <c r="F12" s="136" t="s">
        <v>387</v>
      </c>
      <c r="G12" s="150" t="s">
        <v>399</v>
      </c>
      <c r="H12" s="134">
        <v>160</v>
      </c>
      <c r="I12" s="136" t="s">
        <v>388</v>
      </c>
      <c r="J12" s="150" t="s">
        <v>399</v>
      </c>
      <c r="K12" s="134">
        <v>4.0999999999999996</v>
      </c>
      <c r="L12" s="136" t="s">
        <v>388</v>
      </c>
      <c r="M12" s="150" t="s">
        <v>399</v>
      </c>
    </row>
    <row r="13" spans="1:16" ht="15" customHeight="1">
      <c r="A13" s="136" t="s">
        <v>389</v>
      </c>
      <c r="B13" s="141">
        <f>B11*B12</f>
        <v>52918.4933502235</v>
      </c>
      <c r="C13" s="136" t="s">
        <v>390</v>
      </c>
      <c r="D13" s="136"/>
      <c r="E13" s="141">
        <f>E11*E12</f>
        <v>1528.5712681640694</v>
      </c>
      <c r="F13" s="136" t="s">
        <v>390</v>
      </c>
      <c r="G13" s="136"/>
      <c r="H13" s="134">
        <f>H10/1000*H12</f>
        <v>5874.8428350657123</v>
      </c>
      <c r="I13" s="136" t="s">
        <v>390</v>
      </c>
      <c r="J13" s="136"/>
      <c r="K13" s="134">
        <f>K10/1000*K12</f>
        <v>103.57491575584359</v>
      </c>
      <c r="L13" s="136" t="s">
        <v>390</v>
      </c>
      <c r="M13" s="136"/>
    </row>
    <row r="14" spans="1:16" ht="15" customHeight="1">
      <c r="A14" s="134" t="s">
        <v>391</v>
      </c>
      <c r="B14" s="142">
        <f>B13+E13+H13+K13</f>
        <v>60425.48236920913</v>
      </c>
      <c r="C14" s="136" t="s">
        <v>390</v>
      </c>
      <c r="G14" s="143"/>
    </row>
    <row r="15" spans="1:16" ht="15" customHeight="1">
      <c r="A15" s="134" t="s">
        <v>392</v>
      </c>
      <c r="B15" s="144">
        <f>'Sample BM plants'!M151*1000</f>
        <v>117779227.28165454</v>
      </c>
      <c r="C15" s="134" t="s">
        <v>113</v>
      </c>
      <c r="G15" s="143"/>
    </row>
    <row r="16" spans="1:16" ht="63.75" customHeight="1">
      <c r="A16" s="145" t="s">
        <v>393</v>
      </c>
      <c r="B16" s="146">
        <f>B14/B15</f>
        <v>5.1304023437604167E-4</v>
      </c>
      <c r="C16" s="147" t="s">
        <v>394</v>
      </c>
      <c r="F16" s="137"/>
      <c r="G16" s="143"/>
    </row>
    <row r="17" spans="1:13">
      <c r="G17" s="143"/>
    </row>
    <row r="18" spans="1:13" ht="27" customHeight="1">
      <c r="A18" s="266" t="s">
        <v>451</v>
      </c>
      <c r="B18" s="267"/>
      <c r="C18" s="267"/>
      <c r="D18" s="267"/>
      <c r="E18" s="267"/>
      <c r="F18" s="267"/>
      <c r="G18" s="267"/>
      <c r="H18" s="267"/>
      <c r="I18" s="267"/>
      <c r="J18" s="267"/>
      <c r="K18" s="267"/>
      <c r="L18" s="267"/>
      <c r="M18" s="267"/>
    </row>
    <row r="19" spans="1:13">
      <c r="A19" s="148" t="s">
        <v>395</v>
      </c>
      <c r="G19" s="143"/>
    </row>
    <row r="20" spans="1:13">
      <c r="A20" s="150" t="s">
        <v>397</v>
      </c>
      <c r="B20" s="246" t="s">
        <v>450</v>
      </c>
      <c r="C20" s="247"/>
      <c r="D20" s="247"/>
      <c r="E20" s="247"/>
      <c r="F20" s="247"/>
      <c r="G20" s="247"/>
      <c r="H20" s="247"/>
      <c r="I20" s="247"/>
      <c r="J20" s="247"/>
      <c r="K20" s="247"/>
      <c r="L20" s="247"/>
      <c r="M20" s="268"/>
    </row>
    <row r="21" spans="1:13">
      <c r="A21" s="150" t="s">
        <v>398</v>
      </c>
      <c r="B21" s="269" t="s">
        <v>454</v>
      </c>
      <c r="C21" s="264"/>
      <c r="D21" s="264"/>
      <c r="E21" s="264"/>
      <c r="F21" s="264"/>
      <c r="G21" s="264"/>
      <c r="H21" s="264"/>
      <c r="I21" s="264"/>
      <c r="J21" s="264"/>
      <c r="K21" s="264"/>
      <c r="L21" s="264"/>
      <c r="M21" s="270"/>
    </row>
    <row r="22" spans="1:13">
      <c r="A22" s="150" t="s">
        <v>399</v>
      </c>
      <c r="B22" s="271" t="s">
        <v>396</v>
      </c>
      <c r="C22" s="272"/>
      <c r="D22" s="272"/>
      <c r="E22" s="272"/>
      <c r="F22" s="272"/>
      <c r="G22" s="272"/>
      <c r="H22" s="272"/>
      <c r="I22" s="272"/>
      <c r="J22" s="272"/>
      <c r="K22" s="272"/>
      <c r="L22" s="272"/>
      <c r="M22" s="273"/>
    </row>
    <row r="23" spans="1:13">
      <c r="A23" s="149"/>
    </row>
    <row r="24" spans="1:13">
      <c r="A24" s="261" t="s">
        <v>455</v>
      </c>
      <c r="B24" s="262"/>
      <c r="C24" s="262"/>
      <c r="D24" s="262"/>
      <c r="E24" s="262"/>
      <c r="F24" s="262"/>
      <c r="G24" s="262"/>
      <c r="H24" s="262"/>
      <c r="I24" s="262"/>
      <c r="J24" s="262"/>
      <c r="K24" s="262"/>
      <c r="L24" s="262"/>
      <c r="M24" s="263"/>
    </row>
    <row r="25" spans="1:13">
      <c r="A25" s="202"/>
      <c r="B25" s="136" t="s">
        <v>456</v>
      </c>
      <c r="C25" s="136" t="s">
        <v>82</v>
      </c>
      <c r="D25" s="249" t="s">
        <v>372</v>
      </c>
      <c r="E25" s="250"/>
      <c r="F25" s="250"/>
      <c r="G25" s="250"/>
      <c r="H25" s="250"/>
      <c r="I25" s="250"/>
      <c r="J25" s="250"/>
      <c r="K25" s="250"/>
      <c r="L25" s="250"/>
      <c r="M25" s="251"/>
    </row>
    <row r="26" spans="1:13">
      <c r="A26" s="202" t="s">
        <v>472</v>
      </c>
      <c r="B26" s="203">
        <f>B4</f>
        <v>92360.975214047357</v>
      </c>
      <c r="C26" s="203">
        <f>E4</f>
        <v>2158.5882387454549</v>
      </c>
      <c r="D26" s="246" t="s">
        <v>457</v>
      </c>
      <c r="E26" s="247"/>
      <c r="F26" s="247"/>
      <c r="G26" s="247"/>
      <c r="H26" s="247"/>
      <c r="I26" s="247"/>
      <c r="J26" s="247"/>
      <c r="K26" s="247"/>
      <c r="L26" s="247"/>
      <c r="M26" s="248"/>
    </row>
    <row r="27" spans="1:13">
      <c r="A27" s="202" t="s">
        <v>470</v>
      </c>
      <c r="B27" s="204">
        <v>0.08</v>
      </c>
      <c r="C27" s="204">
        <v>0.1</v>
      </c>
      <c r="D27" s="246" t="s">
        <v>458</v>
      </c>
      <c r="E27" s="264"/>
      <c r="F27" s="264"/>
      <c r="G27" s="264"/>
      <c r="H27" s="264"/>
      <c r="I27" s="264"/>
      <c r="J27" s="264"/>
      <c r="K27" s="264"/>
      <c r="L27" s="264"/>
      <c r="M27" s="265"/>
    </row>
    <row r="28" spans="1:13">
      <c r="A28" s="202" t="s">
        <v>471</v>
      </c>
      <c r="B28" s="205">
        <f>B26/(1-B27)</f>
        <v>100392.36436309495</v>
      </c>
      <c r="C28" s="205">
        <f>C26/(1-C27)</f>
        <v>2398.4313763838386</v>
      </c>
      <c r="D28" s="249"/>
      <c r="E28" s="250"/>
      <c r="F28" s="250"/>
      <c r="G28" s="250"/>
      <c r="H28" s="250"/>
      <c r="I28" s="250"/>
      <c r="J28" s="250"/>
      <c r="K28" s="250"/>
      <c r="L28" s="250"/>
      <c r="M28" s="251"/>
    </row>
    <row r="29" spans="1:13" ht="27" customHeight="1">
      <c r="A29" s="206" t="s">
        <v>460</v>
      </c>
      <c r="B29" s="205">
        <v>2</v>
      </c>
      <c r="C29" s="205">
        <v>3</v>
      </c>
      <c r="D29" s="246" t="s">
        <v>458</v>
      </c>
      <c r="E29" s="247"/>
      <c r="F29" s="247"/>
      <c r="G29" s="247"/>
      <c r="H29" s="247"/>
      <c r="I29" s="247"/>
      <c r="J29" s="247"/>
      <c r="K29" s="247"/>
      <c r="L29" s="247"/>
      <c r="M29" s="248"/>
    </row>
    <row r="30" spans="1:13" ht="30.75" customHeight="1">
      <c r="A30" s="206" t="s">
        <v>473</v>
      </c>
      <c r="B30" s="203">
        <f>B28*B29*10^6</f>
        <v>200784728726.18991</v>
      </c>
      <c r="C30" s="203">
        <f>C28*C29*10^6</f>
        <v>7195294129.151516</v>
      </c>
      <c r="D30" s="255"/>
      <c r="E30" s="256"/>
      <c r="F30" s="256"/>
      <c r="G30" s="256"/>
      <c r="H30" s="256"/>
      <c r="I30" s="256"/>
      <c r="J30" s="256"/>
      <c r="K30" s="256"/>
      <c r="L30" s="256"/>
      <c r="M30" s="257"/>
    </row>
    <row r="31" spans="1:13" ht="30">
      <c r="A31" s="206" t="s">
        <v>461</v>
      </c>
      <c r="B31" s="203">
        <f>B30/1000</f>
        <v>200784728.72618991</v>
      </c>
      <c r="C31" s="203">
        <f>C30/1000</f>
        <v>7195294.1291515157</v>
      </c>
      <c r="D31" s="258"/>
      <c r="E31" s="259"/>
      <c r="F31" s="259"/>
      <c r="G31" s="259"/>
      <c r="H31" s="259"/>
      <c r="I31" s="259"/>
      <c r="J31" s="259"/>
      <c r="K31" s="259"/>
      <c r="L31" s="259"/>
      <c r="M31" s="260"/>
    </row>
    <row r="32" spans="1:13">
      <c r="A32" s="202" t="s">
        <v>462</v>
      </c>
      <c r="B32" s="205">
        <v>0.95</v>
      </c>
      <c r="C32" s="205">
        <v>0.95</v>
      </c>
      <c r="D32" s="246" t="s">
        <v>458</v>
      </c>
      <c r="E32" s="247"/>
      <c r="F32" s="247"/>
      <c r="G32" s="247"/>
      <c r="H32" s="247"/>
      <c r="I32" s="247"/>
      <c r="J32" s="247"/>
      <c r="K32" s="247"/>
      <c r="L32" s="247"/>
      <c r="M32" s="248"/>
    </row>
    <row r="33" spans="1:13" ht="30">
      <c r="A33" s="206" t="s">
        <v>463</v>
      </c>
      <c r="B33" s="203">
        <f>B31*B32</f>
        <v>190745492.28988039</v>
      </c>
      <c r="C33" s="203">
        <f>C31*C32</f>
        <v>6835529.4226939399</v>
      </c>
      <c r="D33" s="249"/>
      <c r="E33" s="250"/>
      <c r="F33" s="250"/>
      <c r="G33" s="250"/>
      <c r="H33" s="250"/>
      <c r="I33" s="250"/>
      <c r="J33" s="250"/>
      <c r="K33" s="250"/>
      <c r="L33" s="250"/>
      <c r="M33" s="251"/>
    </row>
    <row r="34" spans="1:13">
      <c r="A34" s="202" t="s">
        <v>464</v>
      </c>
      <c r="B34" s="203">
        <v>10100</v>
      </c>
      <c r="C34" s="203">
        <v>10100</v>
      </c>
      <c r="D34" s="246" t="s">
        <v>458</v>
      </c>
      <c r="E34" s="247"/>
      <c r="F34" s="247"/>
      <c r="G34" s="247"/>
      <c r="H34" s="247"/>
      <c r="I34" s="247"/>
      <c r="J34" s="247"/>
      <c r="K34" s="247"/>
      <c r="L34" s="247"/>
      <c r="M34" s="248"/>
    </row>
    <row r="35" spans="1:13">
      <c r="A35" s="202" t="s">
        <v>465</v>
      </c>
      <c r="B35" s="205">
        <v>71.900000000000006</v>
      </c>
      <c r="C35" s="205">
        <v>71.900000000000006</v>
      </c>
      <c r="D35" s="246" t="s">
        <v>458</v>
      </c>
      <c r="E35" s="247"/>
      <c r="F35" s="247"/>
      <c r="G35" s="247"/>
      <c r="H35" s="247"/>
      <c r="I35" s="247"/>
      <c r="J35" s="247"/>
      <c r="K35" s="247"/>
      <c r="L35" s="247"/>
      <c r="M35" s="248"/>
    </row>
    <row r="36" spans="1:13">
      <c r="A36" s="202" t="s">
        <v>466</v>
      </c>
      <c r="B36" s="205">
        <v>1</v>
      </c>
      <c r="C36" s="205">
        <v>1</v>
      </c>
      <c r="D36" s="246" t="s">
        <v>458</v>
      </c>
      <c r="E36" s="247"/>
      <c r="F36" s="247"/>
      <c r="G36" s="247"/>
      <c r="H36" s="247"/>
      <c r="I36" s="247"/>
      <c r="J36" s="247"/>
      <c r="K36" s="247"/>
      <c r="L36" s="247"/>
      <c r="M36" s="248"/>
    </row>
    <row r="37" spans="1:13" ht="30">
      <c r="A37" s="206" t="s">
        <v>467</v>
      </c>
      <c r="B37" s="203">
        <f>B33*B34*B36*B35*4.186/10^9</f>
        <v>579834.12542650674</v>
      </c>
      <c r="C37" s="203">
        <f>C33*C34*C36*C35*4.186/10^9</f>
        <v>20778.856564597143</v>
      </c>
      <c r="D37" s="249"/>
      <c r="E37" s="250"/>
      <c r="F37" s="250"/>
      <c r="G37" s="250"/>
      <c r="H37" s="250"/>
      <c r="I37" s="250"/>
      <c r="J37" s="250"/>
      <c r="K37" s="250"/>
      <c r="L37" s="250"/>
      <c r="M37" s="251"/>
    </row>
    <row r="38" spans="1:13" ht="30">
      <c r="A38" s="207" t="s">
        <v>468</v>
      </c>
      <c r="B38" s="208">
        <f>'Sample BM plants'!N64</f>
        <v>94832676.838571429</v>
      </c>
      <c r="C38" s="208">
        <f>'Sample BM plants'!N92</f>
        <v>2832763.3052266226</v>
      </c>
      <c r="D38" s="246" t="s">
        <v>457</v>
      </c>
      <c r="E38" s="247"/>
      <c r="F38" s="247"/>
      <c r="G38" s="247"/>
      <c r="H38" s="247"/>
      <c r="I38" s="247"/>
      <c r="J38" s="247"/>
      <c r="K38" s="247"/>
      <c r="L38" s="247"/>
      <c r="M38" s="248"/>
    </row>
    <row r="39" spans="1:13" ht="45.75" thickBot="1">
      <c r="A39" s="301" t="s">
        <v>469</v>
      </c>
      <c r="B39" s="209">
        <f>B38-B37</f>
        <v>94252842.713144928</v>
      </c>
      <c r="C39" s="209">
        <f>C38-C37</f>
        <v>2811984.4486620254</v>
      </c>
      <c r="D39" s="252" t="s">
        <v>459</v>
      </c>
      <c r="E39" s="253"/>
      <c r="F39" s="253"/>
      <c r="G39" s="253"/>
      <c r="H39" s="253"/>
      <c r="I39" s="253"/>
      <c r="J39" s="253"/>
      <c r="K39" s="253"/>
      <c r="L39" s="253"/>
      <c r="M39" s="254"/>
    </row>
    <row r="40" spans="1:13" ht="53.25" customHeight="1">
      <c r="A40" s="245" t="s">
        <v>474</v>
      </c>
      <c r="B40" s="245"/>
      <c r="C40" s="245"/>
      <c r="D40" s="245"/>
      <c r="E40" s="245"/>
      <c r="F40" s="245"/>
      <c r="G40" s="245"/>
      <c r="H40" s="245"/>
      <c r="I40" s="245"/>
      <c r="J40" s="245"/>
      <c r="K40" s="245"/>
      <c r="L40" s="245"/>
      <c r="M40" s="245"/>
    </row>
    <row r="41" spans="1:13">
      <c r="A41" s="133" t="s">
        <v>475</v>
      </c>
    </row>
  </sheetData>
  <mergeCells count="26">
    <mergeCell ref="A18:M18"/>
    <mergeCell ref="B20:M20"/>
    <mergeCell ref="B21:M21"/>
    <mergeCell ref="B22:M22"/>
    <mergeCell ref="A1:M1"/>
    <mergeCell ref="A2:A3"/>
    <mergeCell ref="B2:D2"/>
    <mergeCell ref="E2:G2"/>
    <mergeCell ref="H2:J2"/>
    <mergeCell ref="K2:M2"/>
    <mergeCell ref="A24:M24"/>
    <mergeCell ref="D25:M25"/>
    <mergeCell ref="D26:M26"/>
    <mergeCell ref="D27:M27"/>
    <mergeCell ref="D28:M28"/>
    <mergeCell ref="D29:M29"/>
    <mergeCell ref="D30:M31"/>
    <mergeCell ref="D32:M32"/>
    <mergeCell ref="D33:M33"/>
    <mergeCell ref="D34:M34"/>
    <mergeCell ref="A40:M40"/>
    <mergeCell ref="D35:M35"/>
    <mergeCell ref="D36:M36"/>
    <mergeCell ref="D37:M37"/>
    <mergeCell ref="D38:M38"/>
    <mergeCell ref="D39:M39"/>
  </mergeCells>
  <pageMargins left="0.75" right="0.75" top="1" bottom="1" header="0.5" footer="0.5"/>
  <pageSetup scale="56" orientation="landscape" r:id="rId1"/>
  <headerFooter alignWithMargins="0"/>
</worksheet>
</file>

<file path=xl/worksheets/sheet5.xml><?xml version="1.0" encoding="utf-8"?>
<worksheet xmlns="http://schemas.openxmlformats.org/spreadsheetml/2006/main" xmlns:r="http://schemas.openxmlformats.org/officeDocument/2006/relationships">
  <dimension ref="A1:Q151"/>
  <sheetViews>
    <sheetView topLeftCell="F64" workbookViewId="0">
      <selection activeCell="N154" sqref="N154"/>
    </sheetView>
  </sheetViews>
  <sheetFormatPr defaultRowHeight="12.75"/>
  <cols>
    <col min="2" max="2" width="23.85546875" bestFit="1" customWidth="1"/>
    <col min="5" max="5" width="9" bestFit="1" customWidth="1"/>
    <col min="7" max="7" width="15" bestFit="1" customWidth="1"/>
    <col min="9" max="9" width="21.85546875" bestFit="1" customWidth="1"/>
    <col min="13" max="13" width="11.28515625" bestFit="1" customWidth="1"/>
    <col min="14" max="14" width="15" bestFit="1" customWidth="1"/>
  </cols>
  <sheetData>
    <row r="1" spans="1:17" ht="78.75">
      <c r="A1" s="161" t="s">
        <v>407</v>
      </c>
      <c r="B1" s="162" t="s">
        <v>173</v>
      </c>
      <c r="C1" s="163" t="s">
        <v>172</v>
      </c>
      <c r="D1" s="164" t="s">
        <v>171</v>
      </c>
      <c r="E1" s="162" t="s">
        <v>408</v>
      </c>
      <c r="F1" s="162" t="s">
        <v>170</v>
      </c>
      <c r="G1" s="162" t="s">
        <v>148</v>
      </c>
      <c r="H1" s="162" t="s">
        <v>169</v>
      </c>
      <c r="I1" s="162" t="s">
        <v>168</v>
      </c>
      <c r="J1" s="162" t="s">
        <v>167</v>
      </c>
      <c r="K1" s="162" t="s">
        <v>166</v>
      </c>
      <c r="L1" s="162" t="s">
        <v>165</v>
      </c>
      <c r="M1" s="165" t="s">
        <v>409</v>
      </c>
      <c r="N1" s="165" t="s">
        <v>410</v>
      </c>
      <c r="O1" s="166" t="s">
        <v>411</v>
      </c>
      <c r="P1" s="167" t="s">
        <v>412</v>
      </c>
      <c r="Q1" s="168" t="s">
        <v>413</v>
      </c>
    </row>
    <row r="2" spans="1:17">
      <c r="A2" s="151">
        <v>3</v>
      </c>
      <c r="B2" s="152" t="s">
        <v>222</v>
      </c>
      <c r="C2" s="153">
        <v>5</v>
      </c>
      <c r="D2" s="154">
        <v>39172</v>
      </c>
      <c r="E2" s="152">
        <v>500</v>
      </c>
      <c r="F2" s="151" t="s">
        <v>196</v>
      </c>
      <c r="G2" s="152" t="s">
        <v>223</v>
      </c>
      <c r="H2" s="152" t="s">
        <v>152</v>
      </c>
      <c r="I2" s="152" t="s">
        <v>159</v>
      </c>
      <c r="J2" s="152" t="s">
        <v>156</v>
      </c>
      <c r="K2" s="152" t="s">
        <v>158</v>
      </c>
      <c r="L2" s="152" t="s">
        <v>157</v>
      </c>
      <c r="M2" s="156">
        <v>2453.2294999999999</v>
      </c>
      <c r="N2" s="157">
        <v>2406390.8239605315</v>
      </c>
      <c r="O2" s="158">
        <v>0.9809073402877847</v>
      </c>
      <c r="P2" s="152"/>
      <c r="Q2" s="152">
        <v>1</v>
      </c>
    </row>
    <row r="3" spans="1:17">
      <c r="A3" s="151">
        <v>3</v>
      </c>
      <c r="B3" s="152" t="s">
        <v>222</v>
      </c>
      <c r="C3" s="153">
        <v>6</v>
      </c>
      <c r="D3" s="154">
        <v>39523</v>
      </c>
      <c r="E3" s="152">
        <v>500</v>
      </c>
      <c r="F3" s="151" t="s">
        <v>196</v>
      </c>
      <c r="G3" s="152" t="s">
        <v>223</v>
      </c>
      <c r="H3" s="152" t="s">
        <v>152</v>
      </c>
      <c r="I3" s="152" t="s">
        <v>159</v>
      </c>
      <c r="J3" s="152" t="s">
        <v>156</v>
      </c>
      <c r="K3" s="152" t="s">
        <v>158</v>
      </c>
      <c r="L3" s="152" t="s">
        <v>157</v>
      </c>
      <c r="M3" s="156">
        <v>2867.944</v>
      </c>
      <c r="N3" s="157">
        <v>2813187.3211343102</v>
      </c>
      <c r="O3" s="158">
        <v>0.9809073402877847</v>
      </c>
      <c r="P3" s="152"/>
      <c r="Q3" s="152">
        <v>1</v>
      </c>
    </row>
    <row r="4" spans="1:17">
      <c r="A4" s="151">
        <v>3</v>
      </c>
      <c r="B4" s="152" t="s">
        <v>222</v>
      </c>
      <c r="C4" s="153">
        <v>7</v>
      </c>
      <c r="D4" s="154">
        <v>40025</v>
      </c>
      <c r="E4" s="152">
        <v>500</v>
      </c>
      <c r="F4" s="151" t="s">
        <v>196</v>
      </c>
      <c r="G4" s="152" t="s">
        <v>223</v>
      </c>
      <c r="H4" s="152" t="s">
        <v>152</v>
      </c>
      <c r="I4" s="152" t="s">
        <v>159</v>
      </c>
      <c r="J4" s="152" t="s">
        <v>156</v>
      </c>
      <c r="K4" s="152" t="s">
        <v>158</v>
      </c>
      <c r="L4" s="152" t="s">
        <v>157</v>
      </c>
      <c r="M4" s="156">
        <v>2602.4320000000002</v>
      </c>
      <c r="N4" s="157">
        <v>2552744.6513998201</v>
      </c>
      <c r="O4" s="158">
        <v>0.9809073402877847</v>
      </c>
      <c r="P4" s="152"/>
      <c r="Q4" s="152">
        <v>1</v>
      </c>
    </row>
    <row r="5" spans="1:17">
      <c r="A5" s="151">
        <v>6</v>
      </c>
      <c r="B5" s="152" t="s">
        <v>414</v>
      </c>
      <c r="C5" s="153">
        <v>7</v>
      </c>
      <c r="D5" s="154">
        <v>40121</v>
      </c>
      <c r="E5" s="152">
        <v>250</v>
      </c>
      <c r="F5" s="151" t="s">
        <v>196</v>
      </c>
      <c r="G5" s="152" t="s">
        <v>313</v>
      </c>
      <c r="H5" s="152" t="s">
        <v>152</v>
      </c>
      <c r="I5" s="152" t="s">
        <v>244</v>
      </c>
      <c r="J5" s="152" t="s">
        <v>156</v>
      </c>
      <c r="K5" s="152" t="s">
        <v>158</v>
      </c>
      <c r="L5" s="152" t="s">
        <v>157</v>
      </c>
      <c r="M5" s="156">
        <v>20.064</v>
      </c>
      <c r="N5" s="157">
        <v>25351.085976173927</v>
      </c>
      <c r="O5" s="156">
        <v>1.2635110634057978</v>
      </c>
      <c r="P5" s="152"/>
      <c r="Q5" s="152">
        <v>1</v>
      </c>
    </row>
    <row r="6" spans="1:17">
      <c r="A6" s="151">
        <v>6</v>
      </c>
      <c r="B6" s="152" t="s">
        <v>414</v>
      </c>
      <c r="C6" s="153">
        <v>8</v>
      </c>
      <c r="D6" s="154">
        <v>39903</v>
      </c>
      <c r="E6" s="152">
        <v>250</v>
      </c>
      <c r="F6" s="151" t="s">
        <v>196</v>
      </c>
      <c r="G6" s="152" t="s">
        <v>313</v>
      </c>
      <c r="H6" s="152" t="s">
        <v>152</v>
      </c>
      <c r="I6" s="152" t="s">
        <v>244</v>
      </c>
      <c r="J6" s="152" t="s">
        <v>156</v>
      </c>
      <c r="K6" s="152" t="s">
        <v>158</v>
      </c>
      <c r="L6" s="152" t="s">
        <v>157</v>
      </c>
      <c r="M6" s="156">
        <v>174.179</v>
      </c>
      <c r="N6" s="157">
        <v>193129.14510561986</v>
      </c>
      <c r="O6" s="156">
        <v>1.1087969566114162</v>
      </c>
      <c r="P6" s="152"/>
      <c r="Q6" s="152">
        <v>1</v>
      </c>
    </row>
    <row r="7" spans="1:17">
      <c r="A7" s="151">
        <v>10</v>
      </c>
      <c r="B7" s="152" t="s">
        <v>243</v>
      </c>
      <c r="C7" s="153">
        <v>5</v>
      </c>
      <c r="D7" s="154">
        <v>39172</v>
      </c>
      <c r="E7" s="152">
        <v>250</v>
      </c>
      <c r="F7" s="151" t="s">
        <v>196</v>
      </c>
      <c r="G7" s="152" t="s">
        <v>205</v>
      </c>
      <c r="H7" s="152" t="s">
        <v>152</v>
      </c>
      <c r="I7" s="152" t="s">
        <v>244</v>
      </c>
      <c r="J7" s="152" t="s">
        <v>156</v>
      </c>
      <c r="K7" s="152" t="s">
        <v>158</v>
      </c>
      <c r="L7" s="152" t="s">
        <v>157</v>
      </c>
      <c r="M7" s="156">
        <v>1390.5989472013846</v>
      </c>
      <c r="N7" s="157">
        <v>1502034.5660633766</v>
      </c>
      <c r="O7" s="156">
        <v>1.0801349800287561</v>
      </c>
      <c r="P7" s="152"/>
      <c r="Q7" s="152">
        <v>1</v>
      </c>
    </row>
    <row r="8" spans="1:17">
      <c r="A8" s="151">
        <v>10</v>
      </c>
      <c r="B8" s="152" t="s">
        <v>243</v>
      </c>
      <c r="C8" s="153">
        <v>6</v>
      </c>
      <c r="D8" s="154">
        <v>39356</v>
      </c>
      <c r="E8" s="152">
        <v>250</v>
      </c>
      <c r="F8" s="151" t="s">
        <v>196</v>
      </c>
      <c r="G8" s="152" t="s">
        <v>205</v>
      </c>
      <c r="H8" s="152" t="s">
        <v>152</v>
      </c>
      <c r="I8" s="152" t="s">
        <v>244</v>
      </c>
      <c r="J8" s="152" t="s">
        <v>156</v>
      </c>
      <c r="K8" s="152" t="s">
        <v>158</v>
      </c>
      <c r="L8" s="152" t="s">
        <v>157</v>
      </c>
      <c r="M8" s="156">
        <v>1366.9033958748835</v>
      </c>
      <c r="N8" s="157">
        <v>1495537.9680424361</v>
      </c>
      <c r="O8" s="156">
        <v>1.0941065568757478</v>
      </c>
      <c r="P8" s="152"/>
      <c r="Q8" s="152">
        <v>1</v>
      </c>
    </row>
    <row r="9" spans="1:17">
      <c r="A9" s="151">
        <v>15</v>
      </c>
      <c r="B9" s="152" t="s">
        <v>239</v>
      </c>
      <c r="C9" s="153">
        <v>5</v>
      </c>
      <c r="D9" s="154">
        <v>39393</v>
      </c>
      <c r="E9" s="152">
        <v>250</v>
      </c>
      <c r="F9" s="151" t="s">
        <v>196</v>
      </c>
      <c r="G9" s="152" t="s">
        <v>205</v>
      </c>
      <c r="H9" s="152" t="s">
        <v>148</v>
      </c>
      <c r="I9" s="152" t="s">
        <v>206</v>
      </c>
      <c r="J9" s="152" t="s">
        <v>156</v>
      </c>
      <c r="K9" s="152" t="s">
        <v>158</v>
      </c>
      <c r="L9" s="152" t="s">
        <v>157</v>
      </c>
      <c r="M9" s="156">
        <v>1386.72</v>
      </c>
      <c r="N9" s="155">
        <v>1638618.0824445642</v>
      </c>
      <c r="O9" s="158">
        <v>1.1816502844442744</v>
      </c>
      <c r="P9" s="152"/>
      <c r="Q9" s="152">
        <v>1</v>
      </c>
    </row>
    <row r="10" spans="1:17">
      <c r="A10" s="151">
        <v>17</v>
      </c>
      <c r="B10" s="152" t="s">
        <v>230</v>
      </c>
      <c r="C10" s="153">
        <v>4</v>
      </c>
      <c r="D10" s="154">
        <v>39439</v>
      </c>
      <c r="E10" s="152">
        <v>210</v>
      </c>
      <c r="F10" s="151" t="s">
        <v>196</v>
      </c>
      <c r="G10" s="152" t="s">
        <v>205</v>
      </c>
      <c r="H10" s="152" t="s">
        <v>148</v>
      </c>
      <c r="I10" s="152" t="s">
        <v>206</v>
      </c>
      <c r="J10" s="152" t="s">
        <v>156</v>
      </c>
      <c r="K10" s="152" t="s">
        <v>158</v>
      </c>
      <c r="L10" s="152" t="s">
        <v>157</v>
      </c>
      <c r="M10" s="156">
        <v>1465.4354811454693</v>
      </c>
      <c r="N10" s="157">
        <v>1706791.3738068135</v>
      </c>
      <c r="O10" s="158">
        <v>1.1646990916807107</v>
      </c>
      <c r="P10" s="152"/>
      <c r="Q10" s="152">
        <v>1</v>
      </c>
    </row>
    <row r="11" spans="1:17">
      <c r="A11" s="151">
        <v>17</v>
      </c>
      <c r="B11" s="152" t="s">
        <v>230</v>
      </c>
      <c r="C11" s="153">
        <v>5</v>
      </c>
      <c r="D11" s="154">
        <v>39971</v>
      </c>
      <c r="E11" s="152">
        <v>210</v>
      </c>
      <c r="F11" s="151" t="s">
        <v>196</v>
      </c>
      <c r="G11" s="152" t="s">
        <v>205</v>
      </c>
      <c r="H11" s="152" t="s">
        <v>148</v>
      </c>
      <c r="I11" s="152" t="s">
        <v>206</v>
      </c>
      <c r="J11" s="152" t="s">
        <v>156</v>
      </c>
      <c r="K11" s="152" t="s">
        <v>158</v>
      </c>
      <c r="L11" s="152" t="s">
        <v>157</v>
      </c>
      <c r="M11" s="156">
        <v>1423.6546101757651</v>
      </c>
      <c r="N11" s="157">
        <v>1662096.7276573724</v>
      </c>
      <c r="O11" s="158">
        <v>1.1674859307709256</v>
      </c>
      <c r="P11" s="152"/>
      <c r="Q11" s="152">
        <v>1</v>
      </c>
    </row>
    <row r="12" spans="1:17">
      <c r="A12" s="151">
        <v>18</v>
      </c>
      <c r="B12" s="152" t="s">
        <v>232</v>
      </c>
      <c r="C12" s="153">
        <v>7</v>
      </c>
      <c r="D12" s="154">
        <v>39410</v>
      </c>
      <c r="E12" s="152">
        <v>300</v>
      </c>
      <c r="F12" s="151" t="s">
        <v>196</v>
      </c>
      <c r="G12" s="152" t="s">
        <v>205</v>
      </c>
      <c r="H12" s="152" t="s">
        <v>148</v>
      </c>
      <c r="I12" s="152" t="s">
        <v>233</v>
      </c>
      <c r="J12" s="152" t="s">
        <v>156</v>
      </c>
      <c r="K12" s="152" t="s">
        <v>158</v>
      </c>
      <c r="L12" s="152" t="s">
        <v>157</v>
      </c>
      <c r="M12" s="156">
        <v>203.85499999999999</v>
      </c>
      <c r="N12" s="157">
        <v>273596.55491974315</v>
      </c>
      <c r="O12" s="158">
        <v>1.3421135361886791</v>
      </c>
      <c r="P12" s="152"/>
      <c r="Q12" s="152">
        <v>1</v>
      </c>
    </row>
    <row r="13" spans="1:17">
      <c r="A13" s="151">
        <v>22</v>
      </c>
      <c r="B13" s="152" t="s">
        <v>316</v>
      </c>
      <c r="C13" s="153">
        <v>3</v>
      </c>
      <c r="D13" s="154">
        <v>40006</v>
      </c>
      <c r="E13" s="152">
        <v>250</v>
      </c>
      <c r="F13" s="151" t="s">
        <v>196</v>
      </c>
      <c r="G13" s="152" t="s">
        <v>205</v>
      </c>
      <c r="H13" s="152" t="s">
        <v>146</v>
      </c>
      <c r="I13" s="152" t="s">
        <v>315</v>
      </c>
      <c r="J13" s="152" t="s">
        <v>156</v>
      </c>
      <c r="K13" s="152" t="s">
        <v>158</v>
      </c>
      <c r="L13" s="152" t="s">
        <v>157</v>
      </c>
      <c r="M13" s="157">
        <v>1675.6415225053458</v>
      </c>
      <c r="N13" s="157">
        <v>1852359.4125028509</v>
      </c>
      <c r="O13" s="156">
        <v>1.105462825803746</v>
      </c>
      <c r="P13" s="152"/>
      <c r="Q13" s="152">
        <v>1</v>
      </c>
    </row>
    <row r="14" spans="1:17">
      <c r="A14" s="151">
        <v>23</v>
      </c>
      <c r="B14" s="152" t="s">
        <v>415</v>
      </c>
      <c r="C14" s="153">
        <v>6</v>
      </c>
      <c r="D14" s="154">
        <v>40625</v>
      </c>
      <c r="E14" s="152">
        <v>500</v>
      </c>
      <c r="F14" s="151" t="s">
        <v>196</v>
      </c>
      <c r="G14" s="152" t="s">
        <v>205</v>
      </c>
      <c r="H14" s="152" t="s">
        <v>152</v>
      </c>
      <c r="I14" s="152" t="s">
        <v>159</v>
      </c>
      <c r="J14" s="152" t="s">
        <v>156</v>
      </c>
      <c r="K14" s="152" t="s">
        <v>158</v>
      </c>
      <c r="L14" s="152" t="s">
        <v>157</v>
      </c>
      <c r="M14" s="157">
        <v>1.1200000000000001</v>
      </c>
      <c r="N14" s="157">
        <v>1093.0900542711697</v>
      </c>
      <c r="O14" s="156">
        <v>0.97597326274211571</v>
      </c>
      <c r="P14" s="152"/>
      <c r="Q14" s="152">
        <v>1</v>
      </c>
    </row>
    <row r="15" spans="1:17">
      <c r="A15" s="151">
        <v>48</v>
      </c>
      <c r="B15" s="152" t="s">
        <v>204</v>
      </c>
      <c r="C15" s="153">
        <v>1</v>
      </c>
      <c r="D15" s="154">
        <v>39437</v>
      </c>
      <c r="E15" s="152">
        <v>300</v>
      </c>
      <c r="F15" s="151" t="s">
        <v>196</v>
      </c>
      <c r="G15" s="152" t="s">
        <v>205</v>
      </c>
      <c r="H15" s="152" t="s">
        <v>148</v>
      </c>
      <c r="I15" s="152" t="s">
        <v>206</v>
      </c>
      <c r="J15" s="152" t="s">
        <v>156</v>
      </c>
      <c r="K15" s="152" t="s">
        <v>158</v>
      </c>
      <c r="L15" s="152" t="s">
        <v>157</v>
      </c>
      <c r="M15" s="156">
        <v>1679.5050000000001</v>
      </c>
      <c r="N15" s="157">
        <v>1864894.8382957499</v>
      </c>
      <c r="O15" s="156">
        <v>1.1103836179682405</v>
      </c>
      <c r="P15" s="152"/>
      <c r="Q15" s="152">
        <v>1</v>
      </c>
    </row>
    <row r="16" spans="1:17">
      <c r="A16" s="151">
        <v>48</v>
      </c>
      <c r="B16" s="152" t="s">
        <v>204</v>
      </c>
      <c r="C16" s="153">
        <v>2</v>
      </c>
      <c r="D16" s="154">
        <v>39649</v>
      </c>
      <c r="E16" s="152">
        <v>300</v>
      </c>
      <c r="F16" s="151" t="s">
        <v>196</v>
      </c>
      <c r="G16" s="152" t="s">
        <v>205</v>
      </c>
      <c r="H16" s="152" t="s">
        <v>148</v>
      </c>
      <c r="I16" s="152" t="s">
        <v>206</v>
      </c>
      <c r="J16" s="152" t="s">
        <v>156</v>
      </c>
      <c r="K16" s="152" t="s">
        <v>158</v>
      </c>
      <c r="L16" s="152" t="s">
        <v>157</v>
      </c>
      <c r="M16" s="156">
        <v>1679.5050000000001</v>
      </c>
      <c r="N16" s="157">
        <v>1864894.8382957499</v>
      </c>
      <c r="O16" s="156">
        <v>1.1103836179682405</v>
      </c>
      <c r="P16" s="152"/>
      <c r="Q16" s="152">
        <v>1</v>
      </c>
    </row>
    <row r="17" spans="1:17">
      <c r="A17" s="151">
        <v>83</v>
      </c>
      <c r="B17" s="152" t="s">
        <v>201</v>
      </c>
      <c r="C17" s="153">
        <v>3</v>
      </c>
      <c r="D17" s="154">
        <v>39450</v>
      </c>
      <c r="E17" s="152">
        <v>250</v>
      </c>
      <c r="F17" s="151" t="s">
        <v>196</v>
      </c>
      <c r="G17" s="152" t="s">
        <v>202</v>
      </c>
      <c r="H17" s="152" t="s">
        <v>148</v>
      </c>
      <c r="I17" s="152" t="s">
        <v>203</v>
      </c>
      <c r="J17" s="152" t="s">
        <v>156</v>
      </c>
      <c r="K17" s="152" t="s">
        <v>158</v>
      </c>
      <c r="L17" s="152" t="s">
        <v>157</v>
      </c>
      <c r="M17" s="156">
        <v>1685.269</v>
      </c>
      <c r="N17" s="157">
        <v>1682480.820881888</v>
      </c>
      <c r="O17" s="156">
        <v>0.99834555841345685</v>
      </c>
      <c r="P17" s="152"/>
      <c r="Q17" s="152">
        <v>1</v>
      </c>
    </row>
    <row r="18" spans="1:17">
      <c r="A18" s="151">
        <v>83</v>
      </c>
      <c r="B18" s="152" t="s">
        <v>201</v>
      </c>
      <c r="C18" s="153">
        <v>4</v>
      </c>
      <c r="D18" s="154">
        <v>39660</v>
      </c>
      <c r="E18" s="152">
        <v>250</v>
      </c>
      <c r="F18" s="151" t="s">
        <v>196</v>
      </c>
      <c r="G18" s="152" t="s">
        <v>202</v>
      </c>
      <c r="H18" s="152" t="s">
        <v>148</v>
      </c>
      <c r="I18" s="152" t="s">
        <v>203</v>
      </c>
      <c r="J18" s="152" t="s">
        <v>156</v>
      </c>
      <c r="K18" s="152" t="s">
        <v>158</v>
      </c>
      <c r="L18" s="152" t="s">
        <v>157</v>
      </c>
      <c r="M18" s="156">
        <v>1678.7249999999999</v>
      </c>
      <c r="N18" s="157">
        <v>1652667.0245707645</v>
      </c>
      <c r="O18" s="156">
        <v>0.98447751988608301</v>
      </c>
      <c r="P18" s="152"/>
      <c r="Q18" s="152">
        <v>1</v>
      </c>
    </row>
    <row r="19" spans="1:17">
      <c r="A19" s="151">
        <v>85</v>
      </c>
      <c r="B19" s="152" t="s">
        <v>317</v>
      </c>
      <c r="C19" s="153">
        <v>7</v>
      </c>
      <c r="D19" s="154">
        <v>39963</v>
      </c>
      <c r="E19" s="152">
        <v>195</v>
      </c>
      <c r="F19" s="151" t="s">
        <v>196</v>
      </c>
      <c r="G19" s="152" t="s">
        <v>228</v>
      </c>
      <c r="H19" s="152" t="s">
        <v>148</v>
      </c>
      <c r="I19" s="152" t="s">
        <v>229</v>
      </c>
      <c r="J19" s="152" t="s">
        <v>156</v>
      </c>
      <c r="K19" s="152" t="s">
        <v>158</v>
      </c>
      <c r="L19" s="152" t="s">
        <v>157</v>
      </c>
      <c r="M19" s="158">
        <v>1479.27</v>
      </c>
      <c r="N19" s="157">
        <v>1455289.1129094751</v>
      </c>
      <c r="O19" s="158">
        <v>0.98378870179850553</v>
      </c>
      <c r="P19" s="152"/>
      <c r="Q19" s="152">
        <v>1</v>
      </c>
    </row>
    <row r="20" spans="1:17">
      <c r="A20" s="151">
        <v>88</v>
      </c>
      <c r="B20" s="159" t="s">
        <v>417</v>
      </c>
      <c r="C20" s="153">
        <v>6</v>
      </c>
      <c r="D20" s="154">
        <v>40054</v>
      </c>
      <c r="E20" s="152">
        <v>250</v>
      </c>
      <c r="F20" s="151" t="s">
        <v>196</v>
      </c>
      <c r="G20" s="152" t="s">
        <v>228</v>
      </c>
      <c r="H20" s="152" t="s">
        <v>148</v>
      </c>
      <c r="I20" s="152" t="s">
        <v>229</v>
      </c>
      <c r="J20" s="152" t="s">
        <v>156</v>
      </c>
      <c r="K20" s="152" t="s">
        <v>158</v>
      </c>
      <c r="L20" s="152" t="s">
        <v>157</v>
      </c>
      <c r="M20" s="158">
        <v>704.29499999999996</v>
      </c>
      <c r="N20" s="157">
        <v>725618.22077415767</v>
      </c>
      <c r="O20" s="158">
        <v>1.0302759792049605</v>
      </c>
      <c r="P20" s="152"/>
      <c r="Q20" s="152">
        <v>1</v>
      </c>
    </row>
    <row r="21" spans="1:17">
      <c r="A21" s="151">
        <v>99</v>
      </c>
      <c r="B21" s="152" t="s">
        <v>321</v>
      </c>
      <c r="C21" s="153">
        <v>5</v>
      </c>
      <c r="D21" s="154">
        <v>40207</v>
      </c>
      <c r="E21" s="152">
        <v>490</v>
      </c>
      <c r="F21" s="151" t="s">
        <v>196</v>
      </c>
      <c r="G21" s="152" t="s">
        <v>255</v>
      </c>
      <c r="H21" s="152" t="s">
        <v>152</v>
      </c>
      <c r="I21" s="152" t="s">
        <v>159</v>
      </c>
      <c r="J21" s="152" t="s">
        <v>156</v>
      </c>
      <c r="K21" s="152" t="s">
        <v>158</v>
      </c>
      <c r="L21" s="152" t="s">
        <v>157</v>
      </c>
      <c r="M21" s="157">
        <v>3243.11</v>
      </c>
      <c r="N21" s="157">
        <v>3124140.9713485269</v>
      </c>
      <c r="O21" s="156">
        <v>0.96331637574689932</v>
      </c>
      <c r="P21" s="152"/>
      <c r="Q21" s="152">
        <v>1</v>
      </c>
    </row>
    <row r="22" spans="1:17">
      <c r="A22" s="151">
        <v>99</v>
      </c>
      <c r="B22" s="152" t="s">
        <v>321</v>
      </c>
      <c r="C22" s="153">
        <v>6</v>
      </c>
      <c r="D22" s="154">
        <v>40389</v>
      </c>
      <c r="E22" s="152">
        <v>490</v>
      </c>
      <c r="F22" s="151" t="s">
        <v>196</v>
      </c>
      <c r="G22" s="152" t="s">
        <v>255</v>
      </c>
      <c r="H22" s="152" t="s">
        <v>152</v>
      </c>
      <c r="I22" s="152" t="s">
        <v>159</v>
      </c>
      <c r="J22" s="152" t="s">
        <v>156</v>
      </c>
      <c r="K22" s="152" t="s">
        <v>158</v>
      </c>
      <c r="L22" s="152" t="s">
        <v>157</v>
      </c>
      <c r="M22" s="157">
        <v>1702.06</v>
      </c>
      <c r="N22" s="157">
        <v>1652159.4734534358</v>
      </c>
      <c r="O22" s="156">
        <v>0.97068227527433582</v>
      </c>
      <c r="P22" s="152"/>
      <c r="Q22" s="152">
        <v>1</v>
      </c>
    </row>
    <row r="23" spans="1:17">
      <c r="A23" s="151">
        <v>170</v>
      </c>
      <c r="B23" s="159" t="s">
        <v>236</v>
      </c>
      <c r="C23" s="153">
        <v>1</v>
      </c>
      <c r="D23" s="154">
        <v>39399</v>
      </c>
      <c r="E23" s="152">
        <v>300</v>
      </c>
      <c r="F23" s="151" t="s">
        <v>196</v>
      </c>
      <c r="G23" s="152" t="s">
        <v>237</v>
      </c>
      <c r="H23" s="152" t="s">
        <v>148</v>
      </c>
      <c r="I23" s="152" t="s">
        <v>238</v>
      </c>
      <c r="J23" s="152" t="s">
        <v>156</v>
      </c>
      <c r="K23" s="152" t="s">
        <v>158</v>
      </c>
      <c r="L23" s="152" t="s">
        <v>157</v>
      </c>
      <c r="M23" s="158">
        <v>1751.8366189999997</v>
      </c>
      <c r="N23" s="157">
        <v>1838155.7835373248</v>
      </c>
      <c r="O23" s="156">
        <v>1.0492735244834639</v>
      </c>
      <c r="P23" s="152"/>
      <c r="Q23" s="152">
        <v>1</v>
      </c>
    </row>
    <row r="24" spans="1:17">
      <c r="A24" s="151">
        <v>170</v>
      </c>
      <c r="B24" s="159" t="s">
        <v>236</v>
      </c>
      <c r="C24" s="153">
        <v>2</v>
      </c>
      <c r="D24" s="154">
        <v>39399</v>
      </c>
      <c r="E24" s="152">
        <v>300</v>
      </c>
      <c r="F24" s="151" t="s">
        <v>196</v>
      </c>
      <c r="G24" s="152" t="s">
        <v>237</v>
      </c>
      <c r="H24" s="152" t="s">
        <v>148</v>
      </c>
      <c r="I24" s="152" t="s">
        <v>238</v>
      </c>
      <c r="J24" s="152" t="s">
        <v>156</v>
      </c>
      <c r="K24" s="152" t="s">
        <v>158</v>
      </c>
      <c r="L24" s="152" t="s">
        <v>157</v>
      </c>
      <c r="M24" s="158">
        <v>1751.8366189999997</v>
      </c>
      <c r="N24" s="157">
        <v>1838155.7835373248</v>
      </c>
      <c r="O24" s="156">
        <v>1.0492735244834639</v>
      </c>
      <c r="P24" s="152"/>
      <c r="Q24" s="152">
        <v>1</v>
      </c>
    </row>
    <row r="25" spans="1:17">
      <c r="A25" s="151">
        <v>190</v>
      </c>
      <c r="B25" s="152" t="s">
        <v>324</v>
      </c>
      <c r="C25" s="153">
        <v>7</v>
      </c>
      <c r="D25" s="154">
        <v>39171</v>
      </c>
      <c r="E25" s="152">
        <v>250</v>
      </c>
      <c r="F25" s="151" t="s">
        <v>196</v>
      </c>
      <c r="G25" s="152" t="s">
        <v>197</v>
      </c>
      <c r="H25" s="152" t="s">
        <v>148</v>
      </c>
      <c r="I25" s="152" t="s">
        <v>231</v>
      </c>
      <c r="J25" s="152" t="s">
        <v>156</v>
      </c>
      <c r="K25" s="152" t="s">
        <v>158</v>
      </c>
      <c r="L25" s="152" t="s">
        <v>157</v>
      </c>
      <c r="M25" s="156">
        <v>1969.932</v>
      </c>
      <c r="N25" s="155">
        <v>1931065.896946389</v>
      </c>
      <c r="O25" s="156">
        <v>0.98027033265431951</v>
      </c>
      <c r="P25" s="152"/>
      <c r="Q25" s="152">
        <v>1</v>
      </c>
    </row>
    <row r="26" spans="1:17">
      <c r="A26" s="151">
        <v>190</v>
      </c>
      <c r="B26" s="152" t="s">
        <v>324</v>
      </c>
      <c r="C26" s="153">
        <v>8</v>
      </c>
      <c r="D26" s="154">
        <v>39428</v>
      </c>
      <c r="E26" s="152">
        <v>250</v>
      </c>
      <c r="F26" s="151" t="s">
        <v>196</v>
      </c>
      <c r="G26" s="152" t="s">
        <v>197</v>
      </c>
      <c r="H26" s="152" t="s">
        <v>148</v>
      </c>
      <c r="I26" s="152" t="s">
        <v>231</v>
      </c>
      <c r="J26" s="152" t="s">
        <v>156</v>
      </c>
      <c r="K26" s="152" t="s">
        <v>158</v>
      </c>
      <c r="L26" s="152" t="s">
        <v>157</v>
      </c>
      <c r="M26" s="156">
        <v>1969.932</v>
      </c>
      <c r="N26" s="155">
        <v>1931065.896946389</v>
      </c>
      <c r="O26" s="156">
        <v>0.98027033265431951</v>
      </c>
      <c r="P26" s="152"/>
      <c r="Q26" s="152">
        <v>1</v>
      </c>
    </row>
    <row r="27" spans="1:17">
      <c r="A27" s="151">
        <v>192</v>
      </c>
      <c r="B27" s="152" t="s">
        <v>211</v>
      </c>
      <c r="C27" s="153">
        <v>5</v>
      </c>
      <c r="D27" s="154">
        <v>39614</v>
      </c>
      <c r="E27" s="152">
        <v>210</v>
      </c>
      <c r="F27" s="151" t="s">
        <v>196</v>
      </c>
      <c r="G27" s="152" t="s">
        <v>149</v>
      </c>
      <c r="H27" s="152" t="s">
        <v>148</v>
      </c>
      <c r="I27" s="152" t="s">
        <v>150</v>
      </c>
      <c r="J27" s="152" t="s">
        <v>156</v>
      </c>
      <c r="K27" s="152" t="s">
        <v>158</v>
      </c>
      <c r="L27" s="152" t="s">
        <v>157</v>
      </c>
      <c r="M27" s="156">
        <v>1279.0440000000001</v>
      </c>
      <c r="N27" s="155">
        <v>1512117.6840538543</v>
      </c>
      <c r="O27" s="156">
        <v>1.1822249149003898</v>
      </c>
      <c r="P27" s="152"/>
      <c r="Q27" s="152">
        <v>1</v>
      </c>
    </row>
    <row r="28" spans="1:17">
      <c r="A28" s="151">
        <v>193</v>
      </c>
      <c r="B28" s="152" t="s">
        <v>161</v>
      </c>
      <c r="C28" s="153">
        <v>5</v>
      </c>
      <c r="D28" s="154">
        <v>39687</v>
      </c>
      <c r="E28" s="152">
        <v>500</v>
      </c>
      <c r="F28" s="151" t="s">
        <v>196</v>
      </c>
      <c r="G28" s="152" t="s">
        <v>149</v>
      </c>
      <c r="H28" s="152" t="s">
        <v>148</v>
      </c>
      <c r="I28" s="152" t="s">
        <v>150</v>
      </c>
      <c r="J28" s="152" t="s">
        <v>156</v>
      </c>
      <c r="K28" s="152" t="s">
        <v>158</v>
      </c>
      <c r="L28" s="152" t="s">
        <v>157</v>
      </c>
      <c r="M28" s="156">
        <v>3473.8580000000002</v>
      </c>
      <c r="N28" s="155">
        <v>3647327.7681744914</v>
      </c>
      <c r="O28" s="156">
        <v>1.0499357682940669</v>
      </c>
      <c r="P28" s="152"/>
      <c r="Q28" s="152">
        <v>1</v>
      </c>
    </row>
    <row r="29" spans="1:17">
      <c r="A29" s="151">
        <v>194</v>
      </c>
      <c r="B29" s="152" t="s">
        <v>420</v>
      </c>
      <c r="C29" s="153">
        <v>7</v>
      </c>
      <c r="D29" s="154">
        <v>40538</v>
      </c>
      <c r="E29" s="152">
        <v>500</v>
      </c>
      <c r="F29" s="151" t="s">
        <v>196</v>
      </c>
      <c r="G29" s="152" t="s">
        <v>197</v>
      </c>
      <c r="H29" s="152" t="s">
        <v>152</v>
      </c>
      <c r="I29" s="152" t="s">
        <v>159</v>
      </c>
      <c r="J29" s="152" t="s">
        <v>156</v>
      </c>
      <c r="K29" s="152" t="s">
        <v>158</v>
      </c>
      <c r="L29" s="152" t="s">
        <v>157</v>
      </c>
      <c r="M29" s="157">
        <v>943.63943488943482</v>
      </c>
      <c r="N29" s="157">
        <v>908903.93853485095</v>
      </c>
      <c r="O29" s="156">
        <v>0.96318986355349401</v>
      </c>
      <c r="P29" s="152"/>
      <c r="Q29" s="152">
        <v>1</v>
      </c>
    </row>
    <row r="30" spans="1:17">
      <c r="A30" s="151">
        <v>195</v>
      </c>
      <c r="B30" s="152" t="s">
        <v>160</v>
      </c>
      <c r="C30" s="153">
        <v>10</v>
      </c>
      <c r="D30" s="154">
        <v>39149</v>
      </c>
      <c r="E30" s="152">
        <v>500</v>
      </c>
      <c r="F30" s="151" t="s">
        <v>196</v>
      </c>
      <c r="G30" s="152" t="s">
        <v>149</v>
      </c>
      <c r="H30" s="152" t="s">
        <v>152</v>
      </c>
      <c r="I30" s="152" t="s">
        <v>159</v>
      </c>
      <c r="J30" s="152" t="s">
        <v>156</v>
      </c>
      <c r="K30" s="152" t="s">
        <v>158</v>
      </c>
      <c r="L30" s="152" t="s">
        <v>157</v>
      </c>
      <c r="M30" s="156">
        <v>4070.87428632409</v>
      </c>
      <c r="N30" s="155">
        <v>3901447.3186003841</v>
      </c>
      <c r="O30" s="156">
        <v>0.95838069274384419</v>
      </c>
      <c r="P30" s="152"/>
      <c r="Q30" s="152">
        <v>1</v>
      </c>
    </row>
    <row r="31" spans="1:17">
      <c r="A31" s="151">
        <v>199</v>
      </c>
      <c r="B31" s="152" t="s">
        <v>214</v>
      </c>
      <c r="C31" s="153">
        <v>2</v>
      </c>
      <c r="D31" s="154">
        <v>39538</v>
      </c>
      <c r="E31" s="152">
        <v>250</v>
      </c>
      <c r="F31" s="151" t="s">
        <v>196</v>
      </c>
      <c r="G31" s="152" t="s">
        <v>147</v>
      </c>
      <c r="H31" s="152" t="s">
        <v>148</v>
      </c>
      <c r="I31" s="152" t="s">
        <v>215</v>
      </c>
      <c r="J31" s="152" t="s">
        <v>156</v>
      </c>
      <c r="K31" s="152" t="s">
        <v>158</v>
      </c>
      <c r="L31" s="152" t="s">
        <v>157</v>
      </c>
      <c r="M31" s="156">
        <v>1308.7919999999999</v>
      </c>
      <c r="N31" s="155">
        <v>1461319.63817306</v>
      </c>
      <c r="O31" s="156">
        <v>1.1165407781932195</v>
      </c>
      <c r="P31" s="152"/>
      <c r="Q31" s="152">
        <v>1</v>
      </c>
    </row>
    <row r="32" spans="1:17">
      <c r="A32" s="151">
        <v>199</v>
      </c>
      <c r="B32" s="152" t="s">
        <v>214</v>
      </c>
      <c r="C32" s="153">
        <v>3</v>
      </c>
      <c r="D32" s="154">
        <v>40264</v>
      </c>
      <c r="E32" s="152">
        <v>250</v>
      </c>
      <c r="F32" s="151" t="s">
        <v>196</v>
      </c>
      <c r="G32" s="152" t="s">
        <v>147</v>
      </c>
      <c r="H32" s="152" t="s">
        <v>148</v>
      </c>
      <c r="I32" s="152" t="s">
        <v>215</v>
      </c>
      <c r="J32" s="152" t="s">
        <v>156</v>
      </c>
      <c r="K32" s="152" t="s">
        <v>158</v>
      </c>
      <c r="L32" s="152" t="s">
        <v>157</v>
      </c>
      <c r="M32" s="156">
        <v>761.31799999999998</v>
      </c>
      <c r="N32" s="155">
        <v>871288.0001856701</v>
      </c>
      <c r="O32" s="156">
        <v>1.1444468673874386</v>
      </c>
      <c r="P32" s="152"/>
      <c r="Q32" s="152">
        <v>1</v>
      </c>
    </row>
    <row r="33" spans="1:17">
      <c r="A33" s="151">
        <v>201</v>
      </c>
      <c r="B33" s="152" t="s">
        <v>252</v>
      </c>
      <c r="C33" s="153">
        <v>7</v>
      </c>
      <c r="D33" s="154">
        <v>40219</v>
      </c>
      <c r="E33" s="152">
        <v>250</v>
      </c>
      <c r="F33" s="151" t="s">
        <v>196</v>
      </c>
      <c r="G33" s="152" t="s">
        <v>147</v>
      </c>
      <c r="H33" s="152" t="s">
        <v>148</v>
      </c>
      <c r="I33" s="152" t="s">
        <v>215</v>
      </c>
      <c r="J33" s="152" t="s">
        <v>156</v>
      </c>
      <c r="K33" s="152" t="s">
        <v>158</v>
      </c>
      <c r="L33" s="152" t="s">
        <v>157</v>
      </c>
      <c r="M33" s="156">
        <v>1081.6169</v>
      </c>
      <c r="N33" s="157">
        <v>1135697.7449999999</v>
      </c>
      <c r="O33" s="156">
        <v>1.05</v>
      </c>
      <c r="P33" s="152"/>
      <c r="Q33" s="152">
        <v>1</v>
      </c>
    </row>
    <row r="34" spans="1:17">
      <c r="A34" s="151">
        <v>206</v>
      </c>
      <c r="B34" s="152" t="s">
        <v>325</v>
      </c>
      <c r="C34" s="153">
        <v>8</v>
      </c>
      <c r="D34" s="154">
        <v>40086</v>
      </c>
      <c r="E34" s="152">
        <v>250</v>
      </c>
      <c r="F34" s="151" t="s">
        <v>196</v>
      </c>
      <c r="G34" s="152" t="s">
        <v>147</v>
      </c>
      <c r="H34" s="152" t="s">
        <v>146</v>
      </c>
      <c r="I34" s="152" t="s">
        <v>314</v>
      </c>
      <c r="J34" s="152" t="s">
        <v>156</v>
      </c>
      <c r="K34" s="152" t="s">
        <v>158</v>
      </c>
      <c r="L34" s="152" t="s">
        <v>157</v>
      </c>
      <c r="M34" s="156">
        <v>1781</v>
      </c>
      <c r="N34" s="157">
        <v>1725561.5016961279</v>
      </c>
      <c r="O34" s="156">
        <v>0.96887226372606849</v>
      </c>
      <c r="P34" s="160"/>
      <c r="Q34" s="152">
        <v>1</v>
      </c>
    </row>
    <row r="35" spans="1:17">
      <c r="A35" s="151">
        <v>254</v>
      </c>
      <c r="B35" s="152" t="s">
        <v>195</v>
      </c>
      <c r="C35" s="153">
        <v>1</v>
      </c>
      <c r="D35" s="154">
        <v>39229</v>
      </c>
      <c r="E35" s="152">
        <v>500</v>
      </c>
      <c r="F35" s="151" t="s">
        <v>196</v>
      </c>
      <c r="G35" s="152" t="s">
        <v>197</v>
      </c>
      <c r="H35" s="152" t="s">
        <v>152</v>
      </c>
      <c r="I35" s="152" t="s">
        <v>159</v>
      </c>
      <c r="J35" s="152" t="s">
        <v>156</v>
      </c>
      <c r="K35" s="152" t="s">
        <v>158</v>
      </c>
      <c r="L35" s="152" t="s">
        <v>157</v>
      </c>
      <c r="M35" s="156">
        <v>3991</v>
      </c>
      <c r="N35" s="155">
        <v>3766707.1543832552</v>
      </c>
      <c r="O35" s="156">
        <v>0.94380033935937246</v>
      </c>
      <c r="P35" s="152"/>
      <c r="Q35" s="152">
        <v>1</v>
      </c>
    </row>
    <row r="36" spans="1:17">
      <c r="A36" s="151">
        <v>254</v>
      </c>
      <c r="B36" s="152" t="s">
        <v>195</v>
      </c>
      <c r="C36" s="153">
        <v>2</v>
      </c>
      <c r="D36" s="154">
        <v>39809</v>
      </c>
      <c r="E36" s="152">
        <v>500</v>
      </c>
      <c r="F36" s="151" t="s">
        <v>196</v>
      </c>
      <c r="G36" s="152" t="s">
        <v>197</v>
      </c>
      <c r="H36" s="152" t="s">
        <v>152</v>
      </c>
      <c r="I36" s="152" t="s">
        <v>159</v>
      </c>
      <c r="J36" s="152" t="s">
        <v>156</v>
      </c>
      <c r="K36" s="152" t="s">
        <v>158</v>
      </c>
      <c r="L36" s="152" t="s">
        <v>157</v>
      </c>
      <c r="M36" s="156">
        <v>3991</v>
      </c>
      <c r="N36" s="157">
        <v>3766707.1543832552</v>
      </c>
      <c r="O36" s="156">
        <v>0.94380033935937246</v>
      </c>
      <c r="P36" s="152"/>
      <c r="Q36" s="152">
        <v>1</v>
      </c>
    </row>
    <row r="37" spans="1:17">
      <c r="A37" s="151">
        <v>256</v>
      </c>
      <c r="B37" s="152" t="s">
        <v>209</v>
      </c>
      <c r="C37" s="153">
        <v>1</v>
      </c>
      <c r="D37" s="154">
        <v>39424</v>
      </c>
      <c r="E37" s="152">
        <v>250</v>
      </c>
      <c r="F37" s="151" t="s">
        <v>196</v>
      </c>
      <c r="G37" s="152" t="s">
        <v>197</v>
      </c>
      <c r="H37" s="152" t="s">
        <v>146</v>
      </c>
      <c r="I37" s="152" t="s">
        <v>210</v>
      </c>
      <c r="J37" s="152" t="s">
        <v>156</v>
      </c>
      <c r="K37" s="152" t="s">
        <v>158</v>
      </c>
      <c r="L37" s="152" t="s">
        <v>157</v>
      </c>
      <c r="M37" s="156">
        <v>1975.10475</v>
      </c>
      <c r="N37" s="155">
        <v>1883486.0410712319</v>
      </c>
      <c r="O37" s="156">
        <v>0.95361324054900476</v>
      </c>
      <c r="P37" s="152"/>
      <c r="Q37" s="152">
        <v>1</v>
      </c>
    </row>
    <row r="38" spans="1:17">
      <c r="A38" s="151">
        <v>256</v>
      </c>
      <c r="B38" s="152" t="s">
        <v>209</v>
      </c>
      <c r="C38" s="153">
        <v>2</v>
      </c>
      <c r="D38" s="154">
        <v>39513</v>
      </c>
      <c r="E38" s="152">
        <v>250</v>
      </c>
      <c r="F38" s="151" t="s">
        <v>196</v>
      </c>
      <c r="G38" s="152" t="s">
        <v>197</v>
      </c>
      <c r="H38" s="152" t="s">
        <v>146</v>
      </c>
      <c r="I38" s="152" t="s">
        <v>210</v>
      </c>
      <c r="J38" s="152" t="s">
        <v>156</v>
      </c>
      <c r="K38" s="152" t="s">
        <v>158</v>
      </c>
      <c r="L38" s="152" t="s">
        <v>157</v>
      </c>
      <c r="M38" s="156">
        <v>1975.10475</v>
      </c>
      <c r="N38" s="155">
        <v>1883486.0410712319</v>
      </c>
      <c r="O38" s="156">
        <v>0.95361324054900476</v>
      </c>
      <c r="P38" s="152"/>
      <c r="Q38" s="152">
        <v>1</v>
      </c>
    </row>
    <row r="39" spans="1:17">
      <c r="A39" s="151">
        <v>256</v>
      </c>
      <c r="B39" s="152" t="s">
        <v>209</v>
      </c>
      <c r="C39" s="153">
        <v>3</v>
      </c>
      <c r="D39" s="154">
        <v>39123</v>
      </c>
      <c r="E39" s="152">
        <v>250</v>
      </c>
      <c r="F39" s="151" t="s">
        <v>196</v>
      </c>
      <c r="G39" s="152" t="s">
        <v>197</v>
      </c>
      <c r="H39" s="152" t="s">
        <v>146</v>
      </c>
      <c r="I39" s="152" t="s">
        <v>210</v>
      </c>
      <c r="J39" s="152" t="s">
        <v>156</v>
      </c>
      <c r="K39" s="152" t="s">
        <v>158</v>
      </c>
      <c r="L39" s="152" t="s">
        <v>157</v>
      </c>
      <c r="M39" s="156">
        <v>1975.10475</v>
      </c>
      <c r="N39" s="155">
        <v>1883486.0410712319</v>
      </c>
      <c r="O39" s="156">
        <v>0.95361324054900476</v>
      </c>
      <c r="P39" s="152"/>
      <c r="Q39" s="152">
        <v>1</v>
      </c>
    </row>
    <row r="40" spans="1:17">
      <c r="A40" s="151">
        <v>256</v>
      </c>
      <c r="B40" s="152" t="s">
        <v>209</v>
      </c>
      <c r="C40" s="153">
        <v>4</v>
      </c>
      <c r="D40" s="154">
        <v>39616</v>
      </c>
      <c r="E40" s="152">
        <v>250</v>
      </c>
      <c r="F40" s="151" t="s">
        <v>196</v>
      </c>
      <c r="G40" s="152" t="s">
        <v>197</v>
      </c>
      <c r="H40" s="152" t="s">
        <v>146</v>
      </c>
      <c r="I40" s="152" t="s">
        <v>210</v>
      </c>
      <c r="J40" s="152" t="s">
        <v>156</v>
      </c>
      <c r="K40" s="152" t="s">
        <v>158</v>
      </c>
      <c r="L40" s="152" t="s">
        <v>157</v>
      </c>
      <c r="M40" s="156">
        <v>1975.10475</v>
      </c>
      <c r="N40" s="155">
        <v>1883486.0410712319</v>
      </c>
      <c r="O40" s="156">
        <v>0.95361324054900476</v>
      </c>
      <c r="P40" s="152"/>
      <c r="Q40" s="152">
        <v>1</v>
      </c>
    </row>
    <row r="41" spans="1:17">
      <c r="A41" s="151">
        <v>257</v>
      </c>
      <c r="B41" s="152" t="s">
        <v>212</v>
      </c>
      <c r="C41" s="153">
        <v>1</v>
      </c>
      <c r="D41" s="154">
        <v>39558</v>
      </c>
      <c r="E41" s="152">
        <v>250</v>
      </c>
      <c r="F41" s="151" t="s">
        <v>196</v>
      </c>
      <c r="G41" s="152" t="s">
        <v>197</v>
      </c>
      <c r="H41" s="152" t="s">
        <v>152</v>
      </c>
      <c r="I41" s="152" t="s">
        <v>213</v>
      </c>
      <c r="J41" s="152" t="s">
        <v>156</v>
      </c>
      <c r="K41" s="152" t="s">
        <v>158</v>
      </c>
      <c r="L41" s="152" t="s">
        <v>157</v>
      </c>
      <c r="M41" s="156">
        <v>1837.45</v>
      </c>
      <c r="N41" s="155">
        <v>1804728.56434237</v>
      </c>
      <c r="O41" s="156">
        <v>0.98219193139534133</v>
      </c>
      <c r="P41" s="152"/>
      <c r="Q41" s="152">
        <v>1</v>
      </c>
    </row>
    <row r="42" spans="1:17">
      <c r="A42" s="151">
        <v>257</v>
      </c>
      <c r="B42" s="152" t="s">
        <v>212</v>
      </c>
      <c r="C42" s="153">
        <v>2</v>
      </c>
      <c r="D42" s="154">
        <v>40006</v>
      </c>
      <c r="E42" s="152">
        <v>250</v>
      </c>
      <c r="F42" s="151" t="s">
        <v>196</v>
      </c>
      <c r="G42" s="152" t="s">
        <v>197</v>
      </c>
      <c r="H42" s="152" t="s">
        <v>152</v>
      </c>
      <c r="I42" s="152" t="s">
        <v>213</v>
      </c>
      <c r="J42" s="152" t="s">
        <v>156</v>
      </c>
      <c r="K42" s="152" t="s">
        <v>158</v>
      </c>
      <c r="L42" s="152" t="s">
        <v>157</v>
      </c>
      <c r="M42" s="156">
        <v>1837.45</v>
      </c>
      <c r="N42" s="155">
        <v>1804728.56434237</v>
      </c>
      <c r="O42" s="156">
        <v>0.98219193139534133</v>
      </c>
      <c r="P42" s="152"/>
      <c r="Q42" s="152">
        <v>1</v>
      </c>
    </row>
    <row r="43" spans="1:17">
      <c r="A43" s="151">
        <v>261</v>
      </c>
      <c r="B43" s="152" t="s">
        <v>421</v>
      </c>
      <c r="C43" s="153">
        <v>1</v>
      </c>
      <c r="D43" s="154">
        <v>40268</v>
      </c>
      <c r="E43" s="152">
        <v>600</v>
      </c>
      <c r="F43" s="151" t="s">
        <v>196</v>
      </c>
      <c r="G43" s="152" t="s">
        <v>237</v>
      </c>
      <c r="H43" s="152" t="s">
        <v>148</v>
      </c>
      <c r="I43" s="152" t="s">
        <v>238</v>
      </c>
      <c r="J43" s="152" t="s">
        <v>156</v>
      </c>
      <c r="K43" s="152" t="s">
        <v>158</v>
      </c>
      <c r="L43" s="152" t="s">
        <v>157</v>
      </c>
      <c r="M43" s="155">
        <v>1683.97</v>
      </c>
      <c r="N43" s="157">
        <v>2137412.6824066099</v>
      </c>
      <c r="O43" s="156">
        <v>1.2692700478076271</v>
      </c>
      <c r="P43" s="152"/>
      <c r="Q43" s="152">
        <v>1</v>
      </c>
    </row>
    <row r="44" spans="1:17">
      <c r="A44" s="151">
        <v>261</v>
      </c>
      <c r="B44" s="152" t="s">
        <v>421</v>
      </c>
      <c r="C44" s="153">
        <v>2</v>
      </c>
      <c r="D44" s="154">
        <v>40452</v>
      </c>
      <c r="E44" s="152">
        <v>600</v>
      </c>
      <c r="F44" s="151" t="s">
        <v>196</v>
      </c>
      <c r="G44" s="152" t="s">
        <v>237</v>
      </c>
      <c r="H44" s="152" t="s">
        <v>148</v>
      </c>
      <c r="I44" s="152" t="s">
        <v>238</v>
      </c>
      <c r="J44" s="152" t="s">
        <v>156</v>
      </c>
      <c r="K44" s="152" t="s">
        <v>158</v>
      </c>
      <c r="L44" s="152" t="s">
        <v>157</v>
      </c>
      <c r="M44" s="155">
        <v>538.64</v>
      </c>
      <c r="N44" s="157">
        <v>683679.61855110025</v>
      </c>
      <c r="O44" s="156">
        <v>1.2692700478076271</v>
      </c>
      <c r="P44" s="152"/>
      <c r="Q44" s="152">
        <v>1</v>
      </c>
    </row>
    <row r="45" spans="1:17">
      <c r="A45" s="151">
        <v>262</v>
      </c>
      <c r="B45" s="152" t="s">
        <v>326</v>
      </c>
      <c r="C45" s="153">
        <v>1</v>
      </c>
      <c r="D45" s="154">
        <v>40116</v>
      </c>
      <c r="E45" s="152">
        <v>250</v>
      </c>
      <c r="F45" s="151" t="s">
        <v>196</v>
      </c>
      <c r="G45" s="152" t="s">
        <v>228</v>
      </c>
      <c r="H45" s="152" t="s">
        <v>148</v>
      </c>
      <c r="I45" s="152" t="s">
        <v>229</v>
      </c>
      <c r="J45" s="152" t="s">
        <v>156</v>
      </c>
      <c r="K45" s="152" t="s">
        <v>158</v>
      </c>
      <c r="L45" s="152" t="s">
        <v>157</v>
      </c>
      <c r="M45" s="155">
        <v>1683.97</v>
      </c>
      <c r="N45" s="157">
        <v>2273536.2908609649</v>
      </c>
      <c r="O45" s="156">
        <v>1.3501049845668065</v>
      </c>
      <c r="P45" s="152"/>
      <c r="Q45" s="152">
        <v>1</v>
      </c>
    </row>
    <row r="46" spans="1:17">
      <c r="A46" s="151">
        <v>262</v>
      </c>
      <c r="B46" s="152" t="s">
        <v>326</v>
      </c>
      <c r="C46" s="153">
        <v>2</v>
      </c>
      <c r="D46" s="154">
        <v>40302</v>
      </c>
      <c r="E46" s="152">
        <v>250</v>
      </c>
      <c r="F46" s="151" t="s">
        <v>196</v>
      </c>
      <c r="G46" s="152" t="s">
        <v>228</v>
      </c>
      <c r="H46" s="152" t="s">
        <v>148</v>
      </c>
      <c r="I46" s="152" t="s">
        <v>229</v>
      </c>
      <c r="J46" s="152" t="s">
        <v>156</v>
      </c>
      <c r="K46" s="152" t="s">
        <v>158</v>
      </c>
      <c r="L46" s="152" t="s">
        <v>157</v>
      </c>
      <c r="M46" s="155">
        <v>516.47413793103442</v>
      </c>
      <c r="N46" s="157">
        <v>697294.30802053388</v>
      </c>
      <c r="O46" s="156">
        <v>1.3501049845668065</v>
      </c>
      <c r="P46" s="152"/>
      <c r="Q46" s="152">
        <v>1</v>
      </c>
    </row>
    <row r="47" spans="1:17">
      <c r="A47" s="151">
        <v>264</v>
      </c>
      <c r="B47" s="152" t="s">
        <v>328</v>
      </c>
      <c r="C47" s="153">
        <v>1</v>
      </c>
      <c r="D47" s="154">
        <v>40219</v>
      </c>
      <c r="E47" s="152">
        <v>300</v>
      </c>
      <c r="F47" s="151" t="s">
        <v>196</v>
      </c>
      <c r="G47" s="152" t="s">
        <v>255</v>
      </c>
      <c r="H47" s="152" t="s">
        <v>146</v>
      </c>
      <c r="I47" s="152" t="s">
        <v>329</v>
      </c>
      <c r="J47" s="152" t="s">
        <v>156</v>
      </c>
      <c r="K47" s="152" t="s">
        <v>158</v>
      </c>
      <c r="L47" s="152" t="s">
        <v>157</v>
      </c>
      <c r="M47" s="155">
        <v>1433.5474339035768</v>
      </c>
      <c r="N47" s="155">
        <v>1500269.9338723663</v>
      </c>
      <c r="O47" s="156">
        <v>1.046543629035771</v>
      </c>
      <c r="P47" s="152"/>
      <c r="Q47" s="152">
        <v>1</v>
      </c>
    </row>
    <row r="48" spans="1:17">
      <c r="A48" s="151">
        <v>264</v>
      </c>
      <c r="B48" s="152" t="s">
        <v>328</v>
      </c>
      <c r="C48" s="153">
        <v>2</v>
      </c>
      <c r="D48" s="154">
        <v>40355</v>
      </c>
      <c r="E48" s="152">
        <v>300</v>
      </c>
      <c r="F48" s="151" t="s">
        <v>196</v>
      </c>
      <c r="G48" s="152" t="s">
        <v>255</v>
      </c>
      <c r="H48" s="152" t="s">
        <v>146</v>
      </c>
      <c r="I48" s="152" t="s">
        <v>329</v>
      </c>
      <c r="J48" s="152" t="s">
        <v>156</v>
      </c>
      <c r="K48" s="152" t="s">
        <v>158</v>
      </c>
      <c r="L48" s="152" t="s">
        <v>157</v>
      </c>
      <c r="M48" s="155">
        <v>1091.8525660964231</v>
      </c>
      <c r="N48" s="157">
        <v>1142671.3468945697</v>
      </c>
      <c r="O48" s="156">
        <v>1.046543629035771</v>
      </c>
      <c r="P48" s="152"/>
      <c r="Q48" s="152">
        <v>1</v>
      </c>
    </row>
    <row r="49" spans="1:17">
      <c r="A49" s="151">
        <v>265</v>
      </c>
      <c r="B49" s="152" t="s">
        <v>330</v>
      </c>
      <c r="C49" s="153">
        <v>1</v>
      </c>
      <c r="D49" s="154">
        <v>39968</v>
      </c>
      <c r="E49" s="152">
        <v>300</v>
      </c>
      <c r="F49" s="151" t="s">
        <v>196</v>
      </c>
      <c r="G49" s="152" t="s">
        <v>197</v>
      </c>
      <c r="H49" s="152" t="s">
        <v>146</v>
      </c>
      <c r="I49" s="152" t="s">
        <v>331</v>
      </c>
      <c r="J49" s="152" t="s">
        <v>156</v>
      </c>
      <c r="K49" s="152" t="s">
        <v>158</v>
      </c>
      <c r="L49" s="152" t="s">
        <v>157</v>
      </c>
      <c r="M49" s="158">
        <v>1659.46</v>
      </c>
      <c r="N49" s="155">
        <v>1770568.3125896852</v>
      </c>
      <c r="O49" s="156">
        <v>1.0669544988066511</v>
      </c>
      <c r="P49" s="152"/>
      <c r="Q49" s="152">
        <v>1</v>
      </c>
    </row>
    <row r="50" spans="1:17">
      <c r="A50" s="151">
        <v>265</v>
      </c>
      <c r="B50" s="152" t="s">
        <v>330</v>
      </c>
      <c r="C50" s="153">
        <v>2</v>
      </c>
      <c r="D50" s="154">
        <v>40262</v>
      </c>
      <c r="E50" s="152">
        <v>300</v>
      </c>
      <c r="F50" s="151" t="s">
        <v>196</v>
      </c>
      <c r="G50" s="152" t="s">
        <v>197</v>
      </c>
      <c r="H50" s="152" t="s">
        <v>146</v>
      </c>
      <c r="I50" s="152" t="s">
        <v>331</v>
      </c>
      <c r="J50" s="152" t="s">
        <v>156</v>
      </c>
      <c r="K50" s="152" t="s">
        <v>158</v>
      </c>
      <c r="L50" s="152" t="s">
        <v>157</v>
      </c>
      <c r="M50" s="158">
        <v>1659.46</v>
      </c>
      <c r="N50" s="157">
        <v>1770568.3125896852</v>
      </c>
      <c r="O50" s="156">
        <v>1.0669544988066511</v>
      </c>
      <c r="P50" s="152"/>
      <c r="Q50" s="152">
        <v>1</v>
      </c>
    </row>
    <row r="51" spans="1:17">
      <c r="A51" s="151">
        <v>266</v>
      </c>
      <c r="B51" s="152" t="s">
        <v>332</v>
      </c>
      <c r="C51" s="153">
        <v>1</v>
      </c>
      <c r="D51" s="154">
        <v>40029</v>
      </c>
      <c r="E51" s="152">
        <v>330</v>
      </c>
      <c r="F51" s="151" t="s">
        <v>196</v>
      </c>
      <c r="G51" s="152" t="s">
        <v>153</v>
      </c>
      <c r="H51" s="152" t="s">
        <v>146</v>
      </c>
      <c r="I51" s="152" t="s">
        <v>333</v>
      </c>
      <c r="J51" s="152" t="s">
        <v>156</v>
      </c>
      <c r="K51" s="152" t="s">
        <v>158</v>
      </c>
      <c r="L51" s="152" t="s">
        <v>157</v>
      </c>
      <c r="M51" s="155">
        <v>1988.492234548336</v>
      </c>
      <c r="N51" s="155">
        <v>1886654.5867650548</v>
      </c>
      <c r="O51" s="156">
        <v>0.94878649963326989</v>
      </c>
      <c r="P51" s="152"/>
      <c r="Q51" s="152">
        <v>1</v>
      </c>
    </row>
    <row r="52" spans="1:17">
      <c r="A52" s="151">
        <v>266</v>
      </c>
      <c r="B52" s="152" t="s">
        <v>332</v>
      </c>
      <c r="C52" s="153">
        <v>2</v>
      </c>
      <c r="D52" s="154">
        <v>40254</v>
      </c>
      <c r="E52" s="152">
        <v>330</v>
      </c>
      <c r="F52" s="151" t="s">
        <v>196</v>
      </c>
      <c r="G52" s="152" t="s">
        <v>153</v>
      </c>
      <c r="H52" s="152" t="s">
        <v>146</v>
      </c>
      <c r="I52" s="152" t="s">
        <v>333</v>
      </c>
      <c r="J52" s="152" t="s">
        <v>156</v>
      </c>
      <c r="K52" s="152" t="s">
        <v>158</v>
      </c>
      <c r="L52" s="152" t="s">
        <v>157</v>
      </c>
      <c r="M52" s="155">
        <v>1988.492234548336</v>
      </c>
      <c r="N52" s="157">
        <v>1886654.5867650548</v>
      </c>
      <c r="O52" s="156">
        <v>0.94878649963326989</v>
      </c>
      <c r="P52" s="152"/>
      <c r="Q52" s="152">
        <v>1</v>
      </c>
    </row>
    <row r="53" spans="1:17">
      <c r="A53" s="151">
        <v>266</v>
      </c>
      <c r="B53" s="152" t="s">
        <v>332</v>
      </c>
      <c r="C53" s="153">
        <v>3</v>
      </c>
      <c r="D53" s="154">
        <v>40392</v>
      </c>
      <c r="E53" s="152">
        <v>330</v>
      </c>
      <c r="F53" s="151" t="s">
        <v>196</v>
      </c>
      <c r="G53" s="152" t="s">
        <v>153</v>
      </c>
      <c r="H53" s="152" t="s">
        <v>146</v>
      </c>
      <c r="I53" s="152" t="s">
        <v>333</v>
      </c>
      <c r="J53" s="152" t="s">
        <v>156</v>
      </c>
      <c r="K53" s="152" t="s">
        <v>158</v>
      </c>
      <c r="L53" s="152" t="s">
        <v>157</v>
      </c>
      <c r="M53" s="155">
        <v>1312.9496671949289</v>
      </c>
      <c r="N53" s="157">
        <v>1245708.9189325431</v>
      </c>
      <c r="O53" s="156">
        <v>0.94878649963326989</v>
      </c>
      <c r="P53" s="152"/>
      <c r="Q53" s="152">
        <v>1</v>
      </c>
    </row>
    <row r="54" spans="1:17">
      <c r="A54" s="151">
        <v>266</v>
      </c>
      <c r="B54" s="152" t="s">
        <v>332</v>
      </c>
      <c r="C54" s="153">
        <v>4</v>
      </c>
      <c r="D54" s="154">
        <v>40532</v>
      </c>
      <c r="E54" s="152">
        <v>330</v>
      </c>
      <c r="F54" s="151" t="s">
        <v>196</v>
      </c>
      <c r="G54" s="152" t="s">
        <v>153</v>
      </c>
      <c r="H54" s="152" t="s">
        <v>146</v>
      </c>
      <c r="I54" s="152" t="s">
        <v>333</v>
      </c>
      <c r="J54" s="152" t="s">
        <v>156</v>
      </c>
      <c r="K54" s="152" t="s">
        <v>158</v>
      </c>
      <c r="L54" s="152" t="s">
        <v>157</v>
      </c>
      <c r="M54" s="155">
        <v>550.24031695721078</v>
      </c>
      <c r="N54" s="157">
        <v>522060.58428293298</v>
      </c>
      <c r="O54" s="156">
        <v>0.94878649963326989</v>
      </c>
      <c r="P54" s="152"/>
      <c r="Q54" s="152">
        <v>1</v>
      </c>
    </row>
    <row r="55" spans="1:17">
      <c r="A55" s="151">
        <v>266</v>
      </c>
      <c r="B55" s="152" t="s">
        <v>422</v>
      </c>
      <c r="C55" s="153">
        <v>5</v>
      </c>
      <c r="D55" s="154">
        <v>40538</v>
      </c>
      <c r="E55" s="152">
        <v>660</v>
      </c>
      <c r="F55" s="151" t="s">
        <v>196</v>
      </c>
      <c r="G55" s="152" t="s">
        <v>153</v>
      </c>
      <c r="H55" s="152" t="s">
        <v>146</v>
      </c>
      <c r="I55" s="152" t="s">
        <v>333</v>
      </c>
      <c r="J55" s="152" t="s">
        <v>156</v>
      </c>
      <c r="K55" s="152" t="s">
        <v>158</v>
      </c>
      <c r="L55" s="152" t="s">
        <v>157</v>
      </c>
      <c r="M55" s="155">
        <v>1035.1055467511885</v>
      </c>
      <c r="N55" s="157">
        <v>982094.16845304216</v>
      </c>
      <c r="O55" s="156">
        <v>0.94878649963326989</v>
      </c>
      <c r="P55" s="152"/>
      <c r="Q55" s="152">
        <v>1</v>
      </c>
    </row>
    <row r="56" spans="1:17">
      <c r="A56" s="151">
        <v>270</v>
      </c>
      <c r="B56" s="152" t="s">
        <v>426</v>
      </c>
      <c r="C56" s="153">
        <v>1</v>
      </c>
      <c r="D56" s="154">
        <v>40199</v>
      </c>
      <c r="E56" s="152">
        <v>135</v>
      </c>
      <c r="F56" s="151" t="s">
        <v>196</v>
      </c>
      <c r="G56" s="152" t="s">
        <v>147</v>
      </c>
      <c r="H56" s="152" t="s">
        <v>146</v>
      </c>
      <c r="I56" s="152" t="s">
        <v>427</v>
      </c>
      <c r="J56" s="152" t="s">
        <v>156</v>
      </c>
      <c r="K56" s="152" t="s">
        <v>158</v>
      </c>
      <c r="L56" s="152" t="s">
        <v>157</v>
      </c>
      <c r="M56" s="155">
        <v>408.66028708133967</v>
      </c>
      <c r="N56" s="157">
        <v>501368.4776138523</v>
      </c>
      <c r="O56" s="156">
        <v>1.2268588200596551</v>
      </c>
      <c r="P56" s="160"/>
      <c r="Q56" s="152">
        <v>1</v>
      </c>
    </row>
    <row r="57" spans="1:17">
      <c r="A57" s="151">
        <v>270</v>
      </c>
      <c r="B57" s="152" t="s">
        <v>426</v>
      </c>
      <c r="C57" s="153">
        <v>2</v>
      </c>
      <c r="D57" s="154">
        <v>40334</v>
      </c>
      <c r="E57" s="152">
        <v>135</v>
      </c>
      <c r="F57" s="151" t="s">
        <v>196</v>
      </c>
      <c r="G57" s="152" t="s">
        <v>147</v>
      </c>
      <c r="H57" s="152" t="s">
        <v>146</v>
      </c>
      <c r="I57" s="152" t="s">
        <v>427</v>
      </c>
      <c r="J57" s="152" t="s">
        <v>156</v>
      </c>
      <c r="K57" s="152" t="s">
        <v>158</v>
      </c>
      <c r="L57" s="152" t="s">
        <v>157</v>
      </c>
      <c r="M57" s="155">
        <v>334.76555023923447</v>
      </c>
      <c r="N57" s="157">
        <v>410710.06796312839</v>
      </c>
      <c r="O57" s="156">
        <v>1.2268588200596551</v>
      </c>
      <c r="P57" s="152"/>
      <c r="Q57" s="152">
        <v>1</v>
      </c>
    </row>
    <row r="58" spans="1:17">
      <c r="A58" s="151">
        <v>270</v>
      </c>
      <c r="B58" s="152" t="s">
        <v>426</v>
      </c>
      <c r="C58" s="153">
        <v>3</v>
      </c>
      <c r="D58" s="154">
        <v>40461</v>
      </c>
      <c r="E58" s="152">
        <v>135</v>
      </c>
      <c r="F58" s="151" t="s">
        <v>196</v>
      </c>
      <c r="G58" s="152" t="s">
        <v>147</v>
      </c>
      <c r="H58" s="152" t="s">
        <v>146</v>
      </c>
      <c r="I58" s="152" t="s">
        <v>427</v>
      </c>
      <c r="J58" s="152" t="s">
        <v>156</v>
      </c>
      <c r="K58" s="152" t="s">
        <v>158</v>
      </c>
      <c r="L58" s="152" t="s">
        <v>157</v>
      </c>
      <c r="M58" s="155">
        <v>192.57416267942583</v>
      </c>
      <c r="N58" s="157">
        <v>236261.30999885642</v>
      </c>
      <c r="O58" s="156">
        <v>1.2268588200596551</v>
      </c>
      <c r="P58" s="152"/>
      <c r="Q58" s="152">
        <v>1</v>
      </c>
    </row>
    <row r="59" spans="1:17">
      <c r="A59" s="151">
        <v>275</v>
      </c>
      <c r="B59" s="152" t="s">
        <v>437</v>
      </c>
      <c r="C59" s="153">
        <v>1</v>
      </c>
      <c r="D59" s="154">
        <v>40451</v>
      </c>
      <c r="E59" s="152">
        <v>500</v>
      </c>
      <c r="F59" s="151" t="s">
        <v>196</v>
      </c>
      <c r="G59" s="152" t="s">
        <v>205</v>
      </c>
      <c r="H59" s="152" t="s">
        <v>152</v>
      </c>
      <c r="I59" s="152" t="s">
        <v>244</v>
      </c>
      <c r="J59" s="152" t="s">
        <v>156</v>
      </c>
      <c r="K59" s="152" t="s">
        <v>158</v>
      </c>
      <c r="L59" s="152" t="s">
        <v>157</v>
      </c>
      <c r="M59" s="155">
        <v>52.629884064171122</v>
      </c>
      <c r="N59" s="157">
        <v>80667.050346856806</v>
      </c>
      <c r="O59" s="156">
        <v>1.532723314543126</v>
      </c>
      <c r="P59" s="152"/>
      <c r="Q59" s="152">
        <v>1</v>
      </c>
    </row>
    <row r="60" spans="1:17">
      <c r="A60" s="151">
        <v>275</v>
      </c>
      <c r="B60" s="152" t="s">
        <v>437</v>
      </c>
      <c r="C60" s="153">
        <v>2</v>
      </c>
      <c r="D60" s="154">
        <v>40628</v>
      </c>
      <c r="E60" s="152">
        <v>500</v>
      </c>
      <c r="F60" s="151" t="s">
        <v>196</v>
      </c>
      <c r="G60" s="152" t="s">
        <v>205</v>
      </c>
      <c r="H60" s="152" t="s">
        <v>152</v>
      </c>
      <c r="I60" s="152" t="s">
        <v>244</v>
      </c>
      <c r="J60" s="152" t="s">
        <v>156</v>
      </c>
      <c r="K60" s="152" t="s">
        <v>158</v>
      </c>
      <c r="L60" s="152" t="s">
        <v>157</v>
      </c>
      <c r="M60" s="155">
        <v>1.4458759358288771</v>
      </c>
      <c r="N60" s="157">
        <v>2216.1277567817806</v>
      </c>
      <c r="O60" s="156">
        <v>1.532723314543126</v>
      </c>
      <c r="P60" s="152"/>
      <c r="Q60" s="152">
        <v>1</v>
      </c>
    </row>
    <row r="61" spans="1:17">
      <c r="A61" s="151">
        <v>276</v>
      </c>
      <c r="B61" s="152" t="s">
        <v>438</v>
      </c>
      <c r="C61" s="153">
        <v>1</v>
      </c>
      <c r="D61" s="154">
        <v>40482</v>
      </c>
      <c r="E61" s="152">
        <v>500</v>
      </c>
      <c r="F61" s="151" t="s">
        <v>196</v>
      </c>
      <c r="G61" s="152" t="s">
        <v>237</v>
      </c>
      <c r="H61" s="152" t="s">
        <v>152</v>
      </c>
      <c r="I61" s="152" t="s">
        <v>439</v>
      </c>
      <c r="J61" s="152" t="s">
        <v>156</v>
      </c>
      <c r="K61" s="152" t="s">
        <v>158</v>
      </c>
      <c r="L61" s="152" t="s">
        <v>157</v>
      </c>
      <c r="M61" s="155">
        <v>107.54</v>
      </c>
      <c r="N61" s="157">
        <v>108063.34640826604</v>
      </c>
      <c r="O61" s="156">
        <v>1.0048665278804727</v>
      </c>
      <c r="P61" s="152"/>
      <c r="Q61" s="152">
        <v>1</v>
      </c>
    </row>
    <row r="62" spans="1:17">
      <c r="A62" s="151">
        <v>277</v>
      </c>
      <c r="B62" s="152" t="s">
        <v>440</v>
      </c>
      <c r="C62" s="153">
        <v>1</v>
      </c>
      <c r="D62" s="154">
        <v>40414</v>
      </c>
      <c r="E62" s="152">
        <v>300</v>
      </c>
      <c r="F62" s="151" t="s">
        <v>196</v>
      </c>
      <c r="G62" s="152" t="s">
        <v>147</v>
      </c>
      <c r="H62" s="152" t="s">
        <v>146</v>
      </c>
      <c r="I62" s="152" t="s">
        <v>441</v>
      </c>
      <c r="J62" s="152" t="s">
        <v>156</v>
      </c>
      <c r="K62" s="152" t="s">
        <v>158</v>
      </c>
      <c r="L62" s="152" t="s">
        <v>157</v>
      </c>
      <c r="M62" s="155">
        <v>1016.391570996979</v>
      </c>
      <c r="N62" s="157">
        <v>972742.52007493889</v>
      </c>
      <c r="O62" s="156">
        <v>0.95705488694753271</v>
      </c>
      <c r="P62" s="152"/>
      <c r="Q62" s="152">
        <v>1</v>
      </c>
    </row>
    <row r="63" spans="1:17">
      <c r="A63" s="151">
        <v>277</v>
      </c>
      <c r="B63" s="152" t="s">
        <v>440</v>
      </c>
      <c r="C63" s="153">
        <v>2</v>
      </c>
      <c r="D63" s="154">
        <v>40521</v>
      </c>
      <c r="E63" s="152">
        <v>300</v>
      </c>
      <c r="F63" s="151" t="s">
        <v>196</v>
      </c>
      <c r="G63" s="152" t="s">
        <v>147</v>
      </c>
      <c r="H63" s="152" t="s">
        <v>146</v>
      </c>
      <c r="I63" s="152" t="s">
        <v>441</v>
      </c>
      <c r="J63" s="152" t="s">
        <v>156</v>
      </c>
      <c r="K63" s="152" t="s">
        <v>158</v>
      </c>
      <c r="L63" s="152" t="s">
        <v>157</v>
      </c>
      <c r="M63" s="155">
        <v>519.79842900302128</v>
      </c>
      <c r="N63" s="157">
        <v>497475.62670499168</v>
      </c>
      <c r="O63" s="156">
        <v>0.95705488694753271</v>
      </c>
      <c r="P63" s="152"/>
      <c r="Q63" s="152">
        <v>1</v>
      </c>
    </row>
    <row r="64" spans="1:17" ht="13.5" thickBot="1">
      <c r="A64" s="171" t="s">
        <v>442</v>
      </c>
      <c r="B64" s="172"/>
      <c r="C64" s="173"/>
      <c r="D64" s="174"/>
      <c r="E64" s="172"/>
      <c r="F64" s="173"/>
      <c r="G64" s="175"/>
      <c r="H64" s="175"/>
      <c r="I64" s="172"/>
      <c r="J64" s="172"/>
      <c r="K64" s="172"/>
      <c r="L64" s="172"/>
      <c r="M64" s="176">
        <f>SUM(M2:M63)</f>
        <v>92360.975214047357</v>
      </c>
      <c r="N64" s="176">
        <f>SUM(N2:N63)</f>
        <v>94832676.838571429</v>
      </c>
      <c r="O64" s="177"/>
      <c r="P64" s="172"/>
      <c r="Q64" s="178"/>
    </row>
    <row r="65" spans="1:17">
      <c r="A65" s="278"/>
      <c r="B65" s="278"/>
      <c r="C65" s="278"/>
      <c r="D65" s="278"/>
      <c r="E65" s="278"/>
      <c r="F65" s="278"/>
      <c r="G65" s="278"/>
      <c r="H65" s="278"/>
      <c r="I65" s="278"/>
      <c r="J65" s="278"/>
      <c r="K65" s="278"/>
      <c r="L65" s="278"/>
      <c r="M65" s="278"/>
      <c r="N65" s="278"/>
      <c r="O65" s="278"/>
      <c r="P65" s="278"/>
      <c r="Q65" s="278"/>
    </row>
    <row r="66" spans="1:17">
      <c r="A66" s="279"/>
      <c r="B66" s="279"/>
      <c r="C66" s="279"/>
      <c r="D66" s="279"/>
      <c r="E66" s="279"/>
      <c r="F66" s="279"/>
      <c r="G66" s="279"/>
      <c r="H66" s="279"/>
      <c r="I66" s="279"/>
      <c r="J66" s="279"/>
      <c r="K66" s="279"/>
      <c r="L66" s="279"/>
      <c r="M66" s="279"/>
      <c r="N66" s="279"/>
      <c r="O66" s="279"/>
      <c r="P66" s="279"/>
      <c r="Q66" s="279"/>
    </row>
    <row r="67" spans="1:17" ht="13.5" thickBot="1">
      <c r="A67" s="280"/>
      <c r="B67" s="280"/>
      <c r="C67" s="280"/>
      <c r="D67" s="280"/>
      <c r="E67" s="280"/>
      <c r="F67" s="280"/>
      <c r="G67" s="280"/>
      <c r="H67" s="280"/>
      <c r="I67" s="280"/>
      <c r="J67" s="280"/>
      <c r="K67" s="280"/>
      <c r="L67" s="280"/>
      <c r="M67" s="280"/>
      <c r="N67" s="280"/>
      <c r="O67" s="280"/>
      <c r="P67" s="280"/>
      <c r="Q67" s="280"/>
    </row>
    <row r="68" spans="1:17" ht="78.75">
      <c r="A68" s="161" t="s">
        <v>407</v>
      </c>
      <c r="B68" s="162" t="s">
        <v>173</v>
      </c>
      <c r="C68" s="163" t="s">
        <v>172</v>
      </c>
      <c r="D68" s="164" t="s">
        <v>171</v>
      </c>
      <c r="E68" s="162" t="s">
        <v>408</v>
      </c>
      <c r="F68" s="162" t="s">
        <v>170</v>
      </c>
      <c r="G68" s="162" t="s">
        <v>148</v>
      </c>
      <c r="H68" s="162" t="s">
        <v>169</v>
      </c>
      <c r="I68" s="162" t="s">
        <v>168</v>
      </c>
      <c r="J68" s="162" t="s">
        <v>167</v>
      </c>
      <c r="K68" s="162" t="s">
        <v>166</v>
      </c>
      <c r="L68" s="162" t="s">
        <v>165</v>
      </c>
      <c r="M68" s="165" t="s">
        <v>409</v>
      </c>
      <c r="N68" s="165" t="s">
        <v>410</v>
      </c>
      <c r="O68" s="166" t="s">
        <v>411</v>
      </c>
      <c r="P68" s="167" t="s">
        <v>412</v>
      </c>
      <c r="Q68" s="168" t="s">
        <v>413</v>
      </c>
    </row>
    <row r="69" spans="1:17">
      <c r="A69" s="151">
        <v>55</v>
      </c>
      <c r="B69" s="152" t="s">
        <v>416</v>
      </c>
      <c r="C69" s="153">
        <v>2</v>
      </c>
      <c r="D69" s="154">
        <v>40393</v>
      </c>
      <c r="E69" s="152">
        <v>21</v>
      </c>
      <c r="F69" s="151" t="s">
        <v>196</v>
      </c>
      <c r="G69" s="152" t="s">
        <v>253</v>
      </c>
      <c r="H69" s="152" t="s">
        <v>148</v>
      </c>
      <c r="I69" s="152" t="s">
        <v>254</v>
      </c>
      <c r="J69" s="152" t="s">
        <v>156</v>
      </c>
      <c r="K69" s="152" t="s">
        <v>162</v>
      </c>
      <c r="L69" s="152" t="s">
        <v>154</v>
      </c>
      <c r="M69" s="155">
        <v>112.61355371900827</v>
      </c>
      <c r="N69" s="157">
        <v>80773.160542061916</v>
      </c>
      <c r="O69" s="156">
        <v>0.71725967145665215</v>
      </c>
      <c r="P69" s="152"/>
      <c r="Q69" s="170">
        <v>1</v>
      </c>
    </row>
    <row r="70" spans="1:17">
      <c r="A70" s="151">
        <v>169</v>
      </c>
      <c r="B70" s="152" t="s">
        <v>227</v>
      </c>
      <c r="C70" s="153">
        <v>1</v>
      </c>
      <c r="D70" s="154">
        <v>39170</v>
      </c>
      <c r="E70" s="152">
        <v>110</v>
      </c>
      <c r="F70" s="151" t="s">
        <v>196</v>
      </c>
      <c r="G70" s="152" t="s">
        <v>228</v>
      </c>
      <c r="H70" s="152" t="s">
        <v>148</v>
      </c>
      <c r="I70" s="152" t="s">
        <v>229</v>
      </c>
      <c r="J70" s="152" t="s">
        <v>156</v>
      </c>
      <c r="K70" s="152" t="s">
        <v>162</v>
      </c>
      <c r="L70" s="152"/>
      <c r="M70" s="158">
        <v>644.09440000000006</v>
      </c>
      <c r="N70" s="157">
        <v>292502.47860981995</v>
      </c>
      <c r="O70" s="156">
        <v>0.45412982725796081</v>
      </c>
      <c r="P70" s="152"/>
      <c r="Q70" s="170">
        <v>1</v>
      </c>
    </row>
    <row r="71" spans="1:17">
      <c r="A71" s="151">
        <v>169</v>
      </c>
      <c r="B71" s="152" t="s">
        <v>227</v>
      </c>
      <c r="C71" s="153">
        <v>2</v>
      </c>
      <c r="D71" s="154">
        <v>39249</v>
      </c>
      <c r="E71" s="152">
        <v>110</v>
      </c>
      <c r="F71" s="151" t="s">
        <v>196</v>
      </c>
      <c r="G71" s="152" t="s">
        <v>228</v>
      </c>
      <c r="H71" s="152" t="s">
        <v>148</v>
      </c>
      <c r="I71" s="152" t="s">
        <v>229</v>
      </c>
      <c r="J71" s="152" t="s">
        <v>156</v>
      </c>
      <c r="K71" s="152" t="s">
        <v>162</v>
      </c>
      <c r="L71" s="152"/>
      <c r="M71" s="158">
        <v>644.09440000000006</v>
      </c>
      <c r="N71" s="157">
        <v>292502.47860981995</v>
      </c>
      <c r="O71" s="156">
        <v>0.45412982725796081</v>
      </c>
      <c r="P71" s="152"/>
      <c r="Q71" s="170">
        <v>1</v>
      </c>
    </row>
    <row r="72" spans="1:17">
      <c r="A72" s="151">
        <v>169</v>
      </c>
      <c r="B72" s="152" t="s">
        <v>227</v>
      </c>
      <c r="C72" s="153">
        <v>3</v>
      </c>
      <c r="D72" s="154">
        <v>39443</v>
      </c>
      <c r="E72" s="152">
        <v>110</v>
      </c>
      <c r="F72" s="151" t="s">
        <v>196</v>
      </c>
      <c r="G72" s="152" t="s">
        <v>228</v>
      </c>
      <c r="H72" s="152" t="s">
        <v>148</v>
      </c>
      <c r="I72" s="152" t="s">
        <v>229</v>
      </c>
      <c r="J72" s="152" t="s">
        <v>156</v>
      </c>
      <c r="K72" s="152" t="s">
        <v>162</v>
      </c>
      <c r="L72" s="152"/>
      <c r="M72" s="158">
        <v>644.09440000000006</v>
      </c>
      <c r="N72" s="157">
        <v>292502.47860981995</v>
      </c>
      <c r="O72" s="156">
        <v>0.45412982725796081</v>
      </c>
      <c r="P72" s="160"/>
      <c r="Q72" s="170">
        <v>1</v>
      </c>
    </row>
    <row r="73" spans="1:17">
      <c r="A73" s="151">
        <v>263</v>
      </c>
      <c r="B73" s="152" t="s">
        <v>327</v>
      </c>
      <c r="C73" s="153">
        <v>1</v>
      </c>
      <c r="D73" s="154">
        <v>40004</v>
      </c>
      <c r="E73" s="152">
        <v>228</v>
      </c>
      <c r="F73" s="151" t="s">
        <v>196</v>
      </c>
      <c r="G73" s="152" t="s">
        <v>153</v>
      </c>
      <c r="H73" s="152" t="s">
        <v>148</v>
      </c>
      <c r="I73" s="152" t="s">
        <v>164</v>
      </c>
      <c r="J73" s="152" t="s">
        <v>156</v>
      </c>
      <c r="K73" s="152" t="s">
        <v>162</v>
      </c>
      <c r="L73" s="152" t="s">
        <v>154</v>
      </c>
      <c r="M73" s="158">
        <v>1338.1283422459894</v>
      </c>
      <c r="N73" s="155">
        <v>469476.36573402036</v>
      </c>
      <c r="O73" s="156">
        <v>0.35084554366887183</v>
      </c>
      <c r="P73" s="152"/>
      <c r="Q73" s="170">
        <v>1</v>
      </c>
    </row>
    <row r="74" spans="1:17">
      <c r="A74" s="151">
        <v>263</v>
      </c>
      <c r="B74" s="152" t="s">
        <v>327</v>
      </c>
      <c r="C74" s="153">
        <v>2</v>
      </c>
      <c r="D74" s="154">
        <v>40096</v>
      </c>
      <c r="E74" s="152">
        <v>146</v>
      </c>
      <c r="F74" s="151" t="s">
        <v>196</v>
      </c>
      <c r="G74" s="152" t="s">
        <v>153</v>
      </c>
      <c r="H74" s="152" t="s">
        <v>148</v>
      </c>
      <c r="I74" s="152" t="s">
        <v>164</v>
      </c>
      <c r="J74" s="152" t="s">
        <v>156</v>
      </c>
      <c r="K74" s="152" t="s">
        <v>162</v>
      </c>
      <c r="L74" s="152" t="s">
        <v>154</v>
      </c>
      <c r="M74" s="158">
        <v>856.8716577540107</v>
      </c>
      <c r="N74" s="155">
        <v>300629.60261915333</v>
      </c>
      <c r="O74" s="156">
        <v>0.35084554366887183</v>
      </c>
      <c r="P74" s="152"/>
      <c r="Q74" s="170">
        <v>1</v>
      </c>
    </row>
    <row r="75" spans="1:17">
      <c r="A75" s="151">
        <v>272</v>
      </c>
      <c r="B75" s="152" t="s">
        <v>430</v>
      </c>
      <c r="C75" s="153">
        <v>1</v>
      </c>
      <c r="D75" s="154">
        <v>40455</v>
      </c>
      <c r="E75" s="152">
        <v>35.75</v>
      </c>
      <c r="F75" s="151" t="s">
        <v>196</v>
      </c>
      <c r="G75" s="152" t="s">
        <v>431</v>
      </c>
      <c r="H75" s="152" t="s">
        <v>146</v>
      </c>
      <c r="I75" s="152" t="s">
        <v>432</v>
      </c>
      <c r="J75" s="152" t="s">
        <v>156</v>
      </c>
      <c r="K75" s="152" t="s">
        <v>162</v>
      </c>
      <c r="L75" s="152"/>
      <c r="M75" s="155">
        <v>53.566276551724137</v>
      </c>
      <c r="N75" s="157">
        <v>42853.340757849313</v>
      </c>
      <c r="O75" s="156">
        <v>0.80000596488108888</v>
      </c>
      <c r="P75" s="152"/>
      <c r="Q75" s="170">
        <v>1</v>
      </c>
    </row>
    <row r="76" spans="1:17">
      <c r="A76" s="151">
        <v>272</v>
      </c>
      <c r="B76" s="152" t="s">
        <v>430</v>
      </c>
      <c r="C76" s="153">
        <v>2</v>
      </c>
      <c r="D76" s="154">
        <v>40521</v>
      </c>
      <c r="E76" s="152">
        <v>35.75</v>
      </c>
      <c r="F76" s="151" t="s">
        <v>196</v>
      </c>
      <c r="G76" s="152" t="s">
        <v>431</v>
      </c>
      <c r="H76" s="152" t="s">
        <v>146</v>
      </c>
      <c r="I76" s="152" t="s">
        <v>432</v>
      </c>
      <c r="J76" s="152" t="s">
        <v>156</v>
      </c>
      <c r="K76" s="152" t="s">
        <v>162</v>
      </c>
      <c r="L76" s="152"/>
      <c r="M76" s="155">
        <v>33.704623448275861</v>
      </c>
      <c r="N76" s="157">
        <v>26963.899802691703</v>
      </c>
      <c r="O76" s="156">
        <v>0.80000596488108888</v>
      </c>
      <c r="P76" s="152"/>
      <c r="Q76" s="170">
        <v>1</v>
      </c>
    </row>
    <row r="77" spans="1:17">
      <c r="A77" s="151">
        <v>274</v>
      </c>
      <c r="B77" s="152" t="s">
        <v>435</v>
      </c>
      <c r="C77" s="153">
        <v>1</v>
      </c>
      <c r="D77" s="154">
        <v>40475</v>
      </c>
      <c r="E77" s="152">
        <v>250</v>
      </c>
      <c r="F77" s="151" t="s">
        <v>196</v>
      </c>
      <c r="G77" s="152" t="s">
        <v>431</v>
      </c>
      <c r="H77" s="152" t="s">
        <v>148</v>
      </c>
      <c r="I77" s="152" t="s">
        <v>436</v>
      </c>
      <c r="J77" s="152" t="s">
        <v>156</v>
      </c>
      <c r="K77" s="152" t="s">
        <v>162</v>
      </c>
      <c r="L77" s="152"/>
      <c r="M77" s="155">
        <v>13.057299014778328</v>
      </c>
      <c r="N77" s="157">
        <v>12183.839243969358</v>
      </c>
      <c r="O77" s="156">
        <v>0.93310563158426685</v>
      </c>
      <c r="P77" s="152"/>
      <c r="Q77" s="170">
        <v>1</v>
      </c>
    </row>
    <row r="78" spans="1:17">
      <c r="A78" s="151">
        <v>274</v>
      </c>
      <c r="B78" s="152" t="s">
        <v>435</v>
      </c>
      <c r="C78" s="153">
        <v>2</v>
      </c>
      <c r="D78" s="154">
        <v>40588</v>
      </c>
      <c r="E78" s="152">
        <v>250</v>
      </c>
      <c r="F78" s="151" t="s">
        <v>196</v>
      </c>
      <c r="G78" s="152" t="s">
        <v>431</v>
      </c>
      <c r="H78" s="152" t="s">
        <v>148</v>
      </c>
      <c r="I78" s="152" t="s">
        <v>436</v>
      </c>
      <c r="J78" s="152" t="s">
        <v>156</v>
      </c>
      <c r="K78" s="152" t="s">
        <v>162</v>
      </c>
      <c r="L78" s="152"/>
      <c r="M78" s="155">
        <v>3.7188509852216751</v>
      </c>
      <c r="N78" s="157">
        <v>3470.0807973330443</v>
      </c>
      <c r="O78" s="156">
        <v>0.93310563158426685</v>
      </c>
      <c r="P78" s="152"/>
      <c r="Q78" s="170">
        <v>1</v>
      </c>
    </row>
    <row r="79" spans="1:17" ht="13.5" thickBot="1">
      <c r="A79" s="171" t="s">
        <v>442</v>
      </c>
      <c r="B79" s="172"/>
      <c r="C79" s="173"/>
      <c r="D79" s="174"/>
      <c r="E79" s="172"/>
      <c r="F79" s="173"/>
      <c r="G79" s="175"/>
      <c r="H79" s="175"/>
      <c r="I79" s="172"/>
      <c r="J79" s="172"/>
      <c r="K79" s="172"/>
      <c r="L79" s="172"/>
      <c r="M79" s="176">
        <f>SUM(M69:M78)</f>
        <v>4343.9438037190084</v>
      </c>
      <c r="N79" s="176">
        <f>SUM(N69:N78)</f>
        <v>1813857.725326539</v>
      </c>
      <c r="O79" s="177"/>
      <c r="P79" s="172"/>
      <c r="Q79" s="178"/>
    </row>
    <row r="80" spans="1:17">
      <c r="A80" s="278"/>
      <c r="B80" s="278"/>
      <c r="C80" s="278"/>
      <c r="D80" s="278"/>
      <c r="E80" s="278"/>
      <c r="F80" s="278"/>
      <c r="G80" s="278"/>
      <c r="H80" s="278"/>
      <c r="I80" s="278"/>
      <c r="J80" s="278"/>
      <c r="K80" s="278"/>
      <c r="L80" s="278"/>
      <c r="M80" s="278"/>
      <c r="N80" s="278"/>
      <c r="O80" s="278"/>
      <c r="P80" s="278"/>
      <c r="Q80" s="278"/>
    </row>
    <row r="81" spans="1:17">
      <c r="A81" s="279"/>
      <c r="B81" s="279"/>
      <c r="C81" s="279"/>
      <c r="D81" s="279"/>
      <c r="E81" s="279"/>
      <c r="F81" s="279"/>
      <c r="G81" s="279"/>
      <c r="H81" s="279"/>
      <c r="I81" s="279"/>
      <c r="J81" s="279"/>
      <c r="K81" s="279"/>
      <c r="L81" s="279"/>
      <c r="M81" s="279"/>
      <c r="N81" s="279"/>
      <c r="O81" s="279"/>
      <c r="P81" s="279"/>
      <c r="Q81" s="279"/>
    </row>
    <row r="82" spans="1:17" ht="13.5" thickBot="1">
      <c r="A82" s="279"/>
      <c r="B82" s="279"/>
      <c r="C82" s="279"/>
      <c r="D82" s="279"/>
      <c r="E82" s="279"/>
      <c r="F82" s="279"/>
      <c r="G82" s="279"/>
      <c r="H82" s="279"/>
      <c r="I82" s="279"/>
      <c r="J82" s="279"/>
      <c r="K82" s="279"/>
      <c r="L82" s="279"/>
      <c r="M82" s="279"/>
      <c r="N82" s="279"/>
      <c r="O82" s="279"/>
      <c r="P82" s="279"/>
      <c r="Q82" s="279"/>
    </row>
    <row r="83" spans="1:17" ht="78.75">
      <c r="A83" s="179" t="s">
        <v>407</v>
      </c>
      <c r="B83" s="180" t="s">
        <v>173</v>
      </c>
      <c r="C83" s="181" t="s">
        <v>172</v>
      </c>
      <c r="D83" s="182" t="s">
        <v>171</v>
      </c>
      <c r="E83" s="180" t="s">
        <v>408</v>
      </c>
      <c r="F83" s="180" t="s">
        <v>170</v>
      </c>
      <c r="G83" s="180" t="s">
        <v>148</v>
      </c>
      <c r="H83" s="180" t="s">
        <v>169</v>
      </c>
      <c r="I83" s="180" t="s">
        <v>168</v>
      </c>
      <c r="J83" s="180" t="s">
        <v>167</v>
      </c>
      <c r="K83" s="180" t="s">
        <v>166</v>
      </c>
      <c r="L83" s="180" t="s">
        <v>165</v>
      </c>
      <c r="M83" s="165" t="s">
        <v>409</v>
      </c>
      <c r="N83" s="165" t="s">
        <v>410</v>
      </c>
      <c r="O83" s="166" t="s">
        <v>411</v>
      </c>
      <c r="P83" s="167" t="s">
        <v>412</v>
      </c>
      <c r="Q83" s="168" t="s">
        <v>413</v>
      </c>
    </row>
    <row r="84" spans="1:17">
      <c r="A84" s="169">
        <v>164</v>
      </c>
      <c r="B84" s="152" t="s">
        <v>251</v>
      </c>
      <c r="C84" s="153">
        <v>2</v>
      </c>
      <c r="D84" s="154">
        <v>39808</v>
      </c>
      <c r="E84" s="152">
        <v>125</v>
      </c>
      <c r="F84" s="151" t="s">
        <v>196</v>
      </c>
      <c r="G84" s="152" t="s">
        <v>228</v>
      </c>
      <c r="H84" s="152" t="s">
        <v>148</v>
      </c>
      <c r="I84" s="152" t="s">
        <v>229</v>
      </c>
      <c r="J84" s="152" t="s">
        <v>156</v>
      </c>
      <c r="K84" s="152" t="s">
        <v>163</v>
      </c>
      <c r="L84" s="152" t="s">
        <v>157</v>
      </c>
      <c r="M84" s="156">
        <v>242.75</v>
      </c>
      <c r="N84" s="155">
        <v>472764.1013804251</v>
      </c>
      <c r="O84" s="156">
        <v>1.9475349181479917</v>
      </c>
      <c r="P84" s="152"/>
      <c r="Q84" s="170">
        <v>1</v>
      </c>
    </row>
    <row r="85" spans="1:17">
      <c r="A85" s="169">
        <v>179</v>
      </c>
      <c r="B85" s="152" t="s">
        <v>323</v>
      </c>
      <c r="C85" s="153">
        <v>4</v>
      </c>
      <c r="D85" s="154">
        <v>40166</v>
      </c>
      <c r="E85" s="152">
        <v>75</v>
      </c>
      <c r="F85" s="151" t="s">
        <v>196</v>
      </c>
      <c r="G85" s="152" t="s">
        <v>153</v>
      </c>
      <c r="H85" s="152" t="s">
        <v>148</v>
      </c>
      <c r="I85" s="152" t="s">
        <v>164</v>
      </c>
      <c r="J85" s="152" t="s">
        <v>156</v>
      </c>
      <c r="K85" s="152" t="s">
        <v>163</v>
      </c>
      <c r="L85" s="152" t="s">
        <v>157</v>
      </c>
      <c r="M85" s="157">
        <v>96.287999999999997</v>
      </c>
      <c r="N85" s="157">
        <v>197556.58367758288</v>
      </c>
      <c r="O85" s="156">
        <v>2.0517259022680179</v>
      </c>
      <c r="P85" s="152"/>
      <c r="Q85" s="170">
        <v>1</v>
      </c>
    </row>
    <row r="86" spans="1:17">
      <c r="A86" s="169">
        <v>184</v>
      </c>
      <c r="B86" s="152" t="s">
        <v>418</v>
      </c>
      <c r="C86" s="153">
        <v>3</v>
      </c>
      <c r="D86" s="154">
        <v>40280</v>
      </c>
      <c r="E86" s="152">
        <v>125</v>
      </c>
      <c r="F86" s="151" t="s">
        <v>196</v>
      </c>
      <c r="G86" s="152" t="s">
        <v>153</v>
      </c>
      <c r="H86" s="152" t="s">
        <v>146</v>
      </c>
      <c r="I86" s="152" t="s">
        <v>419</v>
      </c>
      <c r="J86" s="152" t="s">
        <v>156</v>
      </c>
      <c r="K86" s="152" t="s">
        <v>163</v>
      </c>
      <c r="L86" s="152" t="s">
        <v>157</v>
      </c>
      <c r="M86" s="157">
        <v>414.65876353068029</v>
      </c>
      <c r="N86" s="157">
        <v>528386.39634810458</v>
      </c>
      <c r="O86" s="156">
        <v>1.274268007382918</v>
      </c>
      <c r="P86" s="152"/>
      <c r="Q86" s="170">
        <v>1</v>
      </c>
    </row>
    <row r="87" spans="1:17">
      <c r="A87" s="169">
        <v>184</v>
      </c>
      <c r="B87" s="152" t="s">
        <v>418</v>
      </c>
      <c r="C87" s="153">
        <v>4</v>
      </c>
      <c r="D87" s="154">
        <v>40291</v>
      </c>
      <c r="E87" s="152">
        <v>125</v>
      </c>
      <c r="F87" s="151" t="s">
        <v>196</v>
      </c>
      <c r="G87" s="152" t="s">
        <v>153</v>
      </c>
      <c r="H87" s="152" t="s">
        <v>146</v>
      </c>
      <c r="I87" s="152" t="s">
        <v>419</v>
      </c>
      <c r="J87" s="152" t="s">
        <v>156</v>
      </c>
      <c r="K87" s="152" t="s">
        <v>163</v>
      </c>
      <c r="L87" s="152" t="s">
        <v>157</v>
      </c>
      <c r="M87" s="157">
        <v>340.96147521477451</v>
      </c>
      <c r="N87" s="157">
        <v>444551.11620275013</v>
      </c>
      <c r="O87" s="156">
        <v>1.3038162622997909</v>
      </c>
      <c r="P87" s="152"/>
      <c r="Q87" s="170">
        <v>1</v>
      </c>
    </row>
    <row r="88" spans="1:17">
      <c r="A88" s="169">
        <v>267</v>
      </c>
      <c r="B88" s="152" t="s">
        <v>334</v>
      </c>
      <c r="C88" s="153">
        <v>1</v>
      </c>
      <c r="D88" s="154">
        <v>40102</v>
      </c>
      <c r="E88" s="152">
        <v>135</v>
      </c>
      <c r="F88" s="151" t="s">
        <v>196</v>
      </c>
      <c r="G88" s="152" t="s">
        <v>228</v>
      </c>
      <c r="H88" s="152" t="s">
        <v>146</v>
      </c>
      <c r="I88" s="152" t="s">
        <v>335</v>
      </c>
      <c r="J88" s="152" t="s">
        <v>156</v>
      </c>
      <c r="K88" s="152" t="s">
        <v>163</v>
      </c>
      <c r="L88" s="152" t="s">
        <v>157</v>
      </c>
      <c r="M88" s="155">
        <v>445.95</v>
      </c>
      <c r="N88" s="155">
        <v>642810.16303790524</v>
      </c>
      <c r="O88" s="156">
        <v>1.4414399888729796</v>
      </c>
      <c r="P88" s="152"/>
      <c r="Q88" s="170">
        <v>1</v>
      </c>
    </row>
    <row r="89" spans="1:17">
      <c r="A89" s="169">
        <v>267</v>
      </c>
      <c r="B89" s="152" t="s">
        <v>334</v>
      </c>
      <c r="C89" s="153">
        <v>2</v>
      </c>
      <c r="D89" s="154">
        <v>40367</v>
      </c>
      <c r="E89" s="152">
        <v>135</v>
      </c>
      <c r="F89" s="151" t="s">
        <v>196</v>
      </c>
      <c r="G89" s="152" t="s">
        <v>228</v>
      </c>
      <c r="H89" s="152" t="s">
        <v>146</v>
      </c>
      <c r="I89" s="152" t="s">
        <v>335</v>
      </c>
      <c r="J89" s="152" t="s">
        <v>156</v>
      </c>
      <c r="K89" s="152" t="s">
        <v>163</v>
      </c>
      <c r="L89" s="152" t="s">
        <v>157</v>
      </c>
      <c r="M89" s="155">
        <v>379.27</v>
      </c>
      <c r="N89" s="157">
        <v>546694.94457985496</v>
      </c>
      <c r="O89" s="156">
        <v>1.4414399888729796</v>
      </c>
      <c r="P89" s="152"/>
      <c r="Q89" s="170">
        <v>1</v>
      </c>
    </row>
    <row r="90" spans="1:17">
      <c r="A90" s="169">
        <v>268</v>
      </c>
      <c r="B90" s="152" t="s">
        <v>423</v>
      </c>
      <c r="C90" s="153">
        <v>1</v>
      </c>
      <c r="D90" s="154">
        <v>40357</v>
      </c>
      <c r="E90" s="152">
        <v>125</v>
      </c>
      <c r="F90" s="151" t="s">
        <v>196</v>
      </c>
      <c r="G90" s="152" t="s">
        <v>228</v>
      </c>
      <c r="H90" s="152" t="s">
        <v>152</v>
      </c>
      <c r="I90" s="152" t="s">
        <v>424</v>
      </c>
      <c r="J90" s="152" t="s">
        <v>156</v>
      </c>
      <c r="K90" s="152" t="s">
        <v>163</v>
      </c>
      <c r="L90" s="152" t="s">
        <v>157</v>
      </c>
      <c r="M90" s="155">
        <v>103.28132675727571</v>
      </c>
      <c r="N90" s="157">
        <v>0</v>
      </c>
      <c r="O90" s="156">
        <v>0</v>
      </c>
      <c r="P90" s="152"/>
      <c r="Q90" s="170">
        <v>1</v>
      </c>
    </row>
    <row r="91" spans="1:17">
      <c r="A91" s="169">
        <v>268</v>
      </c>
      <c r="B91" s="152" t="s">
        <v>423</v>
      </c>
      <c r="C91" s="153">
        <v>2</v>
      </c>
      <c r="D91" s="154">
        <v>40568</v>
      </c>
      <c r="E91" s="152">
        <v>125</v>
      </c>
      <c r="F91" s="151" t="s">
        <v>196</v>
      </c>
      <c r="G91" s="152" t="s">
        <v>228</v>
      </c>
      <c r="H91" s="152" t="s">
        <v>152</v>
      </c>
      <c r="I91" s="152" t="s">
        <v>424</v>
      </c>
      <c r="J91" s="152" t="s">
        <v>156</v>
      </c>
      <c r="K91" s="152" t="s">
        <v>163</v>
      </c>
      <c r="L91" s="152" t="s">
        <v>157</v>
      </c>
      <c r="M91" s="155">
        <v>135.4286732427243</v>
      </c>
      <c r="N91" s="157">
        <v>0</v>
      </c>
      <c r="O91" s="156">
        <v>0</v>
      </c>
      <c r="P91" s="152"/>
      <c r="Q91" s="170">
        <v>1</v>
      </c>
    </row>
    <row r="92" spans="1:17" ht="13.5" thickBot="1">
      <c r="A92" s="171" t="s">
        <v>442</v>
      </c>
      <c r="B92" s="175"/>
      <c r="C92" s="183"/>
      <c r="D92" s="184"/>
      <c r="E92" s="175"/>
      <c r="F92" s="173"/>
      <c r="G92" s="175"/>
      <c r="H92" s="175"/>
      <c r="I92" s="175"/>
      <c r="J92" s="175"/>
      <c r="K92" s="175"/>
      <c r="L92" s="175"/>
      <c r="M92" s="185">
        <f>SUM(M84:M91)</f>
        <v>2158.5882387454549</v>
      </c>
      <c r="N92" s="185">
        <f>SUM(N84:N91)</f>
        <v>2832763.3052266226</v>
      </c>
      <c r="O92" s="186"/>
      <c r="P92" s="175"/>
      <c r="Q92" s="178"/>
    </row>
    <row r="93" spans="1:17">
      <c r="A93" s="281"/>
      <c r="B93" s="278"/>
      <c r="C93" s="278"/>
      <c r="D93" s="278"/>
      <c r="E93" s="278"/>
      <c r="F93" s="278"/>
      <c r="G93" s="278"/>
      <c r="H93" s="278"/>
      <c r="I93" s="278"/>
      <c r="J93" s="278"/>
      <c r="K93" s="278"/>
      <c r="L93" s="278"/>
      <c r="M93" s="278"/>
      <c r="N93" s="278"/>
      <c r="O93" s="278"/>
      <c r="P93" s="278"/>
      <c r="Q93" s="282"/>
    </row>
    <row r="94" spans="1:17">
      <c r="A94" s="283"/>
      <c r="B94" s="279"/>
      <c r="C94" s="279"/>
      <c r="D94" s="279"/>
      <c r="E94" s="279"/>
      <c r="F94" s="279"/>
      <c r="G94" s="279"/>
      <c r="H94" s="279"/>
      <c r="I94" s="279"/>
      <c r="J94" s="279"/>
      <c r="K94" s="279"/>
      <c r="L94" s="279"/>
      <c r="M94" s="279"/>
      <c r="N94" s="279"/>
      <c r="O94" s="279"/>
      <c r="P94" s="279"/>
      <c r="Q94" s="284"/>
    </row>
    <row r="95" spans="1:17" ht="13.5" thickBot="1">
      <c r="A95" s="283"/>
      <c r="B95" s="279"/>
      <c r="C95" s="279"/>
      <c r="D95" s="279"/>
      <c r="E95" s="279"/>
      <c r="F95" s="279"/>
      <c r="G95" s="279"/>
      <c r="H95" s="279"/>
      <c r="I95" s="279"/>
      <c r="J95" s="279"/>
      <c r="K95" s="279"/>
      <c r="L95" s="279"/>
      <c r="M95" s="279"/>
      <c r="N95" s="279"/>
      <c r="O95" s="279"/>
      <c r="P95" s="279"/>
      <c r="Q95" s="284"/>
    </row>
    <row r="96" spans="1:17" ht="78.75">
      <c r="A96" s="179" t="s">
        <v>407</v>
      </c>
      <c r="B96" s="180" t="s">
        <v>173</v>
      </c>
      <c r="C96" s="181" t="s">
        <v>172</v>
      </c>
      <c r="D96" s="182" t="s">
        <v>171</v>
      </c>
      <c r="E96" s="180" t="s">
        <v>408</v>
      </c>
      <c r="F96" s="180" t="s">
        <v>170</v>
      </c>
      <c r="G96" s="180" t="s">
        <v>148</v>
      </c>
      <c r="H96" s="180" t="s">
        <v>169</v>
      </c>
      <c r="I96" s="180" t="s">
        <v>168</v>
      </c>
      <c r="J96" s="180" t="s">
        <v>167</v>
      </c>
      <c r="K96" s="180" t="s">
        <v>166</v>
      </c>
      <c r="L96" s="180" t="s">
        <v>165</v>
      </c>
      <c r="M96" s="165" t="s">
        <v>409</v>
      </c>
      <c r="N96" s="165" t="s">
        <v>410</v>
      </c>
      <c r="O96" s="166" t="s">
        <v>411</v>
      </c>
      <c r="P96" s="167" t="s">
        <v>412</v>
      </c>
      <c r="Q96" s="168" t="s">
        <v>413</v>
      </c>
    </row>
    <row r="97" spans="1:17">
      <c r="A97" s="169">
        <v>211</v>
      </c>
      <c r="B97" s="152" t="s">
        <v>241</v>
      </c>
      <c r="C97" s="153">
        <v>8</v>
      </c>
      <c r="D97" s="154">
        <v>39383</v>
      </c>
      <c r="E97" s="152">
        <v>240</v>
      </c>
      <c r="F97" s="151" t="s">
        <v>196</v>
      </c>
      <c r="G97" s="152" t="s">
        <v>147</v>
      </c>
      <c r="H97" s="152" t="s">
        <v>146</v>
      </c>
      <c r="I97" s="152" t="s">
        <v>242</v>
      </c>
      <c r="J97" s="152" t="s">
        <v>156</v>
      </c>
      <c r="K97" s="152" t="s">
        <v>155</v>
      </c>
      <c r="L97" s="152" t="s">
        <v>162</v>
      </c>
      <c r="M97" s="156">
        <v>1431.83349</v>
      </c>
      <c r="N97" s="155">
        <v>851174.72663241962</v>
      </c>
      <c r="O97" s="156">
        <v>0.59446488196921532</v>
      </c>
      <c r="P97" s="152"/>
      <c r="Q97" s="170">
        <v>1</v>
      </c>
    </row>
    <row r="98" spans="1:17">
      <c r="A98" s="169">
        <v>211</v>
      </c>
      <c r="B98" s="152" t="s">
        <v>241</v>
      </c>
      <c r="C98" s="153">
        <v>9</v>
      </c>
      <c r="D98" s="154">
        <v>39383</v>
      </c>
      <c r="E98" s="152">
        <v>240</v>
      </c>
      <c r="F98" s="151" t="s">
        <v>196</v>
      </c>
      <c r="G98" s="152" t="s">
        <v>147</v>
      </c>
      <c r="H98" s="152" t="s">
        <v>146</v>
      </c>
      <c r="I98" s="152" t="s">
        <v>242</v>
      </c>
      <c r="J98" s="152" t="s">
        <v>156</v>
      </c>
      <c r="K98" s="152" t="s">
        <v>155</v>
      </c>
      <c r="L98" s="152" t="s">
        <v>162</v>
      </c>
      <c r="M98" s="156">
        <v>1356.2578799999999</v>
      </c>
      <c r="N98" s="155">
        <v>816128.79529091634</v>
      </c>
      <c r="O98" s="156">
        <v>0.60175045419158513</v>
      </c>
      <c r="P98" s="152"/>
      <c r="Q98" s="170">
        <v>1</v>
      </c>
    </row>
    <row r="99" spans="1:17">
      <c r="A99" s="169">
        <v>211</v>
      </c>
      <c r="B99" s="152" t="s">
        <v>241</v>
      </c>
      <c r="C99" s="153">
        <v>10</v>
      </c>
      <c r="D99" s="154">
        <v>39383</v>
      </c>
      <c r="E99" s="152">
        <v>260</v>
      </c>
      <c r="F99" s="151" t="s">
        <v>196</v>
      </c>
      <c r="G99" s="152" t="s">
        <v>147</v>
      </c>
      <c r="H99" s="152" t="s">
        <v>146</v>
      </c>
      <c r="I99" s="152" t="s">
        <v>242</v>
      </c>
      <c r="J99" s="152" t="s">
        <v>156</v>
      </c>
      <c r="K99" s="152" t="s">
        <v>155</v>
      </c>
      <c r="L99" s="152" t="s">
        <v>162</v>
      </c>
      <c r="M99" s="156">
        <v>1666.7121999999999</v>
      </c>
      <c r="N99" s="155">
        <v>0</v>
      </c>
      <c r="O99" s="156">
        <v>0</v>
      </c>
      <c r="P99" s="152"/>
      <c r="Q99" s="170">
        <v>1</v>
      </c>
    </row>
    <row r="100" spans="1:17" ht="13.5" thickBot="1">
      <c r="A100" s="171" t="s">
        <v>267</v>
      </c>
      <c r="B100" s="175"/>
      <c r="C100" s="183"/>
      <c r="D100" s="184"/>
      <c r="E100" s="175"/>
      <c r="F100" s="173"/>
      <c r="G100" s="175"/>
      <c r="H100" s="175"/>
      <c r="I100" s="175"/>
      <c r="J100" s="175"/>
      <c r="K100" s="175"/>
      <c r="L100" s="175"/>
      <c r="M100" s="186">
        <f>SUM(M97:M99)</f>
        <v>4454.80357</v>
      </c>
      <c r="N100" s="186">
        <f>SUM(N97:N99)</f>
        <v>1667303.521923336</v>
      </c>
      <c r="O100" s="186"/>
      <c r="P100" s="175"/>
      <c r="Q100" s="178"/>
    </row>
    <row r="101" spans="1:17">
      <c r="A101" s="281"/>
      <c r="B101" s="278"/>
      <c r="C101" s="278"/>
      <c r="D101" s="278"/>
      <c r="E101" s="278"/>
      <c r="F101" s="278"/>
      <c r="G101" s="278"/>
      <c r="H101" s="278"/>
      <c r="I101" s="278"/>
      <c r="J101" s="278"/>
      <c r="K101" s="278"/>
      <c r="L101" s="278"/>
      <c r="M101" s="278"/>
      <c r="N101" s="278"/>
      <c r="O101" s="278"/>
      <c r="P101" s="278"/>
      <c r="Q101" s="282"/>
    </row>
    <row r="102" spans="1:17">
      <c r="A102" s="283"/>
      <c r="B102" s="279"/>
      <c r="C102" s="279"/>
      <c r="D102" s="279"/>
      <c r="E102" s="279"/>
      <c r="F102" s="279"/>
      <c r="G102" s="279"/>
      <c r="H102" s="279"/>
      <c r="I102" s="279"/>
      <c r="J102" s="279"/>
      <c r="K102" s="279"/>
      <c r="L102" s="279"/>
      <c r="M102" s="279"/>
      <c r="N102" s="279"/>
      <c r="O102" s="279"/>
      <c r="P102" s="279"/>
      <c r="Q102" s="284"/>
    </row>
    <row r="103" spans="1:17" ht="13.5" thickBot="1">
      <c r="A103" s="283"/>
      <c r="B103" s="279"/>
      <c r="C103" s="279"/>
      <c r="D103" s="279"/>
      <c r="E103" s="279"/>
      <c r="F103" s="279"/>
      <c r="G103" s="279"/>
      <c r="H103" s="279"/>
      <c r="I103" s="279"/>
      <c r="J103" s="279"/>
      <c r="K103" s="279"/>
      <c r="L103" s="279"/>
      <c r="M103" s="279"/>
      <c r="N103" s="279"/>
      <c r="O103" s="279"/>
      <c r="P103" s="279"/>
      <c r="Q103" s="284"/>
    </row>
    <row r="104" spans="1:17" ht="78.75">
      <c r="A104" s="179" t="s">
        <v>407</v>
      </c>
      <c r="B104" s="180" t="s">
        <v>173</v>
      </c>
      <c r="C104" s="181" t="s">
        <v>172</v>
      </c>
      <c r="D104" s="182" t="s">
        <v>171</v>
      </c>
      <c r="E104" s="180" t="s">
        <v>408</v>
      </c>
      <c r="F104" s="180" t="s">
        <v>170</v>
      </c>
      <c r="G104" s="180" t="s">
        <v>148</v>
      </c>
      <c r="H104" s="180" t="s">
        <v>169</v>
      </c>
      <c r="I104" s="180" t="s">
        <v>168</v>
      </c>
      <c r="J104" s="180" t="s">
        <v>167</v>
      </c>
      <c r="K104" s="180" t="s">
        <v>166</v>
      </c>
      <c r="L104" s="180" t="s">
        <v>165</v>
      </c>
      <c r="M104" s="165" t="s">
        <v>409</v>
      </c>
      <c r="N104" s="165" t="s">
        <v>410</v>
      </c>
      <c r="O104" s="166" t="s">
        <v>411</v>
      </c>
      <c r="P104" s="167" t="s">
        <v>412</v>
      </c>
      <c r="Q104" s="168" t="s">
        <v>413</v>
      </c>
    </row>
    <row r="105" spans="1:17">
      <c r="A105" s="169">
        <v>87</v>
      </c>
      <c r="B105" s="152" t="s">
        <v>320</v>
      </c>
      <c r="C105" s="153">
        <v>5</v>
      </c>
      <c r="D105" s="154">
        <v>40213</v>
      </c>
      <c r="E105" s="152">
        <v>220</v>
      </c>
      <c r="F105" s="151" t="s">
        <v>196</v>
      </c>
      <c r="G105" s="152" t="s">
        <v>228</v>
      </c>
      <c r="H105" s="152" t="s">
        <v>152</v>
      </c>
      <c r="I105" s="152" t="s">
        <v>318</v>
      </c>
      <c r="J105" s="152" t="s">
        <v>319</v>
      </c>
      <c r="K105" s="152" t="s">
        <v>319</v>
      </c>
      <c r="L105" s="152"/>
      <c r="M105" s="158">
        <v>1006.4068715079796</v>
      </c>
      <c r="N105" s="157">
        <v>0</v>
      </c>
      <c r="O105" s="156">
        <v>0</v>
      </c>
      <c r="P105" s="152"/>
      <c r="Q105" s="170">
        <v>1</v>
      </c>
    </row>
    <row r="106" spans="1:17">
      <c r="A106" s="169">
        <v>87</v>
      </c>
      <c r="B106" s="152" t="s">
        <v>320</v>
      </c>
      <c r="C106" s="153">
        <v>6</v>
      </c>
      <c r="D106" s="154">
        <v>40268</v>
      </c>
      <c r="E106" s="152">
        <v>220</v>
      </c>
      <c r="F106" s="151" t="s">
        <v>196</v>
      </c>
      <c r="G106" s="152" t="s">
        <v>228</v>
      </c>
      <c r="H106" s="152" t="s">
        <v>152</v>
      </c>
      <c r="I106" s="152" t="s">
        <v>318</v>
      </c>
      <c r="J106" s="152" t="s">
        <v>319</v>
      </c>
      <c r="K106" s="152" t="s">
        <v>319</v>
      </c>
      <c r="L106" s="152"/>
      <c r="M106" s="158">
        <v>1006.4068715079796</v>
      </c>
      <c r="N106" s="157">
        <v>0</v>
      </c>
      <c r="O106" s="156">
        <v>0</v>
      </c>
      <c r="P106" s="152"/>
      <c r="Q106" s="170">
        <v>1</v>
      </c>
    </row>
    <row r="107" spans="1:17" ht="13.5" thickBot="1">
      <c r="A107" s="171" t="s">
        <v>267</v>
      </c>
      <c r="B107" s="175"/>
      <c r="C107" s="183"/>
      <c r="D107" s="184"/>
      <c r="E107" s="175"/>
      <c r="F107" s="173"/>
      <c r="G107" s="175"/>
      <c r="H107" s="175"/>
      <c r="I107" s="175"/>
      <c r="J107" s="175"/>
      <c r="K107" s="175"/>
      <c r="L107" s="175"/>
      <c r="M107" s="185">
        <f>SUM(M105:M106)</f>
        <v>2012.8137430159593</v>
      </c>
      <c r="N107" s="185">
        <f>SUM(N105:N106)</f>
        <v>0</v>
      </c>
      <c r="O107" s="186"/>
      <c r="P107" s="175"/>
      <c r="Q107" s="178"/>
    </row>
    <row r="108" spans="1:17">
      <c r="A108" s="283"/>
      <c r="B108" s="279"/>
      <c r="C108" s="279"/>
      <c r="D108" s="279"/>
      <c r="E108" s="279"/>
      <c r="F108" s="279"/>
      <c r="G108" s="279"/>
      <c r="H108" s="279"/>
      <c r="I108" s="279"/>
      <c r="J108" s="279"/>
      <c r="K108" s="279"/>
      <c r="L108" s="279"/>
      <c r="M108" s="279"/>
      <c r="N108" s="279"/>
      <c r="O108" s="279"/>
      <c r="P108" s="279"/>
      <c r="Q108" s="284"/>
    </row>
    <row r="109" spans="1:17">
      <c r="A109" s="283"/>
      <c r="B109" s="279"/>
      <c r="C109" s="279"/>
      <c r="D109" s="279"/>
      <c r="E109" s="279"/>
      <c r="F109" s="279"/>
      <c r="G109" s="279"/>
      <c r="H109" s="279"/>
      <c r="I109" s="279"/>
      <c r="J109" s="279"/>
      <c r="K109" s="279"/>
      <c r="L109" s="279"/>
      <c r="M109" s="279"/>
      <c r="N109" s="279"/>
      <c r="O109" s="279"/>
      <c r="P109" s="279"/>
      <c r="Q109" s="284"/>
    </row>
    <row r="110" spans="1:17" ht="13.5" thickBot="1">
      <c r="A110" s="283"/>
      <c r="B110" s="279"/>
      <c r="C110" s="279"/>
      <c r="D110" s="279"/>
      <c r="E110" s="279"/>
      <c r="F110" s="279"/>
      <c r="G110" s="279"/>
      <c r="H110" s="279"/>
      <c r="I110" s="279"/>
      <c r="J110" s="279"/>
      <c r="K110" s="279"/>
      <c r="L110" s="279"/>
      <c r="M110" s="279"/>
      <c r="N110" s="279"/>
      <c r="O110" s="279"/>
      <c r="P110" s="279"/>
      <c r="Q110" s="284"/>
    </row>
    <row r="111" spans="1:17" ht="78.75">
      <c r="A111" s="161" t="s">
        <v>407</v>
      </c>
      <c r="B111" s="162" t="s">
        <v>173</v>
      </c>
      <c r="C111" s="163" t="s">
        <v>172</v>
      </c>
      <c r="D111" s="164" t="s">
        <v>171</v>
      </c>
      <c r="E111" s="162" t="s">
        <v>408</v>
      </c>
      <c r="F111" s="162" t="s">
        <v>170</v>
      </c>
      <c r="G111" s="162" t="s">
        <v>148</v>
      </c>
      <c r="H111" s="162" t="s">
        <v>169</v>
      </c>
      <c r="I111" s="162" t="s">
        <v>168</v>
      </c>
      <c r="J111" s="162" t="s">
        <v>167</v>
      </c>
      <c r="K111" s="162" t="s">
        <v>166</v>
      </c>
      <c r="L111" s="162" t="s">
        <v>165</v>
      </c>
      <c r="M111" s="165" t="s">
        <v>409</v>
      </c>
      <c r="N111" s="165" t="s">
        <v>410</v>
      </c>
      <c r="O111" s="166" t="s">
        <v>411</v>
      </c>
      <c r="P111" s="167" t="s">
        <v>412</v>
      </c>
      <c r="Q111" s="168" t="s">
        <v>413</v>
      </c>
    </row>
    <row r="112" spans="1:17">
      <c r="A112" s="169">
        <v>35</v>
      </c>
      <c r="B112" s="152" t="s">
        <v>219</v>
      </c>
      <c r="C112" s="153">
        <v>7</v>
      </c>
      <c r="D112" s="154">
        <v>39452</v>
      </c>
      <c r="E112" s="152">
        <v>75</v>
      </c>
      <c r="F112" s="151" t="s">
        <v>196</v>
      </c>
      <c r="G112" s="152" t="s">
        <v>220</v>
      </c>
      <c r="H112" s="152" t="s">
        <v>148</v>
      </c>
      <c r="I112" s="152" t="s">
        <v>221</v>
      </c>
      <c r="J112" s="152" t="s">
        <v>145</v>
      </c>
      <c r="K112" s="152"/>
      <c r="L112" s="152"/>
      <c r="M112" s="156">
        <v>187.97305882352944</v>
      </c>
      <c r="N112" s="157">
        <v>0</v>
      </c>
      <c r="O112" s="156">
        <v>0</v>
      </c>
      <c r="P112" s="152"/>
      <c r="Q112" s="170">
        <v>1</v>
      </c>
    </row>
    <row r="113" spans="1:17">
      <c r="A113" s="169">
        <v>35</v>
      </c>
      <c r="B113" s="152" t="s">
        <v>219</v>
      </c>
      <c r="C113" s="153">
        <v>8</v>
      </c>
      <c r="D113" s="154">
        <v>39534</v>
      </c>
      <c r="E113" s="152">
        <v>75</v>
      </c>
      <c r="F113" s="151" t="s">
        <v>196</v>
      </c>
      <c r="G113" s="152" t="s">
        <v>220</v>
      </c>
      <c r="H113" s="152" t="s">
        <v>148</v>
      </c>
      <c r="I113" s="152" t="s">
        <v>221</v>
      </c>
      <c r="J113" s="152" t="s">
        <v>145</v>
      </c>
      <c r="K113" s="152"/>
      <c r="L113" s="152"/>
      <c r="M113" s="156">
        <v>187.97305882352944</v>
      </c>
      <c r="N113" s="157">
        <v>0</v>
      </c>
      <c r="O113" s="156">
        <v>0</v>
      </c>
      <c r="P113" s="152"/>
      <c r="Q113" s="170">
        <v>1</v>
      </c>
    </row>
    <row r="114" spans="1:17">
      <c r="A114" s="169">
        <v>47</v>
      </c>
      <c r="B114" s="152" t="s">
        <v>216</v>
      </c>
      <c r="C114" s="153">
        <v>1</v>
      </c>
      <c r="D114" s="154">
        <v>39535</v>
      </c>
      <c r="E114" s="152">
        <v>170</v>
      </c>
      <c r="F114" s="151" t="s">
        <v>196</v>
      </c>
      <c r="G114" s="152" t="s">
        <v>217</v>
      </c>
      <c r="H114" s="152" t="s">
        <v>152</v>
      </c>
      <c r="I114" s="152" t="s">
        <v>218</v>
      </c>
      <c r="J114" s="152" t="s">
        <v>145</v>
      </c>
      <c r="K114" s="152"/>
      <c r="L114" s="152"/>
      <c r="M114" s="156">
        <v>870.37956666666662</v>
      </c>
      <c r="N114" s="157">
        <v>0</v>
      </c>
      <c r="O114" s="156">
        <v>0</v>
      </c>
      <c r="P114" s="152"/>
      <c r="Q114" s="170">
        <v>1</v>
      </c>
    </row>
    <row r="115" spans="1:17">
      <c r="A115" s="169">
        <v>47</v>
      </c>
      <c r="B115" s="152" t="s">
        <v>216</v>
      </c>
      <c r="C115" s="153">
        <v>2</v>
      </c>
      <c r="D115" s="154">
        <v>39484</v>
      </c>
      <c r="E115" s="152">
        <v>170</v>
      </c>
      <c r="F115" s="151" t="s">
        <v>196</v>
      </c>
      <c r="G115" s="152" t="s">
        <v>217</v>
      </c>
      <c r="H115" s="152" t="s">
        <v>152</v>
      </c>
      <c r="I115" s="152" t="s">
        <v>218</v>
      </c>
      <c r="J115" s="152" t="s">
        <v>145</v>
      </c>
      <c r="K115" s="152"/>
      <c r="L115" s="152"/>
      <c r="M115" s="156">
        <v>870.37956666666662</v>
      </c>
      <c r="N115" s="157">
        <v>0</v>
      </c>
      <c r="O115" s="156">
        <v>0</v>
      </c>
      <c r="P115" s="152"/>
      <c r="Q115" s="170">
        <v>1</v>
      </c>
    </row>
    <row r="116" spans="1:17">
      <c r="A116" s="169">
        <v>47</v>
      </c>
      <c r="B116" s="152" t="s">
        <v>216</v>
      </c>
      <c r="C116" s="153">
        <v>3</v>
      </c>
      <c r="D116" s="154">
        <v>39527</v>
      </c>
      <c r="E116" s="152">
        <v>170</v>
      </c>
      <c r="F116" s="151" t="s">
        <v>196</v>
      </c>
      <c r="G116" s="152" t="s">
        <v>217</v>
      </c>
      <c r="H116" s="152" t="s">
        <v>152</v>
      </c>
      <c r="I116" s="152" t="s">
        <v>218</v>
      </c>
      <c r="J116" s="152" t="s">
        <v>145</v>
      </c>
      <c r="K116" s="152"/>
      <c r="L116" s="152"/>
      <c r="M116" s="156">
        <v>870.37956666666662</v>
      </c>
      <c r="N116" s="157">
        <v>0</v>
      </c>
      <c r="O116" s="156">
        <v>0</v>
      </c>
      <c r="P116" s="152"/>
      <c r="Q116" s="170">
        <v>1</v>
      </c>
    </row>
    <row r="117" spans="1:17">
      <c r="A117" s="169">
        <v>49</v>
      </c>
      <c r="B117" s="152" t="s">
        <v>234</v>
      </c>
      <c r="C117" s="153">
        <v>1</v>
      </c>
      <c r="D117" s="154">
        <v>39281</v>
      </c>
      <c r="E117" s="152">
        <v>225</v>
      </c>
      <c r="F117" s="151" t="s">
        <v>196</v>
      </c>
      <c r="G117" s="152" t="s">
        <v>205</v>
      </c>
      <c r="H117" s="152" t="s">
        <v>148</v>
      </c>
      <c r="I117" s="152" t="s">
        <v>235</v>
      </c>
      <c r="J117" s="152" t="s">
        <v>145</v>
      </c>
      <c r="K117" s="152"/>
      <c r="L117" s="152"/>
      <c r="M117" s="156">
        <v>218.61891249999999</v>
      </c>
      <c r="N117" s="157">
        <v>0</v>
      </c>
      <c r="O117" s="156">
        <v>0</v>
      </c>
      <c r="P117" s="152"/>
      <c r="Q117" s="170">
        <v>1</v>
      </c>
    </row>
    <row r="118" spans="1:17">
      <c r="A118" s="169">
        <v>49</v>
      </c>
      <c r="B118" s="152" t="s">
        <v>234</v>
      </c>
      <c r="C118" s="153">
        <v>2</v>
      </c>
      <c r="D118" s="154">
        <v>39409</v>
      </c>
      <c r="E118" s="152">
        <v>225</v>
      </c>
      <c r="F118" s="151" t="s">
        <v>196</v>
      </c>
      <c r="G118" s="152" t="s">
        <v>205</v>
      </c>
      <c r="H118" s="152" t="s">
        <v>148</v>
      </c>
      <c r="I118" s="152" t="s">
        <v>235</v>
      </c>
      <c r="J118" s="152" t="s">
        <v>145</v>
      </c>
      <c r="K118" s="152"/>
      <c r="L118" s="152"/>
      <c r="M118" s="156">
        <v>218.61891249999999</v>
      </c>
      <c r="N118" s="157">
        <v>0</v>
      </c>
      <c r="O118" s="156">
        <v>0</v>
      </c>
      <c r="P118" s="152"/>
      <c r="Q118" s="170">
        <v>1</v>
      </c>
    </row>
    <row r="119" spans="1:17">
      <c r="A119" s="169">
        <v>49</v>
      </c>
      <c r="B119" s="152" t="s">
        <v>234</v>
      </c>
      <c r="C119" s="153">
        <v>3</v>
      </c>
      <c r="D119" s="154">
        <v>39321</v>
      </c>
      <c r="E119" s="152">
        <v>225</v>
      </c>
      <c r="F119" s="151" t="s">
        <v>196</v>
      </c>
      <c r="G119" s="152" t="s">
        <v>205</v>
      </c>
      <c r="H119" s="152" t="s">
        <v>148</v>
      </c>
      <c r="I119" s="152" t="s">
        <v>235</v>
      </c>
      <c r="J119" s="152" t="s">
        <v>145</v>
      </c>
      <c r="K119" s="152"/>
      <c r="L119" s="152"/>
      <c r="M119" s="156">
        <v>218.61891249999999</v>
      </c>
      <c r="N119" s="157">
        <v>0</v>
      </c>
      <c r="O119" s="156">
        <v>0</v>
      </c>
      <c r="P119" s="152"/>
      <c r="Q119" s="170">
        <v>1</v>
      </c>
    </row>
    <row r="120" spans="1:17">
      <c r="A120" s="169">
        <v>49</v>
      </c>
      <c r="B120" s="152" t="s">
        <v>234</v>
      </c>
      <c r="C120" s="153">
        <v>4</v>
      </c>
      <c r="D120" s="154">
        <v>39281</v>
      </c>
      <c r="E120" s="152">
        <v>225</v>
      </c>
      <c r="F120" s="151" t="s">
        <v>196</v>
      </c>
      <c r="G120" s="152" t="s">
        <v>205</v>
      </c>
      <c r="H120" s="152" t="s">
        <v>148</v>
      </c>
      <c r="I120" s="152" t="s">
        <v>235</v>
      </c>
      <c r="J120" s="152" t="s">
        <v>145</v>
      </c>
      <c r="K120" s="152"/>
      <c r="L120" s="152"/>
      <c r="M120" s="156">
        <v>218.61891249999999</v>
      </c>
      <c r="N120" s="157">
        <v>0</v>
      </c>
      <c r="O120" s="156">
        <v>0</v>
      </c>
      <c r="P120" s="152"/>
      <c r="Q120" s="170">
        <v>1</v>
      </c>
    </row>
    <row r="121" spans="1:17">
      <c r="A121" s="169">
        <v>73</v>
      </c>
      <c r="B121" s="152" t="s">
        <v>246</v>
      </c>
      <c r="C121" s="153">
        <v>2</v>
      </c>
      <c r="D121" s="154">
        <v>39161</v>
      </c>
      <c r="E121" s="152">
        <v>50</v>
      </c>
      <c r="F121" s="151" t="s">
        <v>196</v>
      </c>
      <c r="G121" s="152" t="s">
        <v>247</v>
      </c>
      <c r="H121" s="152" t="s">
        <v>148</v>
      </c>
      <c r="I121" s="152" t="s">
        <v>248</v>
      </c>
      <c r="J121" s="152" t="s">
        <v>145</v>
      </c>
      <c r="K121" s="152"/>
      <c r="L121" s="152"/>
      <c r="M121" s="156">
        <v>202.37304999999998</v>
      </c>
      <c r="N121" s="157">
        <v>0</v>
      </c>
      <c r="O121" s="156">
        <v>0</v>
      </c>
      <c r="P121" s="152"/>
      <c r="Q121" s="170">
        <v>1</v>
      </c>
    </row>
    <row r="122" spans="1:17">
      <c r="A122" s="169">
        <v>157</v>
      </c>
      <c r="B122" s="152" t="s">
        <v>224</v>
      </c>
      <c r="C122" s="153">
        <v>4</v>
      </c>
      <c r="D122" s="154">
        <v>39468</v>
      </c>
      <c r="E122" s="152">
        <v>76</v>
      </c>
      <c r="F122" s="151" t="s">
        <v>196</v>
      </c>
      <c r="G122" s="152" t="s">
        <v>225</v>
      </c>
      <c r="H122" s="152" t="s">
        <v>148</v>
      </c>
      <c r="I122" s="152" t="s">
        <v>226</v>
      </c>
      <c r="J122" s="152" t="s">
        <v>145</v>
      </c>
      <c r="K122" s="152"/>
      <c r="L122" s="152"/>
      <c r="M122" s="158">
        <v>353.2183329949238</v>
      </c>
      <c r="N122" s="157">
        <v>0</v>
      </c>
      <c r="O122" s="156">
        <v>0</v>
      </c>
      <c r="P122" s="152"/>
      <c r="Q122" s="170">
        <v>1</v>
      </c>
    </row>
    <row r="123" spans="1:17">
      <c r="A123" s="169">
        <v>157</v>
      </c>
      <c r="B123" s="152" t="s">
        <v>224</v>
      </c>
      <c r="C123" s="153">
        <v>5</v>
      </c>
      <c r="D123" s="154">
        <v>39517</v>
      </c>
      <c r="E123" s="152">
        <v>76</v>
      </c>
      <c r="F123" s="151" t="s">
        <v>196</v>
      </c>
      <c r="G123" s="152" t="s">
        <v>225</v>
      </c>
      <c r="H123" s="152" t="s">
        <v>148</v>
      </c>
      <c r="I123" s="152" t="s">
        <v>226</v>
      </c>
      <c r="J123" s="152" t="s">
        <v>145</v>
      </c>
      <c r="K123" s="152"/>
      <c r="L123" s="152"/>
      <c r="M123" s="158">
        <v>353.2183329949238</v>
      </c>
      <c r="N123" s="157">
        <v>0</v>
      </c>
      <c r="O123" s="156">
        <v>0</v>
      </c>
      <c r="P123" s="152"/>
      <c r="Q123" s="170">
        <v>1</v>
      </c>
    </row>
    <row r="124" spans="1:17">
      <c r="A124" s="169">
        <v>157</v>
      </c>
      <c r="B124" s="152" t="s">
        <v>224</v>
      </c>
      <c r="C124" s="153">
        <v>6</v>
      </c>
      <c r="D124" s="154">
        <v>39472</v>
      </c>
      <c r="E124" s="152">
        <v>76</v>
      </c>
      <c r="F124" s="151" t="s">
        <v>196</v>
      </c>
      <c r="G124" s="152" t="s">
        <v>225</v>
      </c>
      <c r="H124" s="152" t="s">
        <v>148</v>
      </c>
      <c r="I124" s="152" t="s">
        <v>226</v>
      </c>
      <c r="J124" s="152" t="s">
        <v>145</v>
      </c>
      <c r="K124" s="152"/>
      <c r="L124" s="152"/>
      <c r="M124" s="158">
        <v>353.2183329949238</v>
      </c>
      <c r="N124" s="157">
        <v>0</v>
      </c>
      <c r="O124" s="156">
        <v>0</v>
      </c>
      <c r="P124" s="152"/>
      <c r="Q124" s="170">
        <v>1</v>
      </c>
    </row>
    <row r="125" spans="1:17">
      <c r="A125" s="169">
        <v>157</v>
      </c>
      <c r="B125" s="152" t="s">
        <v>224</v>
      </c>
      <c r="C125" s="153">
        <v>7</v>
      </c>
      <c r="D125" s="154">
        <v>39463</v>
      </c>
      <c r="E125" s="152">
        <v>76</v>
      </c>
      <c r="F125" s="151" t="s">
        <v>196</v>
      </c>
      <c r="G125" s="152" t="s">
        <v>225</v>
      </c>
      <c r="H125" s="152" t="s">
        <v>148</v>
      </c>
      <c r="I125" s="152" t="s">
        <v>226</v>
      </c>
      <c r="J125" s="152" t="s">
        <v>145</v>
      </c>
      <c r="K125" s="152"/>
      <c r="L125" s="152"/>
      <c r="M125" s="158">
        <v>353.2183329949238</v>
      </c>
      <c r="N125" s="157">
        <v>0</v>
      </c>
      <c r="O125" s="156">
        <v>0</v>
      </c>
      <c r="P125" s="152"/>
      <c r="Q125" s="170">
        <v>1</v>
      </c>
    </row>
    <row r="126" spans="1:17">
      <c r="A126" s="169">
        <v>166</v>
      </c>
      <c r="B126" s="152" t="s">
        <v>245</v>
      </c>
      <c r="C126" s="153">
        <v>1</v>
      </c>
      <c r="D126" s="154">
        <v>39167</v>
      </c>
      <c r="E126" s="152">
        <v>130</v>
      </c>
      <c r="F126" s="151" t="s">
        <v>196</v>
      </c>
      <c r="G126" s="152" t="s">
        <v>199</v>
      </c>
      <c r="H126" s="152" t="s">
        <v>152</v>
      </c>
      <c r="I126" s="152" t="s">
        <v>218</v>
      </c>
      <c r="J126" s="152" t="s">
        <v>145</v>
      </c>
      <c r="K126" s="152"/>
      <c r="L126" s="152"/>
      <c r="M126" s="158">
        <v>740.76755000000003</v>
      </c>
      <c r="N126" s="157">
        <v>0</v>
      </c>
      <c r="O126" s="156">
        <v>0</v>
      </c>
      <c r="P126" s="152"/>
      <c r="Q126" s="170">
        <v>1</v>
      </c>
    </row>
    <row r="127" spans="1:17">
      <c r="A127" s="169">
        <v>166</v>
      </c>
      <c r="B127" s="152" t="s">
        <v>245</v>
      </c>
      <c r="C127" s="153">
        <v>3</v>
      </c>
      <c r="D127" s="154">
        <v>39159</v>
      </c>
      <c r="E127" s="152">
        <v>130</v>
      </c>
      <c r="F127" s="151" t="s">
        <v>196</v>
      </c>
      <c r="G127" s="152" t="s">
        <v>199</v>
      </c>
      <c r="H127" s="152" t="s">
        <v>152</v>
      </c>
      <c r="I127" s="152" t="s">
        <v>218</v>
      </c>
      <c r="J127" s="152" t="s">
        <v>145</v>
      </c>
      <c r="K127" s="152"/>
      <c r="L127" s="152"/>
      <c r="M127" s="158">
        <v>740.76755000000003</v>
      </c>
      <c r="N127" s="157">
        <v>0</v>
      </c>
      <c r="O127" s="156">
        <v>0</v>
      </c>
      <c r="P127" s="152"/>
      <c r="Q127" s="170">
        <v>1</v>
      </c>
    </row>
    <row r="128" spans="1:17">
      <c r="A128" s="169">
        <v>168</v>
      </c>
      <c r="B128" s="152" t="s">
        <v>249</v>
      </c>
      <c r="C128" s="153">
        <v>1</v>
      </c>
      <c r="D128" s="154">
        <v>39160</v>
      </c>
      <c r="E128" s="152">
        <v>250</v>
      </c>
      <c r="F128" s="151" t="s">
        <v>196</v>
      </c>
      <c r="G128" s="152" t="s">
        <v>225</v>
      </c>
      <c r="H128" s="152" t="s">
        <v>152</v>
      </c>
      <c r="I128" s="152" t="s">
        <v>250</v>
      </c>
      <c r="J128" s="152" t="s">
        <v>145</v>
      </c>
      <c r="K128" s="152"/>
      <c r="L128" s="152"/>
      <c r="M128" s="158">
        <v>775.11246249999999</v>
      </c>
      <c r="N128" s="157">
        <v>0</v>
      </c>
      <c r="O128" s="156">
        <v>0</v>
      </c>
      <c r="P128" s="152"/>
      <c r="Q128" s="170">
        <v>1</v>
      </c>
    </row>
    <row r="129" spans="1:17">
      <c r="A129" s="169">
        <v>255</v>
      </c>
      <c r="B129" s="152" t="s">
        <v>240</v>
      </c>
      <c r="C129" s="153">
        <v>1</v>
      </c>
      <c r="D129" s="154">
        <v>39284</v>
      </c>
      <c r="E129" s="152">
        <v>65</v>
      </c>
      <c r="F129" s="151" t="s">
        <v>196</v>
      </c>
      <c r="G129" s="152" t="s">
        <v>149</v>
      </c>
      <c r="H129" s="152" t="s">
        <v>148</v>
      </c>
      <c r="I129" s="152" t="s">
        <v>151</v>
      </c>
      <c r="J129" s="152" t="s">
        <v>145</v>
      </c>
      <c r="K129" s="152"/>
      <c r="L129" s="152"/>
      <c r="M129" s="158">
        <v>124.36878125000001</v>
      </c>
      <c r="N129" s="155">
        <v>0</v>
      </c>
      <c r="O129" s="156">
        <v>0</v>
      </c>
      <c r="P129" s="160"/>
      <c r="Q129" s="170">
        <v>1</v>
      </c>
    </row>
    <row r="130" spans="1:17">
      <c r="A130" s="169">
        <v>255</v>
      </c>
      <c r="B130" s="152" t="s">
        <v>240</v>
      </c>
      <c r="C130" s="153">
        <v>2</v>
      </c>
      <c r="D130" s="154">
        <v>39303</v>
      </c>
      <c r="E130" s="152">
        <v>65</v>
      </c>
      <c r="F130" s="151" t="s">
        <v>196</v>
      </c>
      <c r="G130" s="152" t="s">
        <v>149</v>
      </c>
      <c r="H130" s="152" t="s">
        <v>148</v>
      </c>
      <c r="I130" s="152" t="s">
        <v>151</v>
      </c>
      <c r="J130" s="152" t="s">
        <v>145</v>
      </c>
      <c r="K130" s="152"/>
      <c r="L130" s="152"/>
      <c r="M130" s="158">
        <v>124.36878125000001</v>
      </c>
      <c r="N130" s="155">
        <v>0</v>
      </c>
      <c r="O130" s="156">
        <v>0</v>
      </c>
      <c r="P130" s="160"/>
      <c r="Q130" s="170">
        <v>1</v>
      </c>
    </row>
    <row r="131" spans="1:17">
      <c r="A131" s="169">
        <v>255</v>
      </c>
      <c r="B131" s="152" t="s">
        <v>240</v>
      </c>
      <c r="C131" s="153">
        <v>3</v>
      </c>
      <c r="D131" s="154">
        <v>39323</v>
      </c>
      <c r="E131" s="152">
        <v>65</v>
      </c>
      <c r="F131" s="151" t="s">
        <v>196</v>
      </c>
      <c r="G131" s="152" t="s">
        <v>149</v>
      </c>
      <c r="H131" s="152" t="s">
        <v>148</v>
      </c>
      <c r="I131" s="152" t="s">
        <v>151</v>
      </c>
      <c r="J131" s="152" t="s">
        <v>145</v>
      </c>
      <c r="K131" s="152"/>
      <c r="L131" s="152"/>
      <c r="M131" s="158">
        <v>124.36878125000001</v>
      </c>
      <c r="N131" s="155">
        <v>0</v>
      </c>
      <c r="O131" s="156">
        <v>0</v>
      </c>
      <c r="P131" s="160"/>
      <c r="Q131" s="170">
        <v>1</v>
      </c>
    </row>
    <row r="132" spans="1:17">
      <c r="A132" s="169">
        <v>255</v>
      </c>
      <c r="B132" s="152" t="s">
        <v>240</v>
      </c>
      <c r="C132" s="153">
        <v>4</v>
      </c>
      <c r="D132" s="154">
        <v>39338</v>
      </c>
      <c r="E132" s="152">
        <v>65</v>
      </c>
      <c r="F132" s="151" t="s">
        <v>196</v>
      </c>
      <c r="G132" s="152" t="s">
        <v>149</v>
      </c>
      <c r="H132" s="152" t="s">
        <v>148</v>
      </c>
      <c r="I132" s="152" t="s">
        <v>151</v>
      </c>
      <c r="J132" s="152" t="s">
        <v>145</v>
      </c>
      <c r="K132" s="152"/>
      <c r="L132" s="152"/>
      <c r="M132" s="158">
        <v>124.36878125000001</v>
      </c>
      <c r="N132" s="155">
        <v>0</v>
      </c>
      <c r="O132" s="156">
        <v>0</v>
      </c>
      <c r="P132" s="160"/>
      <c r="Q132" s="170">
        <v>1</v>
      </c>
    </row>
    <row r="133" spans="1:17">
      <c r="A133" s="169">
        <v>255</v>
      </c>
      <c r="B133" s="152" t="s">
        <v>240</v>
      </c>
      <c r="C133" s="153">
        <v>5</v>
      </c>
      <c r="D133" s="154">
        <v>39354</v>
      </c>
      <c r="E133" s="152">
        <v>65</v>
      </c>
      <c r="F133" s="151" t="s">
        <v>196</v>
      </c>
      <c r="G133" s="152" t="s">
        <v>149</v>
      </c>
      <c r="H133" s="152" t="s">
        <v>148</v>
      </c>
      <c r="I133" s="152" t="s">
        <v>151</v>
      </c>
      <c r="J133" s="152" t="s">
        <v>145</v>
      </c>
      <c r="K133" s="160"/>
      <c r="L133" s="160"/>
      <c r="M133" s="158">
        <v>124.36878125000001</v>
      </c>
      <c r="N133" s="155">
        <v>0</v>
      </c>
      <c r="O133" s="156">
        <v>0</v>
      </c>
      <c r="P133" s="160"/>
      <c r="Q133" s="170">
        <v>1</v>
      </c>
    </row>
    <row r="134" spans="1:17">
      <c r="A134" s="169">
        <v>255</v>
      </c>
      <c r="B134" s="152" t="s">
        <v>240</v>
      </c>
      <c r="C134" s="153">
        <v>6</v>
      </c>
      <c r="D134" s="154">
        <v>39373</v>
      </c>
      <c r="E134" s="152">
        <v>65</v>
      </c>
      <c r="F134" s="151" t="s">
        <v>196</v>
      </c>
      <c r="G134" s="152" t="s">
        <v>149</v>
      </c>
      <c r="H134" s="152" t="s">
        <v>148</v>
      </c>
      <c r="I134" s="152" t="s">
        <v>151</v>
      </c>
      <c r="J134" s="152" t="s">
        <v>145</v>
      </c>
      <c r="K134" s="160"/>
      <c r="L134" s="152"/>
      <c r="M134" s="158">
        <v>124.36878125000001</v>
      </c>
      <c r="N134" s="155">
        <v>0</v>
      </c>
      <c r="O134" s="156">
        <v>0</v>
      </c>
      <c r="P134" s="160"/>
      <c r="Q134" s="170">
        <v>1</v>
      </c>
    </row>
    <row r="135" spans="1:17">
      <c r="A135" s="169">
        <v>255</v>
      </c>
      <c r="B135" s="152" t="s">
        <v>240</v>
      </c>
      <c r="C135" s="153">
        <v>7</v>
      </c>
      <c r="D135" s="154">
        <v>39382</v>
      </c>
      <c r="E135" s="152">
        <v>65</v>
      </c>
      <c r="F135" s="151" t="s">
        <v>196</v>
      </c>
      <c r="G135" s="152" t="s">
        <v>149</v>
      </c>
      <c r="H135" s="152" t="s">
        <v>148</v>
      </c>
      <c r="I135" s="152" t="s">
        <v>151</v>
      </c>
      <c r="J135" s="152" t="s">
        <v>145</v>
      </c>
      <c r="K135" s="152"/>
      <c r="L135" s="152"/>
      <c r="M135" s="158">
        <v>124.36878125000001</v>
      </c>
      <c r="N135" s="155">
        <v>0</v>
      </c>
      <c r="O135" s="156">
        <v>0</v>
      </c>
      <c r="P135" s="160"/>
      <c r="Q135" s="170">
        <v>1</v>
      </c>
    </row>
    <row r="136" spans="1:17">
      <c r="A136" s="169">
        <v>255</v>
      </c>
      <c r="B136" s="152" t="s">
        <v>240</v>
      </c>
      <c r="C136" s="153">
        <v>8</v>
      </c>
      <c r="D136" s="154">
        <v>39390</v>
      </c>
      <c r="E136" s="152">
        <v>65</v>
      </c>
      <c r="F136" s="151" t="s">
        <v>196</v>
      </c>
      <c r="G136" s="152" t="s">
        <v>149</v>
      </c>
      <c r="H136" s="152" t="s">
        <v>148</v>
      </c>
      <c r="I136" s="152" t="s">
        <v>151</v>
      </c>
      <c r="J136" s="152" t="s">
        <v>145</v>
      </c>
      <c r="K136" s="152"/>
      <c r="L136" s="152"/>
      <c r="M136" s="158">
        <v>124.36878125000001</v>
      </c>
      <c r="N136" s="155">
        <v>0</v>
      </c>
      <c r="O136" s="156">
        <v>0</v>
      </c>
      <c r="P136" s="160"/>
      <c r="Q136" s="170">
        <v>1</v>
      </c>
    </row>
    <row r="137" spans="1:17">
      <c r="A137" s="169">
        <v>258</v>
      </c>
      <c r="B137" s="152" t="s">
        <v>198</v>
      </c>
      <c r="C137" s="153">
        <v>1</v>
      </c>
      <c r="D137" s="154">
        <v>39710</v>
      </c>
      <c r="E137" s="152">
        <v>150</v>
      </c>
      <c r="F137" s="151" t="s">
        <v>196</v>
      </c>
      <c r="G137" s="152" t="s">
        <v>199</v>
      </c>
      <c r="H137" s="152" t="s">
        <v>152</v>
      </c>
      <c r="I137" s="152" t="s">
        <v>200</v>
      </c>
      <c r="J137" s="152" t="s">
        <v>145</v>
      </c>
      <c r="K137" s="152"/>
      <c r="L137" s="152"/>
      <c r="M137" s="156">
        <v>955.24643333333324</v>
      </c>
      <c r="N137" s="155">
        <v>0</v>
      </c>
      <c r="O137" s="156">
        <v>0</v>
      </c>
      <c r="P137" s="152"/>
      <c r="Q137" s="170">
        <v>1</v>
      </c>
    </row>
    <row r="138" spans="1:17">
      <c r="A138" s="169">
        <v>258</v>
      </c>
      <c r="B138" s="152" t="s">
        <v>198</v>
      </c>
      <c r="C138" s="153">
        <v>2</v>
      </c>
      <c r="D138" s="154">
        <v>39747</v>
      </c>
      <c r="E138" s="152">
        <v>150</v>
      </c>
      <c r="F138" s="151" t="s">
        <v>196</v>
      </c>
      <c r="G138" s="152" t="s">
        <v>199</v>
      </c>
      <c r="H138" s="152" t="s">
        <v>152</v>
      </c>
      <c r="I138" s="152" t="s">
        <v>200</v>
      </c>
      <c r="J138" s="152" t="s">
        <v>145</v>
      </c>
      <c r="K138" s="152"/>
      <c r="L138" s="152"/>
      <c r="M138" s="156">
        <v>955.24643333333324</v>
      </c>
      <c r="N138" s="155">
        <v>0</v>
      </c>
      <c r="O138" s="156">
        <v>0</v>
      </c>
      <c r="P138" s="152"/>
      <c r="Q138" s="170">
        <v>1</v>
      </c>
    </row>
    <row r="139" spans="1:17">
      <c r="A139" s="169">
        <v>258</v>
      </c>
      <c r="B139" s="152" t="s">
        <v>198</v>
      </c>
      <c r="C139" s="153">
        <v>3</v>
      </c>
      <c r="D139" s="154">
        <v>39766</v>
      </c>
      <c r="E139" s="152">
        <v>150</v>
      </c>
      <c r="F139" s="151" t="s">
        <v>196</v>
      </c>
      <c r="G139" s="152" t="s">
        <v>199</v>
      </c>
      <c r="H139" s="152" t="s">
        <v>152</v>
      </c>
      <c r="I139" s="152" t="s">
        <v>200</v>
      </c>
      <c r="J139" s="152" t="s">
        <v>145</v>
      </c>
      <c r="K139" s="152"/>
      <c r="L139" s="152"/>
      <c r="M139" s="156">
        <v>955.24643333333324</v>
      </c>
      <c r="N139" s="155">
        <v>0</v>
      </c>
      <c r="O139" s="156">
        <v>0</v>
      </c>
      <c r="P139" s="152"/>
      <c r="Q139" s="170">
        <v>1</v>
      </c>
    </row>
    <row r="140" spans="1:17">
      <c r="A140" s="169">
        <v>259</v>
      </c>
      <c r="B140" s="152" t="s">
        <v>207</v>
      </c>
      <c r="C140" s="153">
        <v>1</v>
      </c>
      <c r="D140" s="154">
        <v>39581</v>
      </c>
      <c r="E140" s="152">
        <v>125</v>
      </c>
      <c r="F140" s="151" t="s">
        <v>196</v>
      </c>
      <c r="G140" s="152" t="s">
        <v>147</v>
      </c>
      <c r="H140" s="152" t="s">
        <v>152</v>
      </c>
      <c r="I140" s="152" t="s">
        <v>208</v>
      </c>
      <c r="J140" s="152" t="s">
        <v>145</v>
      </c>
      <c r="K140" s="160"/>
      <c r="L140" s="160"/>
      <c r="M140" s="156">
        <v>174.56777499999998</v>
      </c>
      <c r="N140" s="155">
        <v>0</v>
      </c>
      <c r="O140" s="156">
        <v>0</v>
      </c>
      <c r="P140" s="152"/>
      <c r="Q140" s="170">
        <v>1</v>
      </c>
    </row>
    <row r="141" spans="1:17">
      <c r="A141" s="169">
        <v>259</v>
      </c>
      <c r="B141" s="152" t="s">
        <v>207</v>
      </c>
      <c r="C141" s="153">
        <v>2</v>
      </c>
      <c r="D141" s="154">
        <v>39630</v>
      </c>
      <c r="E141" s="152">
        <v>125</v>
      </c>
      <c r="F141" s="151" t="s">
        <v>196</v>
      </c>
      <c r="G141" s="152" t="s">
        <v>147</v>
      </c>
      <c r="H141" s="152" t="s">
        <v>152</v>
      </c>
      <c r="I141" s="152" t="s">
        <v>208</v>
      </c>
      <c r="J141" s="152" t="s">
        <v>145</v>
      </c>
      <c r="K141" s="160"/>
      <c r="L141" s="160"/>
      <c r="M141" s="156">
        <v>174.56777499999998</v>
      </c>
      <c r="N141" s="155">
        <v>0</v>
      </c>
      <c r="O141" s="156">
        <v>0</v>
      </c>
      <c r="P141" s="152"/>
      <c r="Q141" s="170">
        <v>1</v>
      </c>
    </row>
    <row r="142" spans="1:17">
      <c r="A142" s="169">
        <v>269</v>
      </c>
      <c r="B142" s="152" t="s">
        <v>425</v>
      </c>
      <c r="C142" s="153">
        <v>1</v>
      </c>
      <c r="D142" s="154">
        <v>40351</v>
      </c>
      <c r="E142" s="152">
        <v>40</v>
      </c>
      <c r="F142" s="151" t="s">
        <v>196</v>
      </c>
      <c r="G142" s="152" t="s">
        <v>199</v>
      </c>
      <c r="H142" s="152" t="s">
        <v>152</v>
      </c>
      <c r="I142" s="152" t="s">
        <v>218</v>
      </c>
      <c r="J142" s="152" t="s">
        <v>145</v>
      </c>
      <c r="K142" s="152"/>
      <c r="L142" s="152"/>
      <c r="M142" s="155">
        <v>126.46045086848636</v>
      </c>
      <c r="N142" s="157">
        <v>0</v>
      </c>
      <c r="O142" s="156">
        <v>0</v>
      </c>
      <c r="P142" s="152"/>
      <c r="Q142" s="170">
        <v>1</v>
      </c>
    </row>
    <row r="143" spans="1:17">
      <c r="A143" s="169">
        <v>269</v>
      </c>
      <c r="B143" s="152" t="s">
        <v>425</v>
      </c>
      <c r="C143" s="153">
        <v>2</v>
      </c>
      <c r="D143" s="154">
        <v>40382</v>
      </c>
      <c r="E143" s="152">
        <v>40</v>
      </c>
      <c r="F143" s="151" t="s">
        <v>196</v>
      </c>
      <c r="G143" s="152" t="s">
        <v>199</v>
      </c>
      <c r="H143" s="152" t="s">
        <v>152</v>
      </c>
      <c r="I143" s="152" t="s">
        <v>218</v>
      </c>
      <c r="J143" s="152" t="s">
        <v>145</v>
      </c>
      <c r="K143" s="152"/>
      <c r="L143" s="152"/>
      <c r="M143" s="155">
        <v>112.55877009925558</v>
      </c>
      <c r="N143" s="157">
        <v>0</v>
      </c>
      <c r="O143" s="156">
        <v>0</v>
      </c>
      <c r="P143" s="152"/>
      <c r="Q143" s="170">
        <v>1</v>
      </c>
    </row>
    <row r="144" spans="1:17">
      <c r="A144" s="169">
        <v>269</v>
      </c>
      <c r="B144" s="152" t="s">
        <v>425</v>
      </c>
      <c r="C144" s="153">
        <v>3</v>
      </c>
      <c r="D144" s="154">
        <v>40360</v>
      </c>
      <c r="E144" s="152">
        <v>40</v>
      </c>
      <c r="F144" s="151" t="s">
        <v>196</v>
      </c>
      <c r="G144" s="152" t="s">
        <v>199</v>
      </c>
      <c r="H144" s="152" t="s">
        <v>152</v>
      </c>
      <c r="I144" s="152" t="s">
        <v>218</v>
      </c>
      <c r="J144" s="152" t="s">
        <v>145</v>
      </c>
      <c r="K144" s="152"/>
      <c r="L144" s="152"/>
      <c r="M144" s="155">
        <v>122.42447903225806</v>
      </c>
      <c r="N144" s="157">
        <v>0</v>
      </c>
      <c r="O144" s="156">
        <v>0</v>
      </c>
      <c r="P144" s="152"/>
      <c r="Q144" s="170">
        <v>1</v>
      </c>
    </row>
    <row r="145" spans="1:17">
      <c r="A145" s="169">
        <v>271</v>
      </c>
      <c r="B145" s="152" t="s">
        <v>428</v>
      </c>
      <c r="C145" s="153">
        <v>1</v>
      </c>
      <c r="D145" s="154">
        <v>40437</v>
      </c>
      <c r="E145" s="152">
        <v>96</v>
      </c>
      <c r="F145" s="151" t="s">
        <v>196</v>
      </c>
      <c r="G145" s="152" t="s">
        <v>322</v>
      </c>
      <c r="H145" s="152" t="s">
        <v>146</v>
      </c>
      <c r="I145" s="152" t="s">
        <v>429</v>
      </c>
      <c r="J145" s="152" t="s">
        <v>145</v>
      </c>
      <c r="K145" s="152"/>
      <c r="L145" s="152"/>
      <c r="M145" s="155">
        <v>72.057389743589738</v>
      </c>
      <c r="N145" s="157">
        <v>0</v>
      </c>
      <c r="O145" s="156">
        <v>0</v>
      </c>
      <c r="P145" s="152"/>
      <c r="Q145" s="170">
        <v>1</v>
      </c>
    </row>
    <row r="146" spans="1:17">
      <c r="A146" s="169">
        <v>271</v>
      </c>
      <c r="B146" s="152" t="s">
        <v>428</v>
      </c>
      <c r="C146" s="153">
        <v>2</v>
      </c>
      <c r="D146" s="154">
        <v>40439</v>
      </c>
      <c r="E146" s="152">
        <v>96</v>
      </c>
      <c r="F146" s="151" t="s">
        <v>196</v>
      </c>
      <c r="G146" s="152" t="s">
        <v>322</v>
      </c>
      <c r="H146" s="152" t="s">
        <v>146</v>
      </c>
      <c r="I146" s="152" t="s">
        <v>429</v>
      </c>
      <c r="J146" s="152" t="s">
        <v>145</v>
      </c>
      <c r="K146" s="152"/>
      <c r="L146" s="152"/>
      <c r="M146" s="155">
        <v>71.322110256410255</v>
      </c>
      <c r="N146" s="157">
        <v>0</v>
      </c>
      <c r="O146" s="156">
        <v>0</v>
      </c>
      <c r="P146" s="152"/>
      <c r="Q146" s="170">
        <v>1</v>
      </c>
    </row>
    <row r="147" spans="1:17">
      <c r="A147" s="169">
        <v>273</v>
      </c>
      <c r="B147" s="152" t="s">
        <v>433</v>
      </c>
      <c r="C147" s="153">
        <v>1</v>
      </c>
      <c r="D147" s="154">
        <v>40630</v>
      </c>
      <c r="E147" s="152">
        <v>100</v>
      </c>
      <c r="F147" s="151" t="s">
        <v>196</v>
      </c>
      <c r="G147" s="152" t="s">
        <v>434</v>
      </c>
      <c r="H147" s="152" t="s">
        <v>152</v>
      </c>
      <c r="I147" s="152" t="s">
        <v>250</v>
      </c>
      <c r="J147" s="152" t="s">
        <v>145</v>
      </c>
      <c r="K147" s="152"/>
      <c r="L147" s="152"/>
      <c r="M147" s="155">
        <v>0</v>
      </c>
      <c r="N147" s="157">
        <v>0</v>
      </c>
      <c r="O147" s="156">
        <v>0</v>
      </c>
      <c r="P147" s="152"/>
      <c r="Q147" s="170">
        <v>1</v>
      </c>
    </row>
    <row r="148" spans="1:17">
      <c r="A148" s="169">
        <v>273</v>
      </c>
      <c r="B148" s="152" t="s">
        <v>433</v>
      </c>
      <c r="C148" s="153">
        <v>2</v>
      </c>
      <c r="D148" s="154">
        <v>40633</v>
      </c>
      <c r="E148" s="152">
        <v>200</v>
      </c>
      <c r="F148" s="151" t="s">
        <v>196</v>
      </c>
      <c r="G148" s="152" t="s">
        <v>434</v>
      </c>
      <c r="H148" s="152" t="s">
        <v>152</v>
      </c>
      <c r="I148" s="152" t="s">
        <v>250</v>
      </c>
      <c r="J148" s="152" t="s">
        <v>145</v>
      </c>
      <c r="K148" s="152"/>
      <c r="L148" s="152"/>
      <c r="M148" s="158">
        <v>0</v>
      </c>
      <c r="N148" s="157">
        <v>0</v>
      </c>
      <c r="O148" s="156">
        <v>0</v>
      </c>
      <c r="P148" s="152"/>
      <c r="Q148" s="170">
        <v>1</v>
      </c>
    </row>
    <row r="149" spans="1:17" ht="13.5" thickBot="1">
      <c r="A149" s="187" t="s">
        <v>267</v>
      </c>
      <c r="B149" s="188"/>
      <c r="C149" s="188"/>
      <c r="D149" s="188"/>
      <c r="E149" s="188"/>
      <c r="F149" s="188"/>
      <c r="G149" s="188"/>
      <c r="H149" s="188"/>
      <c r="I149" s="188"/>
      <c r="J149" s="188"/>
      <c r="K149" s="188"/>
      <c r="L149" s="188"/>
      <c r="M149" s="189">
        <f>SUM(M112:M148)</f>
        <v>12448.102712126751</v>
      </c>
      <c r="N149" s="189">
        <f>SUM(N112:N148)</f>
        <v>0</v>
      </c>
      <c r="O149" s="188"/>
      <c r="P149" s="188"/>
      <c r="Q149" s="190"/>
    </row>
    <row r="151" spans="1:17">
      <c r="A151" s="75" t="s">
        <v>443</v>
      </c>
      <c r="M151" s="191">
        <f>M149+M107+M100+M92+M79+M64</f>
        <v>117779.22728165453</v>
      </c>
      <c r="N151" s="191">
        <f>N149+N107+N100+N92+N79+N64</f>
        <v>101146601.39104792</v>
      </c>
    </row>
  </sheetData>
  <mergeCells count="5">
    <mergeCell ref="A65:Q67"/>
    <mergeCell ref="A80:Q82"/>
    <mergeCell ref="A93:Q95"/>
    <mergeCell ref="A101:Q103"/>
    <mergeCell ref="A108:Q110"/>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29"/>
  <sheetViews>
    <sheetView showGridLines="0" view="pageBreakPreview" workbookViewId="0">
      <selection activeCell="B9" sqref="B9"/>
    </sheetView>
  </sheetViews>
  <sheetFormatPr defaultRowHeight="15"/>
  <cols>
    <col min="1" max="1" width="67.140625" style="12" customWidth="1"/>
    <col min="2" max="2" width="18.42578125" style="12" customWidth="1"/>
    <col min="3" max="3" width="15.85546875" style="12" customWidth="1"/>
    <col min="4" max="4" width="13.140625" style="12" customWidth="1"/>
    <col min="5" max="5" width="9.140625" style="12" customWidth="1"/>
    <col min="6" max="6" width="9.85546875" style="12" bestFit="1" customWidth="1"/>
    <col min="7" max="16384" width="9.140625" style="12"/>
  </cols>
  <sheetData>
    <row r="1" spans="1:5">
      <c r="A1" s="125"/>
      <c r="B1" s="125"/>
      <c r="C1" s="4"/>
    </row>
    <row r="2" spans="1:5" ht="17.25">
      <c r="A2" s="38" t="s">
        <v>58</v>
      </c>
      <c r="B2" s="4"/>
      <c r="C2" s="4"/>
    </row>
    <row r="3" spans="1:5">
      <c r="A3" s="38"/>
      <c r="B3" s="4"/>
      <c r="C3" s="4"/>
    </row>
    <row r="4" spans="1:5" ht="16.5">
      <c r="A4" s="285" t="s">
        <v>59</v>
      </c>
      <c r="B4" s="227"/>
      <c r="C4" s="227"/>
    </row>
    <row r="5" spans="1:5">
      <c r="A5" s="122" t="s">
        <v>83</v>
      </c>
      <c r="B5" s="120" t="s">
        <v>85</v>
      </c>
      <c r="C5" s="121" t="s">
        <v>86</v>
      </c>
    </row>
    <row r="6" spans="1:5" ht="16.5">
      <c r="A6" s="2" t="s">
        <v>60</v>
      </c>
      <c r="B6" s="50">
        <f>B20</f>
        <v>2372510.413377</v>
      </c>
      <c r="C6" s="32" t="s">
        <v>61</v>
      </c>
      <c r="D6" s="99"/>
      <c r="E6" s="106"/>
    </row>
    <row r="7" spans="1:5" ht="16.5">
      <c r="A7" s="2" t="s">
        <v>139</v>
      </c>
      <c r="B7" s="50">
        <f>'project emissions'!B7</f>
        <v>1011585.6957091051</v>
      </c>
      <c r="C7" s="32" t="s">
        <v>61</v>
      </c>
      <c r="D7" s="101"/>
      <c r="E7" s="106"/>
    </row>
    <row r="8" spans="1:5" ht="16.5">
      <c r="A8" s="2" t="s">
        <v>62</v>
      </c>
      <c r="B8" s="50">
        <f>leakages!B8</f>
        <v>90327.605845868035</v>
      </c>
      <c r="C8" s="32" t="s">
        <v>61</v>
      </c>
      <c r="D8" s="105"/>
      <c r="E8" s="106"/>
    </row>
    <row r="9" spans="1:5" ht="18" thickBot="1">
      <c r="A9" s="3" t="s">
        <v>63</v>
      </c>
      <c r="B9" s="196">
        <f>B6-B7-B8</f>
        <v>1270597.1118220268</v>
      </c>
      <c r="C9" s="33" t="s">
        <v>64</v>
      </c>
      <c r="D9" s="69"/>
      <c r="E9" s="106"/>
    </row>
    <row r="10" spans="1:5" ht="15.75" thickTop="1">
      <c r="A10" s="4"/>
      <c r="B10" s="4"/>
      <c r="C10" s="4"/>
    </row>
    <row r="11" spans="1:5">
      <c r="A11" s="38" t="s">
        <v>97</v>
      </c>
      <c r="B11" s="4"/>
      <c r="C11" s="4"/>
    </row>
    <row r="12" spans="1:5">
      <c r="A12" s="4" t="s">
        <v>127</v>
      </c>
      <c r="B12" s="4"/>
      <c r="C12" s="4"/>
    </row>
    <row r="13" spans="1:5">
      <c r="A13" s="4" t="s">
        <v>128</v>
      </c>
      <c r="B13" s="4"/>
      <c r="C13" s="4"/>
    </row>
    <row r="14" spans="1:5">
      <c r="A14" s="4" t="s">
        <v>129</v>
      </c>
      <c r="B14" s="4"/>
      <c r="C14" s="4"/>
    </row>
    <row r="15" spans="1:5">
      <c r="A15" s="4"/>
      <c r="B15" s="4"/>
      <c r="C15" s="4"/>
    </row>
    <row r="16" spans="1:5" ht="16.5">
      <c r="A16" s="223" t="s">
        <v>65</v>
      </c>
      <c r="B16" s="224"/>
      <c r="C16" s="225"/>
    </row>
    <row r="17" spans="1:3">
      <c r="A17" s="119" t="s">
        <v>83</v>
      </c>
      <c r="B17" s="122" t="s">
        <v>85</v>
      </c>
      <c r="C17" s="121" t="s">
        <v>86</v>
      </c>
    </row>
    <row r="18" spans="1:3" ht="16.5">
      <c r="A18" s="2" t="s">
        <v>66</v>
      </c>
      <c r="B18" s="10">
        <f>'project emissions'!B21</f>
        <v>2762.6521499999999</v>
      </c>
      <c r="C18" s="32" t="s">
        <v>88</v>
      </c>
    </row>
    <row r="19" spans="1:3" ht="16.5">
      <c r="A19" s="2" t="s">
        <v>67</v>
      </c>
      <c r="B19" s="10">
        <f>'combined, most likely senario '!B6</f>
        <v>858.78</v>
      </c>
      <c r="C19" s="32" t="s">
        <v>57</v>
      </c>
    </row>
    <row r="20" spans="1:3" ht="18" thickBot="1">
      <c r="A20" s="3" t="s">
        <v>68</v>
      </c>
      <c r="B20" s="196">
        <f>B19*B18</f>
        <v>2372510.413377</v>
      </c>
      <c r="C20" s="33" t="s">
        <v>64</v>
      </c>
    </row>
    <row r="21" spans="1:3" ht="15.75" thickTop="1"/>
    <row r="22" spans="1:3">
      <c r="A22" s="38" t="s">
        <v>97</v>
      </c>
      <c r="B22" s="34"/>
    </row>
    <row r="23" spans="1:3">
      <c r="A23" s="12" t="s">
        <v>130</v>
      </c>
    </row>
    <row r="24" spans="1:3">
      <c r="A24" s="286" t="s">
        <v>256</v>
      </c>
      <c r="B24" s="286"/>
      <c r="C24" s="286"/>
    </row>
    <row r="26" spans="1:3">
      <c r="A26" s="4"/>
      <c r="B26" s="69"/>
    </row>
    <row r="27" spans="1:3">
      <c r="A27" s="4"/>
    </row>
    <row r="28" spans="1:3">
      <c r="A28" s="4"/>
    </row>
    <row r="29" spans="1:3">
      <c r="A29" s="4"/>
    </row>
  </sheetData>
  <customSheetViews>
    <customSheetView guid="{1D975FE4-3492-48C8-AB90-CC87D7FD201F}" showPageBreaks="1" printArea="1" view="pageBreakPreview" topLeftCell="A10">
      <selection activeCell="B19" sqref="B19"/>
      <pageMargins left="0.75" right="0.75" top="1" bottom="1" header="0.5" footer="0.5"/>
      <pageSetup scale="89" orientation="portrait" r:id="rId1"/>
      <headerFooter alignWithMargins="0"/>
    </customSheetView>
  </customSheetViews>
  <mergeCells count="3">
    <mergeCell ref="A4:C4"/>
    <mergeCell ref="A16:C16"/>
    <mergeCell ref="A24:C24"/>
  </mergeCells>
  <phoneticPr fontId="1" type="noConversion"/>
  <pageMargins left="0.75" right="0.75" top="1" bottom="1" header="0.5" footer="0.5"/>
  <pageSetup scale="89" orientation="portrait" r:id="rId2"/>
  <headerFooter alignWithMargins="0"/>
</worksheet>
</file>

<file path=xl/worksheets/sheet7.xml><?xml version="1.0" encoding="utf-8"?>
<worksheet xmlns="http://schemas.openxmlformats.org/spreadsheetml/2006/main" xmlns:r="http://schemas.openxmlformats.org/officeDocument/2006/relationships">
  <dimension ref="A1:G26"/>
  <sheetViews>
    <sheetView showGridLines="0" view="pageBreakPreview" zoomScale="115" zoomScaleSheetLayoutView="115" workbookViewId="0">
      <selection activeCell="B11" sqref="B11"/>
    </sheetView>
  </sheetViews>
  <sheetFormatPr defaultRowHeight="15"/>
  <cols>
    <col min="1" max="1" width="42.7109375" style="1" customWidth="1"/>
    <col min="2" max="2" width="41" style="1" customWidth="1"/>
    <col min="3" max="3" width="9.140625" style="1" customWidth="1"/>
    <col min="4" max="4" width="14.140625" style="1" customWidth="1"/>
    <col min="5" max="5" width="13" style="1" customWidth="1"/>
    <col min="6" max="6" width="9.140625" style="1"/>
    <col min="7" max="7" width="20.140625" style="1" bestFit="1" customWidth="1"/>
    <col min="8" max="16384" width="9.140625" style="1"/>
  </cols>
  <sheetData>
    <row r="1" spans="1:5">
      <c r="A1" s="8" t="s">
        <v>74</v>
      </c>
      <c r="B1" s="9"/>
    </row>
    <row r="2" spans="1:5">
      <c r="A2" s="6"/>
      <c r="B2" s="9"/>
      <c r="E2" s="94"/>
    </row>
    <row r="3" spans="1:5">
      <c r="A3" s="65" t="s">
        <v>69</v>
      </c>
      <c r="B3" s="66" t="s">
        <v>70</v>
      </c>
      <c r="E3" s="94"/>
    </row>
    <row r="4" spans="1:5" ht="17.25">
      <c r="A4" s="37"/>
      <c r="B4" s="67" t="s">
        <v>55</v>
      </c>
      <c r="D4" s="96"/>
      <c r="E4" s="94"/>
    </row>
    <row r="5" spans="1:5" ht="18">
      <c r="A5" s="68" t="s">
        <v>358</v>
      </c>
      <c r="B5" s="111">
        <f>'emission reduction calculation'!$B$9*274/365</f>
        <v>953818.10586091864</v>
      </c>
      <c r="E5" s="94"/>
    </row>
    <row r="6" spans="1:5">
      <c r="A6" s="68">
        <v>2014</v>
      </c>
      <c r="B6" s="111">
        <f>'emission reduction calculation'!$B$9</f>
        <v>1270597.1118220268</v>
      </c>
      <c r="C6" s="94"/>
      <c r="D6" s="95"/>
      <c r="E6" s="94"/>
    </row>
    <row r="7" spans="1:5">
      <c r="A7" s="68">
        <f>A6+1</f>
        <v>2015</v>
      </c>
      <c r="B7" s="111">
        <f>'emission reduction calculation'!$B$9</f>
        <v>1270597.1118220268</v>
      </c>
      <c r="C7" s="94"/>
      <c r="E7" s="94"/>
    </row>
    <row r="8" spans="1:5">
      <c r="A8" s="68">
        <f t="shared" ref="A8:A14" si="0">A7+1</f>
        <v>2016</v>
      </c>
      <c r="B8" s="111">
        <f>'emission reduction calculation'!$B$9</f>
        <v>1270597.1118220268</v>
      </c>
      <c r="C8" s="94"/>
      <c r="D8" s="94"/>
      <c r="E8" s="94"/>
    </row>
    <row r="9" spans="1:5">
      <c r="A9" s="68">
        <f t="shared" si="0"/>
        <v>2017</v>
      </c>
      <c r="B9" s="111">
        <f>'emission reduction calculation'!$B$9</f>
        <v>1270597.1118220268</v>
      </c>
      <c r="C9" s="94"/>
      <c r="D9" s="94"/>
      <c r="E9" s="94"/>
    </row>
    <row r="10" spans="1:5">
      <c r="A10" s="68">
        <f t="shared" si="0"/>
        <v>2018</v>
      </c>
      <c r="B10" s="111">
        <f>'emission reduction calculation'!$B$9</f>
        <v>1270597.1118220268</v>
      </c>
      <c r="C10" s="94"/>
      <c r="D10" s="94"/>
      <c r="E10" s="94"/>
    </row>
    <row r="11" spans="1:5">
      <c r="A11" s="68">
        <f t="shared" si="0"/>
        <v>2019</v>
      </c>
      <c r="B11" s="111">
        <f>'emission reduction calculation'!$B$9</f>
        <v>1270597.1118220268</v>
      </c>
      <c r="C11" s="94"/>
      <c r="D11" s="94"/>
      <c r="E11" s="94"/>
    </row>
    <row r="12" spans="1:5">
      <c r="A12" s="68">
        <f t="shared" si="0"/>
        <v>2020</v>
      </c>
      <c r="B12" s="111">
        <f>'emission reduction calculation'!$B$9</f>
        <v>1270597.1118220268</v>
      </c>
      <c r="C12" s="94"/>
      <c r="D12" s="94"/>
      <c r="E12" s="94"/>
    </row>
    <row r="13" spans="1:5">
      <c r="A13" s="68">
        <f t="shared" si="0"/>
        <v>2021</v>
      </c>
      <c r="B13" s="111">
        <f>'emission reduction calculation'!$B$9</f>
        <v>1270597.1118220268</v>
      </c>
      <c r="C13" s="94"/>
      <c r="D13" s="94"/>
      <c r="E13" s="94"/>
    </row>
    <row r="14" spans="1:5" s="93" customFormat="1">
      <c r="A14" s="68">
        <f t="shared" si="0"/>
        <v>2022</v>
      </c>
      <c r="B14" s="111">
        <f>'emission reduction calculation'!$B$9</f>
        <v>1270597.1118220268</v>
      </c>
      <c r="C14" s="94"/>
      <c r="D14" s="94"/>
      <c r="E14" s="94"/>
    </row>
    <row r="15" spans="1:5" ht="15.75" customHeight="1">
      <c r="A15" s="68" t="s">
        <v>359</v>
      </c>
      <c r="B15" s="111">
        <f>'emission reduction calculation'!$B$9*91/365</f>
        <v>316779.00596110802</v>
      </c>
      <c r="C15" s="94"/>
      <c r="D15" s="94"/>
      <c r="E15" s="94"/>
    </row>
    <row r="16" spans="1:5">
      <c r="A16" s="65" t="s">
        <v>71</v>
      </c>
      <c r="B16" s="21"/>
      <c r="C16" s="94"/>
      <c r="D16" s="94"/>
      <c r="E16" s="94"/>
    </row>
    <row r="17" spans="1:7" ht="16.5">
      <c r="A17" s="64" t="s">
        <v>56</v>
      </c>
      <c r="B17" s="112">
        <f>SUM(B5:B16)</f>
        <v>12705971.11822027</v>
      </c>
    </row>
    <row r="18" spans="1:7">
      <c r="A18" s="5" t="s">
        <v>72</v>
      </c>
      <c r="B18" s="113" t="s">
        <v>73</v>
      </c>
    </row>
    <row r="19" spans="1:7" ht="29.25">
      <c r="A19" s="114" t="s">
        <v>367</v>
      </c>
      <c r="B19" s="112">
        <f>B17/10</f>
        <v>1270597.111822027</v>
      </c>
      <c r="F19" s="79"/>
    </row>
    <row r="20" spans="1:7">
      <c r="A20" s="98"/>
      <c r="F20" s="79"/>
    </row>
    <row r="26" spans="1:7">
      <c r="G26" s="78"/>
    </row>
  </sheetData>
  <customSheetViews>
    <customSheetView guid="{1D975FE4-3492-48C8-AB90-CC87D7FD201F}" scale="80" showPageBreaks="1" view="pageBreakPreview">
      <selection activeCell="B17" sqref="B17"/>
      <pageMargins left="0.25" right="0.25" top="0.5" bottom="0.5" header="0" footer="0"/>
      <printOptions horizontalCentered="1"/>
      <pageSetup orientation="portrait" r:id="rId1"/>
      <headerFooter alignWithMargins="0"/>
    </customSheetView>
  </customSheetViews>
  <phoneticPr fontId="1" type="noConversion"/>
  <printOptions horizontalCentered="1"/>
  <pageMargins left="0.25" right="0.25" top="0.5" bottom="0.5" header="0" footer="0"/>
  <pageSetup orientation="portrait" r:id="rId2"/>
  <headerFooter alignWithMargins="0"/>
</worksheet>
</file>

<file path=xl/worksheets/sheet8.xml><?xml version="1.0" encoding="utf-8"?>
<worksheet xmlns="http://schemas.openxmlformats.org/spreadsheetml/2006/main" xmlns:r="http://schemas.openxmlformats.org/officeDocument/2006/relationships">
  <sheetPr>
    <tabColor rgb="FF00B050"/>
  </sheetPr>
  <dimension ref="A1:B60"/>
  <sheetViews>
    <sheetView topLeftCell="A43" zoomScale="140" zoomScaleNormal="140" workbookViewId="0">
      <selection activeCell="B22" sqref="B22"/>
    </sheetView>
  </sheetViews>
  <sheetFormatPr defaultColWidth="64.42578125" defaultRowHeight="12.75"/>
  <cols>
    <col min="1" max="1" width="26" customWidth="1"/>
    <col min="2" max="2" width="55.42578125" customWidth="1"/>
  </cols>
  <sheetData>
    <row r="1" spans="1:2" ht="16.5">
      <c r="A1" s="82" t="s">
        <v>268</v>
      </c>
      <c r="B1" s="83" t="s">
        <v>269</v>
      </c>
    </row>
    <row r="2" spans="1:2" ht="16.5">
      <c r="A2" s="84" t="s">
        <v>270</v>
      </c>
      <c r="B2" s="83" t="s">
        <v>271</v>
      </c>
    </row>
    <row r="3" spans="1:2" ht="31.5">
      <c r="A3" s="84" t="s">
        <v>272</v>
      </c>
      <c r="B3" s="83" t="s">
        <v>273</v>
      </c>
    </row>
    <row r="4" spans="1:2" ht="64.5" customHeight="1">
      <c r="A4" s="84" t="s">
        <v>274</v>
      </c>
      <c r="B4" s="83" t="s">
        <v>351</v>
      </c>
    </row>
    <row r="5" spans="1:2" ht="15">
      <c r="A5" s="84" t="s">
        <v>275</v>
      </c>
      <c r="B5" s="90" t="str">
        <f>'combined, most likely senario '!B3 &amp; " t CO2/GWh"</f>
        <v>858.78 t CO2/GWh</v>
      </c>
    </row>
    <row r="6" spans="1:2" ht="60">
      <c r="A6" s="84" t="s">
        <v>276</v>
      </c>
      <c r="B6" s="83" t="s">
        <v>277</v>
      </c>
    </row>
    <row r="7" spans="1:2" ht="15">
      <c r="A7" s="84" t="s">
        <v>278</v>
      </c>
      <c r="B7" s="83" t="s">
        <v>279</v>
      </c>
    </row>
    <row r="10" spans="1:2" ht="16.5">
      <c r="A10" s="82" t="s">
        <v>268</v>
      </c>
      <c r="B10" s="83" t="s">
        <v>280</v>
      </c>
    </row>
    <row r="11" spans="1:2" ht="16.5">
      <c r="A11" s="84" t="s">
        <v>270</v>
      </c>
      <c r="B11" s="83" t="s">
        <v>8</v>
      </c>
    </row>
    <row r="12" spans="1:2" ht="31.5">
      <c r="A12" s="84" t="s">
        <v>272</v>
      </c>
      <c r="B12" s="83" t="s">
        <v>281</v>
      </c>
    </row>
    <row r="13" spans="1:2" ht="75">
      <c r="A13" s="84" t="s">
        <v>274</v>
      </c>
      <c r="B13" s="83" t="s">
        <v>351</v>
      </c>
    </row>
    <row r="14" spans="1:2" ht="15">
      <c r="A14" s="84" t="s">
        <v>275</v>
      </c>
      <c r="B14" s="83" t="str">
        <f>'combined, most likely senario '!B4 &amp; " t CO2/GWh"</f>
        <v>920 t CO2/GWh</v>
      </c>
    </row>
    <row r="15" spans="1:2" ht="60">
      <c r="A15" s="84" t="s">
        <v>282</v>
      </c>
      <c r="B15" s="83" t="s">
        <v>277</v>
      </c>
    </row>
    <row r="16" spans="1:2" ht="15">
      <c r="A16" s="84" t="s">
        <v>278</v>
      </c>
      <c r="B16" s="83" t="s">
        <v>279</v>
      </c>
    </row>
    <row r="19" spans="1:2" ht="16.5">
      <c r="A19" s="82" t="s">
        <v>268</v>
      </c>
      <c r="B19" s="83" t="s">
        <v>354</v>
      </c>
    </row>
    <row r="20" spans="1:2" ht="15">
      <c r="A20" s="84" t="s">
        <v>270</v>
      </c>
      <c r="B20" s="83" t="s">
        <v>283</v>
      </c>
    </row>
    <row r="21" spans="1:2" ht="30">
      <c r="A21" s="84" t="s">
        <v>272</v>
      </c>
      <c r="B21" s="83" t="s">
        <v>284</v>
      </c>
    </row>
    <row r="22" spans="1:2" ht="78" customHeight="1">
      <c r="A22" s="84" t="s">
        <v>274</v>
      </c>
      <c r="B22" s="83" t="s">
        <v>352</v>
      </c>
    </row>
    <row r="23" spans="1:2" ht="17.25" customHeight="1">
      <c r="A23" s="88" t="s">
        <v>275</v>
      </c>
      <c r="B23" s="89" t="str">
        <f>'combined, most likely senario '!B24  &amp; "Kcal/Kg"</f>
        <v>3624.51737451737Kcal/Kg</v>
      </c>
    </row>
    <row r="24" spans="1:2" ht="46.5" customHeight="1">
      <c r="A24" s="287" t="s">
        <v>282</v>
      </c>
      <c r="B24" s="288" t="s">
        <v>285</v>
      </c>
    </row>
    <row r="25" spans="1:2">
      <c r="A25" s="287"/>
      <c r="B25" s="288"/>
    </row>
    <row r="26" spans="1:2" ht="15">
      <c r="A26" s="84" t="s">
        <v>278</v>
      </c>
      <c r="B26" s="83" t="s">
        <v>279</v>
      </c>
    </row>
    <row r="28" spans="1:2" ht="16.5">
      <c r="A28" s="82" t="s">
        <v>268</v>
      </c>
      <c r="B28" s="83" t="s">
        <v>286</v>
      </c>
    </row>
    <row r="29" spans="1:2" ht="16.5">
      <c r="A29" s="84" t="s">
        <v>270</v>
      </c>
      <c r="B29" s="83" t="s">
        <v>287</v>
      </c>
    </row>
    <row r="30" spans="1:2" ht="15">
      <c r="A30" s="84" t="s">
        <v>272</v>
      </c>
      <c r="B30" s="83" t="s">
        <v>288</v>
      </c>
    </row>
    <row r="31" spans="1:2" ht="63" customHeight="1">
      <c r="A31" s="84" t="s">
        <v>274</v>
      </c>
      <c r="B31" s="83" t="s">
        <v>353</v>
      </c>
    </row>
    <row r="32" spans="1:2" ht="16.5">
      <c r="A32" s="84" t="s">
        <v>275</v>
      </c>
      <c r="B32" s="83" t="s">
        <v>289</v>
      </c>
    </row>
    <row r="33" spans="1:2" ht="60">
      <c r="A33" s="84" t="s">
        <v>282</v>
      </c>
      <c r="B33" s="83" t="s">
        <v>285</v>
      </c>
    </row>
    <row r="34" spans="1:2" ht="15">
      <c r="A34" s="84" t="s">
        <v>278</v>
      </c>
      <c r="B34" s="83" t="s">
        <v>279</v>
      </c>
    </row>
    <row r="37" spans="1:2" ht="16.5">
      <c r="A37" s="82" t="s">
        <v>268</v>
      </c>
      <c r="B37" s="83" t="s">
        <v>290</v>
      </c>
    </row>
    <row r="38" spans="1:2" ht="12.75" customHeight="1">
      <c r="A38" s="84" t="s">
        <v>270</v>
      </c>
      <c r="B38" s="83" t="s">
        <v>279</v>
      </c>
    </row>
    <row r="39" spans="1:2" ht="15">
      <c r="A39" s="84" t="s">
        <v>272</v>
      </c>
      <c r="B39" s="87" t="s">
        <v>291</v>
      </c>
    </row>
    <row r="40" spans="1:2" ht="63" customHeight="1">
      <c r="A40" s="86" t="s">
        <v>274</v>
      </c>
      <c r="B40" s="83" t="s">
        <v>353</v>
      </c>
    </row>
    <row r="41" spans="1:2" ht="15">
      <c r="A41" s="84" t="s">
        <v>275</v>
      </c>
      <c r="B41" s="85">
        <f>'combined, most likely senario '!B26</f>
        <v>0.98</v>
      </c>
    </row>
    <row r="42" spans="1:2" ht="60">
      <c r="A42" s="84" t="s">
        <v>282</v>
      </c>
      <c r="B42" s="83" t="s">
        <v>285</v>
      </c>
    </row>
    <row r="43" spans="1:2" ht="15">
      <c r="A43" s="84" t="s">
        <v>278</v>
      </c>
      <c r="B43" s="83" t="s">
        <v>279</v>
      </c>
    </row>
    <row r="46" spans="1:2" ht="16.5">
      <c r="A46" s="82" t="s">
        <v>268</v>
      </c>
      <c r="B46" s="83" t="s">
        <v>292</v>
      </c>
    </row>
    <row r="47" spans="1:2" ht="15">
      <c r="A47" s="84" t="s">
        <v>270</v>
      </c>
      <c r="B47" s="83" t="s">
        <v>293</v>
      </c>
    </row>
    <row r="48" spans="1:2" ht="30">
      <c r="A48" s="84" t="s">
        <v>272</v>
      </c>
      <c r="B48" s="83" t="s">
        <v>294</v>
      </c>
    </row>
    <row r="49" spans="1:2" ht="60">
      <c r="A49" s="84" t="s">
        <v>274</v>
      </c>
      <c r="B49" s="83" t="s">
        <v>355</v>
      </c>
    </row>
    <row r="50" spans="1:2" ht="15">
      <c r="A50" s="84" t="s">
        <v>275</v>
      </c>
      <c r="B50" s="91">
        <f>'combined, most likely senario '!B14</f>
        <v>0.3777878857025419</v>
      </c>
    </row>
    <row r="51" spans="1:2" ht="60">
      <c r="A51" s="84" t="s">
        <v>282</v>
      </c>
      <c r="B51" s="83" t="s">
        <v>295</v>
      </c>
    </row>
    <row r="52" spans="1:2" ht="15">
      <c r="A52" s="84" t="s">
        <v>278</v>
      </c>
      <c r="B52" s="83" t="s">
        <v>296</v>
      </c>
    </row>
    <row r="54" spans="1:2" ht="16.5">
      <c r="A54" s="82" t="s">
        <v>268</v>
      </c>
      <c r="B54" s="83" t="s">
        <v>297</v>
      </c>
    </row>
    <row r="55" spans="1:2" ht="16.5">
      <c r="A55" s="84" t="s">
        <v>270</v>
      </c>
      <c r="B55" s="83" t="s">
        <v>298</v>
      </c>
    </row>
    <row r="56" spans="1:2" ht="76.5">
      <c r="A56" s="84" t="s">
        <v>272</v>
      </c>
      <c r="B56" s="83" t="s">
        <v>299</v>
      </c>
    </row>
    <row r="57" spans="1:2" ht="15">
      <c r="A57" s="84" t="s">
        <v>274</v>
      </c>
      <c r="B57" s="83" t="s">
        <v>300</v>
      </c>
    </row>
    <row r="58" spans="1:2" ht="16.5">
      <c r="A58" s="84" t="s">
        <v>275</v>
      </c>
      <c r="B58" s="83" t="s">
        <v>301</v>
      </c>
    </row>
    <row r="59" spans="1:2" ht="60">
      <c r="A59" s="84" t="s">
        <v>282</v>
      </c>
      <c r="B59" s="83" t="s">
        <v>302</v>
      </c>
    </row>
    <row r="60" spans="1:2" ht="15">
      <c r="A60" s="84" t="s">
        <v>278</v>
      </c>
      <c r="B60" s="83" t="s">
        <v>296</v>
      </c>
    </row>
  </sheetData>
  <mergeCells count="2">
    <mergeCell ref="A24:A25"/>
    <mergeCell ref="B24:B2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2:G18"/>
  <sheetViews>
    <sheetView showGridLines="0" view="pageBreakPreview" zoomScale="120" zoomScaleNormal="120" zoomScaleSheetLayoutView="120" workbookViewId="0">
      <selection activeCell="E12" sqref="E12"/>
    </sheetView>
  </sheetViews>
  <sheetFormatPr defaultColWidth="20" defaultRowHeight="12.75"/>
  <cols>
    <col min="1" max="1" width="23" style="108" customWidth="1"/>
    <col min="2" max="3" width="14.85546875" style="108" bestFit="1" customWidth="1"/>
    <col min="4" max="4" width="14.7109375" style="108" bestFit="1" customWidth="1"/>
    <col min="5" max="5" width="14.85546875" style="108" bestFit="1" customWidth="1"/>
    <col min="6" max="6" width="2.42578125" style="108" customWidth="1"/>
    <col min="7" max="16384" width="20" style="108"/>
  </cols>
  <sheetData>
    <row r="2" spans="1:5" ht="14.25">
      <c r="A2" s="289" t="s">
        <v>261</v>
      </c>
      <c r="B2" s="107" t="s">
        <v>303</v>
      </c>
      <c r="C2" s="107" t="s">
        <v>303</v>
      </c>
      <c r="D2" s="107" t="s">
        <v>304</v>
      </c>
      <c r="E2" s="107" t="s">
        <v>303</v>
      </c>
    </row>
    <row r="3" spans="1:5" ht="28.5">
      <c r="A3" s="290"/>
      <c r="B3" s="97" t="s">
        <v>365</v>
      </c>
      <c r="C3" s="97" t="s">
        <v>305</v>
      </c>
      <c r="D3" s="97" t="s">
        <v>306</v>
      </c>
      <c r="E3" s="97" t="s">
        <v>307</v>
      </c>
    </row>
    <row r="4" spans="1:5" ht="14.25">
      <c r="A4" s="290"/>
      <c r="B4" s="97" t="s">
        <v>366</v>
      </c>
      <c r="C4" s="97"/>
      <c r="D4" s="97"/>
      <c r="E4" s="97" t="s">
        <v>309</v>
      </c>
    </row>
    <row r="5" spans="1:5" ht="17.25">
      <c r="A5" s="290"/>
      <c r="B5" s="97" t="s">
        <v>308</v>
      </c>
      <c r="C5" s="97" t="s">
        <v>308</v>
      </c>
      <c r="D5" s="97" t="s">
        <v>308</v>
      </c>
      <c r="E5" s="97" t="s">
        <v>308</v>
      </c>
    </row>
    <row r="6" spans="1:5" ht="15">
      <c r="A6" s="109" t="str">
        <f>A.4.4!A5</f>
        <v>2013 (From 2nd April)</v>
      </c>
      <c r="B6" s="199">
        <f>'emission reduction calculation'!$B$7*274/365</f>
        <v>759382.13869669812</v>
      </c>
      <c r="C6" s="199">
        <f>'emission reduction calculation'!$B$6*274/365</f>
        <v>1781007.8171652001</v>
      </c>
      <c r="D6" s="200">
        <f>'emission reduction calculation'!$B$8*274/365</f>
        <v>67807.572607583119</v>
      </c>
      <c r="E6" s="200">
        <f t="shared" ref="E6:E16" si="0">C6-B6-D6</f>
        <v>953818.10586091888</v>
      </c>
    </row>
    <row r="7" spans="1:5" ht="15">
      <c r="A7" s="109">
        <f>A.4.4!A6</f>
        <v>2014</v>
      </c>
      <c r="B7" s="199">
        <f>'emission reduction calculation'!$B$7</f>
        <v>1011585.6957091051</v>
      </c>
      <c r="C7" s="199">
        <f>'emission reduction calculation'!$B$6</f>
        <v>2372510.413377</v>
      </c>
      <c r="D7" s="200">
        <f>'emission reduction calculation'!$B$8</f>
        <v>90327.605845868035</v>
      </c>
      <c r="E7" s="200">
        <f t="shared" si="0"/>
        <v>1270597.1118220268</v>
      </c>
    </row>
    <row r="8" spans="1:5" ht="15">
      <c r="A8" s="109">
        <f>A.4.4!A7</f>
        <v>2015</v>
      </c>
      <c r="B8" s="199">
        <f>'emission reduction calculation'!$B$7</f>
        <v>1011585.6957091051</v>
      </c>
      <c r="C8" s="199">
        <f>'emission reduction calculation'!$B$6</f>
        <v>2372510.413377</v>
      </c>
      <c r="D8" s="200">
        <f>'emission reduction calculation'!$B$8</f>
        <v>90327.605845868035</v>
      </c>
      <c r="E8" s="200">
        <f t="shared" si="0"/>
        <v>1270597.1118220268</v>
      </c>
    </row>
    <row r="9" spans="1:5" ht="15">
      <c r="A9" s="109">
        <f>A.4.4!A8</f>
        <v>2016</v>
      </c>
      <c r="B9" s="199">
        <f>'emission reduction calculation'!$B$7</f>
        <v>1011585.6957091051</v>
      </c>
      <c r="C9" s="199">
        <f>'emission reduction calculation'!$B$6</f>
        <v>2372510.413377</v>
      </c>
      <c r="D9" s="200">
        <f>'emission reduction calculation'!$B$8</f>
        <v>90327.605845868035</v>
      </c>
      <c r="E9" s="200">
        <f t="shared" si="0"/>
        <v>1270597.1118220268</v>
      </c>
    </row>
    <row r="10" spans="1:5" ht="15">
      <c r="A10" s="109">
        <f>A.4.4!A9</f>
        <v>2017</v>
      </c>
      <c r="B10" s="199">
        <f>'emission reduction calculation'!$B$7</f>
        <v>1011585.6957091051</v>
      </c>
      <c r="C10" s="199">
        <f>'emission reduction calculation'!$B$6</f>
        <v>2372510.413377</v>
      </c>
      <c r="D10" s="200">
        <f>'emission reduction calculation'!$B$8</f>
        <v>90327.605845868035</v>
      </c>
      <c r="E10" s="200">
        <f t="shared" si="0"/>
        <v>1270597.1118220268</v>
      </c>
    </row>
    <row r="11" spans="1:5" ht="15">
      <c r="A11" s="109">
        <f>A.4.4!A10</f>
        <v>2018</v>
      </c>
      <c r="B11" s="199">
        <f>'emission reduction calculation'!$B$7</f>
        <v>1011585.6957091051</v>
      </c>
      <c r="C11" s="199">
        <f>'emission reduction calculation'!$B$6</f>
        <v>2372510.413377</v>
      </c>
      <c r="D11" s="200">
        <f>'emission reduction calculation'!$B$8</f>
        <v>90327.605845868035</v>
      </c>
      <c r="E11" s="200">
        <f t="shared" si="0"/>
        <v>1270597.1118220268</v>
      </c>
    </row>
    <row r="12" spans="1:5" ht="15">
      <c r="A12" s="109">
        <f>A.4.4!A11</f>
        <v>2019</v>
      </c>
      <c r="B12" s="199">
        <f>'emission reduction calculation'!$B$7</f>
        <v>1011585.6957091051</v>
      </c>
      <c r="C12" s="199">
        <f>'emission reduction calculation'!$B$6</f>
        <v>2372510.413377</v>
      </c>
      <c r="D12" s="200">
        <f>'emission reduction calculation'!$B$8</f>
        <v>90327.605845868035</v>
      </c>
      <c r="E12" s="200">
        <f t="shared" si="0"/>
        <v>1270597.1118220268</v>
      </c>
    </row>
    <row r="13" spans="1:5" ht="15">
      <c r="A13" s="109">
        <f>A.4.4!A12</f>
        <v>2020</v>
      </c>
      <c r="B13" s="199">
        <f>'emission reduction calculation'!$B$7</f>
        <v>1011585.6957091051</v>
      </c>
      <c r="C13" s="199">
        <f>'emission reduction calculation'!$B$6</f>
        <v>2372510.413377</v>
      </c>
      <c r="D13" s="200">
        <f>'emission reduction calculation'!$B$8</f>
        <v>90327.605845868035</v>
      </c>
      <c r="E13" s="200">
        <f t="shared" si="0"/>
        <v>1270597.1118220268</v>
      </c>
    </row>
    <row r="14" spans="1:5" ht="15">
      <c r="A14" s="109">
        <f>A.4.4!A13</f>
        <v>2021</v>
      </c>
      <c r="B14" s="199">
        <f>'emission reduction calculation'!$B$7</f>
        <v>1011585.6957091051</v>
      </c>
      <c r="C14" s="199">
        <f>'emission reduction calculation'!$B$6</f>
        <v>2372510.413377</v>
      </c>
      <c r="D14" s="200">
        <f>'emission reduction calculation'!$B$8</f>
        <v>90327.605845868035</v>
      </c>
      <c r="E14" s="200">
        <f t="shared" si="0"/>
        <v>1270597.1118220268</v>
      </c>
    </row>
    <row r="15" spans="1:5" ht="15">
      <c r="A15" s="109">
        <f>A.4.4!A14</f>
        <v>2022</v>
      </c>
      <c r="B15" s="199">
        <f>'emission reduction calculation'!$B$7</f>
        <v>1011585.6957091051</v>
      </c>
      <c r="C15" s="199">
        <f>'emission reduction calculation'!$B$6</f>
        <v>2372510.413377</v>
      </c>
      <c r="D15" s="200">
        <f>'emission reduction calculation'!$B$8</f>
        <v>90327.605845868035</v>
      </c>
      <c r="E15" s="200">
        <f t="shared" si="0"/>
        <v>1270597.1118220268</v>
      </c>
    </row>
    <row r="16" spans="1:5" ht="15">
      <c r="A16" s="109" t="str">
        <f>A.4.4!A15</f>
        <v>2023 (Until 1st April)</v>
      </c>
      <c r="B16" s="199">
        <f>'emission reduction calculation'!$B$7*91/365</f>
        <v>252203.55701240702</v>
      </c>
      <c r="C16" s="199">
        <f>'emission reduction calculation'!$B$6*91/365</f>
        <v>591502.5962118</v>
      </c>
      <c r="D16" s="199">
        <f>'emission reduction calculation'!$B$8*91/365</f>
        <v>22520.033238284908</v>
      </c>
      <c r="E16" s="199">
        <f t="shared" si="0"/>
        <v>316779.00596110808</v>
      </c>
    </row>
    <row r="17" spans="1:7" ht="15">
      <c r="A17" s="110" t="s">
        <v>350</v>
      </c>
      <c r="B17" s="199">
        <f>ROUND(SUM(B6:B16),0)</f>
        <v>10115857</v>
      </c>
      <c r="C17" s="199">
        <f>ROUND(SUM(C6:C16),0)</f>
        <v>23725104</v>
      </c>
      <c r="D17" s="199">
        <f>SUM(D6:D16)</f>
        <v>903276.05845868017</v>
      </c>
      <c r="E17" s="199">
        <f>SUM(E6:E16)</f>
        <v>12705971.11822027</v>
      </c>
      <c r="G17" s="195"/>
    </row>
    <row r="18" spans="1:7" ht="14.25">
      <c r="A18" s="291" t="s">
        <v>349</v>
      </c>
      <c r="B18" s="291"/>
      <c r="C18" s="291"/>
      <c r="D18" s="291"/>
      <c r="E18" s="291"/>
    </row>
  </sheetData>
  <mergeCells count="2">
    <mergeCell ref="A2:A5"/>
    <mergeCell ref="A18:E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combined, most likely senario </vt:lpstr>
      <vt:lpstr>project emissions</vt:lpstr>
      <vt:lpstr>leakages</vt:lpstr>
      <vt:lpstr>Section 5 - EFbl,upstream,ch4</vt:lpstr>
      <vt:lpstr>Sample BM plants</vt:lpstr>
      <vt:lpstr>emission reduction calculation</vt:lpstr>
      <vt:lpstr>A.4.4</vt:lpstr>
      <vt:lpstr>Sheet5</vt:lpstr>
      <vt:lpstr>ER summary</vt:lpstr>
      <vt:lpstr>Low cost %</vt:lpstr>
      <vt:lpstr>A.4.4!Print_Area</vt:lpstr>
      <vt:lpstr>'emission reduction calculation'!Print_Area</vt:lpstr>
      <vt:lpstr>'ER summary'!Print_Area</vt:lpstr>
      <vt:lpstr>leakages!Print_Area</vt:lpstr>
      <vt:lpstr>'Low cost %'!Print_Area</vt:lpstr>
      <vt:lpstr>'project emissions'!Print_Area</vt:lpstr>
      <vt:lpstr>'Section 5 - EFbl,upstream,ch4'!Print_Area</vt:lpstr>
    </vt:vector>
  </TitlesOfParts>
  <Company>TORRENT POWER GENERATION LIMITED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nitinmukhi</dc:creator>
  <cp:lastModifiedBy>220265</cp:lastModifiedBy>
  <cp:lastPrinted>2011-11-14T10:59:56Z</cp:lastPrinted>
  <dcterms:created xsi:type="dcterms:W3CDTF">2006-09-04T06:36:57Z</dcterms:created>
  <dcterms:modified xsi:type="dcterms:W3CDTF">2012-12-28T06:25:35Z</dcterms:modified>
</cp:coreProperties>
</file>