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2120" windowHeight="9120" tabRatio="814"/>
  </bookViews>
  <sheets>
    <sheet name="Assumption" sheetId="1" r:id="rId1"/>
    <sheet name="Sensitivity Analysis" sheetId="10" r:id="rId2"/>
    <sheet name="Fuel Pricing" sheetId="14" r:id="rId3"/>
    <sheet name="depre" sheetId="2" r:id="rId4"/>
    <sheet name="term loan " sheetId="3" r:id="rId5"/>
    <sheet name="fuel" sheetId="4" r:id="rId6"/>
    <sheet name="fixed cost" sheetId="5" r:id="rId7"/>
    <sheet name="Sheet1" sheetId="6" state="hidden" r:id="rId8"/>
    <sheet name="Tax" sheetId="7" r:id="rId9"/>
    <sheet name="PL" sheetId="9" r:id="rId10"/>
    <sheet name="Fuel Pricing_Gas" sheetId="12"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 localSheetId="2">'[1]Top Sheet'!#REF!</definedName>
    <definedName name="\a" localSheetId="9">'[1]Top Sheet'!#REF!</definedName>
    <definedName name="\a">'[1]Top Sheet'!#REF!</definedName>
    <definedName name="\b" localSheetId="2">#REF!</definedName>
    <definedName name="\b" localSheetId="9">#REF!</definedName>
    <definedName name="\b">#REF!</definedName>
    <definedName name="\c" localSheetId="2">#REF!</definedName>
    <definedName name="\c" localSheetId="9">#REF!</definedName>
    <definedName name="\c">#REF!</definedName>
    <definedName name="_2500_T_PRESS" localSheetId="2">'[2]COST SHEET'!#REF!</definedName>
    <definedName name="_2500_T_PRESS" localSheetId="9">'[2]COST SHEET'!#REF!</definedName>
    <definedName name="_2500_T_PRESS">'[2]COST SHEET'!#REF!</definedName>
    <definedName name="_3150_T_PRESS" localSheetId="2">'[2]COST SHEET'!#REF!</definedName>
    <definedName name="_3150_T_PRESS" localSheetId="9">'[2]COST SHEET'!#REF!</definedName>
    <definedName name="_3150_T_PRESS">'[2]COST SHEET'!#REF!</definedName>
    <definedName name="_800_T_PRESS" localSheetId="2">'[2]COST SHEET'!#REF!</definedName>
    <definedName name="_800_T_PRESS" localSheetId="9">'[2]COST SHEET'!#REF!</definedName>
    <definedName name="_800_T_PRESS">'[2]COST SHEET'!#REF!</definedName>
    <definedName name="_kedar" localSheetId="2" hidden="1">#REF!</definedName>
    <definedName name="_kedar" localSheetId="9" hidden="1">#REF!</definedName>
    <definedName name="_kedar" hidden="1">#REF!</definedName>
    <definedName name="_Key2" localSheetId="2" hidden="1">'[2]COST SHEET'!#REF!</definedName>
    <definedName name="_Key2" localSheetId="9" hidden="1">'[2]COST SHEET'!#REF!</definedName>
    <definedName name="_Key2" hidden="1">'[2]COST SHEET'!#REF!</definedName>
    <definedName name="_Order1" hidden="1">0</definedName>
    <definedName name="_Order2" hidden="1">255</definedName>
    <definedName name="_Sort" localSheetId="2" hidden="1">'[2]#REF'!$M$10:$M$64</definedName>
    <definedName name="_Sort" hidden="1">'[2]#REF'!$M$10:$M$64</definedName>
    <definedName name="a">'[3]Break up of RMcost'!$D$5</definedName>
    <definedName name="AC">[4]Details!$D$187</definedName>
    <definedName name="ALLOY__ROD" localSheetId="2">'[2]COST SHEET'!#REF!</definedName>
    <definedName name="ALLOY__ROD" localSheetId="9">'[2]COST SHEET'!#REF!</definedName>
    <definedName name="ALLOY__ROD">'[2]COST SHEET'!#REF!</definedName>
    <definedName name="ALLOY_INGO" localSheetId="2">'[2]COST SHEET'!#REF!</definedName>
    <definedName name="ALLOY_INGO" localSheetId="9">'[2]COST SHEET'!#REF!</definedName>
    <definedName name="ALLOY_INGO">'[2]COST SHEET'!#REF!</definedName>
    <definedName name="ALUMINA_HYDRATE" localSheetId="2">'[2]COST SHEET'!#REF!</definedName>
    <definedName name="ALUMINA_HYDRATE" localSheetId="9">'[2]COST SHEET'!#REF!</definedName>
    <definedName name="ALUMINA_HYDRATE">'[2]COST SHEET'!#REF!</definedName>
    <definedName name="ANODE_PASTE" localSheetId="2">'[2]COST SHEET'!#REF!</definedName>
    <definedName name="ANODE_PASTE" localSheetId="9">'[2]COST SHEET'!#REF!</definedName>
    <definedName name="ANODE_PASTE">'[2]COST SHEET'!#REF!</definedName>
    <definedName name="anscount" hidden="1">1</definedName>
    <definedName name="b">[5]Variables!$A$5</definedName>
    <definedName name="best" localSheetId="2">'[2]Top Sheet'!#REF!</definedName>
    <definedName name="best" localSheetId="9">'[2]Top Sheet'!#REF!</definedName>
    <definedName name="best">'[2]Top Sheet'!#REF!</definedName>
    <definedName name="BILLET" localSheetId="2">'[2]COST SHEET'!#REF!</definedName>
    <definedName name="BILLET" localSheetId="9">'[2]COST SHEET'!#REF!</definedName>
    <definedName name="BILLET">'[2]COST SHEET'!#REF!</definedName>
    <definedName name="BU">'[6]Report Setup Sheet'!$B$50</definedName>
    <definedName name="C.R.P" localSheetId="2">'[2]COST SHEET'!#REF!</definedName>
    <definedName name="C.R.P" localSheetId="9">'[2]COST SHEET'!#REF!</definedName>
    <definedName name="C.R.P">'[2]COST SHEET'!#REF!</definedName>
    <definedName name="CALCINED_ALUMIN" localSheetId="2">'[2]COST SHEET'!#REF!</definedName>
    <definedName name="CALCINED_ALUMIN" localSheetId="9">'[2]COST SHEET'!#REF!</definedName>
    <definedName name="CALCINED_ALUMIN">'[2]COST SHEET'!#REF!</definedName>
    <definedName name="CCR" localSheetId="2">[7]REFNCOMPARE!#REF!</definedName>
    <definedName name="CCR" localSheetId="9">[7]REFNCOMPARE!#REF!</definedName>
    <definedName name="CCR">[7]REFNCOMPARE!#REF!</definedName>
    <definedName name="CCRFIN" localSheetId="2">[7]REFNCOMPARE!#REF!</definedName>
    <definedName name="CCRFIN" localSheetId="9">[7]REFNCOMPARE!#REF!</definedName>
    <definedName name="CCRFIN">[7]REFNCOMPARE!#REF!</definedName>
    <definedName name="CELL_REL_CONTRACT" localSheetId="2">'[2]cell rel'!#REF!</definedName>
    <definedName name="CELL_REL_CONTRACT" localSheetId="9">'[2]cell rel'!#REF!</definedName>
    <definedName name="CELL_REL_CONTRACT">'[2]cell rel'!#REF!</definedName>
    <definedName name="CELL_RELINING_MATERIAL" localSheetId="2">'[2]cell rel'!#REF!</definedName>
    <definedName name="CELL_RELINING_MATERIAL" localSheetId="9">'[2]cell rel'!#REF!</definedName>
    <definedName name="CELL_RELINING_MATERIAL">'[2]cell rel'!#REF!</definedName>
    <definedName name="COMPARATIVE" localSheetId="2">'[2]#REF'!$C$10</definedName>
    <definedName name="COMPARATIVE">'[2]#REF'!$C$10</definedName>
    <definedName name="con" localSheetId="2">#REF!</definedName>
    <definedName name="con" localSheetId="9">#REF!</definedName>
    <definedName name="con">#REF!</definedName>
    <definedName name="CONBUDGET" localSheetId="2">'[2]#REF'!$I$38</definedName>
    <definedName name="CONBUDGET">'[2]#REF'!$I$38</definedName>
    <definedName name="contangoforoct">[8]CONTANGO!$I$38</definedName>
    <definedName name="CONTRACT_SUMMARY" localSheetId="2">'[2]Contract Details'!#REF!</definedName>
    <definedName name="CONTRACT_SUMMARY" localSheetId="9">'[2]Contract Details'!#REF!</definedName>
    <definedName name="CONTRACT_SUMMARY">'[2]Contract Details'!#REF!</definedName>
    <definedName name="COST_ALUMINA" localSheetId="2">'[2]#REF'!$A$1:$F$22</definedName>
    <definedName name="COST_ALUMINA">'[2]#REF'!$A$1:$F$22</definedName>
    <definedName name="COUNT" localSheetId="2">'[2]#REF'!$A$5:$O$48</definedName>
    <definedName name="COUNT">'[2]#REF'!$A$5:$O$48</definedName>
    <definedName name="CRP" localSheetId="2">'[2]COST SHEET'!#REF!</definedName>
    <definedName name="CRP" localSheetId="9">'[2]COST SHEET'!#REF!</definedName>
    <definedName name="CRP">'[2]COST SHEET'!#REF!</definedName>
    <definedName name="d" localSheetId="2">'[2]#REF'!$C$51:$N$51</definedName>
    <definedName name="d">'[2]#REF'!$C$51:$N$51</definedName>
    <definedName name="_xlnm.Database" localSheetId="2">'[2]COST SHEET'!#REF!</definedName>
    <definedName name="_xlnm.Database" localSheetId="10">'[2]COST SHEET'!#REF!</definedName>
    <definedName name="_xlnm.Database" localSheetId="9">'[2]COST SHEET'!#REF!</definedName>
    <definedName name="_xlnm.Database">'[2]COST SHEET'!#REF!</definedName>
    <definedName name="DepApr" localSheetId="2">'[9]Monthly Break Up'!#REF!</definedName>
    <definedName name="DepApr" localSheetId="9">'[9]Monthly Break Up'!#REF!</definedName>
    <definedName name="DepApr">'[9]Monthly Break Up'!#REF!</definedName>
    <definedName name="DepAug" localSheetId="2">'[9]Monthly Break Up'!#REF!</definedName>
    <definedName name="DepAug" localSheetId="9">'[9]Monthly Break Up'!#REF!</definedName>
    <definedName name="DepAug">'[9]Monthly Break Up'!#REF!</definedName>
    <definedName name="DepDec" localSheetId="2">'[9]Monthly Break Up'!#REF!</definedName>
    <definedName name="DepDec" localSheetId="9">'[9]Monthly Break Up'!#REF!</definedName>
    <definedName name="DepDec">'[9]Monthly Break Up'!#REF!</definedName>
    <definedName name="DepFeb" localSheetId="2">'[9]Monthly Break Up'!#REF!</definedName>
    <definedName name="DepFeb" localSheetId="9">'[9]Monthly Break Up'!#REF!</definedName>
    <definedName name="DepFeb">'[9]Monthly Break Up'!#REF!</definedName>
    <definedName name="DepJan" localSheetId="2">'[9]Monthly Break Up'!#REF!</definedName>
    <definedName name="DepJan" localSheetId="9">'[9]Monthly Break Up'!#REF!</definedName>
    <definedName name="DepJan">'[9]Monthly Break Up'!#REF!</definedName>
    <definedName name="DepJuly" localSheetId="2">'[9]Monthly Break Up'!#REF!</definedName>
    <definedName name="DepJuly" localSheetId="9">'[9]Monthly Break Up'!#REF!</definedName>
    <definedName name="DepJuly">'[9]Monthly Break Up'!#REF!</definedName>
    <definedName name="DepJune" localSheetId="2">'[9]Monthly Break Up'!#REF!</definedName>
    <definedName name="DepJune" localSheetId="9">'[9]Monthly Break Up'!#REF!</definedName>
    <definedName name="DepJune">'[9]Monthly Break Up'!#REF!</definedName>
    <definedName name="DepMar" localSheetId="2">'[9]Monthly Break Up'!#REF!</definedName>
    <definedName name="DepMar" localSheetId="9">'[9]Monthly Break Up'!#REF!</definedName>
    <definedName name="DepMar">'[9]Monthly Break Up'!#REF!</definedName>
    <definedName name="DepMay" localSheetId="2">'[9]Monthly Break Up'!#REF!</definedName>
    <definedName name="DepMay" localSheetId="9">'[9]Monthly Break Up'!#REF!</definedName>
    <definedName name="DepMay">'[9]Monthly Break Up'!#REF!</definedName>
    <definedName name="DepNov" localSheetId="2">'[9]Monthly Break Up'!#REF!</definedName>
    <definedName name="DepNov" localSheetId="9">'[9]Monthly Break Up'!#REF!</definedName>
    <definedName name="DepNov">'[9]Monthly Break Up'!#REF!</definedName>
    <definedName name="DepOct" localSheetId="2">'[9]Monthly Break Up'!#REF!</definedName>
    <definedName name="DepOct" localSheetId="9">'[9]Monthly Break Up'!#REF!</definedName>
    <definedName name="DepOct">'[9]Monthly Break Up'!#REF!</definedName>
    <definedName name="Depreciation" localSheetId="2">'[9]Monthly Break Up'!#REF!</definedName>
    <definedName name="Depreciation" localSheetId="9">'[9]Monthly Break Up'!#REF!</definedName>
    <definedName name="Depreciation">'[9]Monthly Break Up'!#REF!</definedName>
    <definedName name="DepreciationAprActual" localSheetId="2">'[9]Monthly Break Up'!#REF!</definedName>
    <definedName name="DepreciationAprActual" localSheetId="9">'[9]Monthly Break Up'!#REF!</definedName>
    <definedName name="DepreciationAprActual">'[9]Monthly Break Up'!#REF!</definedName>
    <definedName name="DepriciationAprActual" localSheetId="2">'[9]Monthly Break Up'!#REF!</definedName>
    <definedName name="DepriciationAprActual" localSheetId="9">'[9]Monthly Break Up'!#REF!</definedName>
    <definedName name="DepriciationAprActual">'[9]Monthly Break Up'!#REF!</definedName>
    <definedName name="DepriciationAugProj" localSheetId="2">'[9]Monthly Break Up'!#REF!</definedName>
    <definedName name="DepriciationAugProj" localSheetId="9">'[9]Monthly Break Up'!#REF!</definedName>
    <definedName name="DepriciationAugProj">'[9]Monthly Break Up'!#REF!</definedName>
    <definedName name="DepriciationDecProj" localSheetId="2">'[9]Monthly Break Up'!#REF!</definedName>
    <definedName name="DepriciationDecProj" localSheetId="9">'[9]Monthly Break Up'!#REF!</definedName>
    <definedName name="DepriciationDecProj">'[9]Monthly Break Up'!#REF!</definedName>
    <definedName name="DepriciationFebProj" localSheetId="2">'[9]Monthly Break Up'!#REF!</definedName>
    <definedName name="DepriciationFebProj" localSheetId="9">'[9]Monthly Break Up'!#REF!</definedName>
    <definedName name="DepriciationFebProj">'[9]Monthly Break Up'!#REF!</definedName>
    <definedName name="DepriciationJanProj" localSheetId="2">'[9]Monthly Break Up'!#REF!</definedName>
    <definedName name="DepriciationJanProj" localSheetId="9">'[9]Monthly Break Up'!#REF!</definedName>
    <definedName name="DepriciationJanProj">'[9]Monthly Break Up'!#REF!</definedName>
    <definedName name="DepriciationJulyProj" localSheetId="2">'[9]Monthly Break Up'!#REF!</definedName>
    <definedName name="DepriciationJulyProj" localSheetId="9">'[9]Monthly Break Up'!#REF!</definedName>
    <definedName name="DepriciationJulyProj">'[9]Monthly Break Up'!#REF!</definedName>
    <definedName name="DepriciationJuneProj" localSheetId="2">'[9]Monthly Break Up'!#REF!</definedName>
    <definedName name="DepriciationJuneProj" localSheetId="9">'[9]Monthly Break Up'!#REF!</definedName>
    <definedName name="DepriciationJuneProj">'[9]Monthly Break Up'!#REF!</definedName>
    <definedName name="DepriciationMarProj" localSheetId="2">'[9]Monthly Break Up'!#REF!</definedName>
    <definedName name="DepriciationMarProj" localSheetId="9">'[9]Monthly Break Up'!#REF!</definedName>
    <definedName name="DepriciationMarProj">'[9]Monthly Break Up'!#REF!</definedName>
    <definedName name="DepriciationMayActual" localSheetId="2">'[9]Monthly Break Up'!#REF!</definedName>
    <definedName name="DepriciationMayActual" localSheetId="9">'[9]Monthly Break Up'!#REF!</definedName>
    <definedName name="DepriciationMayActual">'[9]Monthly Break Up'!#REF!</definedName>
    <definedName name="DepriciationNovProj" localSheetId="2">'[9]Monthly Break Up'!#REF!</definedName>
    <definedName name="DepriciationNovProj" localSheetId="9">'[9]Monthly Break Up'!#REF!</definedName>
    <definedName name="DepriciationNovProj">'[9]Monthly Break Up'!#REF!</definedName>
    <definedName name="DepriciationOctProj" localSheetId="2">'[9]Monthly Break Up'!#REF!</definedName>
    <definedName name="DepriciationOctProj" localSheetId="9">'[9]Monthly Break Up'!#REF!</definedName>
    <definedName name="DepriciationOctProj">'[9]Monthly Break Up'!#REF!</definedName>
    <definedName name="DepriciationSepProj" localSheetId="2">'[9]Monthly Break Up'!#REF!</definedName>
    <definedName name="DepriciationSepProj" localSheetId="9">'[9]Monthly Break Up'!#REF!</definedName>
    <definedName name="DepriciationSepProj">'[9]Monthly Break Up'!#REF!</definedName>
    <definedName name="DepSep" localSheetId="2">'[9]Monthly Break Up'!#REF!</definedName>
    <definedName name="DepSep" localSheetId="9">'[9]Monthly Break Up'!#REF!</definedName>
    <definedName name="DepSep">'[9]Monthly Break Up'!#REF!</definedName>
    <definedName name="DepSept" localSheetId="2">'[9]Monthly Break Up'!#REF!</definedName>
    <definedName name="DepSept" localSheetId="9">'[9]Monthly Break Up'!#REF!</definedName>
    <definedName name="DepSept">'[9]Monthly Break Up'!#REF!</definedName>
    <definedName name="ee" localSheetId="2">'[2]#REF'!$C$436</definedName>
    <definedName name="ee">'[2]#REF'!$C$436</definedName>
    <definedName name="ex" localSheetId="2">#REF!</definedName>
    <definedName name="ex" localSheetId="9">#REF!</definedName>
    <definedName name="ex">#REF!</definedName>
    <definedName name="_xlnm.Extract" localSheetId="2">'[2]COST SHEET'!#REF!</definedName>
    <definedName name="_xlnm.Extract" localSheetId="10">'[2]COST SHEET'!#REF!</definedName>
    <definedName name="_xlnm.Extract" localSheetId="9">'[2]COST SHEET'!#REF!</definedName>
    <definedName name="_xlnm.Extract">'[2]COST SHEET'!#REF!</definedName>
    <definedName name="EXTRUSION" localSheetId="2">'[2]COST SHEET'!#REF!</definedName>
    <definedName name="EXTRUSION" localSheetId="9">'[2]COST SHEET'!#REF!</definedName>
    <definedName name="EXTRUSION">'[2]COST SHEET'!#REF!</definedName>
    <definedName name="fgdsfdsf" localSheetId="2" hidden="1">[2]GROUPING!$F$440:$F$1029</definedName>
    <definedName name="fgdsfdsf" hidden="1">[2]GROUPING!$F$440:$F$1029</definedName>
    <definedName name="G">[4]Details!$D$205</definedName>
    <definedName name="G42.">#REF!</definedName>
    <definedName name="H.R.C." localSheetId="2">'[2]COST SHEET'!#REF!</definedName>
    <definedName name="H.R.C." localSheetId="9">'[2]COST SHEET'!#REF!</definedName>
    <definedName name="H.R.C.">'[2]COST SHEET'!#REF!</definedName>
    <definedName name="H.R.P" localSheetId="2">'[2]COST SHEET'!#REF!</definedName>
    <definedName name="H.R.P" localSheetId="9">'[2]COST SHEET'!#REF!</definedName>
    <definedName name="H.R.P">'[2]COST SHEET'!#REF!</definedName>
    <definedName name="HOTMETAL" localSheetId="2">'[2]COST SHEET'!#REF!</definedName>
    <definedName name="HOTMETAL" localSheetId="9">'[2]COST SHEET'!#REF!</definedName>
    <definedName name="HOTMETAL">'[2]COST SHEET'!#REF!</definedName>
    <definedName name="inr" localSheetId="2">[2]assumption!$D$64</definedName>
    <definedName name="inr">[2]assumption!$D$64</definedName>
    <definedName name="jdjfkhdj" localSheetId="2">#REF!</definedName>
    <definedName name="jdjfkhdj" localSheetId="9">#REF!</definedName>
    <definedName name="jdjfkhdj">#REF!</definedName>
    <definedName name="k" localSheetId="2">#REF!</definedName>
    <definedName name="k">#REF!</definedName>
    <definedName name="kedar" localSheetId="2">'[2]#REF'!$C$10</definedName>
    <definedName name="kedar">'[2]#REF'!$C$10</definedName>
    <definedName name="Kedar1" localSheetId="2">'[2]OTHER RM'!$B$4:$H$26</definedName>
    <definedName name="Kedar1">'[2]OTHER RM'!$B$4:$H$26</definedName>
    <definedName name="lastname" localSheetId="2">'[2]#REF'!#REF!</definedName>
    <definedName name="lastname" localSheetId="9">'[2]#REF'!#REF!</definedName>
    <definedName name="lastname">'[2]#REF'!#REF!</definedName>
    <definedName name="Levelized_Tariff" localSheetId="2">[10]Assumption!#REF!</definedName>
    <definedName name="Levelized_Tariff">[11]Assumption!#REF!</definedName>
    <definedName name="MAINT_CONSUMPTION" localSheetId="2">'[2]#REF'!$B$2:$L$48</definedName>
    <definedName name="MAINT_CONSUMPTION">'[2]#REF'!$B$2:$L$48</definedName>
    <definedName name="mar">[12]margin.!$I$17</definedName>
    <definedName name="may" localSheetId="2">#REF!</definedName>
    <definedName name="may" localSheetId="9">#REF!</definedName>
    <definedName name="may">#REF!</definedName>
    <definedName name="MGMETALS" localSheetId="2">[2]BREAKUP!#REF!</definedName>
    <definedName name="MGMETALS" localSheetId="9">[2]BREAKUP!#REF!</definedName>
    <definedName name="MGMETALS">[2]BREAKUP!#REF!</definedName>
    <definedName name="MHM">[4]Details!$D$156</definedName>
    <definedName name="misgroup" localSheetId="2" hidden="1">[2]GROUPING!$B$440:$B$1029</definedName>
    <definedName name="misgroup" hidden="1">[2]GROUPING!$B$440:$B$1029</definedName>
    <definedName name="N" localSheetId="2">[2]BREAKUP!#REF!</definedName>
    <definedName name="N" localSheetId="9">[2]BREAKUP!#REF!</definedName>
    <definedName name="N">[2]BREAKUP!#REF!</definedName>
    <definedName name="NetProfit" localSheetId="2">'[2]#REF'!$G$56</definedName>
    <definedName name="NetProfit">'[2]#REF'!$G$56</definedName>
    <definedName name="om" localSheetId="2">'[2]#REF'!$C$327</definedName>
    <definedName name="om">'[2]#REF'!$C$327</definedName>
    <definedName name="OTHER_RM_SUM" localSheetId="2">'[2]rawmat break up'!#REF!</definedName>
    <definedName name="OTHER_RM_SUM" localSheetId="9">'[2]rawmat break up'!#REF!</definedName>
    <definedName name="OTHER_RM_SUM">'[2]rawmat break up'!#REF!</definedName>
    <definedName name="p" localSheetId="2">'[1]Top Sheet'!#REF!</definedName>
    <definedName name="p">'[1]Top Sheet'!#REF!</definedName>
    <definedName name="PATMonthActual" localSheetId="2">#REF!</definedName>
    <definedName name="PATMonthActual" localSheetId="9">#REF!</definedName>
    <definedName name="PATMonthActual">#REF!</definedName>
    <definedName name="PATYearActual" localSheetId="2">#REF!</definedName>
    <definedName name="PATYearActual" localSheetId="9">#REF!</definedName>
    <definedName name="PATYearActual">#REF!</definedName>
    <definedName name="PIG_CASTING" localSheetId="2">'[2]COST SHEET'!#REF!</definedName>
    <definedName name="PIG_CASTING" localSheetId="9">'[2]COST SHEET'!#REF!</definedName>
    <definedName name="PIG_CASTING">'[2]COST SHEET'!#REF!</definedName>
    <definedName name="post" localSheetId="2" hidden="1">#REF!</definedName>
    <definedName name="post" localSheetId="9" hidden="1">#REF!</definedName>
    <definedName name="post" hidden="1">#REF!</definedName>
    <definedName name="power" localSheetId="2">#REF!</definedName>
    <definedName name="power" localSheetId="9">#REF!</definedName>
    <definedName name="power">#REF!</definedName>
    <definedName name="print" localSheetId="2">#REF!</definedName>
    <definedName name="print" localSheetId="9">#REF!</definedName>
    <definedName name="print">#REF!</definedName>
    <definedName name="_xlnm.Print_Area" localSheetId="0">Assumption!$A$1:$E$75</definedName>
    <definedName name="_xlnm.Print_Area" localSheetId="3">depre!$A$1:$Z$32</definedName>
    <definedName name="_xlnm.Print_Area" localSheetId="6">'fixed cost'!$A$1:$Z$43</definedName>
    <definedName name="_xlnm.Print_Area" localSheetId="5">fuel!$A$1:$AD$53</definedName>
    <definedName name="_xlnm.Print_Area" localSheetId="9">PL!$A$1:$AA$34</definedName>
    <definedName name="_xlnm.Print_Area" localSheetId="8">Tax!$A$1:$Z$45</definedName>
    <definedName name="_xlnm.Print_Area" localSheetId="4">'term loan '!$A$1:$Q$27</definedName>
    <definedName name="Print_Area_MI" localSheetId="2">#REF!</definedName>
    <definedName name="Print_Area_MI" localSheetId="9">#REF!</definedName>
    <definedName name="Print_Area_MI">#REF!</definedName>
    <definedName name="PRINT_TITLES_MI" localSheetId="2">'[1]Top Sheet'!#REF!</definedName>
    <definedName name="PRINT_TITLES_MI" localSheetId="9">'[1]Top Sheet'!#REF!</definedName>
    <definedName name="PRINT_TITLES_MI">'[1]Top Sheet'!#REF!</definedName>
    <definedName name="production" localSheetId="2">#REF!</definedName>
    <definedName name="production" localSheetId="9">#REF!</definedName>
    <definedName name="production">#REF!</definedName>
    <definedName name="PROFITLOSS" localSheetId="2">#REF!</definedName>
    <definedName name="PROFITLOSS" localSheetId="9">#REF!</definedName>
    <definedName name="PROFITLOSS">#REF!</definedName>
    <definedName name="Project_to_date" localSheetId="2">'[2]#REF'!$H$9:$J$32</definedName>
    <definedName name="Project_to_date">'[2]#REF'!$H$9:$J$32</definedName>
    <definedName name="PROPERZI" localSheetId="2">'[2]COST SHEET'!#REF!</definedName>
    <definedName name="PROPERZI" localSheetId="9">'[2]COST SHEET'!#REF!</definedName>
    <definedName name="PROPERZI">'[2]COST SHEET'!#REF!</definedName>
    <definedName name="rcop" localSheetId="2">#REF!</definedName>
    <definedName name="rcop" localSheetId="9">#REF!</definedName>
    <definedName name="rcop">#REF!</definedName>
    <definedName name="RCOP1" localSheetId="2">'[2]#REF'!$K$31</definedName>
    <definedName name="RCOP1">'[2]#REF'!$K$31</definedName>
    <definedName name="rcu">'[13]lot no 86'!$K$31</definedName>
    <definedName name="Re">[14]margin.!$L$4</definedName>
    <definedName name="REAL" localSheetId="2">'[2]#REF'!$Q$86</definedName>
    <definedName name="REAL">'[2]#REF'!$Q$86</definedName>
    <definedName name="reali" localSheetId="2">#REF!</definedName>
    <definedName name="reali" localSheetId="9">#REF!</definedName>
    <definedName name="reali">#REF!</definedName>
    <definedName name="res" localSheetId="2">'[2]Break up of RMcost'!$D$5</definedName>
    <definedName name="res">'[2]Break up of RMcost'!$D$5</definedName>
    <definedName name="resd" localSheetId="2">'[2]Top Sheet'!#REF!</definedName>
    <definedName name="resd" localSheetId="9">'[2]Top Sheet'!#REF!</definedName>
    <definedName name="resd">'[2]Top Sheet'!#REF!</definedName>
    <definedName name="RevenueDataEntry" localSheetId="2">'[2]Sales &amp;Sale Cost'!#REF!</definedName>
    <definedName name="RevenueDataEntry" localSheetId="9">'[2]Sales &amp;Sale Cost'!#REF!</definedName>
    <definedName name="RevenueDataEntry">'[2]Sales &amp;Sale Cost'!#REF!</definedName>
    <definedName name="rg" localSheetId="2">#REF!</definedName>
    <definedName name="rg" localSheetId="9">#REF!</definedName>
    <definedName name="rg">#REF!</definedName>
    <definedName name="rm" localSheetId="2">'[2]#REF'!$C$387</definedName>
    <definedName name="rm">'[2]#REF'!$C$387</definedName>
    <definedName name="RM_VARIANCE" localSheetId="2">'[2]#REF'!$B$6:$Q$22</definedName>
    <definedName name="RM_VARIANCE">'[2]#REF'!$B$6:$Q$22</definedName>
    <definedName name="ROLLED_PRODUCTS" localSheetId="2">'[2]COST SHEET'!#REF!</definedName>
    <definedName name="ROLLED_PRODUCTS" localSheetId="9">'[2]COST SHEET'!#REF!</definedName>
    <definedName name="ROLLED_PRODUCTS">'[2]COST SHEET'!#REF!</definedName>
    <definedName name="rpd">'[13]lot no 86'!$K$29</definedName>
    <definedName name="rpt">'[13]lot no 86'!$K$28</definedName>
    <definedName name="rs" localSheetId="2">#REF!</definedName>
    <definedName name="rs" localSheetId="9">#REF!</definedName>
    <definedName name="rs">#REF!</definedName>
    <definedName name="SL">[4]Details!$D$195</definedName>
    <definedName name="SLAB_CASTING" localSheetId="2">'[2]COST SHEET'!#REF!</definedName>
    <definedName name="SLAB_CASTING" localSheetId="9">'[2]COST SHEET'!#REF!</definedName>
    <definedName name="SLAB_CASTING">'[2]COST SHEET'!#REF!</definedName>
    <definedName name="STEAM" localSheetId="2">#REF!</definedName>
    <definedName name="STEAM" localSheetId="9">#REF!</definedName>
    <definedName name="STEAM">#REF!</definedName>
    <definedName name="STEAM_PLANT" localSheetId="2">'[2]COST SHEET'!#REF!</definedName>
    <definedName name="STEAM_PLANT" localSheetId="9">'[2]COST SHEET'!#REF!</definedName>
    <definedName name="STEAM_PLANT">'[2]COST SHEET'!#REF!</definedName>
    <definedName name="StockMovementEntry" localSheetId="2">'[2]Stock Cal'!$A$100:$D$103</definedName>
    <definedName name="StockMovementEntry">'[2]Stock Cal'!$A$100:$D$103</definedName>
    <definedName name="STORES" localSheetId="2">'[2]#REF'!$A$1:$L$61</definedName>
    <definedName name="STORES">'[2]#REF'!$A$1:$L$61</definedName>
    <definedName name="STORES_DETAILS" localSheetId="2">'[2]#REF'!$A$4:$J$76</definedName>
    <definedName name="STORES_DETAILS">'[2]#REF'!$A$4:$J$76</definedName>
    <definedName name="STORES_SUMMARY" localSheetId="2">'[2]#REF'!$B$78:$D$86</definedName>
    <definedName name="STORES_SUMMARY">'[2]#REF'!$B$78:$D$86</definedName>
    <definedName name="TB" localSheetId="2">'[2]#REF'!$A$1:$C$68</definedName>
    <definedName name="TB">'[2]#REF'!$A$1:$C$68</definedName>
    <definedName name="tonnes_railed_wmt" localSheetId="2">'[2]#REF'!$C$51:$N$51</definedName>
    <definedName name="tonnes_railed_wmt">'[2]#REF'!$C$51:$N$51</definedName>
    <definedName name="Variance_analysis" localSheetId="2">'[2]#REF'!$A$73:$F$127</definedName>
    <definedName name="Variance_analysis">'[2]#REF'!$A$73:$F$127</definedName>
    <definedName name="X" localSheetId="2">'[2]#REF'!$E$511:$E$539</definedName>
    <definedName name="X">'[2]#REF'!$E$511:$E$539</definedName>
    <definedName name="z">[15]DETAILS!$C$5</definedName>
    <definedName name="Z_6D27EB6A_3939_4201_8E4B_897AA8118F21_.wvu.Cols" localSheetId="0" hidden="1">Assumption!#REF!</definedName>
    <definedName name="Z_6D27EB6A_3939_4201_8E4B_897AA8118F21_.wvu.PrintArea" localSheetId="0" hidden="1">Assumption!$A$1:$E$75</definedName>
    <definedName name="Z_6D27EB6A_3939_4201_8E4B_897AA8118F21_.wvu.PrintArea" localSheetId="3" hidden="1">depre!$A$1:$Z$24</definedName>
    <definedName name="Z_6D27EB6A_3939_4201_8E4B_897AA8118F21_.wvu.PrintArea" localSheetId="6" hidden="1">'fixed cost'!$A$1:$Z$43</definedName>
    <definedName name="Z_6D27EB6A_3939_4201_8E4B_897AA8118F21_.wvu.PrintArea" localSheetId="5" hidden="1">fuel!$A$1:$AD$53</definedName>
    <definedName name="Z_6D27EB6A_3939_4201_8E4B_897AA8118F21_.wvu.PrintArea" localSheetId="4" hidden="1">'term loan '!$A$1:$F$28</definedName>
  </definedNames>
  <calcPr calcId="125725" iterate="1" iterateCount="32767"/>
  <customWorkbookViews>
    <customWorkbookView name="901604 - Personal View" guid="{6D27EB6A-3939-4201-8E4B-897AA8118F21}" mergeInterval="0" personalView="1" maximized="1" xWindow="1" yWindow="1" windowWidth="1360" windowHeight="520" tabRatio="599" activeSheetId="1"/>
  </customWorkbookViews>
</workbook>
</file>

<file path=xl/calcChain.xml><?xml version="1.0" encoding="utf-8"?>
<calcChain xmlns="http://schemas.openxmlformats.org/spreadsheetml/2006/main">
  <c r="F8" i="14"/>
  <c r="F9" s="1"/>
  <c r="F5"/>
  <c r="B8"/>
  <c r="C8" s="1"/>
  <c r="B9"/>
  <c r="C9" s="1"/>
  <c r="B5"/>
  <c r="C5" s="1"/>
  <c r="B4"/>
  <c r="C4" s="1"/>
  <c r="B6" l="1"/>
  <c r="B7" s="1"/>
  <c r="F6"/>
  <c r="F7" s="1"/>
  <c r="B10"/>
  <c r="B11" s="1"/>
  <c r="F10"/>
  <c r="F11" l="1"/>
  <c r="F14" s="1"/>
  <c r="C6"/>
  <c r="C7" s="1"/>
  <c r="C10"/>
  <c r="C11" s="1"/>
  <c r="B12"/>
  <c r="C12" l="1"/>
  <c r="C14" s="1"/>
  <c r="B15" s="1"/>
  <c r="D42" i="1" s="1"/>
  <c r="D9" i="12"/>
  <c r="H8"/>
  <c r="H9" s="1"/>
  <c r="E9" s="1"/>
  <c r="E8"/>
  <c r="E10" s="1"/>
  <c r="D10" s="1"/>
  <c r="D8"/>
  <c r="D11" l="1"/>
  <c r="H10" s="1"/>
  <c r="H5"/>
  <c r="E5"/>
  <c r="E4"/>
  <c r="D4"/>
  <c r="C5" i="9" l="1"/>
  <c r="B37" i="7"/>
  <c r="A4" l="1"/>
  <c r="A3"/>
  <c r="A2"/>
  <c r="A1"/>
  <c r="C32" i="5" l="1"/>
  <c r="D32" s="1"/>
  <c r="E32" s="1"/>
  <c r="F32" s="1"/>
  <c r="G32" s="1"/>
  <c r="H32" s="1"/>
  <c r="I32" s="1"/>
  <c r="J32" s="1"/>
  <c r="K32" s="1"/>
  <c r="L32" s="1"/>
  <c r="M32" s="1"/>
  <c r="N32" s="1"/>
  <c r="O32" s="1"/>
  <c r="P32" s="1"/>
  <c r="Q32" s="1"/>
  <c r="R32" s="1"/>
  <c r="S32" s="1"/>
  <c r="T32" s="1"/>
  <c r="U32" s="1"/>
  <c r="V32" s="1"/>
  <c r="W32" s="1"/>
  <c r="X32" s="1"/>
  <c r="Y32" s="1"/>
  <c r="Z32" s="1"/>
  <c r="C27"/>
  <c r="Y13" l="1"/>
  <c r="X13"/>
  <c r="W13"/>
  <c r="V13"/>
  <c r="U13"/>
  <c r="T13"/>
  <c r="S13"/>
  <c r="R13"/>
  <c r="Q13"/>
  <c r="P13"/>
  <c r="O13"/>
  <c r="N13"/>
  <c r="M13"/>
  <c r="L13"/>
  <c r="K13"/>
  <c r="J13"/>
  <c r="I13"/>
  <c r="H13"/>
  <c r="G13"/>
  <c r="F13"/>
  <c r="E13"/>
  <c r="D13"/>
  <c r="C13" l="1"/>
  <c r="B13"/>
  <c r="B35" i="4" l="1"/>
  <c r="Z28"/>
  <c r="Y28"/>
  <c r="X28"/>
  <c r="W28"/>
  <c r="V28"/>
  <c r="U28"/>
  <c r="T28"/>
  <c r="S28"/>
  <c r="R28"/>
  <c r="Q28"/>
  <c r="P28"/>
  <c r="O28"/>
  <c r="N28"/>
  <c r="M28"/>
  <c r="L28"/>
  <c r="K28"/>
  <c r="J28"/>
  <c r="I28"/>
  <c r="H28"/>
  <c r="G28"/>
  <c r="F28"/>
  <c r="E28"/>
  <c r="D28"/>
  <c r="C28"/>
  <c r="B28"/>
  <c r="C27"/>
  <c r="Z29" l="1"/>
  <c r="Y29" s="1"/>
  <c r="X29" s="1"/>
  <c r="W29" s="1"/>
  <c r="V29" s="1"/>
  <c r="U29" s="1"/>
  <c r="T29" s="1"/>
  <c r="S29" s="1"/>
  <c r="R29" s="1"/>
  <c r="Q29" s="1"/>
  <c r="P29" s="1"/>
  <c r="O29" s="1"/>
  <c r="N29" s="1"/>
  <c r="M29" s="1"/>
  <c r="L29" s="1"/>
  <c r="K29" s="1"/>
  <c r="J29" s="1"/>
  <c r="I29" s="1"/>
  <c r="H29" s="1"/>
  <c r="G29" s="1"/>
  <c r="F29" s="1"/>
  <c r="E29" s="1"/>
  <c r="D29" s="1"/>
  <c r="C29" s="1"/>
  <c r="B29" s="1"/>
  <c r="B36"/>
  <c r="Z18"/>
  <c r="Y18"/>
  <c r="X18"/>
  <c r="W18"/>
  <c r="V18"/>
  <c r="U18"/>
  <c r="T18"/>
  <c r="S18"/>
  <c r="R18"/>
  <c r="Q18"/>
  <c r="P18"/>
  <c r="O18"/>
  <c r="N18"/>
  <c r="M18"/>
  <c r="L18"/>
  <c r="K18"/>
  <c r="J18"/>
  <c r="I18"/>
  <c r="H18"/>
  <c r="G18"/>
  <c r="F18"/>
  <c r="E18"/>
  <c r="D18"/>
  <c r="C18"/>
  <c r="B18" l="1"/>
  <c r="B11" l="1"/>
  <c r="C12" l="1"/>
  <c r="C10"/>
  <c r="A5"/>
  <c r="A4"/>
  <c r="B3"/>
  <c r="A3"/>
  <c r="Q21" i="3"/>
  <c r="Q20"/>
  <c r="Q19" l="1"/>
  <c r="Q18" l="1"/>
  <c r="Q17" l="1"/>
  <c r="Q16" l="1"/>
  <c r="G5" l="1"/>
  <c r="A5" l="1"/>
  <c r="A22" i="2" l="1"/>
  <c r="B5" l="1"/>
  <c r="Z4"/>
  <c r="Y4"/>
  <c r="C6" i="9" l="1"/>
  <c r="B5" i="4"/>
  <c r="B17" i="2"/>
  <c r="C5"/>
  <c r="Z7" i="9"/>
  <c r="Y4" i="4"/>
  <c r="AA7" i="9"/>
  <c r="Z4" i="4"/>
  <c r="X4" i="2"/>
  <c r="W4"/>
  <c r="V4"/>
  <c r="U4"/>
  <c r="T4"/>
  <c r="S4"/>
  <c r="R4"/>
  <c r="Q4"/>
  <c r="P4"/>
  <c r="O4"/>
  <c r="N4"/>
  <c r="M4"/>
  <c r="L4"/>
  <c r="K4"/>
  <c r="J4"/>
  <c r="I4"/>
  <c r="H4"/>
  <c r="G4"/>
  <c r="F4"/>
  <c r="E4"/>
  <c r="D4"/>
  <c r="C4"/>
  <c r="D6" i="9" l="1"/>
  <c r="C5" i="4"/>
  <c r="C17" i="2"/>
  <c r="D5"/>
  <c r="E7" i="9"/>
  <c r="D4" i="4"/>
  <c r="G7" i="9"/>
  <c r="F4" i="4"/>
  <c r="I7" i="9"/>
  <c r="H4" i="4"/>
  <c r="K7" i="9"/>
  <c r="J4" i="4"/>
  <c r="M7" i="9"/>
  <c r="L4" i="4"/>
  <c r="O7" i="9"/>
  <c r="N4" i="4"/>
  <c r="Q7" i="9"/>
  <c r="P4" i="4"/>
  <c r="S7" i="9"/>
  <c r="R4" i="4"/>
  <c r="U7" i="9"/>
  <c r="T4" i="4"/>
  <c r="W7" i="9"/>
  <c r="V4" i="4"/>
  <c r="Y7" i="9"/>
  <c r="X4" i="4"/>
  <c r="D7" i="9"/>
  <c r="C4" i="4"/>
  <c r="F7" i="9"/>
  <c r="E4" i="4"/>
  <c r="H7" i="9"/>
  <c r="G4" i="4"/>
  <c r="J7" i="9"/>
  <c r="I4" i="4"/>
  <c r="L7" i="9"/>
  <c r="K4" i="4"/>
  <c r="N7" i="9"/>
  <c r="M4" i="4"/>
  <c r="P7" i="9"/>
  <c r="O4" i="4"/>
  <c r="R7" i="9"/>
  <c r="Q4" i="4"/>
  <c r="T7" i="9"/>
  <c r="S4" i="4"/>
  <c r="V7" i="9"/>
  <c r="U4" i="4"/>
  <c r="X7" i="9"/>
  <c r="W4" i="4"/>
  <c r="B4" i="2"/>
  <c r="Z3"/>
  <c r="Y3"/>
  <c r="X3"/>
  <c r="W3"/>
  <c r="V3"/>
  <c r="U3"/>
  <c r="T3"/>
  <c r="S3"/>
  <c r="R3"/>
  <c r="Q3"/>
  <c r="P3"/>
  <c r="O3"/>
  <c r="N3"/>
  <c r="M3"/>
  <c r="L3"/>
  <c r="K3"/>
  <c r="J3"/>
  <c r="I3"/>
  <c r="H3"/>
  <c r="G3"/>
  <c r="F3"/>
  <c r="E6" i="9" l="1"/>
  <c r="D5" i="4"/>
  <c r="D17" i="2"/>
  <c r="E5"/>
  <c r="C7" i="9"/>
  <c r="B4" i="4"/>
  <c r="F4" i="3"/>
  <c r="E3" i="2"/>
  <c r="D3"/>
  <c r="C3"/>
  <c r="F6" i="9" l="1"/>
  <c r="E5" i="4"/>
  <c r="E17" i="2"/>
  <c r="F5"/>
  <c r="G6" i="9" l="1"/>
  <c r="F5" i="4"/>
  <c r="F17" i="2"/>
  <c r="G5"/>
  <c r="C2"/>
  <c r="D2" s="1"/>
  <c r="D67" i="1"/>
  <c r="E5" i="9" l="1"/>
  <c r="D3" i="4"/>
  <c r="E2" i="2"/>
  <c r="H6" i="9"/>
  <c r="G5" i="4"/>
  <c r="G17" i="2"/>
  <c r="H5"/>
  <c r="D5" i="9"/>
  <c r="C3" i="4"/>
  <c r="D66" i="1"/>
  <c r="I6" i="9" l="1"/>
  <c r="H5" i="4"/>
  <c r="H17" i="2"/>
  <c r="I5"/>
  <c r="F5" i="9"/>
  <c r="E3" i="4"/>
  <c r="F2" i="2"/>
  <c r="D60" i="1"/>
  <c r="B6" i="4" s="1"/>
  <c r="J6" i="9" l="1"/>
  <c r="I5" i="4"/>
  <c r="I17" i="2"/>
  <c r="J5"/>
  <c r="G5" i="9"/>
  <c r="F3" i="4"/>
  <c r="G2" i="2"/>
  <c r="C6" i="4"/>
  <c r="D6" s="1"/>
  <c r="E6" s="1"/>
  <c r="F6" s="1"/>
  <c r="G6" s="1"/>
  <c r="H6" s="1"/>
  <c r="I6" s="1"/>
  <c r="J6" s="1"/>
  <c r="K6" s="1"/>
  <c r="L6" s="1"/>
  <c r="M6" s="1"/>
  <c r="N6" s="1"/>
  <c r="O6" s="1"/>
  <c r="P6" s="1"/>
  <c r="Q6" s="1"/>
  <c r="R6" s="1"/>
  <c r="S6" s="1"/>
  <c r="T6" s="1"/>
  <c r="U6" s="1"/>
  <c r="V6" s="1"/>
  <c r="W6" s="1"/>
  <c r="X6" s="1"/>
  <c r="Y6" s="1"/>
  <c r="Z6" s="1"/>
  <c r="H5" i="9" l="1"/>
  <c r="G3" i="4"/>
  <c r="H2" i="2"/>
  <c r="K6" i="9"/>
  <c r="J5" i="4"/>
  <c r="J17" i="2"/>
  <c r="K5"/>
  <c r="D51" i="1"/>
  <c r="D50"/>
  <c r="L6" i="9" l="1"/>
  <c r="K5" i="4"/>
  <c r="K17" i="2"/>
  <c r="L5"/>
  <c r="I5" i="9"/>
  <c r="H3" i="4"/>
  <c r="I2" i="2"/>
  <c r="D46" i="1"/>
  <c r="Y17" i="5"/>
  <c r="W17"/>
  <c r="U17"/>
  <c r="S17"/>
  <c r="Q17"/>
  <c r="O17"/>
  <c r="M17"/>
  <c r="K17"/>
  <c r="I17"/>
  <c r="G17"/>
  <c r="E17"/>
  <c r="C17"/>
  <c r="X17"/>
  <c r="T17"/>
  <c r="P17"/>
  <c r="L17"/>
  <c r="J17"/>
  <c r="F17"/>
  <c r="B17"/>
  <c r="Z17"/>
  <c r="V17"/>
  <c r="R17"/>
  <c r="N17"/>
  <c r="H17"/>
  <c r="D17"/>
  <c r="B39" i="4"/>
  <c r="B43" s="1"/>
  <c r="D44" i="1"/>
  <c r="D41"/>
  <c r="D40"/>
  <c r="J5" i="9" l="1"/>
  <c r="I3" i="4"/>
  <c r="J2" i="2"/>
  <c r="Z30" i="4"/>
  <c r="X30"/>
  <c r="V30"/>
  <c r="T30"/>
  <c r="R30"/>
  <c r="P30"/>
  <c r="N30"/>
  <c r="L30"/>
  <c r="J30"/>
  <c r="H30"/>
  <c r="F30"/>
  <c r="D30"/>
  <c r="B30"/>
  <c r="Y30"/>
  <c r="W30"/>
  <c r="U30"/>
  <c r="S30"/>
  <c r="Q30"/>
  <c r="O30"/>
  <c r="M30"/>
  <c r="K30"/>
  <c r="I30"/>
  <c r="G30"/>
  <c r="E30"/>
  <c r="C30"/>
  <c r="M6" i="9"/>
  <c r="L5" i="4"/>
  <c r="L17" i="2"/>
  <c r="M5"/>
  <c r="B47" i="4"/>
  <c r="B51" s="1"/>
  <c r="B44"/>
  <c r="A34" i="1"/>
  <c r="K5" i="9" l="1"/>
  <c r="J3" i="4"/>
  <c r="K2" i="2"/>
  <c r="N6" i="9"/>
  <c r="M5" i="4"/>
  <c r="M17" i="2"/>
  <c r="N5"/>
  <c r="C8" i="9"/>
  <c r="B52" i="4"/>
  <c r="D29" i="1"/>
  <c r="O6" i="9" l="1"/>
  <c r="N5" i="4"/>
  <c r="N17" i="2"/>
  <c r="O5"/>
  <c r="L5" i="9"/>
  <c r="K3" i="4"/>
  <c r="L2" i="2"/>
  <c r="D16" i="1"/>
  <c r="D10"/>
  <c r="M5" i="9" l="1"/>
  <c r="L3" i="4"/>
  <c r="M2" i="2"/>
  <c r="P6" i="9"/>
  <c r="O5" i="4"/>
  <c r="O17" i="2"/>
  <c r="P5"/>
  <c r="Z13" i="5"/>
  <c r="C25" i="3"/>
  <c r="B18" i="2"/>
  <c r="B12"/>
  <c r="D17" i="1"/>
  <c r="D6"/>
  <c r="B11" i="5" s="1"/>
  <c r="Z11"/>
  <c r="Y11"/>
  <c r="X11"/>
  <c r="W11"/>
  <c r="V11"/>
  <c r="U11"/>
  <c r="T11"/>
  <c r="S11"/>
  <c r="R11"/>
  <c r="Q11"/>
  <c r="P11"/>
  <c r="O11"/>
  <c r="N11"/>
  <c r="M11"/>
  <c r="L11"/>
  <c r="K11"/>
  <c r="J11"/>
  <c r="I11"/>
  <c r="H11"/>
  <c r="G11"/>
  <c r="F11"/>
  <c r="E11"/>
  <c r="D11"/>
  <c r="C11"/>
  <c r="D27"/>
  <c r="E27" s="1"/>
  <c r="F27" s="1"/>
  <c r="G27" s="1"/>
  <c r="H27" s="1"/>
  <c r="I27" s="1"/>
  <c r="J27" s="1"/>
  <c r="K27" s="1"/>
  <c r="L27" s="1"/>
  <c r="M27" s="1"/>
  <c r="N27" s="1"/>
  <c r="O27" s="1"/>
  <c r="P27" s="1"/>
  <c r="Q27" s="1"/>
  <c r="R27" s="1"/>
  <c r="S27" s="1"/>
  <c r="T27" s="1"/>
  <c r="U27" s="1"/>
  <c r="V27" s="1"/>
  <c r="W27" s="1"/>
  <c r="X27" s="1"/>
  <c r="Y27" s="1"/>
  <c r="Z27" s="1"/>
  <c r="Z40"/>
  <c r="X40"/>
  <c r="V40"/>
  <c r="T40"/>
  <c r="R40"/>
  <c r="P40"/>
  <c r="N40"/>
  <c r="L40"/>
  <c r="J40"/>
  <c r="H40"/>
  <c r="F40"/>
  <c r="D40"/>
  <c r="B7" i="7"/>
  <c r="AA13" i="9"/>
  <c r="Z20" i="4"/>
  <c r="Y20"/>
  <c r="X20"/>
  <c r="W20"/>
  <c r="V20"/>
  <c r="U20"/>
  <c r="T20"/>
  <c r="S20"/>
  <c r="R20"/>
  <c r="Q20"/>
  <c r="P20"/>
  <c r="O20"/>
  <c r="N20"/>
  <c r="M20"/>
  <c r="L20"/>
  <c r="K20"/>
  <c r="J20"/>
  <c r="I20"/>
  <c r="H20"/>
  <c r="G20"/>
  <c r="F20"/>
  <c r="E20"/>
  <c r="D20"/>
  <c r="C20"/>
  <c r="B20"/>
  <c r="Q6" i="9" l="1"/>
  <c r="P5" i="4"/>
  <c r="P17" i="2"/>
  <c r="Q5"/>
  <c r="N5" i="9"/>
  <c r="M3" i="4"/>
  <c r="N2" i="2"/>
  <c r="C19" i="9"/>
  <c r="B38" i="5"/>
  <c r="B40"/>
  <c r="D9" i="1"/>
  <c r="C26" i="3"/>
  <c r="C27"/>
  <c r="B31" i="2"/>
  <c r="D19" i="9"/>
  <c r="C38" i="5"/>
  <c r="C40"/>
  <c r="F19" i="9"/>
  <c r="E38" i="5"/>
  <c r="E40"/>
  <c r="H19" i="9"/>
  <c r="G38" i="5"/>
  <c r="G40"/>
  <c r="J19" i="9"/>
  <c r="I38" i="5"/>
  <c r="I40"/>
  <c r="L19" i="9"/>
  <c r="K38" i="5"/>
  <c r="K40"/>
  <c r="N19" i="9"/>
  <c r="M38" i="5"/>
  <c r="M40"/>
  <c r="P19" i="9"/>
  <c r="O38" i="5"/>
  <c r="O40"/>
  <c r="R19" i="9"/>
  <c r="Q38" i="5"/>
  <c r="Q40"/>
  <c r="T19" i="9"/>
  <c r="S38" i="5"/>
  <c r="S40"/>
  <c r="V19" i="9"/>
  <c r="U38" i="5"/>
  <c r="U40"/>
  <c r="X19" i="9"/>
  <c r="W38" i="5"/>
  <c r="W40"/>
  <c r="Z19" i="9"/>
  <c r="Y38" i="5"/>
  <c r="Y40"/>
  <c r="B13" i="2"/>
  <c r="B14" s="1"/>
  <c r="C12" s="1"/>
  <c r="E19" i="9"/>
  <c r="D38" i="5"/>
  <c r="G19" i="9"/>
  <c r="F38" i="5"/>
  <c r="I19" i="9"/>
  <c r="H38" i="5"/>
  <c r="K19" i="9"/>
  <c r="J38" i="5"/>
  <c r="M19" i="9"/>
  <c r="L38" i="5"/>
  <c r="O19" i="9"/>
  <c r="N38" i="5"/>
  <c r="Q19" i="9"/>
  <c r="P38" i="5"/>
  <c r="S19" i="9"/>
  <c r="R38" i="5"/>
  <c r="U19" i="9"/>
  <c r="T38" i="5"/>
  <c r="W19" i="9"/>
  <c r="V38" i="5"/>
  <c r="Y19" i="9"/>
  <c r="X38" i="5"/>
  <c r="AA19" i="9"/>
  <c r="Z38" i="5"/>
  <c r="O15" i="3"/>
  <c r="M15"/>
  <c r="K15"/>
  <c r="I15"/>
  <c r="O14"/>
  <c r="K14"/>
  <c r="I14"/>
  <c r="M14"/>
  <c r="O13"/>
  <c r="K13"/>
  <c r="I13"/>
  <c r="M13"/>
  <c r="O12"/>
  <c r="K12"/>
  <c r="I12"/>
  <c r="M12"/>
  <c r="O11"/>
  <c r="K11"/>
  <c r="I11"/>
  <c r="M11"/>
  <c r="O10"/>
  <c r="K10"/>
  <c r="I10"/>
  <c r="M10"/>
  <c r="O9"/>
  <c r="K9"/>
  <c r="I9"/>
  <c r="M9"/>
  <c r="O8"/>
  <c r="K8"/>
  <c r="I8"/>
  <c r="M8"/>
  <c r="O7"/>
  <c r="K7"/>
  <c r="I7"/>
  <c r="M7"/>
  <c r="O6"/>
  <c r="M6"/>
  <c r="I6"/>
  <c r="K6"/>
  <c r="O5"/>
  <c r="K5"/>
  <c r="M5"/>
  <c r="I5"/>
  <c r="D18" i="1"/>
  <c r="C18" i="2"/>
  <c r="B23"/>
  <c r="B19"/>
  <c r="O5" i="9" l="1"/>
  <c r="N3" i="4"/>
  <c r="O2" i="2"/>
  <c r="C37" i="9"/>
  <c r="C39"/>
  <c r="R6"/>
  <c r="Q5" i="4"/>
  <c r="Q17" i="2"/>
  <c r="R5"/>
  <c r="B24"/>
  <c r="AA39" i="9"/>
  <c r="AA37"/>
  <c r="Y39"/>
  <c r="Y37"/>
  <c r="W39"/>
  <c r="W37"/>
  <c r="U39"/>
  <c r="U37"/>
  <c r="S39"/>
  <c r="S37"/>
  <c r="Q39"/>
  <c r="Q37"/>
  <c r="O39"/>
  <c r="O37"/>
  <c r="M39"/>
  <c r="M37"/>
  <c r="K39"/>
  <c r="K37"/>
  <c r="I39"/>
  <c r="I37"/>
  <c r="G39"/>
  <c r="G37"/>
  <c r="E39"/>
  <c r="E37"/>
  <c r="C13" i="2"/>
  <c r="C4" i="7" s="1"/>
  <c r="Z39" i="9"/>
  <c r="Z37"/>
  <c r="V39"/>
  <c r="V37"/>
  <c r="R39"/>
  <c r="R37"/>
  <c r="N39"/>
  <c r="N37"/>
  <c r="J39"/>
  <c r="J37"/>
  <c r="F39"/>
  <c r="F37"/>
  <c r="H4" i="3"/>
  <c r="B4"/>
  <c r="B27" i="2"/>
  <c r="B7"/>
  <c r="C19"/>
  <c r="D18"/>
  <c r="B4" i="7"/>
  <c r="X39" i="9"/>
  <c r="X37"/>
  <c r="T39"/>
  <c r="T37"/>
  <c r="P39"/>
  <c r="P37"/>
  <c r="L39"/>
  <c r="L37"/>
  <c r="H39"/>
  <c r="H37"/>
  <c r="D39"/>
  <c r="D37"/>
  <c r="S6" l="1"/>
  <c r="R5" i="4"/>
  <c r="R17" i="2"/>
  <c r="S5"/>
  <c r="P5" i="9"/>
  <c r="O3" i="4"/>
  <c r="P2" i="2"/>
  <c r="C14"/>
  <c r="E18"/>
  <c r="D19"/>
  <c r="J4" i="3"/>
  <c r="C7" i="2"/>
  <c r="C27" i="9"/>
  <c r="B28" i="2"/>
  <c r="Q5" i="9" l="1"/>
  <c r="P3" i="4"/>
  <c r="Q2" i="2"/>
  <c r="T6" i="9"/>
  <c r="S5" i="4"/>
  <c r="S17" i="2"/>
  <c r="T5"/>
  <c r="E19"/>
  <c r="F18"/>
  <c r="D7"/>
  <c r="U6" i="9" l="1"/>
  <c r="T5" i="4"/>
  <c r="T17" i="2"/>
  <c r="U5"/>
  <c r="R5" i="9"/>
  <c r="Q3" i="4"/>
  <c r="R2" i="2"/>
  <c r="G18"/>
  <c r="F19"/>
  <c r="E7"/>
  <c r="S5" i="9" l="1"/>
  <c r="R3" i="4"/>
  <c r="S2" i="2"/>
  <c r="V6" i="9"/>
  <c r="U5" i="4"/>
  <c r="U17" i="2"/>
  <c r="V5"/>
  <c r="G19"/>
  <c r="H18"/>
  <c r="F7"/>
  <c r="W6" i="9" l="1"/>
  <c r="V5" i="4"/>
  <c r="V17" i="2"/>
  <c r="W5"/>
  <c r="T5" i="9"/>
  <c r="S3" i="4"/>
  <c r="T2" i="2"/>
  <c r="G7"/>
  <c r="I18"/>
  <c r="H19"/>
  <c r="U5" i="9" l="1"/>
  <c r="T3" i="4"/>
  <c r="U2" i="2"/>
  <c r="X6" i="9"/>
  <c r="W5" i="4"/>
  <c r="W17" i="2"/>
  <c r="X5"/>
  <c r="H7"/>
  <c r="I19"/>
  <c r="J18"/>
  <c r="Y6" i="9" l="1"/>
  <c r="X5" i="4"/>
  <c r="X17" i="2"/>
  <c r="Y5"/>
  <c r="V5" i="9"/>
  <c r="U3" i="4"/>
  <c r="V2" i="2"/>
  <c r="K18"/>
  <c r="J19"/>
  <c r="I7"/>
  <c r="Z6" i="9" l="1"/>
  <c r="Y5" i="4"/>
  <c r="Y17" i="2"/>
  <c r="Z5"/>
  <c r="W5" i="9"/>
  <c r="V3" i="4"/>
  <c r="W2" i="2"/>
  <c r="K19"/>
  <c r="L18"/>
  <c r="J7"/>
  <c r="AA6" i="9" l="1"/>
  <c r="Z5" i="4"/>
  <c r="Z17" i="2"/>
  <c r="Z22" s="1"/>
  <c r="X5" i="9"/>
  <c r="W3" i="4"/>
  <c r="X2" i="2"/>
  <c r="K7"/>
  <c r="M18"/>
  <c r="L19"/>
  <c r="Y22" l="1"/>
  <c r="X22" s="1"/>
  <c r="W22" s="1"/>
  <c r="V22" s="1"/>
  <c r="U22" s="1"/>
  <c r="T22" s="1"/>
  <c r="S22" s="1"/>
  <c r="R22" s="1"/>
  <c r="Q22" s="1"/>
  <c r="P22" s="1"/>
  <c r="O22" s="1"/>
  <c r="N22" s="1"/>
  <c r="M22" s="1"/>
  <c r="L22" s="1"/>
  <c r="K22" s="1"/>
  <c r="J22" s="1"/>
  <c r="I22" s="1"/>
  <c r="H22" s="1"/>
  <c r="G22" s="1"/>
  <c r="F22" s="1"/>
  <c r="E22" s="1"/>
  <c r="D22" s="1"/>
  <c r="C22" s="1"/>
  <c r="B22" s="1"/>
  <c r="Z26"/>
  <c r="Y26" s="1"/>
  <c r="X26" s="1"/>
  <c r="W26" s="1"/>
  <c r="V26" s="1"/>
  <c r="U26" s="1"/>
  <c r="T26" s="1"/>
  <c r="S26" s="1"/>
  <c r="R26" s="1"/>
  <c r="Q26" s="1"/>
  <c r="P26" s="1"/>
  <c r="O26" s="1"/>
  <c r="N26" s="1"/>
  <c r="M26" s="1"/>
  <c r="L26" s="1"/>
  <c r="K26" s="1"/>
  <c r="J26" s="1"/>
  <c r="I26" s="1"/>
  <c r="H26" s="1"/>
  <c r="G26" s="1"/>
  <c r="F26" s="1"/>
  <c r="E26" s="1"/>
  <c r="D26" s="1"/>
  <c r="C26" s="1"/>
  <c r="B26" s="1"/>
  <c r="Y5" i="9"/>
  <c r="X3" i="4"/>
  <c r="Y2" i="2"/>
  <c r="L7"/>
  <c r="M19"/>
  <c r="N18"/>
  <c r="Z5" i="9" l="1"/>
  <c r="Y3" i="4"/>
  <c r="Z2" i="2"/>
  <c r="O18"/>
  <c r="N19"/>
  <c r="M7"/>
  <c r="AA5" i="9" l="1"/>
  <c r="Z3" i="4"/>
  <c r="O19" i="2"/>
  <c r="P18"/>
  <c r="N7"/>
  <c r="O7" l="1"/>
  <c r="Q18"/>
  <c r="P19"/>
  <c r="P7" l="1"/>
  <c r="Q19"/>
  <c r="R18"/>
  <c r="R19" s="1"/>
  <c r="R7" l="1"/>
  <c r="Q7"/>
  <c r="B29"/>
  <c r="C27"/>
  <c r="C28" s="1"/>
  <c r="C29" s="1"/>
  <c r="L4" i="3"/>
  <c r="N4" s="1"/>
  <c r="P4" s="1"/>
  <c r="H5" s="1"/>
  <c r="C11" i="4"/>
  <c r="D11" s="1"/>
  <c r="D55" i="1"/>
  <c r="D57" s="1"/>
  <c r="B40" i="4" s="1"/>
  <c r="C35"/>
  <c r="D35" s="1"/>
  <c r="C39"/>
  <c r="D39" s="1"/>
  <c r="C23" i="2"/>
  <c r="D23"/>
  <c r="E23"/>
  <c r="F23"/>
  <c r="G23"/>
  <c r="H23"/>
  <c r="I23"/>
  <c r="J23"/>
  <c r="K23"/>
  <c r="L23"/>
  <c r="M23"/>
  <c r="X23"/>
  <c r="X24" s="1"/>
  <c r="X8" s="1"/>
  <c r="X10" i="5" s="1"/>
  <c r="B8" i="2"/>
  <c r="C4" i="3" s="1"/>
  <c r="D4" s="1"/>
  <c r="C24" i="2"/>
  <c r="C8" s="1"/>
  <c r="N23"/>
  <c r="N24" s="1"/>
  <c r="N8" s="1"/>
  <c r="P23"/>
  <c r="P24" s="1"/>
  <c r="P8" s="1"/>
  <c r="P10" i="5" s="1"/>
  <c r="H24" i="2"/>
  <c r="H8" s="1"/>
  <c r="H10" i="5" s="1"/>
  <c r="Y23" i="2"/>
  <c r="Y24" s="1"/>
  <c r="Y8" s="1"/>
  <c r="Y10" i="5" s="1"/>
  <c r="I24" i="2"/>
  <c r="I8" s="1"/>
  <c r="I10" i="5" s="1"/>
  <c r="S23" i="2"/>
  <c r="S24" s="1"/>
  <c r="S8" s="1"/>
  <c r="S10" i="5" s="1"/>
  <c r="C43" i="4"/>
  <c r="C44" s="1"/>
  <c r="V23" i="2"/>
  <c r="V24" s="1"/>
  <c r="V8" s="1"/>
  <c r="V10" i="5" s="1"/>
  <c r="F24" i="2"/>
  <c r="F8"/>
  <c r="F10" i="5" s="1"/>
  <c r="M24" i="2"/>
  <c r="M8" s="1"/>
  <c r="M10" i="5" s="1"/>
  <c r="W23" i="2"/>
  <c r="W24" s="1"/>
  <c r="W8" s="1"/>
  <c r="W10" i="5" s="1"/>
  <c r="G24" i="2"/>
  <c r="G8" s="1"/>
  <c r="G10" i="5" s="1"/>
  <c r="T23" i="2"/>
  <c r="T24" s="1"/>
  <c r="T8" s="1"/>
  <c r="T10" i="5" s="1"/>
  <c r="L24" i="2"/>
  <c r="L8" s="1"/>
  <c r="L10" i="5" s="1"/>
  <c r="D24" i="2"/>
  <c r="D8" s="1"/>
  <c r="D10" i="5" s="1"/>
  <c r="Q23" i="2"/>
  <c r="Q24" s="1"/>
  <c r="Q8" s="1"/>
  <c r="Q10" i="5" s="1"/>
  <c r="K24" i="2"/>
  <c r="K8" s="1"/>
  <c r="K10" i="5" s="1"/>
  <c r="Z23" i="2"/>
  <c r="Z24" s="1"/>
  <c r="Z8" s="1"/>
  <c r="Z10" i="5" s="1"/>
  <c r="R23" i="2"/>
  <c r="R24" s="1"/>
  <c r="R8" s="1"/>
  <c r="R10" i="5" s="1"/>
  <c r="J24" i="2"/>
  <c r="J8" s="1"/>
  <c r="J10" i="5" s="1"/>
  <c r="U23" i="2"/>
  <c r="U24" s="1"/>
  <c r="U8" s="1"/>
  <c r="U10" i="5" s="1"/>
  <c r="E24" i="2"/>
  <c r="E8" s="1"/>
  <c r="E10" i="5" s="1"/>
  <c r="O23" i="2"/>
  <c r="O24" s="1"/>
  <c r="O8" s="1"/>
  <c r="O10" i="5" s="1"/>
  <c r="B30" i="2"/>
  <c r="S18"/>
  <c r="S19" s="1"/>
  <c r="B10" i="5"/>
  <c r="D12" i="2"/>
  <c r="D13" s="1"/>
  <c r="B9"/>
  <c r="E16" i="4"/>
  <c r="E3" i="5" s="1"/>
  <c r="E1" i="7" s="1"/>
  <c r="D16" i="4"/>
  <c r="M16"/>
  <c r="M3" i="5"/>
  <c r="L16" i="4"/>
  <c r="U16"/>
  <c r="U3" i="5" s="1"/>
  <c r="U1" i="7" s="1"/>
  <c r="T16" i="4"/>
  <c r="I16"/>
  <c r="I3" i="5"/>
  <c r="H16" i="4"/>
  <c r="Q16"/>
  <c r="Q3" i="5" s="1"/>
  <c r="Q1" i="7" s="1"/>
  <c r="P16" i="4"/>
  <c r="Y16"/>
  <c r="Y3" i="5"/>
  <c r="X16" i="4"/>
  <c r="C16"/>
  <c r="C3" i="5" s="1"/>
  <c r="C1" i="7" s="1"/>
  <c r="B16" i="4"/>
  <c r="B3" i="5" s="1"/>
  <c r="B1" i="7" s="1"/>
  <c r="G16" i="4"/>
  <c r="G3" i="5"/>
  <c r="F16" i="4"/>
  <c r="K16"/>
  <c r="K3" i="5" s="1"/>
  <c r="K1" i="7" s="1"/>
  <c r="J16" i="4"/>
  <c r="J3" i="5" s="1"/>
  <c r="J1" i="7" s="1"/>
  <c r="O16" i="4"/>
  <c r="O3" i="5"/>
  <c r="N16" i="4"/>
  <c r="S16"/>
  <c r="S3" i="5" s="1"/>
  <c r="S1" i="7" s="1"/>
  <c r="R16" i="4"/>
  <c r="R3" i="5" s="1"/>
  <c r="R1" i="7" s="1"/>
  <c r="W16" i="4"/>
  <c r="W3" i="5"/>
  <c r="V16" i="4"/>
  <c r="Z16"/>
  <c r="Z3" i="5" s="1"/>
  <c r="Z1" i="7" s="1"/>
  <c r="D3" i="5"/>
  <c r="F3"/>
  <c r="H3"/>
  <c r="L3"/>
  <c r="N3"/>
  <c r="P3"/>
  <c r="T3"/>
  <c r="V3"/>
  <c r="X3"/>
  <c r="A6" i="3"/>
  <c r="G6"/>
  <c r="A7"/>
  <c r="G7"/>
  <c r="A8"/>
  <c r="G8"/>
  <c r="A9"/>
  <c r="G9"/>
  <c r="A10"/>
  <c r="G10"/>
  <c r="A11"/>
  <c r="G11"/>
  <c r="A12"/>
  <c r="G12"/>
  <c r="A13"/>
  <c r="A14" s="1"/>
  <c r="A15" s="1"/>
  <c r="A16" s="1"/>
  <c r="A17" s="1"/>
  <c r="A18" s="1"/>
  <c r="A19" s="1"/>
  <c r="A20" s="1"/>
  <c r="A21" s="1"/>
  <c r="G13"/>
  <c r="G14"/>
  <c r="G15" s="1"/>
  <c r="G16" s="1"/>
  <c r="G17" s="1"/>
  <c r="G18" s="1"/>
  <c r="G19" s="1"/>
  <c r="G20" s="1"/>
  <c r="G21" s="1"/>
  <c r="D12" i="4"/>
  <c r="C13"/>
  <c r="C36"/>
  <c r="B48"/>
  <c r="D27" i="9"/>
  <c r="C3" i="7"/>
  <c r="B3"/>
  <c r="D1"/>
  <c r="D23"/>
  <c r="D34"/>
  <c r="F1"/>
  <c r="F23"/>
  <c r="F34"/>
  <c r="G1"/>
  <c r="G23" s="1"/>
  <c r="G34"/>
  <c r="H1"/>
  <c r="H23"/>
  <c r="H34"/>
  <c r="I1"/>
  <c r="I23" s="1"/>
  <c r="I34"/>
  <c r="L1"/>
  <c r="L23"/>
  <c r="L34"/>
  <c r="M1"/>
  <c r="M23" s="1"/>
  <c r="M34"/>
  <c r="N1"/>
  <c r="N23"/>
  <c r="N34"/>
  <c r="O1"/>
  <c r="O34" s="1"/>
  <c r="P1"/>
  <c r="P23"/>
  <c r="P34"/>
  <c r="T1"/>
  <c r="T23"/>
  <c r="T34"/>
  <c r="V1"/>
  <c r="V23"/>
  <c r="V34"/>
  <c r="W1"/>
  <c r="W23" s="1"/>
  <c r="W34"/>
  <c r="X1"/>
  <c r="X23"/>
  <c r="X34"/>
  <c r="Y1"/>
  <c r="Y23" s="1"/>
  <c r="Y34"/>
  <c r="Z23" l="1"/>
  <c r="Z34"/>
  <c r="R23"/>
  <c r="R34"/>
  <c r="K34"/>
  <c r="K23"/>
  <c r="B23"/>
  <c r="B34"/>
  <c r="Q34"/>
  <c r="Q23"/>
  <c r="E34"/>
  <c r="E23"/>
  <c r="S34"/>
  <c r="S23"/>
  <c r="J23"/>
  <c r="J34"/>
  <c r="C34"/>
  <c r="C23"/>
  <c r="U23"/>
  <c r="U34"/>
  <c r="E35" i="4"/>
  <c r="D36"/>
  <c r="E11"/>
  <c r="E12"/>
  <c r="D13"/>
  <c r="O23" i="7"/>
  <c r="C40" i="4"/>
  <c r="D40" s="1"/>
  <c r="E40" s="1"/>
  <c r="F40" s="1"/>
  <c r="G40" s="1"/>
  <c r="H40" s="1"/>
  <c r="I40" s="1"/>
  <c r="J40" s="1"/>
  <c r="K40" s="1"/>
  <c r="L40" s="1"/>
  <c r="M40" s="1"/>
  <c r="N40" s="1"/>
  <c r="O40" s="1"/>
  <c r="P40" s="1"/>
  <c r="Q40" s="1"/>
  <c r="R40" s="1"/>
  <c r="S40" s="1"/>
  <c r="T40" s="1"/>
  <c r="U40" s="1"/>
  <c r="V40" s="1"/>
  <c r="W40" s="1"/>
  <c r="X40" s="1"/>
  <c r="Y40" s="1"/>
  <c r="Z40" s="1"/>
  <c r="B22"/>
  <c r="C22"/>
  <c r="D14" i="2"/>
  <c r="E12" s="1"/>
  <c r="D4" i="7"/>
  <c r="C5" i="3"/>
  <c r="C6" s="1"/>
  <c r="C7" s="1"/>
  <c r="C8" s="1"/>
  <c r="C9" s="1"/>
  <c r="C10" s="1"/>
  <c r="C11" s="1"/>
  <c r="C12" s="1"/>
  <c r="C13" s="1"/>
  <c r="C14" s="1"/>
  <c r="C15" s="1"/>
  <c r="C10" i="5"/>
  <c r="T18" i="2"/>
  <c r="C9"/>
  <c r="D9" s="1"/>
  <c r="E9" s="1"/>
  <c r="F9" s="1"/>
  <c r="G9" s="1"/>
  <c r="H9" s="1"/>
  <c r="I9" s="1"/>
  <c r="J9" s="1"/>
  <c r="K9" s="1"/>
  <c r="L9" s="1"/>
  <c r="M9" s="1"/>
  <c r="N9" s="1"/>
  <c r="O9" s="1"/>
  <c r="P9" s="1"/>
  <c r="Q9" s="1"/>
  <c r="R9" s="1"/>
  <c r="S9" s="1"/>
  <c r="T9" s="1"/>
  <c r="U9" s="1"/>
  <c r="V9" s="1"/>
  <c r="W9" s="1"/>
  <c r="X9" s="1"/>
  <c r="Y9" s="1"/>
  <c r="Z9" s="1"/>
  <c r="E13"/>
  <c r="E4" i="7" s="1"/>
  <c r="B5" i="3"/>
  <c r="E4"/>
  <c r="B9" i="5" s="1"/>
  <c r="J5" i="3"/>
  <c r="L5" s="1"/>
  <c r="N5" s="1"/>
  <c r="P5" s="1"/>
  <c r="H6" s="1"/>
  <c r="S7" i="2"/>
  <c r="N10" i="5"/>
  <c r="C16" i="3"/>
  <c r="C17" s="1"/>
  <c r="C18" s="1"/>
  <c r="D27" i="2"/>
  <c r="C30"/>
  <c r="Q4" i="3"/>
  <c r="C25" i="9" s="1"/>
  <c r="C47" i="4"/>
  <c r="E39"/>
  <c r="D43"/>
  <c r="F11" l="1"/>
  <c r="F12"/>
  <c r="E13"/>
  <c r="B17" s="1"/>
  <c r="B19" s="1"/>
  <c r="B21" s="1"/>
  <c r="B23" s="1"/>
  <c r="F35"/>
  <c r="E36"/>
  <c r="T19" i="2"/>
  <c r="T7" s="1"/>
  <c r="U18"/>
  <c r="Q5" i="3"/>
  <c r="D25" i="9" s="1"/>
  <c r="J6" i="3"/>
  <c r="L6" s="1"/>
  <c r="N6" s="1"/>
  <c r="P6" s="1"/>
  <c r="H7" s="1"/>
  <c r="D5"/>
  <c r="B6" s="1"/>
  <c r="E14" i="2"/>
  <c r="F12" s="1"/>
  <c r="D28"/>
  <c r="D29" s="1"/>
  <c r="E27" i="9"/>
  <c r="D3" i="7" s="1"/>
  <c r="C51" i="4"/>
  <c r="C48"/>
  <c r="F39"/>
  <c r="E43"/>
  <c r="D44"/>
  <c r="D22" s="1"/>
  <c r="D47"/>
  <c r="D48" s="1"/>
  <c r="B5" i="5" l="1"/>
  <c r="C20" i="9"/>
  <c r="C21" s="1"/>
  <c r="C38"/>
  <c r="B39" i="5"/>
  <c r="B24" i="4"/>
  <c r="G11"/>
  <c r="F13"/>
  <c r="C17" s="1"/>
  <c r="C19" s="1"/>
  <c r="C21" s="1"/>
  <c r="C23" s="1"/>
  <c r="G12"/>
  <c r="G35"/>
  <c r="F36"/>
  <c r="E5" i="3"/>
  <c r="C9" i="5" s="1"/>
  <c r="Q6" i="3"/>
  <c r="E25" i="9" s="1"/>
  <c r="U19" i="2"/>
  <c r="U7" s="1"/>
  <c r="V18"/>
  <c r="E27"/>
  <c r="D30"/>
  <c r="F13"/>
  <c r="F4" i="7" s="1"/>
  <c r="D6" i="3"/>
  <c r="B7" s="1"/>
  <c r="J7"/>
  <c r="L7" s="1"/>
  <c r="N7" s="1"/>
  <c r="P7" s="1"/>
  <c r="H8" s="1"/>
  <c r="D8" i="9"/>
  <c r="C52" i="4"/>
  <c r="D51"/>
  <c r="G39"/>
  <c r="F43"/>
  <c r="D52"/>
  <c r="E8" i="9"/>
  <c r="E44" i="4"/>
  <c r="E22" s="1"/>
  <c r="E47"/>
  <c r="E48" s="1"/>
  <c r="E51"/>
  <c r="C5" i="5" l="1"/>
  <c r="C39"/>
  <c r="D20" i="9"/>
  <c r="D21" s="1"/>
  <c r="D38"/>
  <c r="B6" i="5"/>
  <c r="B33" s="1"/>
  <c r="C3" i="6"/>
  <c r="H35" i="4"/>
  <c r="G36"/>
  <c r="H11"/>
  <c r="G13"/>
  <c r="D17" s="1"/>
  <c r="D19" s="1"/>
  <c r="D21" s="1"/>
  <c r="D23" s="1"/>
  <c r="H12"/>
  <c r="D24"/>
  <c r="V19" i="2"/>
  <c r="V7" s="1"/>
  <c r="W18"/>
  <c r="E6" i="3"/>
  <c r="D9" i="5" s="1"/>
  <c r="D7" i="3"/>
  <c r="B8" s="1"/>
  <c r="F27" i="9"/>
  <c r="E3" i="7" s="1"/>
  <c r="E28" i="2"/>
  <c r="E29" s="1"/>
  <c r="Q7" i="3"/>
  <c r="F25" i="9" s="1"/>
  <c r="F14" i="2"/>
  <c r="G12" s="1"/>
  <c r="J8" i="3"/>
  <c r="L8" s="1"/>
  <c r="N8" s="1"/>
  <c r="P8" s="1"/>
  <c r="H9" s="1"/>
  <c r="C24" i="4"/>
  <c r="C6" i="5"/>
  <c r="C33" s="1"/>
  <c r="F8" i="9"/>
  <c r="E52" i="4"/>
  <c r="F44"/>
  <c r="F22" s="1"/>
  <c r="F47"/>
  <c r="F48" s="1"/>
  <c r="H39"/>
  <c r="G43"/>
  <c r="D39" i="5" l="1"/>
  <c r="D5"/>
  <c r="D6" s="1"/>
  <c r="D33" s="1"/>
  <c r="E38" i="9"/>
  <c r="E20"/>
  <c r="E21" s="1"/>
  <c r="I11" i="4"/>
  <c r="H13"/>
  <c r="E17" s="1"/>
  <c r="E19" s="1"/>
  <c r="E21" s="1"/>
  <c r="E23" s="1"/>
  <c r="I12"/>
  <c r="I35"/>
  <c r="H36"/>
  <c r="E24"/>
  <c r="Q8" i="3"/>
  <c r="G25" i="9" s="1"/>
  <c r="E7" i="3"/>
  <c r="E9" i="5" s="1"/>
  <c r="W19" i="2"/>
  <c r="W7" s="1"/>
  <c r="X18"/>
  <c r="J9" i="3"/>
  <c r="L9" s="1"/>
  <c r="N9" s="1"/>
  <c r="P9" s="1"/>
  <c r="H10" s="1"/>
  <c r="D8"/>
  <c r="B9" s="1"/>
  <c r="G13" i="2"/>
  <c r="G4" i="7" s="1"/>
  <c r="F27" i="2"/>
  <c r="E30"/>
  <c r="G44" i="4"/>
  <c r="G22" s="1"/>
  <c r="G47"/>
  <c r="G48" s="1"/>
  <c r="F51"/>
  <c r="H43"/>
  <c r="I39"/>
  <c r="J35" l="1"/>
  <c r="I36"/>
  <c r="E39" i="5"/>
  <c r="E5"/>
  <c r="E6" s="1"/>
  <c r="E33" s="1"/>
  <c r="F38" i="9"/>
  <c r="F20"/>
  <c r="F21" s="1"/>
  <c r="E8" i="3"/>
  <c r="F9" i="5" s="1"/>
  <c r="Q9" i="3"/>
  <c r="H25" i="9" s="1"/>
  <c r="I13" i="4"/>
  <c r="F17" s="1"/>
  <c r="F19" s="1"/>
  <c r="F21" s="1"/>
  <c r="F23" s="1"/>
  <c r="J11"/>
  <c r="J12"/>
  <c r="X19" i="2"/>
  <c r="X7" s="1"/>
  <c r="Y18"/>
  <c r="F28"/>
  <c r="F29" s="1"/>
  <c r="G27" i="9"/>
  <c r="F3" i="7" s="1"/>
  <c r="D9" i="3"/>
  <c r="B10" s="1"/>
  <c r="E9"/>
  <c r="G9" i="5" s="1"/>
  <c r="J10" i="3"/>
  <c r="L10" s="1"/>
  <c r="N10" s="1"/>
  <c r="P10" s="1"/>
  <c r="H11" s="1"/>
  <c r="Q10"/>
  <c r="I25" i="9" s="1"/>
  <c r="G14" i="2"/>
  <c r="H12" s="1"/>
  <c r="J39" i="4"/>
  <c r="I43"/>
  <c r="G51"/>
  <c r="H44"/>
  <c r="H22" s="1"/>
  <c r="H47"/>
  <c r="H48" s="1"/>
  <c r="G8" i="9"/>
  <c r="F52" i="4"/>
  <c r="F24" s="1"/>
  <c r="K11" l="1"/>
  <c r="J13"/>
  <c r="G17" s="1"/>
  <c r="G19" s="1"/>
  <c r="G21" s="1"/>
  <c r="G23" s="1"/>
  <c r="K12"/>
  <c r="K35"/>
  <c r="J36"/>
  <c r="G38" i="9"/>
  <c r="F5" i="5"/>
  <c r="F39"/>
  <c r="G20" i="9"/>
  <c r="G21" s="1"/>
  <c r="Y19" i="2"/>
  <c r="Y7" s="1"/>
  <c r="Z18"/>
  <c r="Z19" s="1"/>
  <c r="Z7" s="1"/>
  <c r="H13"/>
  <c r="H4" i="7" s="1"/>
  <c r="H14" i="2"/>
  <c r="I12" s="1"/>
  <c r="J11" i="3"/>
  <c r="L11" s="1"/>
  <c r="N11" s="1"/>
  <c r="P11" s="1"/>
  <c r="H12" s="1"/>
  <c r="Q11"/>
  <c r="J25" i="9" s="1"/>
  <c r="D10" i="3"/>
  <c r="B11" s="1"/>
  <c r="E10"/>
  <c r="H9" i="5" s="1"/>
  <c r="G27" i="2"/>
  <c r="F30"/>
  <c r="J43" i="4"/>
  <c r="K39"/>
  <c r="H51"/>
  <c r="H8" i="9"/>
  <c r="G52" i="4"/>
  <c r="G24" s="1"/>
  <c r="I44"/>
  <c r="I22" s="1"/>
  <c r="I47"/>
  <c r="I48" s="1"/>
  <c r="F6" i="5"/>
  <c r="F33" s="1"/>
  <c r="K13" i="4" l="1"/>
  <c r="H17" s="1"/>
  <c r="H19" s="1"/>
  <c r="H21" s="1"/>
  <c r="H23" s="1"/>
  <c r="L11"/>
  <c r="L12"/>
  <c r="L35"/>
  <c r="K36"/>
  <c r="G5" i="5"/>
  <c r="H20" i="9"/>
  <c r="H21" s="1"/>
  <c r="H38"/>
  <c r="G39" i="5"/>
  <c r="G28" i="2"/>
  <c r="G29" s="1"/>
  <c r="H27" i="9"/>
  <c r="G3" i="7" s="1"/>
  <c r="D11" i="3"/>
  <c r="B12" s="1"/>
  <c r="E11"/>
  <c r="I9" i="5" s="1"/>
  <c r="J12" i="3"/>
  <c r="L12" s="1"/>
  <c r="N12" s="1"/>
  <c r="P12" s="1"/>
  <c r="H13" s="1"/>
  <c r="Q12"/>
  <c r="K25" i="9" s="1"/>
  <c r="I13" i="2"/>
  <c r="I4" i="7" s="1"/>
  <c r="I51" i="4"/>
  <c r="J8" i="9" s="1"/>
  <c r="L39" i="4"/>
  <c r="K43"/>
  <c r="I52"/>
  <c r="H52"/>
  <c r="H24" s="1"/>
  <c r="I8" i="9"/>
  <c r="J44" i="4"/>
  <c r="J22" s="1"/>
  <c r="J47"/>
  <c r="J48" s="1"/>
  <c r="G6" i="5"/>
  <c r="G33" s="1"/>
  <c r="I20" i="9" l="1"/>
  <c r="I21" s="1"/>
  <c r="H5" i="5"/>
  <c r="I38" i="9"/>
  <c r="H39" i="5"/>
  <c r="M35" i="4"/>
  <c r="L36"/>
  <c r="M11"/>
  <c r="L13"/>
  <c r="I17" s="1"/>
  <c r="I19" s="1"/>
  <c r="I21" s="1"/>
  <c r="I23" s="1"/>
  <c r="M12"/>
  <c r="I24"/>
  <c r="J13" i="3"/>
  <c r="L13" s="1"/>
  <c r="N13" s="1"/>
  <c r="P13" s="1"/>
  <c r="H14" s="1"/>
  <c r="D12"/>
  <c r="B13" s="1"/>
  <c r="H27" i="2"/>
  <c r="G30"/>
  <c r="I14"/>
  <c r="J12" s="1"/>
  <c r="K44" i="4"/>
  <c r="K22" s="1"/>
  <c r="K47"/>
  <c r="K48" s="1"/>
  <c r="J51"/>
  <c r="H6" i="5"/>
  <c r="H33" s="1"/>
  <c r="M39" i="4"/>
  <c r="L43"/>
  <c r="I39" i="5" l="1"/>
  <c r="J20" i="9"/>
  <c r="J21" s="1"/>
  <c r="J38"/>
  <c r="I5" i="5"/>
  <c r="I6" s="1"/>
  <c r="I33" s="1"/>
  <c r="N12" i="4"/>
  <c r="M13"/>
  <c r="J17" s="1"/>
  <c r="J19" s="1"/>
  <c r="J21" s="1"/>
  <c r="J23" s="1"/>
  <c r="N11"/>
  <c r="M36"/>
  <c r="N35"/>
  <c r="H28" i="2"/>
  <c r="H29" s="1"/>
  <c r="I27" i="9"/>
  <c r="H3" i="7" s="1"/>
  <c r="D13" i="3"/>
  <c r="B14" s="1"/>
  <c r="J14"/>
  <c r="L14" s="1"/>
  <c r="N14" s="1"/>
  <c r="P14" s="1"/>
  <c r="H15" s="1"/>
  <c r="J13" i="2"/>
  <c r="J4" i="7" s="1"/>
  <c r="J14" i="2"/>
  <c r="K12" s="1"/>
  <c r="E12" i="3"/>
  <c r="J9" i="5" s="1"/>
  <c r="Q13" i="3"/>
  <c r="L25" i="9" s="1"/>
  <c r="K51" i="4"/>
  <c r="N39"/>
  <c r="M43"/>
  <c r="L44"/>
  <c r="L22" s="1"/>
  <c r="L47"/>
  <c r="L48" s="1"/>
  <c r="J52"/>
  <c r="J24" s="1"/>
  <c r="K8" i="9"/>
  <c r="L8"/>
  <c r="K52" i="4"/>
  <c r="J5" i="5" l="1"/>
  <c r="K38" i="9"/>
  <c r="J39" i="5"/>
  <c r="K20" i="9"/>
  <c r="K21" s="1"/>
  <c r="O35" i="4"/>
  <c r="N36"/>
  <c r="O11"/>
  <c r="O12"/>
  <c r="N13"/>
  <c r="K17" s="1"/>
  <c r="K19" s="1"/>
  <c r="K21" s="1"/>
  <c r="K23" s="1"/>
  <c r="E13" i="3"/>
  <c r="K9" i="5" s="1"/>
  <c r="D14" i="3"/>
  <c r="B15" s="1"/>
  <c r="I27" i="2"/>
  <c r="H30"/>
  <c r="Q14" i="3"/>
  <c r="M25" i="9" s="1"/>
  <c r="K13" i="2"/>
  <c r="K4" i="7" s="1"/>
  <c r="J15" i="3"/>
  <c r="L15" s="1"/>
  <c r="N15" s="1"/>
  <c r="P15" s="1"/>
  <c r="J6" i="5"/>
  <c r="J33" s="1"/>
  <c r="N43" i="4"/>
  <c r="O39"/>
  <c r="L51"/>
  <c r="M44"/>
  <c r="M22" s="1"/>
  <c r="M47"/>
  <c r="M48" s="1"/>
  <c r="M51" l="1"/>
  <c r="K5" i="5"/>
  <c r="K6" s="1"/>
  <c r="K33" s="1"/>
  <c r="K39"/>
  <c r="K24" i="4"/>
  <c r="L38" i="9"/>
  <c r="L20"/>
  <c r="L21" s="1"/>
  <c r="O13" i="4"/>
  <c r="L17" s="1"/>
  <c r="L19" s="1"/>
  <c r="L21" s="1"/>
  <c r="L23" s="1"/>
  <c r="P11"/>
  <c r="P12"/>
  <c r="O36"/>
  <c r="P35"/>
  <c r="Q15" i="3"/>
  <c r="N25" i="9" s="1"/>
  <c r="I28" i="2"/>
  <c r="I29" s="1"/>
  <c r="J27" i="9"/>
  <c r="I3" i="7" s="1"/>
  <c r="K14" i="2"/>
  <c r="L12" s="1"/>
  <c r="E14" i="3"/>
  <c r="L9" i="5" s="1"/>
  <c r="D15" i="3"/>
  <c r="B16" s="1"/>
  <c r="N8" i="9"/>
  <c r="M52" i="4"/>
  <c r="P39"/>
  <c r="O43"/>
  <c r="M8" i="9"/>
  <c r="L52" i="4"/>
  <c r="L24" s="1"/>
  <c r="N44"/>
  <c r="N22" s="1"/>
  <c r="N47"/>
  <c r="N48" s="1"/>
  <c r="Q35" l="1"/>
  <c r="P36"/>
  <c r="L39" i="5"/>
  <c r="L5"/>
  <c r="M20" i="9"/>
  <c r="M21" s="1"/>
  <c r="M38"/>
  <c r="Q11" i="4"/>
  <c r="P13"/>
  <c r="M17" s="1"/>
  <c r="M19" s="1"/>
  <c r="M21" s="1"/>
  <c r="M23" s="1"/>
  <c r="Q12"/>
  <c r="M24"/>
  <c r="E15" i="3"/>
  <c r="M9" i="5" s="1"/>
  <c r="D16" i="3"/>
  <c r="B17" s="1"/>
  <c r="L13" i="2"/>
  <c r="L4" i="7" s="1"/>
  <c r="J27" i="2"/>
  <c r="I30"/>
  <c r="L6" i="5"/>
  <c r="L33" s="1"/>
  <c r="O44" i="4"/>
  <c r="O22" s="1"/>
  <c r="O47"/>
  <c r="O48" s="1"/>
  <c r="P43"/>
  <c r="Q39"/>
  <c r="N51"/>
  <c r="N20" i="9" l="1"/>
  <c r="N21" s="1"/>
  <c r="M39" i="5"/>
  <c r="N38" i="9"/>
  <c r="M5" i="5"/>
  <c r="M6" s="1"/>
  <c r="M33" s="1"/>
  <c r="Q36" i="4"/>
  <c r="R35"/>
  <c r="Q13"/>
  <c r="N17" s="1"/>
  <c r="N19" s="1"/>
  <c r="N21" s="1"/>
  <c r="N23" s="1"/>
  <c r="R12"/>
  <c r="R11"/>
  <c r="L14" i="2"/>
  <c r="M12" s="1"/>
  <c r="E16" i="3"/>
  <c r="N9" i="5" s="1"/>
  <c r="J28" i="2"/>
  <c r="J29" s="1"/>
  <c r="K27" i="9"/>
  <c r="J3" i="7" s="1"/>
  <c r="D17" i="3"/>
  <c r="B18" s="1"/>
  <c r="E17"/>
  <c r="O9" i="5" s="1"/>
  <c r="M13" i="2"/>
  <c r="M4" i="7" s="1"/>
  <c r="P44" i="4"/>
  <c r="P22" s="1"/>
  <c r="P47"/>
  <c r="P48" s="1"/>
  <c r="R39"/>
  <c r="Q43"/>
  <c r="N52"/>
  <c r="N24" s="1"/>
  <c r="O8" i="9"/>
  <c r="O51" i="4"/>
  <c r="S11" l="1"/>
  <c r="S12"/>
  <c r="R13"/>
  <c r="O17" s="1"/>
  <c r="O19" s="1"/>
  <c r="O21" s="1"/>
  <c r="O23" s="1"/>
  <c r="O38" i="9"/>
  <c r="N39" i="5"/>
  <c r="O20" i="9"/>
  <c r="O21" s="1"/>
  <c r="N5" i="5"/>
  <c r="S35" i="4"/>
  <c r="R36"/>
  <c r="D18" i="3"/>
  <c r="B19" s="1"/>
  <c r="E18"/>
  <c r="P9" i="5" s="1"/>
  <c r="K27" i="2"/>
  <c r="J30"/>
  <c r="M14"/>
  <c r="N12" s="1"/>
  <c r="P8" i="9"/>
  <c r="O52" i="4"/>
  <c r="O24" s="1"/>
  <c r="Q44"/>
  <c r="Q22" s="1"/>
  <c r="Q47"/>
  <c r="Q48" s="1"/>
  <c r="N6" i="5"/>
  <c r="N33" s="1"/>
  <c r="P51" i="4"/>
  <c r="R43"/>
  <c r="S39"/>
  <c r="O5" i="5" l="1"/>
  <c r="O6" s="1"/>
  <c r="O33" s="1"/>
  <c r="P38" i="9"/>
  <c r="P20"/>
  <c r="P21" s="1"/>
  <c r="O39" i="5"/>
  <c r="S13" i="4"/>
  <c r="P17" s="1"/>
  <c r="P19" s="1"/>
  <c r="P21" s="1"/>
  <c r="P23" s="1"/>
  <c r="T11"/>
  <c r="T12"/>
  <c r="T35"/>
  <c r="S36"/>
  <c r="K28" i="2"/>
  <c r="K29" s="1"/>
  <c r="L27" i="9"/>
  <c r="K3" i="7" s="1"/>
  <c r="C19" i="3"/>
  <c r="D19" s="1"/>
  <c r="N13" i="2"/>
  <c r="N4" i="7" s="1"/>
  <c r="T39" i="4"/>
  <c r="S43"/>
  <c r="P52"/>
  <c r="P24" s="1"/>
  <c r="Q8" i="9"/>
  <c r="Q51" i="4"/>
  <c r="R44"/>
  <c r="R22" s="1"/>
  <c r="R47"/>
  <c r="R48" s="1"/>
  <c r="P39" i="5" l="1"/>
  <c r="Q20" i="9"/>
  <c r="Q21" s="1"/>
  <c r="P5" i="5"/>
  <c r="P6" s="1"/>
  <c r="P33" s="1"/>
  <c r="Q38" i="9"/>
  <c r="U35" i="4"/>
  <c r="T36"/>
  <c r="U11"/>
  <c r="T13"/>
  <c r="Q17" s="1"/>
  <c r="Q19" s="1"/>
  <c r="Q21" s="1"/>
  <c r="Q23" s="1"/>
  <c r="U12"/>
  <c r="B20" i="3"/>
  <c r="E19"/>
  <c r="Q9" i="5" s="1"/>
  <c r="L27" i="2"/>
  <c r="K30"/>
  <c r="N14"/>
  <c r="O12" s="1"/>
  <c r="U39" i="4"/>
  <c r="T43"/>
  <c r="R51"/>
  <c r="R8" i="9"/>
  <c r="Q52" i="4"/>
  <c r="Q24" s="1"/>
  <c r="S44"/>
  <c r="S22" s="1"/>
  <c r="S47"/>
  <c r="S48" s="1"/>
  <c r="Q5" i="5" l="1"/>
  <c r="Q6" s="1"/>
  <c r="Q33" s="1"/>
  <c r="Q39"/>
  <c r="R38" i="9"/>
  <c r="R20"/>
  <c r="R21" s="1"/>
  <c r="V12" i="4"/>
  <c r="V11"/>
  <c r="U13"/>
  <c r="R17" s="1"/>
  <c r="R19" s="1"/>
  <c r="R21" s="1"/>
  <c r="R23" s="1"/>
  <c r="U36"/>
  <c r="V35"/>
  <c r="O13" i="2"/>
  <c r="O4" i="7" s="1"/>
  <c r="L28" i="2"/>
  <c r="L29" s="1"/>
  <c r="M27" i="9"/>
  <c r="L3" i="7" s="1"/>
  <c r="D20" i="3"/>
  <c r="B21" s="1"/>
  <c r="T44" i="4"/>
  <c r="T22" s="1"/>
  <c r="T47"/>
  <c r="T48" s="1"/>
  <c r="S51"/>
  <c r="S8" i="9"/>
  <c r="R52" i="4"/>
  <c r="R24" s="1"/>
  <c r="V39"/>
  <c r="U43"/>
  <c r="W11" l="1"/>
  <c r="W12"/>
  <c r="V13"/>
  <c r="S17" s="1"/>
  <c r="S19" s="1"/>
  <c r="S21" s="1"/>
  <c r="S23" s="1"/>
  <c r="W35"/>
  <c r="V36"/>
  <c r="R5" i="5"/>
  <c r="S20" i="9"/>
  <c r="S21" s="1"/>
  <c r="S38"/>
  <c r="R39" i="5"/>
  <c r="E20" i="3"/>
  <c r="R9" i="5" s="1"/>
  <c r="C21" i="3"/>
  <c r="D21" s="1"/>
  <c r="E21" s="1"/>
  <c r="S9" i="5" s="1"/>
  <c r="M27" i="2"/>
  <c r="L30"/>
  <c r="O14"/>
  <c r="P12" s="1"/>
  <c r="T51" i="4"/>
  <c r="V43"/>
  <c r="W39"/>
  <c r="T8" i="9"/>
  <c r="S52" i="4"/>
  <c r="S24" s="1"/>
  <c r="U44"/>
  <c r="U22" s="1"/>
  <c r="U47"/>
  <c r="U48" s="1"/>
  <c r="U8" i="9"/>
  <c r="T52" i="4"/>
  <c r="R6" i="5"/>
  <c r="R33" s="1"/>
  <c r="X35" i="4" l="1"/>
  <c r="W36"/>
  <c r="S5" i="5"/>
  <c r="S39"/>
  <c r="T38" i="9"/>
  <c r="T20"/>
  <c r="T21" s="1"/>
  <c r="X12" i="4"/>
  <c r="X11"/>
  <c r="W13"/>
  <c r="T17" s="1"/>
  <c r="T19" s="1"/>
  <c r="T21" s="1"/>
  <c r="T23" s="1"/>
  <c r="P13" i="2"/>
  <c r="P4" i="7" s="1"/>
  <c r="M28" i="2"/>
  <c r="M29" s="1"/>
  <c r="N27" i="9"/>
  <c r="M3" i="7" s="1"/>
  <c r="V44" i="4"/>
  <c r="V22" s="1"/>
  <c r="V47"/>
  <c r="V48" s="1"/>
  <c r="U51"/>
  <c r="S6" i="5"/>
  <c r="S33" s="1"/>
  <c r="X39" i="4"/>
  <c r="W43"/>
  <c r="U38" i="9" l="1"/>
  <c r="T39" i="5"/>
  <c r="U20" i="9"/>
  <c r="U21" s="1"/>
  <c r="T24" i="4"/>
  <c r="T5" i="5"/>
  <c r="T6" s="1"/>
  <c r="T33" s="1"/>
  <c r="X36" i="4"/>
  <c r="Y35"/>
  <c r="Y11"/>
  <c r="Y12"/>
  <c r="X13"/>
  <c r="U17" s="1"/>
  <c r="U19" s="1"/>
  <c r="U21" s="1"/>
  <c r="U23" s="1"/>
  <c r="N27" i="2"/>
  <c r="M30"/>
  <c r="P14"/>
  <c r="Q12" s="1"/>
  <c r="X43" i="4"/>
  <c r="Y39"/>
  <c r="W44"/>
  <c r="W22" s="1"/>
  <c r="W47"/>
  <c r="W48" s="1"/>
  <c r="V8" i="9"/>
  <c r="U52" i="4"/>
  <c r="U24" s="1"/>
  <c r="V51"/>
  <c r="Z35" l="1"/>
  <c r="Z36" s="1"/>
  <c r="Y36"/>
  <c r="V20" i="9"/>
  <c r="V21" s="1"/>
  <c r="V38"/>
  <c r="U5" i="5"/>
  <c r="U6" s="1"/>
  <c r="U33" s="1"/>
  <c r="U39"/>
  <c r="Z12" i="4"/>
  <c r="Z11"/>
  <c r="Y13"/>
  <c r="V17" s="1"/>
  <c r="V19" s="1"/>
  <c r="V21" s="1"/>
  <c r="V23" s="1"/>
  <c r="N28" i="2"/>
  <c r="N29" s="1"/>
  <c r="O27" i="9"/>
  <c r="N3" i="7" s="1"/>
  <c r="Q13" i="2"/>
  <c r="Q4" i="7" s="1"/>
  <c r="W8" i="9"/>
  <c r="V52" i="4"/>
  <c r="X44"/>
  <c r="X22" s="1"/>
  <c r="X47"/>
  <c r="X48" s="1"/>
  <c r="W51"/>
  <c r="Y43"/>
  <c r="Z39"/>
  <c r="Z43" s="1"/>
  <c r="AA11" l="1"/>
  <c r="AA12"/>
  <c r="Z13"/>
  <c r="W17" s="1"/>
  <c r="W19" s="1"/>
  <c r="W21" s="1"/>
  <c r="W23" s="1"/>
  <c r="V24"/>
  <c r="W38" i="9"/>
  <c r="W20"/>
  <c r="W21" s="1"/>
  <c r="V39" i="5"/>
  <c r="V5"/>
  <c r="V6" s="1"/>
  <c r="V33" s="1"/>
  <c r="O27" i="2"/>
  <c r="N30"/>
  <c r="Q14"/>
  <c r="R12" s="1"/>
  <c r="X51" i="4"/>
  <c r="Y44"/>
  <c r="Y22" s="1"/>
  <c r="Y47"/>
  <c r="Y48" s="1"/>
  <c r="Z44"/>
  <c r="Z22" s="1"/>
  <c r="Z47"/>
  <c r="Z48" s="1"/>
  <c r="X8" i="9"/>
  <c r="W52" i="4"/>
  <c r="W24" s="1"/>
  <c r="Y8" i="9"/>
  <c r="X52" i="4"/>
  <c r="W39" i="5" l="1"/>
  <c r="W5"/>
  <c r="W6" s="1"/>
  <c r="W33" s="1"/>
  <c r="X20" i="9"/>
  <c r="X21" s="1"/>
  <c r="X38"/>
  <c r="AA13" i="4"/>
  <c r="X17" s="1"/>
  <c r="X19" s="1"/>
  <c r="X21" s="1"/>
  <c r="X23" s="1"/>
  <c r="AB11"/>
  <c r="AB12"/>
  <c r="O28" i="2"/>
  <c r="O29" s="1"/>
  <c r="P27" i="9"/>
  <c r="O3" i="7" s="1"/>
  <c r="R13" i="2"/>
  <c r="R4" i="7" s="1"/>
  <c r="Y51" i="4"/>
  <c r="Z51"/>
  <c r="Y38" i="9" l="1"/>
  <c r="X39" i="5"/>
  <c r="Y20" i="9"/>
  <c r="Y21" s="1"/>
  <c r="X5" i="5"/>
  <c r="X6" s="1"/>
  <c r="X33" s="1"/>
  <c r="X24" i="4"/>
  <c r="R14" i="2"/>
  <c r="S12" s="1"/>
  <c r="AB13" i="4"/>
  <c r="Y17" s="1"/>
  <c r="Y19" s="1"/>
  <c r="Y21" s="1"/>
  <c r="Y23" s="1"/>
  <c r="AC12"/>
  <c r="AC11"/>
  <c r="P27" i="2"/>
  <c r="O30"/>
  <c r="S13"/>
  <c r="S4" i="7" s="1"/>
  <c r="Z52" i="4"/>
  <c r="AA8" i="9"/>
  <c r="Y52" i="4"/>
  <c r="Y24" s="1"/>
  <c r="Z8" i="9"/>
  <c r="AD12" i="4" l="1"/>
  <c r="AC13"/>
  <c r="Z17" s="1"/>
  <c r="Z19" s="1"/>
  <c r="Z21" s="1"/>
  <c r="Z23" s="1"/>
  <c r="AD11"/>
  <c r="AD13" s="1"/>
  <c r="Y5" i="5"/>
  <c r="Y6" s="1"/>
  <c r="Y33" s="1"/>
  <c r="Y39"/>
  <c r="Z38" i="9"/>
  <c r="Z20"/>
  <c r="Z21" s="1"/>
  <c r="Z24" i="4"/>
  <c r="S14" i="2"/>
  <c r="T12" s="1"/>
  <c r="T13" s="1"/>
  <c r="T4" i="7" s="1"/>
  <c r="P28" i="2"/>
  <c r="P29" s="1"/>
  <c r="Q27" i="9"/>
  <c r="P3" i="7" s="1"/>
  <c r="Z5" i="5" l="1"/>
  <c r="Z6" s="1"/>
  <c r="Z33" s="1"/>
  <c r="B34" s="1"/>
  <c r="AA20" i="9"/>
  <c r="AA21" s="1"/>
  <c r="AA38"/>
  <c r="Z39" i="5"/>
  <c r="T14" i="2"/>
  <c r="U12" s="1"/>
  <c r="U14" s="1"/>
  <c r="V12" s="1"/>
  <c r="Q27"/>
  <c r="P30"/>
  <c r="U13"/>
  <c r="U4" i="7" s="1"/>
  <c r="Q28" i="2" l="1"/>
  <c r="Q29" s="1"/>
  <c r="R27" i="9"/>
  <c r="Q3" i="7" s="1"/>
  <c r="V13" i="2"/>
  <c r="V4" i="7" s="1"/>
  <c r="V14" i="2" l="1"/>
  <c r="W12" s="1"/>
  <c r="W13"/>
  <c r="W4" i="7" s="1"/>
  <c r="R27" i="2"/>
  <c r="Q30"/>
  <c r="R28" l="1"/>
  <c r="R29" s="1"/>
  <c r="S27" i="9"/>
  <c r="R3" i="7" s="1"/>
  <c r="W14" i="2"/>
  <c r="X12" s="1"/>
  <c r="X13" l="1"/>
  <c r="X4" i="7" s="1"/>
  <c r="X14" i="2"/>
  <c r="Y12" s="1"/>
  <c r="R30"/>
  <c r="S27"/>
  <c r="S28" l="1"/>
  <c r="S29" s="1"/>
  <c r="T27" i="9"/>
  <c r="S3" i="7" s="1"/>
  <c r="Y13" i="2"/>
  <c r="Y4" i="7" s="1"/>
  <c r="S30" i="2" l="1"/>
  <c r="T27" s="1"/>
  <c r="Y14"/>
  <c r="Z12" s="1"/>
  <c r="Z13" l="1"/>
  <c r="Z4" i="7" s="1"/>
  <c r="Z14" i="2"/>
  <c r="T28"/>
  <c r="T29" s="1"/>
  <c r="U27" i="9"/>
  <c r="T3" i="7" s="1"/>
  <c r="T30" i="2" l="1"/>
  <c r="U27" s="1"/>
  <c r="U28" l="1"/>
  <c r="U29" s="1"/>
  <c r="V27" i="9"/>
  <c r="U3" i="7" s="1"/>
  <c r="U30" i="2" l="1"/>
  <c r="V27" s="1"/>
  <c r="V28" l="1"/>
  <c r="V29" s="1"/>
  <c r="W27" i="9"/>
  <c r="V3" i="7" s="1"/>
  <c r="V30" i="2" l="1"/>
  <c r="W27" s="1"/>
  <c r="W28" l="1"/>
  <c r="W29" s="1"/>
  <c r="X27" i="9"/>
  <c r="W3" i="7" s="1"/>
  <c r="W30" i="2" l="1"/>
  <c r="X27" s="1"/>
  <c r="X28" l="1"/>
  <c r="X29" s="1"/>
  <c r="Y27" i="9"/>
  <c r="X3" i="7" s="1"/>
  <c r="X30" i="2" l="1"/>
  <c r="Y27" s="1"/>
  <c r="Y28" l="1"/>
  <c r="Y29" s="1"/>
  <c r="Z27" i="9"/>
  <c r="Y3" i="7" s="1"/>
  <c r="Y30" i="2" l="1"/>
  <c r="Z27" s="1"/>
  <c r="Z28" l="1"/>
  <c r="Z29" s="1"/>
  <c r="Z30" s="1"/>
  <c r="AA27" i="9"/>
  <c r="Z3" i="7" s="1"/>
  <c r="D6" i="12"/>
  <c r="E6"/>
  <c r="E7"/>
  <c r="E11"/>
  <c r="E12"/>
  <c r="E14"/>
  <c r="H6"/>
  <c r="H7"/>
  <c r="H11"/>
  <c r="H14"/>
  <c r="D15"/>
  <c r="D10" i="4"/>
  <c r="E10"/>
  <c r="F10"/>
  <c r="G10"/>
  <c r="H10"/>
  <c r="I10"/>
  <c r="J10"/>
  <c r="K10"/>
  <c r="L10"/>
  <c r="M10"/>
  <c r="N10"/>
  <c r="O10"/>
  <c r="P10"/>
  <c r="Q10"/>
  <c r="R10"/>
  <c r="S10"/>
  <c r="T10"/>
  <c r="U10"/>
  <c r="V10"/>
  <c r="W10"/>
  <c r="X10"/>
  <c r="Y10"/>
  <c r="Z10"/>
  <c r="AA10"/>
  <c r="AB10"/>
  <c r="AC10"/>
  <c r="AD10"/>
  <c r="D27"/>
  <c r="E27"/>
  <c r="F27"/>
  <c r="G27"/>
  <c r="H27"/>
  <c r="I27"/>
  <c r="J27"/>
  <c r="K27"/>
  <c r="L27"/>
  <c r="M27"/>
  <c r="N27"/>
  <c r="O27"/>
  <c r="P27"/>
  <c r="Q27"/>
  <c r="R27"/>
  <c r="S27"/>
  <c r="T27"/>
  <c r="U27"/>
  <c r="V27"/>
  <c r="W27"/>
  <c r="X27"/>
  <c r="Y27"/>
  <c r="Z27"/>
  <c r="D7" i="12"/>
  <c r="D12"/>
  <c r="B12" i="5" l="1"/>
  <c r="C12"/>
  <c r="D12"/>
  <c r="E12"/>
  <c r="F12"/>
  <c r="G12"/>
  <c r="H12"/>
  <c r="I12"/>
  <c r="J12"/>
  <c r="K12"/>
  <c r="L12"/>
  <c r="M12"/>
  <c r="N12"/>
  <c r="O12"/>
  <c r="P12"/>
  <c r="Q12"/>
  <c r="R12"/>
  <c r="S12"/>
  <c r="T12"/>
  <c r="U12"/>
  <c r="V12"/>
  <c r="W12"/>
  <c r="X12"/>
  <c r="Y12"/>
  <c r="Z12"/>
  <c r="B14"/>
  <c r="C14"/>
  <c r="D14"/>
  <c r="E14"/>
  <c r="F14"/>
  <c r="G14"/>
  <c r="H14"/>
  <c r="I14"/>
  <c r="J14"/>
  <c r="K14"/>
  <c r="L14"/>
  <c r="M14"/>
  <c r="N14"/>
  <c r="O14"/>
  <c r="P14"/>
  <c r="Q14"/>
  <c r="R14"/>
  <c r="S14"/>
  <c r="T14"/>
  <c r="U14"/>
  <c r="V14"/>
  <c r="W14"/>
  <c r="X14"/>
  <c r="Y14"/>
  <c r="Z14"/>
  <c r="B15"/>
  <c r="C15"/>
  <c r="D15"/>
  <c r="E15"/>
  <c r="F15"/>
  <c r="G15"/>
  <c r="H15"/>
  <c r="I15"/>
  <c r="J15"/>
  <c r="K15"/>
  <c r="L15"/>
  <c r="M15"/>
  <c r="N15"/>
  <c r="O15"/>
  <c r="P15"/>
  <c r="Q15"/>
  <c r="R15"/>
  <c r="S15"/>
  <c r="T15"/>
  <c r="U15"/>
  <c r="V15"/>
  <c r="W15"/>
  <c r="X15"/>
  <c r="Y15"/>
  <c r="Z15"/>
  <c r="B19"/>
  <c r="C19"/>
  <c r="D19"/>
  <c r="E19"/>
  <c r="F19"/>
  <c r="G19"/>
  <c r="H19"/>
  <c r="I19"/>
  <c r="J19"/>
  <c r="K19"/>
  <c r="L19"/>
  <c r="M19"/>
  <c r="N19"/>
  <c r="O19"/>
  <c r="P19"/>
  <c r="Q19"/>
  <c r="R19"/>
  <c r="S19"/>
  <c r="T19"/>
  <c r="U19"/>
  <c r="V19"/>
  <c r="W19"/>
  <c r="X19"/>
  <c r="Y19"/>
  <c r="Z19"/>
  <c r="B20"/>
  <c r="C20"/>
  <c r="D20"/>
  <c r="E20"/>
  <c r="F20"/>
  <c r="G20"/>
  <c r="H20"/>
  <c r="I20"/>
  <c r="J20"/>
  <c r="K20"/>
  <c r="L20"/>
  <c r="M20"/>
  <c r="N20"/>
  <c r="O20"/>
  <c r="P20"/>
  <c r="Q20"/>
  <c r="R20"/>
  <c r="S20"/>
  <c r="T20"/>
  <c r="U20"/>
  <c r="V20"/>
  <c r="W20"/>
  <c r="X20"/>
  <c r="Y20"/>
  <c r="Z20"/>
  <c r="B23"/>
  <c r="C23"/>
  <c r="D23"/>
  <c r="E23"/>
  <c r="F23"/>
  <c r="G23"/>
  <c r="H23"/>
  <c r="I23"/>
  <c r="J23"/>
  <c r="K23"/>
  <c r="L23"/>
  <c r="M23"/>
  <c r="N23"/>
  <c r="O23"/>
  <c r="P23"/>
  <c r="Q23"/>
  <c r="R23"/>
  <c r="S23"/>
  <c r="T23"/>
  <c r="U23"/>
  <c r="V23"/>
  <c r="W23"/>
  <c r="X23"/>
  <c r="Y23"/>
  <c r="Z23"/>
  <c r="B28"/>
  <c r="C28"/>
  <c r="D28"/>
  <c r="E28"/>
  <c r="F28"/>
  <c r="G28"/>
  <c r="H28"/>
  <c r="I28"/>
  <c r="J28"/>
  <c r="K28"/>
  <c r="L28"/>
  <c r="M28"/>
  <c r="N28"/>
  <c r="O28"/>
  <c r="P28"/>
  <c r="Q28"/>
  <c r="R28"/>
  <c r="S28"/>
  <c r="T28"/>
  <c r="U28"/>
  <c r="V28"/>
  <c r="W28"/>
  <c r="X28"/>
  <c r="Y28"/>
  <c r="Z28"/>
  <c r="B29"/>
  <c r="B41"/>
  <c r="C41"/>
  <c r="D41"/>
  <c r="E41"/>
  <c r="F41"/>
  <c r="G41"/>
  <c r="H41"/>
  <c r="I41"/>
  <c r="J41"/>
  <c r="K41"/>
  <c r="L41"/>
  <c r="M41"/>
  <c r="N41"/>
  <c r="O41"/>
  <c r="P41"/>
  <c r="Q41"/>
  <c r="R41"/>
  <c r="S41"/>
  <c r="T41"/>
  <c r="U41"/>
  <c r="V41"/>
  <c r="W41"/>
  <c r="X41"/>
  <c r="Y41"/>
  <c r="Z41"/>
  <c r="B42"/>
  <c r="C42"/>
  <c r="D42"/>
  <c r="E42"/>
  <c r="F42"/>
  <c r="G42"/>
  <c r="H42"/>
  <c r="I42"/>
  <c r="J42"/>
  <c r="K42"/>
  <c r="L42"/>
  <c r="M42"/>
  <c r="N42"/>
  <c r="O42"/>
  <c r="P42"/>
  <c r="Q42"/>
  <c r="R42"/>
  <c r="S42"/>
  <c r="T42"/>
  <c r="U42"/>
  <c r="V42"/>
  <c r="W42"/>
  <c r="X42"/>
  <c r="Y42"/>
  <c r="Z42"/>
  <c r="B43"/>
  <c r="C43"/>
  <c r="D43"/>
  <c r="E43"/>
  <c r="F43"/>
  <c r="G43"/>
  <c r="H43"/>
  <c r="I43"/>
  <c r="J43"/>
  <c r="K43"/>
  <c r="L43"/>
  <c r="M43"/>
  <c r="N43"/>
  <c r="O43"/>
  <c r="P43"/>
  <c r="Q43"/>
  <c r="R43"/>
  <c r="S43"/>
  <c r="T43"/>
  <c r="U43"/>
  <c r="V43"/>
  <c r="W43"/>
  <c r="X43"/>
  <c r="Y43"/>
  <c r="Z43"/>
  <c r="C10" i="9"/>
  <c r="D10"/>
  <c r="E10"/>
  <c r="F10"/>
  <c r="G10"/>
  <c r="H10"/>
  <c r="I10"/>
  <c r="J10"/>
  <c r="K10"/>
  <c r="L10"/>
  <c r="M10"/>
  <c r="N10"/>
  <c r="O10"/>
  <c r="P10"/>
  <c r="Q10"/>
  <c r="R10"/>
  <c r="S10"/>
  <c r="T10"/>
  <c r="U10"/>
  <c r="V10"/>
  <c r="W10"/>
  <c r="X10"/>
  <c r="Y10"/>
  <c r="Z10"/>
  <c r="AA10"/>
  <c r="C12"/>
  <c r="D12"/>
  <c r="E12"/>
  <c r="F12"/>
  <c r="G12"/>
  <c r="H12"/>
  <c r="I12"/>
  <c r="J12"/>
  <c r="K12"/>
  <c r="L12"/>
  <c r="M12"/>
  <c r="N12"/>
  <c r="O12"/>
  <c r="P12"/>
  <c r="Q12"/>
  <c r="R12"/>
  <c r="S12"/>
  <c r="T12"/>
  <c r="U12"/>
  <c r="V12"/>
  <c r="W12"/>
  <c r="X12"/>
  <c r="Y12"/>
  <c r="Z12"/>
  <c r="AA12"/>
  <c r="C14"/>
  <c r="D14"/>
  <c r="E14"/>
  <c r="F14"/>
  <c r="G14"/>
  <c r="H14"/>
  <c r="I14"/>
  <c r="J14"/>
  <c r="K14"/>
  <c r="L14"/>
  <c r="M14"/>
  <c r="N14"/>
  <c r="O14"/>
  <c r="P14"/>
  <c r="Q14"/>
  <c r="R14"/>
  <c r="S14"/>
  <c r="T14"/>
  <c r="U14"/>
  <c r="V14"/>
  <c r="W14"/>
  <c r="X14"/>
  <c r="Y14"/>
  <c r="Z14"/>
  <c r="AA14"/>
  <c r="C23"/>
  <c r="D23"/>
  <c r="E23"/>
  <c r="F23"/>
  <c r="G23"/>
  <c r="H23"/>
  <c r="I23"/>
  <c r="J23"/>
  <c r="K23"/>
  <c r="L23"/>
  <c r="M23"/>
  <c r="N23"/>
  <c r="O23"/>
  <c r="P23"/>
  <c r="Q23"/>
  <c r="R23"/>
  <c r="S23"/>
  <c r="T23"/>
  <c r="U23"/>
  <c r="V23"/>
  <c r="W23"/>
  <c r="X23"/>
  <c r="Y23"/>
  <c r="Z23"/>
  <c r="AA23"/>
  <c r="C26"/>
  <c r="D26"/>
  <c r="E26"/>
  <c r="F26"/>
  <c r="G26"/>
  <c r="H26"/>
  <c r="I26"/>
  <c r="J26"/>
  <c r="K26"/>
  <c r="L26"/>
  <c r="M26"/>
  <c r="N26"/>
  <c r="O26"/>
  <c r="P26"/>
  <c r="Q26"/>
  <c r="R26"/>
  <c r="S26"/>
  <c r="T26"/>
  <c r="U26"/>
  <c r="V26"/>
  <c r="W26"/>
  <c r="X26"/>
  <c r="Y26"/>
  <c r="Z26"/>
  <c r="AA26"/>
  <c r="C29"/>
  <c r="D29"/>
  <c r="E29"/>
  <c r="F29"/>
  <c r="G29"/>
  <c r="H29"/>
  <c r="I29"/>
  <c r="J29"/>
  <c r="K29"/>
  <c r="L29"/>
  <c r="M29"/>
  <c r="N29"/>
  <c r="O29"/>
  <c r="P29"/>
  <c r="Q29"/>
  <c r="R29"/>
  <c r="S29"/>
  <c r="T29"/>
  <c r="U29"/>
  <c r="V29"/>
  <c r="W29"/>
  <c r="X29"/>
  <c r="Y29"/>
  <c r="Z29"/>
  <c r="AA29"/>
  <c r="C31"/>
  <c r="D31"/>
  <c r="E31"/>
  <c r="F31"/>
  <c r="G31"/>
  <c r="H31"/>
  <c r="I31"/>
  <c r="J31"/>
  <c r="K31"/>
  <c r="L31"/>
  <c r="M31"/>
  <c r="N31"/>
  <c r="O31"/>
  <c r="P31"/>
  <c r="Q31"/>
  <c r="R31"/>
  <c r="S31"/>
  <c r="T31"/>
  <c r="U31"/>
  <c r="V31"/>
  <c r="W31"/>
  <c r="X31"/>
  <c r="Y31"/>
  <c r="Z31"/>
  <c r="AA31"/>
  <c r="C33"/>
  <c r="D33"/>
  <c r="E33"/>
  <c r="F33"/>
  <c r="G33"/>
  <c r="H33"/>
  <c r="I33"/>
  <c r="J33"/>
  <c r="K33"/>
  <c r="L33"/>
  <c r="M33"/>
  <c r="N33"/>
  <c r="O33"/>
  <c r="P33"/>
  <c r="Q33"/>
  <c r="R33"/>
  <c r="S33"/>
  <c r="T33"/>
  <c r="U33"/>
  <c r="V33"/>
  <c r="W33"/>
  <c r="X33"/>
  <c r="Y33"/>
  <c r="Z33"/>
  <c r="AA33"/>
  <c r="C40"/>
  <c r="D40"/>
  <c r="E40"/>
  <c r="F40"/>
  <c r="G40"/>
  <c r="H40"/>
  <c r="I40"/>
  <c r="J40"/>
  <c r="K40"/>
  <c r="L40"/>
  <c r="M40"/>
  <c r="N40"/>
  <c r="O40"/>
  <c r="P40"/>
  <c r="Q40"/>
  <c r="R40"/>
  <c r="S40"/>
  <c r="T40"/>
  <c r="U40"/>
  <c r="V40"/>
  <c r="W40"/>
  <c r="X40"/>
  <c r="Y40"/>
  <c r="Z40"/>
  <c r="AA40"/>
  <c r="C41"/>
  <c r="D41"/>
  <c r="E41"/>
  <c r="F41"/>
  <c r="G41"/>
  <c r="H41"/>
  <c r="I41"/>
  <c r="J41"/>
  <c r="K41"/>
  <c r="L41"/>
  <c r="M41"/>
  <c r="N41"/>
  <c r="O41"/>
  <c r="P41"/>
  <c r="Q41"/>
  <c r="R41"/>
  <c r="S41"/>
  <c r="T41"/>
  <c r="U41"/>
  <c r="V41"/>
  <c r="W41"/>
  <c r="X41"/>
  <c r="Y41"/>
  <c r="Z41"/>
  <c r="AA41"/>
  <c r="C42"/>
  <c r="D42"/>
  <c r="E42"/>
  <c r="F42"/>
  <c r="G42"/>
  <c r="H42"/>
  <c r="I42"/>
  <c r="J42"/>
  <c r="K42"/>
  <c r="L42"/>
  <c r="M42"/>
  <c r="N42"/>
  <c r="O42"/>
  <c r="P42"/>
  <c r="Q42"/>
  <c r="R42"/>
  <c r="S42"/>
  <c r="T42"/>
  <c r="U42"/>
  <c r="V42"/>
  <c r="W42"/>
  <c r="X42"/>
  <c r="Y42"/>
  <c r="Z42"/>
  <c r="AA42"/>
  <c r="C2" i="10"/>
  <c r="C3"/>
  <c r="C4"/>
  <c r="C5"/>
  <c r="C6"/>
  <c r="B2" i="7"/>
  <c r="C2"/>
  <c r="D2"/>
  <c r="E2"/>
  <c r="F2"/>
  <c r="G2"/>
  <c r="H2"/>
  <c r="I2"/>
  <c r="J2"/>
  <c r="K2"/>
  <c r="L2"/>
  <c r="M2"/>
  <c r="N2"/>
  <c r="O2"/>
  <c r="P2"/>
  <c r="Q2"/>
  <c r="R2"/>
  <c r="S2"/>
  <c r="T2"/>
  <c r="U2"/>
  <c r="V2"/>
  <c r="W2"/>
  <c r="X2"/>
  <c r="Y2"/>
  <c r="Z2"/>
  <c r="B6"/>
  <c r="C6"/>
  <c r="D6"/>
  <c r="E6"/>
  <c r="F6"/>
  <c r="G6"/>
  <c r="H6"/>
  <c r="I6"/>
  <c r="J6"/>
  <c r="K6"/>
  <c r="L6"/>
  <c r="M6"/>
  <c r="N6"/>
  <c r="O6"/>
  <c r="P6"/>
  <c r="Q6"/>
  <c r="R6"/>
  <c r="S6"/>
  <c r="T6"/>
  <c r="U6"/>
  <c r="V6"/>
  <c r="W6"/>
  <c r="X6"/>
  <c r="Y6"/>
  <c r="Z6"/>
  <c r="C7"/>
  <c r="D7"/>
  <c r="E7"/>
  <c r="F7"/>
  <c r="G7"/>
  <c r="H7"/>
  <c r="I7"/>
  <c r="J7"/>
  <c r="K7"/>
  <c r="L7"/>
  <c r="M7"/>
  <c r="N7"/>
  <c r="O7"/>
  <c r="P7"/>
  <c r="Q7"/>
  <c r="R7"/>
  <c r="S7"/>
  <c r="T7"/>
  <c r="U7"/>
  <c r="V7"/>
  <c r="W7"/>
  <c r="X7"/>
  <c r="Y7"/>
  <c r="Z7"/>
  <c r="B8"/>
  <c r="C8"/>
  <c r="D8"/>
  <c r="E8"/>
  <c r="F8"/>
  <c r="G8"/>
  <c r="H8"/>
  <c r="I8"/>
  <c r="J8"/>
  <c r="K8"/>
  <c r="L8"/>
  <c r="M8"/>
  <c r="N8"/>
  <c r="O8"/>
  <c r="P8"/>
  <c r="Q8"/>
  <c r="R8"/>
  <c r="S8"/>
  <c r="T8"/>
  <c r="U8"/>
  <c r="V8"/>
  <c r="W8"/>
  <c r="X8"/>
  <c r="Y8"/>
  <c r="Z8"/>
  <c r="B9"/>
  <c r="C9"/>
  <c r="D9"/>
  <c r="E9"/>
  <c r="F9"/>
  <c r="G9"/>
  <c r="H9"/>
  <c r="I9"/>
  <c r="J9"/>
  <c r="K9"/>
  <c r="L9"/>
  <c r="M9"/>
  <c r="N9"/>
  <c r="O9"/>
  <c r="P9"/>
  <c r="Q9"/>
  <c r="R9"/>
  <c r="S9"/>
  <c r="T9"/>
  <c r="U9"/>
  <c r="V9"/>
  <c r="W9"/>
  <c r="X9"/>
  <c r="Y9"/>
  <c r="Z9"/>
  <c r="B10"/>
  <c r="C10"/>
  <c r="D10"/>
  <c r="E10"/>
  <c r="F10"/>
  <c r="G10"/>
  <c r="H10"/>
  <c r="I10"/>
  <c r="J10"/>
  <c r="K10"/>
  <c r="L10"/>
  <c r="M10"/>
  <c r="N10"/>
  <c r="O10"/>
  <c r="P10"/>
  <c r="Q10"/>
  <c r="R10"/>
  <c r="S10"/>
  <c r="T10"/>
  <c r="U10"/>
  <c r="V10"/>
  <c r="W10"/>
  <c r="X10"/>
  <c r="Y10"/>
  <c r="Z10"/>
  <c r="B11"/>
  <c r="C11"/>
  <c r="D11"/>
  <c r="E11"/>
  <c r="F11"/>
  <c r="G11"/>
  <c r="H11"/>
  <c r="I11"/>
  <c r="J11"/>
  <c r="K11"/>
  <c r="L11"/>
  <c r="M11"/>
  <c r="N11"/>
  <c r="O11"/>
  <c r="P11"/>
  <c r="Q11"/>
  <c r="R11"/>
  <c r="S11"/>
  <c r="T11"/>
  <c r="U11"/>
  <c r="V11"/>
  <c r="W11"/>
  <c r="X11"/>
  <c r="Y11"/>
  <c r="Z11"/>
  <c r="B12"/>
  <c r="C12"/>
  <c r="D12"/>
  <c r="E12"/>
  <c r="F12"/>
  <c r="G12"/>
  <c r="H12"/>
  <c r="I12"/>
  <c r="J12"/>
  <c r="K12"/>
  <c r="L12"/>
  <c r="M12"/>
  <c r="N12"/>
  <c r="O12"/>
  <c r="P12"/>
  <c r="Q12"/>
  <c r="R12"/>
  <c r="S12"/>
  <c r="T12"/>
  <c r="U12"/>
  <c r="V12"/>
  <c r="W12"/>
  <c r="X12"/>
  <c r="Y12"/>
  <c r="Z12"/>
  <c r="B14"/>
  <c r="C14"/>
  <c r="D14"/>
  <c r="E14"/>
  <c r="F14"/>
  <c r="G14"/>
  <c r="H14"/>
  <c r="I14"/>
  <c r="J14"/>
  <c r="K14"/>
  <c r="L14"/>
  <c r="M14"/>
  <c r="N14"/>
  <c r="O14"/>
  <c r="P14"/>
  <c r="Q14"/>
  <c r="R14"/>
  <c r="S14"/>
  <c r="T14"/>
  <c r="U14"/>
  <c r="V14"/>
  <c r="W14"/>
  <c r="X14"/>
  <c r="Y14"/>
  <c r="Z14"/>
  <c r="B15"/>
  <c r="C15"/>
  <c r="D15"/>
  <c r="E15"/>
  <c r="F15"/>
  <c r="G15"/>
  <c r="H15"/>
  <c r="I15"/>
  <c r="J15"/>
  <c r="K15"/>
  <c r="L15"/>
  <c r="M15"/>
  <c r="N15"/>
  <c r="O15"/>
  <c r="P15"/>
  <c r="Q15"/>
  <c r="R15"/>
  <c r="S15"/>
  <c r="T15"/>
  <c r="U15"/>
  <c r="V15"/>
  <c r="W15"/>
  <c r="X15"/>
  <c r="Y15"/>
  <c r="Z15"/>
  <c r="B18"/>
  <c r="C18"/>
  <c r="D18"/>
  <c r="E18"/>
  <c r="F18"/>
  <c r="G18"/>
  <c r="H18"/>
  <c r="I18"/>
  <c r="J18"/>
  <c r="K18"/>
  <c r="L18"/>
  <c r="M18"/>
  <c r="N18"/>
  <c r="O18"/>
  <c r="P18"/>
  <c r="Q18"/>
  <c r="R18"/>
  <c r="S18"/>
  <c r="T18"/>
  <c r="U18"/>
  <c r="V18"/>
  <c r="W18"/>
  <c r="X18"/>
  <c r="Y18"/>
  <c r="Z18"/>
  <c r="B19"/>
  <c r="C19"/>
  <c r="D19"/>
  <c r="E19"/>
  <c r="F19"/>
  <c r="G19"/>
  <c r="H19"/>
  <c r="I19"/>
  <c r="J19"/>
  <c r="K19"/>
  <c r="L19"/>
  <c r="M19"/>
  <c r="N19"/>
  <c r="O19"/>
  <c r="P19"/>
  <c r="Q19"/>
  <c r="R19"/>
  <c r="S19"/>
  <c r="T19"/>
  <c r="U19"/>
  <c r="V19"/>
  <c r="W19"/>
  <c r="X19"/>
  <c r="Y19"/>
  <c r="Z19"/>
  <c r="B20"/>
  <c r="C20"/>
  <c r="D20"/>
  <c r="E20"/>
  <c r="F20"/>
  <c r="G20"/>
  <c r="H20"/>
  <c r="I20"/>
  <c r="J20"/>
  <c r="K20"/>
  <c r="L20"/>
  <c r="M20"/>
  <c r="N20"/>
  <c r="O20"/>
  <c r="P20"/>
  <c r="Q20"/>
  <c r="R20"/>
  <c r="S20"/>
  <c r="T20"/>
  <c r="U20"/>
  <c r="V20"/>
  <c r="W20"/>
  <c r="X20"/>
  <c r="Y20"/>
  <c r="Z20"/>
  <c r="B21"/>
  <c r="C21"/>
  <c r="D21"/>
  <c r="E21"/>
  <c r="F21"/>
  <c r="G21"/>
  <c r="H21"/>
  <c r="I21"/>
  <c r="J21"/>
  <c r="K21"/>
  <c r="L21"/>
  <c r="M21"/>
  <c r="N21"/>
  <c r="O21"/>
  <c r="P21"/>
  <c r="Q21"/>
  <c r="R21"/>
  <c r="S21"/>
  <c r="T21"/>
  <c r="U21"/>
  <c r="V21"/>
  <c r="W21"/>
  <c r="X21"/>
  <c r="Y21"/>
  <c r="Z21"/>
  <c r="B22"/>
  <c r="C22"/>
  <c r="D22"/>
  <c r="E22"/>
  <c r="F22"/>
  <c r="G22"/>
  <c r="H22"/>
  <c r="I22"/>
  <c r="J22"/>
  <c r="K22"/>
  <c r="L22"/>
  <c r="M22"/>
  <c r="N22"/>
  <c r="O22"/>
  <c r="P22"/>
  <c r="Q22"/>
  <c r="R22"/>
  <c r="S22"/>
  <c r="T22"/>
  <c r="U22"/>
  <c r="V22"/>
  <c r="W22"/>
  <c r="X22"/>
  <c r="Y22"/>
  <c r="Z22"/>
  <c r="B24"/>
  <c r="C24"/>
  <c r="D24"/>
  <c r="E24"/>
  <c r="F24"/>
  <c r="G24"/>
  <c r="H24"/>
  <c r="I24"/>
  <c r="J24"/>
  <c r="K24"/>
  <c r="L24"/>
  <c r="M24"/>
  <c r="N24"/>
  <c r="O24"/>
  <c r="P24"/>
  <c r="Q24"/>
  <c r="R24"/>
  <c r="S24"/>
  <c r="T24"/>
  <c r="U24"/>
  <c r="V24"/>
  <c r="W24"/>
  <c r="X24"/>
  <c r="Y24"/>
  <c r="Z24"/>
  <c r="B25"/>
  <c r="C25"/>
  <c r="D25"/>
  <c r="E25"/>
  <c r="F25"/>
  <c r="G25"/>
  <c r="H25"/>
  <c r="I25"/>
  <c r="J25"/>
  <c r="K25"/>
  <c r="L25"/>
  <c r="M25"/>
  <c r="N25"/>
  <c r="O25"/>
  <c r="P25"/>
  <c r="Q25"/>
  <c r="R25"/>
  <c r="S25"/>
  <c r="T25"/>
  <c r="U25"/>
  <c r="V25"/>
  <c r="W25"/>
  <c r="X25"/>
  <c r="Y25"/>
  <c r="Z25"/>
  <c r="C26"/>
  <c r="D26"/>
  <c r="E26"/>
  <c r="F26"/>
  <c r="G26"/>
  <c r="H26"/>
  <c r="I26"/>
  <c r="J26"/>
  <c r="K26"/>
  <c r="L26"/>
  <c r="M26"/>
  <c r="N26"/>
  <c r="O26"/>
  <c r="P26"/>
  <c r="Q26"/>
  <c r="R26"/>
  <c r="S26"/>
  <c r="T26"/>
  <c r="U26"/>
  <c r="V26"/>
  <c r="W26"/>
  <c r="X26"/>
  <c r="Y26"/>
  <c r="Z26"/>
  <c r="B27"/>
  <c r="C27"/>
  <c r="D27"/>
  <c r="E27"/>
  <c r="F27"/>
  <c r="G27"/>
  <c r="H27"/>
  <c r="I27"/>
  <c r="J27"/>
  <c r="K27"/>
  <c r="L27"/>
  <c r="M27"/>
  <c r="N27"/>
  <c r="O27"/>
  <c r="P27"/>
  <c r="Q27"/>
  <c r="R27"/>
  <c r="S27"/>
  <c r="T27"/>
  <c r="U27"/>
  <c r="V27"/>
  <c r="W27"/>
  <c r="X27"/>
  <c r="Y27"/>
  <c r="Z27"/>
  <c r="I28"/>
  <c r="J28"/>
  <c r="K28"/>
  <c r="L28"/>
  <c r="M28"/>
  <c r="N28"/>
  <c r="O28"/>
  <c r="P28"/>
  <c r="Q28"/>
  <c r="R28"/>
  <c r="S28"/>
  <c r="T28"/>
  <c r="U28"/>
  <c r="V28"/>
  <c r="W28"/>
  <c r="X28"/>
  <c r="Y28"/>
  <c r="Z28"/>
  <c r="B29"/>
  <c r="C29"/>
  <c r="D29"/>
  <c r="E29"/>
  <c r="F29"/>
  <c r="G29"/>
  <c r="H29"/>
  <c r="I29"/>
  <c r="J29"/>
  <c r="K29"/>
  <c r="L29"/>
  <c r="M29"/>
  <c r="N29"/>
  <c r="O29"/>
  <c r="P29"/>
  <c r="Q29"/>
  <c r="R29"/>
  <c r="S29"/>
  <c r="T29"/>
  <c r="U29"/>
  <c r="V29"/>
  <c r="W29"/>
  <c r="X29"/>
  <c r="Y29"/>
  <c r="Z29"/>
  <c r="B30"/>
  <c r="C30"/>
  <c r="D30"/>
  <c r="E30"/>
  <c r="F30"/>
  <c r="G30"/>
  <c r="H30"/>
  <c r="I30"/>
  <c r="J30"/>
  <c r="K30"/>
  <c r="L30"/>
  <c r="M30"/>
  <c r="N30"/>
  <c r="O30"/>
  <c r="P30"/>
  <c r="Q30"/>
  <c r="R30"/>
  <c r="S30"/>
  <c r="T30"/>
  <c r="U30"/>
  <c r="V30"/>
  <c r="W30"/>
  <c r="X30"/>
  <c r="Y30"/>
  <c r="Z30"/>
  <c r="B31"/>
  <c r="C31"/>
  <c r="D31"/>
  <c r="E31"/>
  <c r="F31"/>
  <c r="G31"/>
  <c r="H31"/>
  <c r="I31"/>
  <c r="J31"/>
  <c r="K31"/>
  <c r="L31"/>
  <c r="M31"/>
  <c r="N31"/>
  <c r="O31"/>
  <c r="P31"/>
  <c r="Q31"/>
  <c r="R31"/>
  <c r="S31"/>
  <c r="T31"/>
  <c r="U31"/>
  <c r="V31"/>
  <c r="W31"/>
  <c r="X31"/>
  <c r="Y31"/>
  <c r="Z31"/>
  <c r="B32"/>
  <c r="C32"/>
  <c r="D32"/>
  <c r="E32"/>
  <c r="F32"/>
  <c r="G32"/>
  <c r="H32"/>
  <c r="I32"/>
  <c r="J32"/>
  <c r="K32"/>
  <c r="L32"/>
  <c r="M32"/>
  <c r="N32"/>
  <c r="O32"/>
  <c r="P32"/>
  <c r="Q32"/>
  <c r="R32"/>
  <c r="S32"/>
  <c r="T32"/>
  <c r="U32"/>
  <c r="V32"/>
  <c r="W32"/>
  <c r="X32"/>
  <c r="Y32"/>
  <c r="Z32"/>
  <c r="C35"/>
  <c r="D35"/>
  <c r="E35"/>
  <c r="F35"/>
  <c r="G35"/>
  <c r="H35"/>
  <c r="I35"/>
  <c r="J35"/>
  <c r="K35"/>
  <c r="L35"/>
  <c r="M35"/>
  <c r="N35"/>
  <c r="O35"/>
  <c r="P35"/>
  <c r="Q35"/>
  <c r="R35"/>
  <c r="S35"/>
  <c r="T35"/>
  <c r="U35"/>
  <c r="V35"/>
  <c r="W35"/>
  <c r="X35"/>
  <c r="Y35"/>
  <c r="Z35"/>
  <c r="K36"/>
  <c r="L36"/>
  <c r="M36"/>
  <c r="N36"/>
  <c r="O36"/>
  <c r="P36"/>
  <c r="Q36"/>
  <c r="R36"/>
  <c r="S36"/>
  <c r="T36"/>
  <c r="U36"/>
  <c r="V36"/>
  <c r="W36"/>
  <c r="X36"/>
  <c r="Y36"/>
  <c r="Z36"/>
  <c r="C37"/>
  <c r="D37"/>
  <c r="E37"/>
  <c r="F37"/>
  <c r="G37"/>
  <c r="H37"/>
  <c r="I37"/>
  <c r="J37"/>
  <c r="K37"/>
  <c r="L37"/>
  <c r="M37"/>
  <c r="N37"/>
  <c r="O37"/>
  <c r="P37"/>
  <c r="Q37"/>
  <c r="R37"/>
  <c r="S37"/>
  <c r="T37"/>
  <c r="U37"/>
  <c r="V37"/>
  <c r="W37"/>
  <c r="X37"/>
  <c r="Y37"/>
  <c r="Z37"/>
  <c r="B38"/>
  <c r="C38"/>
  <c r="D38"/>
  <c r="E38"/>
  <c r="F38"/>
  <c r="G38"/>
  <c r="H38"/>
  <c r="I38"/>
  <c r="J38"/>
  <c r="K38"/>
  <c r="L38"/>
  <c r="M38"/>
  <c r="N38"/>
  <c r="O38"/>
  <c r="P38"/>
  <c r="Q38"/>
  <c r="R38"/>
  <c r="S38"/>
  <c r="T38"/>
  <c r="U38"/>
  <c r="V38"/>
  <c r="W38"/>
  <c r="X38"/>
  <c r="Y38"/>
  <c r="Z38"/>
  <c r="B39"/>
  <c r="C39"/>
  <c r="D39"/>
  <c r="E39"/>
  <c r="F39"/>
  <c r="G39"/>
  <c r="H39"/>
  <c r="I39"/>
  <c r="J39"/>
  <c r="K39"/>
  <c r="L39"/>
  <c r="M39"/>
  <c r="N39"/>
  <c r="O39"/>
  <c r="P39"/>
  <c r="Q39"/>
  <c r="R39"/>
  <c r="S39"/>
  <c r="T39"/>
  <c r="U39"/>
  <c r="V39"/>
  <c r="W39"/>
  <c r="X39"/>
  <c r="Y39"/>
  <c r="Z39"/>
  <c r="B40"/>
  <c r="C40"/>
  <c r="D40"/>
  <c r="E40"/>
  <c r="F40"/>
  <c r="G40"/>
  <c r="H40"/>
  <c r="I40"/>
  <c r="J40"/>
  <c r="K40"/>
  <c r="L40"/>
  <c r="M40"/>
  <c r="N40"/>
  <c r="O40"/>
  <c r="P40"/>
  <c r="Q40"/>
  <c r="R40"/>
  <c r="S40"/>
  <c r="T40"/>
  <c r="U40"/>
  <c r="V40"/>
  <c r="W40"/>
  <c r="X40"/>
  <c r="Y40"/>
  <c r="Z40"/>
  <c r="J41"/>
  <c r="K41"/>
  <c r="L41"/>
  <c r="M41"/>
  <c r="N41"/>
  <c r="O41"/>
  <c r="P41"/>
  <c r="Q41"/>
  <c r="R41"/>
  <c r="S41"/>
  <c r="T41"/>
  <c r="U41"/>
  <c r="V41"/>
  <c r="W41"/>
  <c r="X41"/>
  <c r="Y41"/>
  <c r="Z41"/>
  <c r="B42"/>
  <c r="C42"/>
  <c r="D42"/>
  <c r="E42"/>
  <c r="F42"/>
  <c r="G42"/>
  <c r="H42"/>
  <c r="I42"/>
  <c r="J42"/>
  <c r="K42"/>
  <c r="L42"/>
  <c r="M42"/>
  <c r="N42"/>
  <c r="O42"/>
  <c r="P42"/>
  <c r="Q42"/>
  <c r="R42"/>
  <c r="S42"/>
  <c r="T42"/>
  <c r="U42"/>
  <c r="V42"/>
  <c r="W42"/>
  <c r="X42"/>
  <c r="Y42"/>
  <c r="Z42"/>
  <c r="B44"/>
  <c r="C44"/>
  <c r="D44"/>
  <c r="E44"/>
  <c r="F44"/>
  <c r="G44"/>
  <c r="H44"/>
  <c r="I44"/>
  <c r="J44"/>
  <c r="K44"/>
  <c r="L44"/>
  <c r="M44"/>
  <c r="N44"/>
  <c r="O44"/>
  <c r="P44"/>
  <c r="Q44"/>
  <c r="R44"/>
  <c r="S44"/>
  <c r="T44"/>
  <c r="U44"/>
  <c r="V44"/>
  <c r="W44"/>
  <c r="X44"/>
  <c r="Y44"/>
  <c r="Z44"/>
  <c r="B45"/>
  <c r="C45"/>
  <c r="D45"/>
  <c r="E45"/>
  <c r="F45"/>
  <c r="G45"/>
  <c r="H45"/>
  <c r="I45"/>
  <c r="J45"/>
  <c r="K45"/>
  <c r="L45"/>
  <c r="M45"/>
  <c r="N45"/>
  <c r="O45"/>
  <c r="P45"/>
  <c r="Q45"/>
  <c r="R45"/>
  <c r="S45"/>
  <c r="T45"/>
  <c r="U45"/>
  <c r="V45"/>
  <c r="W45"/>
  <c r="X45"/>
  <c r="Y45"/>
  <c r="Z45"/>
</calcChain>
</file>

<file path=xl/sharedStrings.xml><?xml version="1.0" encoding="utf-8"?>
<sst xmlns="http://schemas.openxmlformats.org/spreadsheetml/2006/main" count="385" uniqueCount="304">
  <si>
    <t>Year Ending</t>
  </si>
  <si>
    <t>Particulars</t>
  </si>
  <si>
    <t>Operative Days</t>
  </si>
  <si>
    <t>Year</t>
  </si>
  <si>
    <t>Depre</t>
  </si>
  <si>
    <t>Calculation Of Operation &amp; Maintainence Charges</t>
  </si>
  <si>
    <t>Calculation Of Applicable Exchange rate</t>
  </si>
  <si>
    <t>Calculation Of Fuel Charges</t>
  </si>
  <si>
    <t>Kcal</t>
  </si>
  <si>
    <t>btu</t>
  </si>
  <si>
    <t>mmbtu</t>
  </si>
  <si>
    <t>Cal Val(Kcal/scm)</t>
  </si>
  <si>
    <t>Computation Of Heat rate &amp; Total Generation</t>
  </si>
  <si>
    <t>Net Generation</t>
  </si>
  <si>
    <t>Variable Cost</t>
  </si>
  <si>
    <t>Fixed Cost</t>
  </si>
  <si>
    <t>Interest On term Loan</t>
  </si>
  <si>
    <t>O &amp; M Charges</t>
  </si>
  <si>
    <t>Equity</t>
  </si>
  <si>
    <t>Return On Equity</t>
  </si>
  <si>
    <t>Fuel Cost</t>
  </si>
  <si>
    <t>Maintainence Exp.</t>
  </si>
  <si>
    <t>Total</t>
  </si>
  <si>
    <t>Interest on Loan</t>
  </si>
  <si>
    <t>Project Capacity</t>
  </si>
  <si>
    <t>No. Of Kcals(Kcals/mmbtu)</t>
  </si>
  <si>
    <t xml:space="preserve">AUX </t>
  </si>
  <si>
    <t>Capacity Utilisation(PLF)</t>
  </si>
  <si>
    <t>Tariff Assumptions</t>
  </si>
  <si>
    <t>Operating And Maintainence Exp.</t>
  </si>
  <si>
    <t>Operating Days</t>
  </si>
  <si>
    <t>Tax Assumptions</t>
  </si>
  <si>
    <t>Corporate Tax</t>
  </si>
  <si>
    <t>MAT Tax</t>
  </si>
  <si>
    <t>Rate Of Interest On Working Capital</t>
  </si>
  <si>
    <t xml:space="preserve">Interest On Term Loan </t>
  </si>
  <si>
    <t>No. Of Quarterly Installments</t>
  </si>
  <si>
    <t xml:space="preserve">Repayment </t>
  </si>
  <si>
    <t>Repayment Counters Per Annum</t>
  </si>
  <si>
    <t>Present Vale Per Unit Cost</t>
  </si>
  <si>
    <t>Capacity Details</t>
  </si>
  <si>
    <t>Term Loan Details</t>
  </si>
  <si>
    <t>Variable cost</t>
  </si>
  <si>
    <t>Fuel (months)</t>
  </si>
  <si>
    <t>O &amp; M Expenses (months)</t>
  </si>
  <si>
    <t>Total project cost</t>
  </si>
  <si>
    <t>Gross Block</t>
  </si>
  <si>
    <t>Debt</t>
  </si>
  <si>
    <t>Present Value</t>
  </si>
  <si>
    <t>BTU</t>
  </si>
  <si>
    <t>Total Capacity ( MW)</t>
  </si>
  <si>
    <t>Calculation Of Cost</t>
  </si>
  <si>
    <t>Fixed charges</t>
  </si>
  <si>
    <t xml:space="preserve">Levelised Cost </t>
  </si>
  <si>
    <t>Depreciation on plant</t>
  </si>
  <si>
    <t>CERC Depreciation</t>
  </si>
  <si>
    <t>Maintainence Exp.(As a % Of O&amp;M Cost)</t>
  </si>
  <si>
    <t>Working Capital Information</t>
  </si>
  <si>
    <t>No. of Year</t>
  </si>
  <si>
    <t>Year ending on</t>
  </si>
  <si>
    <t>Salvage Value of Plant</t>
  </si>
  <si>
    <t>Depreciable Value of Plant</t>
  </si>
  <si>
    <t>Ratio</t>
  </si>
  <si>
    <t>Total (MW)</t>
  </si>
  <si>
    <t>Auxiliary Consumption</t>
  </si>
  <si>
    <t>Total ( Million Units)</t>
  </si>
  <si>
    <t xml:space="preserve">Gas Price Per Unit Of Net Generation </t>
  </si>
  <si>
    <t xml:space="preserve">V.C.Per Unit Of Net Genetation </t>
  </si>
  <si>
    <t>Interest on Working Capital</t>
  </si>
  <si>
    <t>Working Capital Requirement For Receivables (months)</t>
  </si>
  <si>
    <t>Receivables</t>
  </si>
  <si>
    <t xml:space="preserve">F.C. Per Unit Of Net Generation </t>
  </si>
  <si>
    <t>25 year levelized cost</t>
  </si>
  <si>
    <t>Levelized Fixed Cost</t>
  </si>
  <si>
    <t>Levelized Variable Cost.</t>
  </si>
  <si>
    <t xml:space="preserve">working capital </t>
  </si>
  <si>
    <t>interest on W.C</t>
  </si>
  <si>
    <t>=</t>
  </si>
  <si>
    <t>interest on VC</t>
  </si>
  <si>
    <t>+</t>
  </si>
  <si>
    <t>Interest on FC</t>
  </si>
  <si>
    <t>Book Profit</t>
  </si>
  <si>
    <t>Tax Payable as per</t>
  </si>
  <si>
    <t>Can be C/f Till</t>
  </si>
  <si>
    <t>Excess Tax Paid over MAT</t>
  </si>
  <si>
    <t>Tax Depreciation</t>
  </si>
  <si>
    <t>Loss to be C/f</t>
  </si>
  <si>
    <t>Opening Bal of loss</t>
  </si>
  <si>
    <t>Closing Balance of loss</t>
  </si>
  <si>
    <t xml:space="preserve">Normal Tax </t>
  </si>
  <si>
    <t>MAT</t>
  </si>
  <si>
    <t>Available Credit</t>
  </si>
  <si>
    <t>Calculation of Tax @ Normal Rates</t>
  </si>
  <si>
    <t xml:space="preserve">Taxable Profit </t>
  </si>
  <si>
    <t>Loss set off during the year</t>
  </si>
  <si>
    <t>PBT after setting off loss</t>
  </si>
  <si>
    <t>Calculation of MAT</t>
  </si>
  <si>
    <t>Tax Payable before MAT Credit</t>
  </si>
  <si>
    <t>Fuel Price</t>
  </si>
  <si>
    <t xml:space="preserve"> PLF (%)</t>
  </si>
  <si>
    <t xml:space="preserve"> Heat Rate ( Kcal/KWh)</t>
  </si>
  <si>
    <t xml:space="preserve"> Performance</t>
  </si>
  <si>
    <t xml:space="preserve"> PLF</t>
  </si>
  <si>
    <t xml:space="preserve"> Heat Rate ( Kcal/ KWh)</t>
  </si>
  <si>
    <t xml:space="preserve"> Generation</t>
  </si>
  <si>
    <t>Projected Profitability Statement</t>
  </si>
  <si>
    <t xml:space="preserve"> </t>
  </si>
  <si>
    <t>Year ending</t>
  </si>
  <si>
    <t>Net Saleable electricity (in MUs)</t>
  </si>
  <si>
    <t>Operating Costs</t>
  </si>
  <si>
    <t>O &amp; M expenses</t>
  </si>
  <si>
    <t>Fuel cost</t>
  </si>
  <si>
    <t>Sub-total</t>
  </si>
  <si>
    <t>Gross profit (PBIDT)</t>
  </si>
  <si>
    <t>Interest on Term loan</t>
  </si>
  <si>
    <t>Interest on WC</t>
  </si>
  <si>
    <t xml:space="preserve">Book Depreciation </t>
  </si>
  <si>
    <t>Operating profit (PBT)</t>
  </si>
  <si>
    <t xml:space="preserve">Income Tax/MAT </t>
  </si>
  <si>
    <t>Profit after Tax (PAT)</t>
  </si>
  <si>
    <t>Interest on Working Capital Loan</t>
  </si>
  <si>
    <t>Calculation Of Interest On Term Loan (As per CERC Tariff Regulations)</t>
  </si>
  <si>
    <t>Calculation Of Interest On Term Loan (Actual)</t>
  </si>
  <si>
    <t>Depreciation on plant and Machinery as per Income Tax Act, 1961</t>
  </si>
  <si>
    <t xml:space="preserve">Depreciation </t>
  </si>
  <si>
    <t>Depreciation on plant and Machinery as per Companies Act, 1956</t>
  </si>
  <si>
    <t>Calculation Of CERC Depreciation</t>
  </si>
  <si>
    <t>Depreciation as per Companies Act</t>
  </si>
  <si>
    <t>Net Block</t>
  </si>
  <si>
    <t>Sensitivity Analysis</t>
  </si>
  <si>
    <t>PLF</t>
  </si>
  <si>
    <t xml:space="preserve">RIL </t>
  </si>
  <si>
    <t>IOCL (Petronet LNG)</t>
  </si>
  <si>
    <t>$/mmbtu (NCV basis)</t>
  </si>
  <si>
    <t>$/mmbtu (GCV basis)</t>
  </si>
  <si>
    <t>Gas</t>
  </si>
  <si>
    <t>Marketing Margin</t>
  </si>
  <si>
    <t>Transpo -RIL (Rs)</t>
  </si>
  <si>
    <t>Transportation</t>
  </si>
  <si>
    <t>Transpo -GSPL (Rs)</t>
  </si>
  <si>
    <t>Total (Rs)</t>
  </si>
  <si>
    <t>Total Fuel Cost</t>
  </si>
  <si>
    <t>Total Fuel Cost (on NCV basis)</t>
  </si>
  <si>
    <t>Weights as per usage in Project activity</t>
  </si>
  <si>
    <t>Weighted Average Price of Gas</t>
  </si>
  <si>
    <t xml:space="preserve">Total Price of Gas </t>
  </si>
  <si>
    <t xml:space="preserve">Sales tax @ 15% </t>
  </si>
  <si>
    <t>Energy Input Into The System (Million Kcals)</t>
  </si>
  <si>
    <t>Last year for loss c/f</t>
  </si>
  <si>
    <t>Expired loss</t>
  </si>
  <si>
    <t>Available loss</t>
  </si>
  <si>
    <t>Cumulative utilisation</t>
  </si>
  <si>
    <t>Expiring loss</t>
  </si>
  <si>
    <t>Grossed up rate of return on equity as per CERC Tariff Regulations, 2009</t>
  </si>
  <si>
    <t>No. of Days in the Year</t>
  </si>
  <si>
    <t>CERC Margin on Heat Rate</t>
  </si>
  <si>
    <t>RBI website (http://www.rbi.org.in/scripts/ReferenceRateArchive.aspx )</t>
  </si>
  <si>
    <t xml:space="preserve">Calculated as weighted average price – Gas price of Reliance Industries Limited - KG D6 block and Petronet LNG. Weights applied are 0.5 and 0.5 respectively </t>
  </si>
  <si>
    <t>Reference/Source</t>
  </si>
  <si>
    <t>Corrosponding Calorific Value (Kcal/scm)</t>
  </si>
  <si>
    <t>Value</t>
  </si>
  <si>
    <t>Project Cost</t>
  </si>
  <si>
    <t>Permissible increase in O &amp; M Per Annum</t>
  </si>
  <si>
    <t>Discounting rate( factor)</t>
  </si>
  <si>
    <t>Source</t>
  </si>
  <si>
    <t>RIL Invoice for Jan 2010</t>
  </si>
  <si>
    <t>IOCL Inv for Jan 2010</t>
  </si>
  <si>
    <t>Sales tax @ 2% (Not Applicable in case of SEZ)</t>
  </si>
  <si>
    <t>RGTIL Inv for Jan 2010</t>
  </si>
  <si>
    <t>Service Tax @ 10.3%</t>
  </si>
  <si>
    <t>Service Tax @ 10.3% (Not Applicable in case of SEZ)</t>
  </si>
  <si>
    <t>ER</t>
  </si>
  <si>
    <t>As on 31.12.2009 (http://www.rbi.org.in/scripts/ReferenceRateArchive.aspx)</t>
  </si>
  <si>
    <t>GSPL Communication</t>
  </si>
  <si>
    <t>As per The Companies Act, 1956</t>
  </si>
  <si>
    <t>Operating and Maintenace Exp.</t>
  </si>
  <si>
    <t>Operating and Manintenance Exp.</t>
  </si>
  <si>
    <t>O&amp;M cost</t>
  </si>
  <si>
    <t>Heat Rate</t>
  </si>
  <si>
    <t>Number Of Units</t>
  </si>
  <si>
    <t>Actual tax payable as per in %</t>
  </si>
  <si>
    <t>Heat rate for levellised cost ( Kcal/KWh)</t>
  </si>
  <si>
    <t>Unit 1 ( MW)</t>
  </si>
  <si>
    <t>Unit 1 ( Million Units)</t>
  </si>
  <si>
    <t>MAT Credit arising</t>
  </si>
  <si>
    <t>MAT credit available</t>
  </si>
  <si>
    <t>Opening Bal of MAT Credit</t>
  </si>
  <si>
    <t>MAT arising</t>
  </si>
  <si>
    <t>MAT credit utilised</t>
  </si>
  <si>
    <t>Closing Balance of MAT Credit</t>
  </si>
  <si>
    <t>Tax Payable after MAT credit</t>
  </si>
  <si>
    <t>Unit Wise Capacity (Mw)</t>
  </si>
  <si>
    <t>CERC (Terms and conditions of Tariff) Regulations, 2009 dated 19/01/2009  (www.cercind.gov.in)- Annexure III</t>
  </si>
  <si>
    <t>CERC (Terms and conditions of Tariff) Regulations, 2009 dated 19/01/2009 (www.cercind.gov.in)- Page 23</t>
  </si>
  <si>
    <t>Central Electricity Regulatory Commission (Terms  &amp; conditions of Tariff) Regulations, 2009 dated 19/01/2009 (www.cercind.gov.in) page 42</t>
  </si>
  <si>
    <t>Central Electricity Regulatory Commission (Terms  &amp; conditions of Tariff) Regulations, 2009 dated 19/01/2009 (www.cercind.gov.in) page 49</t>
  </si>
  <si>
    <t>Central Electricity Regulatory Commission (Terms  &amp; conditions of Tariff) Regulations, 2009 dated 19/01/2009 (www.cercind.gov.in) page 47</t>
  </si>
  <si>
    <t>calculated as per Central Electricity Regulatory Commission (Terms  &amp; conditions of Tariff) Regulations, 2009 dated 19/01/2009 (www.cercind.gov.in) page 47</t>
  </si>
  <si>
    <t xml:space="preserve">Central Electricity Regulatory Commission (Terms  &amp; conditions of Tariff) Regulations, 2009 dated 19/01/2009  (www.cercind.gov.in) page 28 </t>
  </si>
  <si>
    <t>Central Electricity Regulatory Commission (Terms  &amp; conditions of Tariff) Regulations, 2009  dated 19/01/2009  (www.cercind.gov.in) page 21</t>
  </si>
  <si>
    <t>Central Electricity Regulatory Commission (Terms  &amp; conditions of Tariff) Regulations, 2009 dated 19/01/2009 (www.cercind.gov.in) page 25</t>
  </si>
  <si>
    <t>As per Central Electricity Regulatory Commission (Terms  &amp; conditions of Tariff) Regulations, 2009 dated 19/01/2009  (www.cercind.gov.in) page 26 , the Rate of interest on working capital shall be on normative basis and shall be equal to the short-term Prime Lending Rate of State Bank of India (http://in.reuters.com/article/2010/01/04/india-plr-idINSGE6030BH20100104)</t>
  </si>
  <si>
    <t>Central Electricity Regulatory Commission (Terms  &amp; conditions of Tariff) Regulations, 2009 dated 19/01/2009  (www.cercind.gov.in) Page 13</t>
  </si>
  <si>
    <t>whether 80IA applicable</t>
  </si>
  <si>
    <t>Tax after 80IA</t>
  </si>
  <si>
    <t>Expiry of MAT Credit</t>
  </si>
  <si>
    <t>+10%</t>
  </si>
  <si>
    <t>-10%</t>
  </si>
  <si>
    <t>O&amp;M Cost</t>
  </si>
  <si>
    <t>Income Tax Act, 1961</t>
  </si>
  <si>
    <t>Calculated based on RBI reference Rate for 03/01/2000 and 31/12/2009  (http://www.rbi.org.in)</t>
  </si>
  <si>
    <t xml:space="preserve">Expected salvage Value of Plant in % </t>
  </si>
  <si>
    <t xml:space="preserve">http://energytechnologyexpert.com/financial-models/how-to-evaluate-economic-feasibility-of-a-power-plant-project-use-project-finance-model/ </t>
  </si>
  <si>
    <t>Salvage Value</t>
  </si>
  <si>
    <t>No. of Operating Days in a year</t>
  </si>
  <si>
    <t>Price Of Gas ($/mmbtu)</t>
  </si>
  <si>
    <t>As per Loan Sanction Letter of SBI dated 10/02/2011 for the project activity</t>
  </si>
  <si>
    <t>No. of Years</t>
  </si>
  <si>
    <t>Calculated for the period 03/01/2000 to 31/12/2009</t>
  </si>
  <si>
    <t>http://wtocentre.iift.ac.in/DOC/subsidies%20discipline%20final%20report-Natural%20resourse%20Pricing1.pdf  (Page No. 71)</t>
  </si>
  <si>
    <t>GCV of imported gas supply</t>
  </si>
  <si>
    <t>Calculated based on NCV of domestic gas supply and NCV to GCV conversion factor</t>
  </si>
  <si>
    <t>GCV of domestic gas supply</t>
  </si>
  <si>
    <t xml:space="preserve">http://www.indianexpress.com/news/govt-allocates-kgd6-gas-to-power-sector/445266/ </t>
  </si>
  <si>
    <t>NCV of domestic gas supply</t>
  </si>
  <si>
    <t xml:space="preserve"> Heat Rate ( KJ/KWh)</t>
  </si>
  <si>
    <t>EPC Contract dated 02/07/2010 for the project activity</t>
  </si>
  <si>
    <t>1 Kcal =</t>
  </si>
  <si>
    <t>KJ (http://www.unitconversion.org/energy/kilocalories-it-to-gigajoules-conversion.html)</t>
  </si>
  <si>
    <t>NCV to GCV conversion factor</t>
  </si>
  <si>
    <t>CO2 database Version 5.0 published by CEA dated November 2009 (http://www.cea.nic.in/reports/planning/cdm_co2/cdm_co2.htm)</t>
  </si>
  <si>
    <t>Calculated as weighted average NCV of Reliance (domestic gas supply) and Petronet LNG (imported gas supply), weights applied are 0.5 and 0.5 respectively</t>
  </si>
  <si>
    <t>Calculated based on the heat rate as per EPC Contract dated 02/07/2010 for the project activity</t>
  </si>
  <si>
    <t>Discount rate as notified by Central Electricity Regulatory Commission on 30/09/2009 (http://cercind.gov.in/Escalation-rate/Notification-dated-30-09-09.pdf) page 1</t>
  </si>
  <si>
    <t>* insert value in range ±10%</t>
  </si>
  <si>
    <t>% Change*</t>
  </si>
  <si>
    <t>Note - 
1. In case the results are not changing or worksheet shows errors like '#NUM' and 'ERROR', please Go to Office Button &gt; Excel Options &gt; Formulas &gt; Calculation Options and tick Enable iterative calcuation for Excel 2007 and Go to Tools &gt; Options &gt; Calculation and check the "Iteration" box for Excel 2003 to ensure that 'iterative calculations' is enabled
2. Please set the maximum iteration value to 32767 (or maximum value permissible)
3. Please enusre that the 'iterative calculation' is enabled eachtime the worksheet is opened.</t>
  </si>
  <si>
    <t>Cost per MW (in INR Million)</t>
  </si>
  <si>
    <t>Total Project cost (in INR Million)</t>
  </si>
  <si>
    <t>Quarterly Installment ( INR Million)</t>
  </si>
  <si>
    <t>Annual Installment ( INR Million)</t>
  </si>
  <si>
    <t>1 Kcal</t>
  </si>
  <si>
    <t>Exchange rate (INR/US $) on 31/12/2009</t>
  </si>
  <si>
    <t>Exchange rate (INR/ US $) on 03/01/2000</t>
  </si>
  <si>
    <t>Gross Block ( INR Million)</t>
  </si>
  <si>
    <t>Total Depre  ( INR Million)</t>
  </si>
  <si>
    <t>Cumulative Depre.  ( INR Million)</t>
  </si>
  <si>
    <t>Opening Block  ( INR Million)</t>
  </si>
  <si>
    <t>Depre   ( INR Million)</t>
  </si>
  <si>
    <t>Closing Block  ( INR Million)</t>
  </si>
  <si>
    <t>Block I  ( INR Million)</t>
  </si>
  <si>
    <t>Salvage Value at the end (INR Million)</t>
  </si>
  <si>
    <t>Opening Debt ( INR Million)</t>
  </si>
  <si>
    <t>Installment (INR Million)</t>
  </si>
  <si>
    <t>Closing Debt (INR Million)</t>
  </si>
  <si>
    <t>Interest (INR Million)</t>
  </si>
  <si>
    <t>1st Quarterely Installment  ( INR Million)</t>
  </si>
  <si>
    <t>Closing Debt  ( INR Million)</t>
  </si>
  <si>
    <t>2nd Quarterely Installment  ( INR Million)</t>
  </si>
  <si>
    <t>3rd Quarterely Installment  ( INR Million)</t>
  </si>
  <si>
    <t>4th Quarterely Installment  ( INR Million)</t>
  </si>
  <si>
    <t>INR Million</t>
  </si>
  <si>
    <t>Amount ( INR Million/ MW)</t>
  </si>
  <si>
    <t>Landed Gas Price(INR/mmbtu)</t>
  </si>
  <si>
    <t>Gas Price (INR Million)</t>
  </si>
  <si>
    <t>Closing ( INR/US $)</t>
  </si>
  <si>
    <t>Opening  ( INR/US $)</t>
  </si>
  <si>
    <t>Average ( INR /US $)</t>
  </si>
  <si>
    <t>Exchange Rate ( INR/ US $)</t>
  </si>
  <si>
    <t>Landed Gas Price(US $/mmbtu)</t>
  </si>
  <si>
    <t>Landed Price Of Gas(INR/Kcal)</t>
  </si>
  <si>
    <t>Total Gas Cost(INR Million)</t>
  </si>
  <si>
    <t>Fixed Cost ( INR Million)</t>
  </si>
  <si>
    <t>Total cost INR/ KWh</t>
  </si>
  <si>
    <t>Calculation Of Working Capital Interest ( INR Million)</t>
  </si>
  <si>
    <t>Unit tariff rate (INR/unit)</t>
  </si>
  <si>
    <t>Total (INR in Million)</t>
  </si>
  <si>
    <t>Revenue (INR in Million)</t>
  </si>
  <si>
    <t>Salvage Value (INR in Millions)</t>
  </si>
  <si>
    <t>a) 02/04/2013 to 31/03/2014</t>
  </si>
  <si>
    <t>b) 01/04/2014 to 31/03/2015</t>
  </si>
  <si>
    <t>Sales Gas Price</t>
  </si>
  <si>
    <t>RIL Invoice for March 2010</t>
  </si>
  <si>
    <t>IOCL Invoice for March 2010</t>
  </si>
  <si>
    <t xml:space="preserve">Sales tax @ 2% </t>
  </si>
  <si>
    <t>Transpo -RIL</t>
  </si>
  <si>
    <t>RGTIL Invoice for March 2010</t>
  </si>
  <si>
    <t>Transportation - GSPL</t>
  </si>
  <si>
    <t>GSPL Invoice for March 2010</t>
  </si>
  <si>
    <t>Transpo -GSPL</t>
  </si>
  <si>
    <t xml:space="preserve">Service Tax @ 10.3% </t>
  </si>
  <si>
    <t xml:space="preserve">Total </t>
  </si>
  <si>
    <t xml:space="preserve">Total Fuel Cost </t>
  </si>
  <si>
    <t>US $/mmbtu (NCV basis)</t>
  </si>
  <si>
    <t>US $/mmbtu (GCV basis)</t>
  </si>
  <si>
    <t>Levelized Tariff (INR/Kwh)</t>
  </si>
  <si>
    <t>INR Million Per Mega Watt for the year 2013-14</t>
  </si>
  <si>
    <t>Income Tax Act, 1961(assessment year 2010-11)</t>
  </si>
  <si>
    <t>As per the Management Decision dated 28/01/2010 for the project activity and the EPC contract dated 02/07/2010 for the project activity.</t>
  </si>
  <si>
    <t>As per the EPC Contract dated 02/07/2010 placed in July 2010 for the project activity being conservative vis-à-vis INR 19500 Million as per the Management Decision dated 28/01/2010</t>
  </si>
  <si>
    <t>Modal BPLR of PSBs for October 2009 (Table 17 -) considered as being conservative vis-à-vis average BPLR of 12.25% offered by public sector bank in October 2009 (Table 16)  - (Second Quarter Review of Monetary Policy 2009-10 (http://rbi.org.in/scripts/NotificationUser.aspx?Id=5326&amp;Mode=0</t>
  </si>
  <si>
    <t>Tenure of Loan (in Years) (Excluding 1 year of moratorium period)</t>
  </si>
  <si>
    <t xml:space="preserve">Based on the expected commissioning date of 02/04/2013 for the project activity </t>
  </si>
  <si>
    <t xml:space="preserve">Yearly Depreciation </t>
  </si>
</sst>
</file>

<file path=xl/styles.xml><?xml version="1.0" encoding="utf-8"?>
<styleSheet xmlns="http://schemas.openxmlformats.org/spreadsheetml/2006/main">
  <numFmts count="16">
    <numFmt numFmtId="44" formatCode="_(&quot;$&quot;* #,##0.00_);_(&quot;$&quot;* \(#,##0.00\);_(&quot;$&quot;* &quot;-&quot;??_);_(@_)"/>
    <numFmt numFmtId="43" formatCode="_(* #,##0.00_);_(* \(#,##0.00\);_(* &quot;-&quot;??_);_(@_)"/>
    <numFmt numFmtId="164" formatCode="0.0000"/>
    <numFmt numFmtId="165" formatCode="0.000"/>
    <numFmt numFmtId="166" formatCode="0.0"/>
    <numFmt numFmtId="167" formatCode="dd/mm/yyyy;@"/>
    <numFmt numFmtId="168" formatCode="_(* #,##0_);_(* \(#,##0\);_(* &quot;-&quot;??_);_(@_)"/>
    <numFmt numFmtId="169" formatCode="_(* #,##0.0_);_(* \(#,##0.0\);_(* &quot;-&quot;??_);_(@_)"/>
    <numFmt numFmtId="170" formatCode="&quot;£&quot;#,##0.0_);\(&quot;£&quot;#,##0.0\)"/>
    <numFmt numFmtId="171" formatCode="_-&quot;Rs&quot;* #,##0.00_-;\-&quot;Rs&quot;* #,##0.00_-;_-&quot;Rs&quot;* &quot;-&quot;??_-;_-@_-"/>
    <numFmt numFmtId="172" formatCode="#,###.#;[Red]\-#,###.#"/>
    <numFmt numFmtId="173" formatCode="mm/dd/yy"/>
    <numFmt numFmtId="174" formatCode="0_)"/>
    <numFmt numFmtId="175" formatCode="0.000%"/>
    <numFmt numFmtId="176" formatCode="0.0%"/>
    <numFmt numFmtId="177" formatCode="_(* #,##0.000_);_(* \(#,##0.000\);_(* &quot;-&quot;??_);_(@_)"/>
  </numFmts>
  <fonts count="2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4"/>
      <name val="Arial"/>
      <family val="2"/>
    </font>
    <font>
      <sz val="10"/>
      <name val="Courier"/>
      <family val="3"/>
    </font>
    <font>
      <sz val="10"/>
      <name val="Helv"/>
      <family val="2"/>
    </font>
    <font>
      <sz val="10"/>
      <name val="Times New Roman"/>
      <family val="1"/>
    </font>
    <font>
      <sz val="12"/>
      <name val="Tms Rmn"/>
    </font>
    <font>
      <sz val="12"/>
      <name val="Arial Rounded MT"/>
    </font>
    <font>
      <sz val="10"/>
      <name val="MS Serif"/>
      <family val="1"/>
    </font>
    <font>
      <sz val="10"/>
      <color indexed="16"/>
      <name val="MS Serif"/>
      <family val="1"/>
    </font>
    <font>
      <b/>
      <sz val="12"/>
      <name val="Arial"/>
      <family val="2"/>
    </font>
    <font>
      <u/>
      <sz val="10"/>
      <color indexed="12"/>
      <name val="Arial"/>
      <family val="2"/>
    </font>
    <font>
      <sz val="8"/>
      <name val="Times New Roman"/>
      <family val="1"/>
    </font>
    <font>
      <sz val="7"/>
      <name val="Small Fonts"/>
      <family val="2"/>
    </font>
    <font>
      <sz val="8"/>
      <name val="Helv"/>
    </font>
    <font>
      <b/>
      <sz val="8"/>
      <color indexed="8"/>
      <name val="Helv"/>
    </font>
    <font>
      <sz val="8"/>
      <color indexed="8"/>
      <name val="Arial"/>
      <family val="2"/>
    </font>
    <font>
      <sz val="11"/>
      <name val="Arial"/>
      <family val="2"/>
    </font>
    <font>
      <sz val="11"/>
      <name val="Times New Roman"/>
      <family val="1"/>
    </font>
    <font>
      <b/>
      <sz val="11"/>
      <name val="Times New Roman"/>
      <family val="1"/>
    </font>
    <font>
      <u/>
      <sz val="10"/>
      <color theme="10"/>
      <name val="Arial"/>
      <family val="2"/>
    </font>
    <font>
      <u/>
      <sz val="11"/>
      <color theme="10"/>
      <name val="Times New Roman"/>
      <family val="1"/>
    </font>
    <font>
      <u/>
      <sz val="10"/>
      <color theme="10"/>
      <name val="Arial"/>
    </font>
  </fonts>
  <fills count="8">
    <fill>
      <patternFill patternType="none"/>
    </fill>
    <fill>
      <patternFill patternType="gray125"/>
    </fill>
    <fill>
      <patternFill patternType="solid">
        <fgColor theme="8" tint="0.39997558519241921"/>
        <bgColor indexed="64"/>
      </patternFill>
    </fill>
    <fill>
      <patternFill patternType="solid">
        <fgColor indexed="12"/>
        <bgColor indexed="12"/>
      </patternFill>
    </fill>
    <fill>
      <patternFill patternType="solid">
        <fgColor indexed="13"/>
        <bgColor indexed="13"/>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right/>
      <top style="medium">
        <color indexed="64"/>
      </top>
      <bottom style="medium">
        <color indexed="64"/>
      </bottom>
      <diagonal/>
    </border>
    <border>
      <left style="thin">
        <color indexed="8"/>
      </left>
      <right style="thin">
        <color indexed="8"/>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98">
    <xf numFmtId="0" fontId="0" fillId="0" borderId="0"/>
    <xf numFmtId="43" fontId="5" fillId="0" borderId="0" applyFont="0" applyFill="0" applyBorder="0" applyAlignment="0" applyProtection="0"/>
    <xf numFmtId="9" fontId="5" fillId="0" borderId="0" applyFont="0" applyFill="0" applyBorder="0" applyAlignment="0" applyProtection="0"/>
    <xf numFmtId="0" fontId="8" fillId="0" borderId="0"/>
    <xf numFmtId="0" fontId="5" fillId="0" borderId="0"/>
    <xf numFmtId="0" fontId="5" fillId="0" borderId="0"/>
    <xf numFmtId="0" fontId="9" fillId="0" borderId="0"/>
    <xf numFmtId="0" fontId="10" fillId="0" borderId="0"/>
    <xf numFmtId="0" fontId="5" fillId="0" borderId="0"/>
    <xf numFmtId="0" fontId="5" fillId="0" borderId="0"/>
    <xf numFmtId="0" fontId="5" fillId="0" borderId="0"/>
    <xf numFmtId="0" fontId="11" fillId="0" borderId="0" applyNumberFormat="0" applyFill="0" applyBorder="0" applyAlignment="0" applyProtection="0"/>
    <xf numFmtId="0" fontId="5" fillId="0" borderId="0"/>
    <xf numFmtId="0" fontId="10" fillId="0" borderId="0"/>
    <xf numFmtId="170" fontId="12" fillId="0" borderId="0" applyFill="0" applyBorder="0" applyAlignment="0"/>
    <xf numFmtId="0" fontId="5" fillId="0" borderId="0"/>
    <xf numFmtId="43" fontId="5" fillId="0" borderId="0" applyFont="0" applyFill="0" applyBorder="0" applyAlignment="0" applyProtection="0"/>
    <xf numFmtId="43" fontId="4" fillId="0" borderId="0" applyFont="0" applyFill="0" applyBorder="0" applyAlignment="0" applyProtection="0"/>
    <xf numFmtId="0" fontId="13" fillId="0" borderId="0" applyNumberFormat="0" applyAlignment="0">
      <alignment horizontal="left"/>
    </xf>
    <xf numFmtId="0" fontId="5" fillId="0" borderId="0">
      <protection locked="0"/>
    </xf>
    <xf numFmtId="0" fontId="5" fillId="0" borderId="0"/>
    <xf numFmtId="0" fontId="5" fillId="0" borderId="14"/>
    <xf numFmtId="0" fontId="5" fillId="0" borderId="14"/>
    <xf numFmtId="0" fontId="5" fillId="3" borderId="0"/>
    <xf numFmtId="0" fontId="14" fillId="0" borderId="0" applyNumberFormat="0" applyAlignment="0">
      <alignment horizontal="left"/>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0" fontId="5" fillId="0" borderId="0">
      <protection locked="0"/>
    </xf>
    <xf numFmtId="171" fontId="5" fillId="0" borderId="0">
      <protection locked="0"/>
    </xf>
    <xf numFmtId="0" fontId="5" fillId="0" borderId="15"/>
    <xf numFmtId="0" fontId="5" fillId="0" borderId="14"/>
    <xf numFmtId="0" fontId="5" fillId="4" borderId="14"/>
    <xf numFmtId="38" fontId="6" fillId="5" borderId="0" applyNumberFormat="0" applyBorder="0" applyAlignment="0" applyProtection="0"/>
    <xf numFmtId="0" fontId="15" fillId="0" borderId="16" applyNumberFormat="0" applyAlignment="0" applyProtection="0">
      <alignment horizontal="left" vertical="center"/>
    </xf>
    <xf numFmtId="0" fontId="15" fillId="0" borderId="8">
      <alignment horizontal="left" vertical="center"/>
    </xf>
    <xf numFmtId="0" fontId="5" fillId="0" borderId="0">
      <protection locked="0"/>
    </xf>
    <xf numFmtId="0" fontId="5" fillId="0" borderId="0">
      <protection locked="0"/>
    </xf>
    <xf numFmtId="0" fontId="16" fillId="0" borderId="0" applyNumberFormat="0" applyFill="0" applyBorder="0" applyAlignment="0" applyProtection="0">
      <alignment vertical="top"/>
      <protection locked="0"/>
    </xf>
    <xf numFmtId="10" fontId="6" fillId="6" borderId="2" applyNumberFormat="0" applyBorder="0" applyAlignment="0" applyProtection="0"/>
    <xf numFmtId="0" fontId="17" fillId="0" borderId="0"/>
    <xf numFmtId="37" fontId="18" fillId="0" borderId="0"/>
    <xf numFmtId="172" fontId="12" fillId="0" borderId="0"/>
    <xf numFmtId="0" fontId="5" fillId="0" borderId="0"/>
    <xf numFmtId="0" fontId="5" fillId="0" borderId="0"/>
    <xf numFmtId="0" fontId="4" fillId="0" borderId="0"/>
    <xf numFmtId="0" fontId="4" fillId="0" borderId="0"/>
    <xf numFmtId="0" fontId="8" fillId="0" borderId="0"/>
    <xf numFmtId="10" fontId="5"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17" fillId="0" borderId="0"/>
    <xf numFmtId="0" fontId="5" fillId="0" borderId="0"/>
    <xf numFmtId="173" fontId="19" fillId="0" borderId="0" applyNumberFormat="0" applyFill="0" applyBorder="0" applyAlignment="0" applyProtection="0">
      <alignment horizontal="left"/>
    </xf>
    <xf numFmtId="0" fontId="5" fillId="0" borderId="0"/>
    <xf numFmtId="0" fontId="10" fillId="0" borderId="0"/>
    <xf numFmtId="40" fontId="20" fillId="0" borderId="0" applyBorder="0">
      <alignment horizontal="right"/>
    </xf>
    <xf numFmtId="0" fontId="21" fillId="0" borderId="0"/>
    <xf numFmtId="174" fontId="7" fillId="0" borderId="17"/>
    <xf numFmtId="0" fontId="10" fillId="0" borderId="0"/>
    <xf numFmtId="0" fontId="10" fillId="0" borderId="0"/>
    <xf numFmtId="0" fontId="6" fillId="0" borderId="0"/>
    <xf numFmtId="0" fontId="17" fillId="0" borderId="0"/>
    <xf numFmtId="0" fontId="17" fillId="0" borderId="0"/>
    <xf numFmtId="0" fontId="17" fillId="0" borderId="0"/>
    <xf numFmtId="0" fontId="5" fillId="0" borderId="0"/>
    <xf numFmtId="0" fontId="22" fillId="0" borderId="0"/>
    <xf numFmtId="0" fontId="5" fillId="0" borderId="0"/>
    <xf numFmtId="43" fontId="3" fillId="0" borderId="0" applyFont="0" applyFill="0" applyBorder="0" applyAlignment="0" applyProtection="0"/>
    <xf numFmtId="43" fontId="3" fillId="0" borderId="0" applyFont="0" applyFill="0" applyBorder="0" applyAlignment="0" applyProtection="0"/>
    <xf numFmtId="0" fontId="5" fillId="0" borderId="0"/>
    <xf numFmtId="0" fontId="3"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43" fontId="2" fillId="0" borderId="0" applyFont="0" applyFill="0" applyBorder="0" applyAlignment="0" applyProtection="0"/>
    <xf numFmtId="44" fontId="5" fillId="0" borderId="0" applyFont="0" applyFill="0" applyBorder="0" applyAlignment="0" applyProtection="0"/>
    <xf numFmtId="0" fontId="25" fillId="0" borderId="0" applyNumberFormat="0" applyFill="0" applyBorder="0" applyAlignment="0" applyProtection="0">
      <alignment vertical="top"/>
      <protection locked="0"/>
    </xf>
    <xf numFmtId="0" fontId="2" fillId="0" borderId="0"/>
    <xf numFmtId="0" fontId="2" fillId="0" borderId="0"/>
    <xf numFmtId="0" fontId="2" fillId="0" borderId="0"/>
    <xf numFmtId="9" fontId="5" fillId="0" borderId="0" applyFont="0" applyFill="0" applyBorder="0" applyAlignment="0" applyProtection="0"/>
    <xf numFmtId="9" fontId="2" fillId="0" borderId="0" applyFont="0" applyFill="0" applyBorder="0" applyAlignment="0" applyProtection="0"/>
    <xf numFmtId="0" fontId="27" fillId="0" borderId="0" applyNumberFormat="0" applyFill="0" applyBorder="0" applyAlignment="0" applyProtection="0">
      <alignment vertical="top"/>
      <protection locked="0"/>
    </xf>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204">
    <xf numFmtId="0" fontId="0" fillId="0" borderId="0" xfId="0"/>
    <xf numFmtId="43" fontId="0" fillId="0" borderId="0" xfId="1" applyFont="1"/>
    <xf numFmtId="43" fontId="0" fillId="0" borderId="0" xfId="1" applyFont="1" applyAlignment="1">
      <alignment horizontal="center"/>
    </xf>
    <xf numFmtId="43" fontId="0" fillId="0" borderId="0" xfId="1" quotePrefix="1" applyFont="1" applyAlignment="1">
      <alignment horizontal="center"/>
    </xf>
    <xf numFmtId="43" fontId="23" fillId="0" borderId="2" xfId="1" applyFont="1" applyFill="1" applyBorder="1"/>
    <xf numFmtId="43" fontId="23" fillId="0" borderId="18" xfId="1" applyFont="1" applyFill="1" applyBorder="1"/>
    <xf numFmtId="0" fontId="23" fillId="0" borderId="0" xfId="0" applyFont="1" applyFill="1"/>
    <xf numFmtId="0" fontId="23" fillId="2" borderId="2" xfId="0" applyFont="1" applyFill="1" applyBorder="1" applyAlignment="1">
      <alignment vertical="center"/>
    </xf>
    <xf numFmtId="43" fontId="23" fillId="2" borderId="2" xfId="1" applyFont="1" applyFill="1" applyBorder="1"/>
    <xf numFmtId="10" fontId="23" fillId="2" borderId="2" xfId="0" applyNumberFormat="1" applyFont="1" applyFill="1" applyBorder="1" applyAlignment="1">
      <alignment vertical="center"/>
    </xf>
    <xf numFmtId="0" fontId="23" fillId="0" borderId="2" xfId="0" applyFont="1" applyFill="1" applyBorder="1"/>
    <xf numFmtId="0" fontId="23" fillId="2" borderId="2" xfId="0" applyFont="1" applyFill="1" applyBorder="1"/>
    <xf numFmtId="2" fontId="23" fillId="2" borderId="2" xfId="0" applyNumberFormat="1" applyFont="1" applyFill="1" applyBorder="1"/>
    <xf numFmtId="10" fontId="23" fillId="2" borderId="2" xfId="0" applyNumberFormat="1" applyFont="1" applyFill="1" applyBorder="1"/>
    <xf numFmtId="9" fontId="23" fillId="2" borderId="2" xfId="0" applyNumberFormat="1" applyFont="1" applyFill="1" applyBorder="1"/>
    <xf numFmtId="0" fontId="23" fillId="0" borderId="2" xfId="0" applyFont="1" applyFill="1" applyBorder="1" applyAlignment="1">
      <alignment horizontal="left" vertical="center" wrapText="1"/>
    </xf>
    <xf numFmtId="0" fontId="23" fillId="0" borderId="2" xfId="0" applyFont="1" applyFill="1" applyBorder="1" applyAlignment="1">
      <alignment wrapText="1"/>
    </xf>
    <xf numFmtId="2" fontId="23" fillId="2" borderId="2" xfId="0" applyNumberFormat="1" applyFont="1" applyFill="1" applyBorder="1" applyAlignment="1">
      <alignment vertical="center"/>
    </xf>
    <xf numFmtId="1" fontId="23" fillId="2" borderId="2" xfId="0" applyNumberFormat="1" applyFont="1" applyFill="1" applyBorder="1" applyAlignment="1">
      <alignment vertical="center"/>
    </xf>
    <xf numFmtId="9" fontId="23" fillId="2" borderId="2" xfId="0" applyNumberFormat="1" applyFont="1" applyFill="1" applyBorder="1" applyAlignment="1">
      <alignment vertical="center"/>
    </xf>
    <xf numFmtId="176" fontId="23" fillId="2" borderId="2" xfId="0" applyNumberFormat="1" applyFont="1" applyFill="1" applyBorder="1"/>
    <xf numFmtId="175" fontId="23" fillId="2" borderId="2" xfId="0" applyNumberFormat="1" applyFont="1" applyFill="1" applyBorder="1"/>
    <xf numFmtId="0" fontId="23" fillId="0" borderId="0" xfId="0" applyFont="1"/>
    <xf numFmtId="0" fontId="23" fillId="0" borderId="2" xfId="0" applyFont="1" applyBorder="1"/>
    <xf numFmtId="0" fontId="23" fillId="0" borderId="2" xfId="0" applyFont="1" applyBorder="1" applyAlignment="1">
      <alignment horizontal="left" wrapText="1"/>
    </xf>
    <xf numFmtId="0" fontId="23" fillId="0" borderId="2" xfId="3" applyFont="1" applyBorder="1" applyAlignment="1" applyProtection="1">
      <alignment horizontal="left"/>
    </xf>
    <xf numFmtId="0" fontId="23" fillId="0" borderId="2" xfId="3" applyFont="1" applyBorder="1" applyAlignment="1" applyProtection="1">
      <alignment horizontal="left" wrapText="1"/>
    </xf>
    <xf numFmtId="167" fontId="23" fillId="0" borderId="2" xfId="0" applyNumberFormat="1" applyFont="1" applyBorder="1"/>
    <xf numFmtId="1" fontId="23" fillId="0" borderId="2" xfId="0" applyNumberFormat="1" applyFont="1" applyBorder="1"/>
    <xf numFmtId="0" fontId="23" fillId="0" borderId="2" xfId="0" applyFont="1" applyFill="1" applyBorder="1" applyAlignment="1">
      <alignment horizontal="left" wrapText="1"/>
    </xf>
    <xf numFmtId="2" fontId="23" fillId="0" borderId="2" xfId="0" applyNumberFormat="1" applyFont="1" applyFill="1" applyBorder="1"/>
    <xf numFmtId="2" fontId="23" fillId="0" borderId="2" xfId="0" applyNumberFormat="1" applyFont="1" applyBorder="1"/>
    <xf numFmtId="166" fontId="23" fillId="0" borderId="2" xfId="0" applyNumberFormat="1" applyFont="1" applyBorder="1"/>
    <xf numFmtId="169" fontId="23" fillId="0" borderId="2" xfId="1" applyNumberFormat="1" applyFont="1" applyBorder="1" applyAlignment="1"/>
    <xf numFmtId="169" fontId="23" fillId="0" borderId="0" xfId="1" applyNumberFormat="1" applyFont="1" applyAlignment="1"/>
    <xf numFmtId="0" fontId="23" fillId="0" borderId="0" xfId="0" applyFont="1" applyBorder="1"/>
    <xf numFmtId="43" fontId="23" fillId="0" borderId="2" xfId="1" applyFont="1" applyBorder="1" applyAlignment="1">
      <alignment horizontal="left" wrapText="1"/>
    </xf>
    <xf numFmtId="0" fontId="23" fillId="0" borderId="0" xfId="0" applyFont="1" applyAlignment="1">
      <alignment horizontal="left" wrapText="1"/>
    </xf>
    <xf numFmtId="0" fontId="23" fillId="0" borderId="2" xfId="0" applyFont="1" applyBorder="1" applyAlignment="1">
      <alignment horizontal="center"/>
    </xf>
    <xf numFmtId="43" fontId="23" fillId="0" borderId="2" xfId="0" applyNumberFormat="1" applyFont="1" applyBorder="1"/>
    <xf numFmtId="43" fontId="23" fillId="0" borderId="2" xfId="0" applyNumberFormat="1" applyFont="1" applyFill="1" applyBorder="1"/>
    <xf numFmtId="43" fontId="23" fillId="0" borderId="0" xfId="1" applyFont="1" applyFill="1"/>
    <xf numFmtId="43" fontId="23" fillId="0" borderId="2" xfId="1" applyFont="1" applyBorder="1"/>
    <xf numFmtId="43" fontId="23" fillId="0" borderId="2" xfId="1" applyFont="1" applyBorder="1" applyAlignment="1">
      <alignment horizontal="center"/>
    </xf>
    <xf numFmtId="43" fontId="23" fillId="0" borderId="0" xfId="1" applyFont="1" applyAlignment="1">
      <alignment horizontal="center"/>
    </xf>
    <xf numFmtId="43" fontId="23" fillId="0" borderId="0" xfId="1" applyFont="1"/>
    <xf numFmtId="43" fontId="23" fillId="0" borderId="2" xfId="0" applyNumberFormat="1" applyFont="1" applyFill="1" applyBorder="1" applyAlignment="1">
      <alignment wrapText="1"/>
    </xf>
    <xf numFmtId="10" fontId="23" fillId="0" borderId="2" xfId="2" applyNumberFormat="1" applyFont="1" applyBorder="1"/>
    <xf numFmtId="2" fontId="23" fillId="0" borderId="0" xfId="0" applyNumberFormat="1" applyFont="1"/>
    <xf numFmtId="9" fontId="23" fillId="0" borderId="2" xfId="0" applyNumberFormat="1" applyFont="1" applyBorder="1"/>
    <xf numFmtId="165" fontId="23" fillId="0" borderId="0" xfId="0" applyNumberFormat="1" applyFont="1"/>
    <xf numFmtId="2" fontId="23" fillId="0" borderId="12" xfId="0" applyNumberFormat="1" applyFont="1" applyBorder="1"/>
    <xf numFmtId="165" fontId="23" fillId="0" borderId="12" xfId="0" applyNumberFormat="1" applyFont="1" applyBorder="1"/>
    <xf numFmtId="0" fontId="23" fillId="0" borderId="12" xfId="0" applyFont="1" applyBorder="1"/>
    <xf numFmtId="167" fontId="23" fillId="0" borderId="0" xfId="0" applyNumberFormat="1" applyFont="1"/>
    <xf numFmtId="164" fontId="23" fillId="0" borderId="2" xfId="0" applyNumberFormat="1" applyFont="1" applyBorder="1"/>
    <xf numFmtId="0" fontId="23" fillId="0" borderId="13" xfId="0" applyFont="1" applyBorder="1"/>
    <xf numFmtId="168" fontId="23" fillId="0" borderId="2" xfId="1" applyNumberFormat="1" applyFont="1" applyBorder="1"/>
    <xf numFmtId="168" fontId="23" fillId="0" borderId="0" xfId="1" applyNumberFormat="1" applyFont="1"/>
    <xf numFmtId="1" fontId="23" fillId="0" borderId="2" xfId="0" applyNumberFormat="1" applyFont="1" applyBorder="1" applyAlignment="1">
      <alignment horizontal="right"/>
    </xf>
    <xf numFmtId="10" fontId="23" fillId="0" borderId="0" xfId="0" applyNumberFormat="1" applyFont="1"/>
    <xf numFmtId="2" fontId="23" fillId="0" borderId="2" xfId="0" applyNumberFormat="1" applyFont="1" applyBorder="1" applyAlignment="1">
      <alignment horizontal="right" vertical="top" wrapText="1"/>
    </xf>
    <xf numFmtId="0" fontId="23" fillId="0" borderId="0" xfId="0" applyFont="1" applyAlignment="1">
      <alignment horizontal="right"/>
    </xf>
    <xf numFmtId="0" fontId="23" fillId="0" borderId="7" xfId="0" applyFont="1" applyFill="1" applyBorder="1" applyAlignment="1">
      <alignment horizontal="center"/>
    </xf>
    <xf numFmtId="0" fontId="23" fillId="0" borderId="9" xfId="0" applyFont="1" applyFill="1" applyBorder="1" applyAlignment="1">
      <alignment horizontal="center"/>
    </xf>
    <xf numFmtId="0" fontId="23" fillId="0" borderId="2" xfId="0" applyFont="1" applyFill="1" applyBorder="1" applyAlignment="1">
      <alignment horizontal="center"/>
    </xf>
    <xf numFmtId="0" fontId="23" fillId="0" borderId="2" xfId="0" applyFont="1" applyFill="1" applyBorder="1" applyAlignment="1">
      <alignment horizontal="center"/>
    </xf>
    <xf numFmtId="0" fontId="23" fillId="0" borderId="0" xfId="3" applyFont="1" applyAlignment="1" applyProtection="1">
      <alignment horizontal="left"/>
    </xf>
    <xf numFmtId="0" fontId="23" fillId="0" borderId="0" xfId="3" applyFont="1"/>
    <xf numFmtId="0" fontId="23" fillId="0" borderId="0" xfId="3" applyFont="1" applyAlignment="1" applyProtection="1">
      <alignment horizontal="left" wrapText="1"/>
    </xf>
    <xf numFmtId="0" fontId="23" fillId="0" borderId="2" xfId="3" applyFont="1" applyBorder="1"/>
    <xf numFmtId="166" fontId="23" fillId="0" borderId="0" xfId="0" applyNumberFormat="1" applyFont="1"/>
    <xf numFmtId="165" fontId="23" fillId="0" borderId="2" xfId="0" applyNumberFormat="1" applyFont="1" applyBorder="1"/>
    <xf numFmtId="165" fontId="23" fillId="0" borderId="0" xfId="0" applyNumberFormat="1" applyFont="1" applyBorder="1"/>
    <xf numFmtId="1" fontId="23" fillId="0" borderId="0" xfId="0" applyNumberFormat="1" applyFont="1" applyBorder="1" applyAlignment="1">
      <alignment horizontal="right"/>
    </xf>
    <xf numFmtId="166" fontId="23" fillId="0" borderId="0" xfId="0" applyNumberFormat="1" applyFont="1" applyBorder="1"/>
    <xf numFmtId="1" fontId="23" fillId="0" borderId="0" xfId="0" applyNumberFormat="1" applyFont="1" applyBorder="1"/>
    <xf numFmtId="0" fontId="23" fillId="0" borderId="2" xfId="0" applyFont="1" applyBorder="1" applyAlignment="1">
      <alignment horizontal="center" vertical="center" wrapText="1"/>
    </xf>
    <xf numFmtId="0" fontId="23" fillId="0" borderId="2" xfId="0" applyFont="1" applyBorder="1" applyAlignment="1">
      <alignment horizontal="right"/>
    </xf>
    <xf numFmtId="0" fontId="23" fillId="0" borderId="2" xfId="0" applyFont="1" applyBorder="1" applyAlignment="1">
      <alignment wrapText="1"/>
    </xf>
    <xf numFmtId="0" fontId="23" fillId="0" borderId="0" xfId="0" applyFont="1" applyAlignment="1"/>
    <xf numFmtId="0" fontId="24" fillId="0" borderId="9" xfId="0" applyFont="1" applyFill="1" applyBorder="1" applyAlignment="1">
      <alignment horizontal="center"/>
    </xf>
    <xf numFmtId="0" fontId="24" fillId="0" borderId="2" xfId="0" applyFont="1" applyFill="1" applyBorder="1" applyAlignment="1">
      <alignment horizontal="center"/>
    </xf>
    <xf numFmtId="0" fontId="23" fillId="0" borderId="19" xfId="0" applyFont="1" applyFill="1" applyBorder="1" applyAlignment="1">
      <alignment horizontal="center"/>
    </xf>
    <xf numFmtId="43" fontId="23" fillId="0" borderId="7" xfId="1" applyFont="1" applyFill="1" applyBorder="1"/>
    <xf numFmtId="43" fontId="23" fillId="0" borderId="9" xfId="1" applyFont="1" applyFill="1" applyBorder="1"/>
    <xf numFmtId="43" fontId="24" fillId="0" borderId="2" xfId="1" applyNumberFormat="1" applyFont="1" applyFill="1" applyBorder="1"/>
    <xf numFmtId="43" fontId="24" fillId="0" borderId="7" xfId="1" applyFont="1" applyFill="1" applyBorder="1"/>
    <xf numFmtId="43" fontId="24" fillId="0" borderId="2" xfId="1" applyFont="1" applyFill="1" applyBorder="1"/>
    <xf numFmtId="0" fontId="0" fillId="0" borderId="23" xfId="0" applyBorder="1"/>
    <xf numFmtId="43" fontId="23" fillId="0" borderId="23" xfId="1" applyFont="1" applyFill="1" applyBorder="1" applyAlignment="1">
      <alignment horizontal="left"/>
    </xf>
    <xf numFmtId="43" fontId="23" fillId="0" borderId="23" xfId="1" applyFont="1" applyFill="1" applyBorder="1"/>
    <xf numFmtId="0" fontId="23" fillId="0" borderId="9" xfId="0" applyFont="1" applyFill="1" applyBorder="1"/>
    <xf numFmtId="0" fontId="23" fillId="0" borderId="7" xfId="0" applyFont="1" applyFill="1" applyBorder="1"/>
    <xf numFmtId="43" fontId="23" fillId="0" borderId="24" xfId="1" applyFont="1" applyFill="1" applyBorder="1"/>
    <xf numFmtId="43" fontId="24" fillId="0" borderId="7" xfId="0" applyNumberFormat="1" applyFont="1" applyFill="1" applyBorder="1"/>
    <xf numFmtId="43" fontId="24" fillId="0" borderId="2" xfId="0" applyNumberFormat="1" applyFont="1" applyFill="1" applyBorder="1"/>
    <xf numFmtId="43" fontId="23" fillId="0" borderId="7" xfId="0" applyNumberFormat="1" applyFont="1" applyFill="1" applyBorder="1"/>
    <xf numFmtId="0" fontId="0" fillId="0" borderId="25" xfId="0" applyBorder="1"/>
    <xf numFmtId="43" fontId="24" fillId="0" borderId="7" xfId="0" applyNumberFormat="1" applyFont="1" applyFill="1" applyBorder="1" applyAlignment="1"/>
    <xf numFmtId="0" fontId="24" fillId="0" borderId="8" xfId="0" applyFont="1" applyFill="1" applyBorder="1" applyAlignment="1"/>
    <xf numFmtId="0" fontId="24" fillId="0" borderId="2" xfId="0" applyFont="1" applyFill="1" applyBorder="1" applyAlignment="1"/>
    <xf numFmtId="0" fontId="24" fillId="0" borderId="9" xfId="0" applyFont="1" applyFill="1" applyBorder="1" applyAlignment="1"/>
    <xf numFmtId="0" fontId="0" fillId="0" borderId="26" xfId="0" applyBorder="1"/>
    <xf numFmtId="43" fontId="23" fillId="0" borderId="27" xfId="1" applyFont="1" applyFill="1" applyBorder="1"/>
    <xf numFmtId="0" fontId="23" fillId="0" borderId="2" xfId="0" applyFont="1" applyFill="1" applyBorder="1" applyAlignment="1">
      <alignment vertical="center" wrapText="1"/>
    </xf>
    <xf numFmtId="0" fontId="23" fillId="0" borderId="13" xfId="0" applyFont="1" applyFill="1" applyBorder="1" applyAlignment="1">
      <alignment vertical="center" wrapText="1"/>
    </xf>
    <xf numFmtId="0" fontId="23" fillId="0" borderId="13" xfId="0" applyFont="1" applyFill="1" applyBorder="1" applyAlignment="1">
      <alignment wrapText="1"/>
    </xf>
    <xf numFmtId="175" fontId="23" fillId="0" borderId="2" xfId="2" applyNumberFormat="1" applyFont="1" applyBorder="1"/>
    <xf numFmtId="167" fontId="23" fillId="0" borderId="2" xfId="0" applyNumberFormat="1" applyFont="1" applyFill="1" applyBorder="1"/>
    <xf numFmtId="43" fontId="23" fillId="0" borderId="2" xfId="1" applyFont="1" applyFill="1" applyBorder="1" applyAlignment="1">
      <alignment horizontal="center"/>
    </xf>
    <xf numFmtId="43" fontId="23" fillId="0" borderId="0" xfId="1" applyFont="1" applyFill="1" applyAlignment="1">
      <alignment horizontal="center"/>
    </xf>
    <xf numFmtId="43" fontId="23" fillId="0" borderId="2" xfId="0" applyNumberFormat="1" applyFont="1" applyFill="1" applyBorder="1" applyAlignment="1">
      <alignment horizontal="center"/>
    </xf>
    <xf numFmtId="0" fontId="23" fillId="0" borderId="5" xfId="0" applyFont="1" applyBorder="1"/>
    <xf numFmtId="165" fontId="23" fillId="2" borderId="2" xfId="0" applyNumberFormat="1" applyFont="1" applyFill="1" applyBorder="1"/>
    <xf numFmtId="43" fontId="23" fillId="0" borderId="12" xfId="1" applyFont="1" applyBorder="1"/>
    <xf numFmtId="43" fontId="23" fillId="0" borderId="5" xfId="1" applyFont="1" applyBorder="1"/>
    <xf numFmtId="43" fontId="23" fillId="0" borderId="29" xfId="1" applyFont="1" applyBorder="1"/>
    <xf numFmtId="43" fontId="23" fillId="0" borderId="3" xfId="1" applyFont="1" applyBorder="1"/>
    <xf numFmtId="43" fontId="23" fillId="0" borderId="6" xfId="1" applyFont="1" applyBorder="1"/>
    <xf numFmtId="0" fontId="23" fillId="0" borderId="30" xfId="0" applyFont="1" applyBorder="1" applyAlignment="1">
      <alignment horizontal="center"/>
    </xf>
    <xf numFmtId="0" fontId="23" fillId="0" borderId="31" xfId="0" applyFont="1" applyBorder="1" applyAlignment="1">
      <alignment horizontal="center"/>
    </xf>
    <xf numFmtId="0" fontId="23" fillId="0" borderId="32" xfId="0" applyFont="1" applyBorder="1" applyAlignment="1">
      <alignment horizontal="center"/>
    </xf>
    <xf numFmtId="0" fontId="23" fillId="0" borderId="28" xfId="0" quotePrefix="1" applyFont="1" applyBorder="1" applyAlignment="1">
      <alignment horizontal="center"/>
    </xf>
    <xf numFmtId="0" fontId="23" fillId="0" borderId="1" xfId="0" applyFont="1" applyBorder="1" applyAlignment="1">
      <alignment horizontal="center"/>
    </xf>
    <xf numFmtId="0" fontId="23" fillId="0" borderId="4" xfId="0" quotePrefix="1" applyFont="1" applyBorder="1" applyAlignment="1">
      <alignment horizontal="center"/>
    </xf>
    <xf numFmtId="0" fontId="23" fillId="0" borderId="2" xfId="0" applyFont="1" applyFill="1" applyBorder="1" applyAlignment="1">
      <alignment horizontal="center" vertical="center"/>
    </xf>
    <xf numFmtId="0" fontId="26" fillId="0" borderId="2" xfId="88" applyFont="1" applyFill="1" applyBorder="1" applyAlignment="1" applyProtection="1">
      <alignment horizontal="left" vertical="center" wrapText="1"/>
    </xf>
    <xf numFmtId="0" fontId="23" fillId="0" borderId="2" xfId="0" applyFont="1" applyFill="1" applyBorder="1" applyAlignment="1">
      <alignment horizontal="center" vertical="center" wrapText="1"/>
    </xf>
    <xf numFmtId="0" fontId="23" fillId="0" borderId="2" xfId="0" applyFont="1" applyFill="1" applyBorder="1" applyAlignment="1">
      <alignment horizontal="left" vertical="center" wrapText="1"/>
    </xf>
    <xf numFmtId="0" fontId="23" fillId="0" borderId="2" xfId="0" applyFont="1" applyBorder="1" applyAlignment="1">
      <alignment horizontal="left"/>
    </xf>
    <xf numFmtId="43" fontId="23" fillId="2" borderId="2" xfId="1" applyFont="1" applyFill="1" applyBorder="1" applyAlignment="1">
      <alignment vertical="center"/>
    </xf>
    <xf numFmtId="43" fontId="23" fillId="2" borderId="2" xfId="0" applyNumberFormat="1" applyFont="1" applyFill="1" applyBorder="1"/>
    <xf numFmtId="177" fontId="23" fillId="2" borderId="2" xfId="0" applyNumberFormat="1" applyFont="1" applyFill="1" applyBorder="1"/>
    <xf numFmtId="169" fontId="23" fillId="2" borderId="2" xfId="1" applyNumberFormat="1" applyFont="1" applyFill="1" applyBorder="1" applyAlignment="1">
      <alignment vertical="center"/>
    </xf>
    <xf numFmtId="0" fontId="26" fillId="0" borderId="2" xfId="94" applyFont="1" applyFill="1" applyBorder="1" applyAlignment="1" applyProtection="1">
      <alignment horizontal="left" vertical="center" wrapText="1"/>
    </xf>
    <xf numFmtId="177" fontId="23" fillId="2" borderId="2" xfId="1" applyNumberFormat="1" applyFont="1" applyFill="1" applyBorder="1" applyAlignment="1">
      <alignment vertical="center"/>
    </xf>
    <xf numFmtId="43" fontId="23" fillId="2" borderId="2" xfId="1" applyNumberFormat="1" applyFont="1" applyFill="1" applyBorder="1" applyAlignment="1">
      <alignment vertical="center"/>
    </xf>
    <xf numFmtId="0" fontId="23" fillId="0" borderId="0" xfId="46" applyFont="1"/>
    <xf numFmtId="0" fontId="23" fillId="0" borderId="2" xfId="46" applyFont="1" applyFill="1" applyBorder="1" applyAlignment="1">
      <alignment horizontal="center"/>
    </xf>
    <xf numFmtId="0" fontId="23" fillId="0" borderId="2" xfId="46" applyFont="1" applyBorder="1"/>
    <xf numFmtId="0" fontId="23" fillId="0" borderId="2" xfId="46" applyFont="1" applyFill="1" applyBorder="1"/>
    <xf numFmtId="43" fontId="24" fillId="0" borderId="2" xfId="46" applyNumberFormat="1" applyFont="1" applyFill="1" applyBorder="1"/>
    <xf numFmtId="0" fontId="24" fillId="0" borderId="2" xfId="46" applyFont="1" applyFill="1" applyBorder="1"/>
    <xf numFmtId="43" fontId="23" fillId="0" borderId="2" xfId="1" applyFont="1" applyFill="1" applyBorder="1" applyAlignment="1">
      <alignment wrapText="1"/>
    </xf>
    <xf numFmtId="0" fontId="23" fillId="0" borderId="2" xfId="46" applyFont="1" applyFill="1" applyBorder="1" applyAlignment="1">
      <alignment horizontal="center" wrapText="1"/>
    </xf>
    <xf numFmtId="0" fontId="23" fillId="0" borderId="2" xfId="46" applyFont="1" applyFill="1" applyBorder="1" applyAlignment="1">
      <alignment wrapText="1"/>
    </xf>
    <xf numFmtId="0" fontId="23" fillId="0" borderId="2" xfId="46" applyFont="1" applyBorder="1" applyAlignment="1">
      <alignment wrapText="1"/>
    </xf>
    <xf numFmtId="0" fontId="23" fillId="0" borderId="2" xfId="0" applyNumberFormat="1" applyFont="1" applyFill="1" applyBorder="1" applyAlignment="1">
      <alignment vertical="center" wrapText="1"/>
    </xf>
    <xf numFmtId="0" fontId="23" fillId="0" borderId="2" xfId="0" applyFont="1" applyFill="1" applyBorder="1" applyAlignment="1">
      <alignment horizontal="left" vertical="center"/>
    </xf>
    <xf numFmtId="0" fontId="23" fillId="0" borderId="7" xfId="0" applyFont="1" applyFill="1" applyBorder="1" applyAlignment="1">
      <alignment horizontal="left" vertical="center"/>
    </xf>
    <xf numFmtId="0" fontId="23" fillId="0" borderId="8" xfId="0" applyFont="1" applyFill="1" applyBorder="1" applyAlignment="1">
      <alignment horizontal="left" vertical="center"/>
    </xf>
    <xf numFmtId="0" fontId="23" fillId="0" borderId="9" xfId="0" applyFont="1" applyFill="1" applyBorder="1" applyAlignment="1">
      <alignment horizontal="left" vertical="center"/>
    </xf>
    <xf numFmtId="0" fontId="23" fillId="0" borderId="7" xfId="0" applyFont="1" applyFill="1" applyBorder="1" applyAlignment="1">
      <alignment horizontal="left"/>
    </xf>
    <xf numFmtId="0" fontId="23" fillId="0" borderId="8" xfId="0" applyFont="1" applyFill="1" applyBorder="1" applyAlignment="1">
      <alignment horizontal="left"/>
    </xf>
    <xf numFmtId="0" fontId="23" fillId="0" borderId="9" xfId="0" applyFont="1" applyFill="1" applyBorder="1" applyAlignment="1">
      <alignment horizontal="left"/>
    </xf>
    <xf numFmtId="0" fontId="23" fillId="0" borderId="2" xfId="0" applyFont="1" applyFill="1" applyBorder="1" applyAlignment="1">
      <alignment horizontal="left"/>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3" fillId="0" borderId="2" xfId="0" applyFont="1" applyBorder="1" applyAlignment="1">
      <alignment horizontal="left" vertical="center"/>
    </xf>
    <xf numFmtId="0" fontId="23" fillId="0" borderId="7" xfId="0" applyFont="1" applyFill="1" applyBorder="1" applyAlignment="1">
      <alignment horizontal="center"/>
    </xf>
    <xf numFmtId="0" fontId="23" fillId="0" borderId="8" xfId="0" applyFont="1" applyFill="1" applyBorder="1" applyAlignment="1">
      <alignment horizontal="center"/>
    </xf>
    <xf numFmtId="0" fontId="24" fillId="0" borderId="7" xfId="0" applyFont="1" applyFill="1" applyBorder="1" applyAlignment="1">
      <alignment horizontal="left"/>
    </xf>
    <xf numFmtId="0" fontId="24" fillId="0" borderId="8" xfId="0" applyFont="1" applyFill="1" applyBorder="1" applyAlignment="1">
      <alignment horizontal="left"/>
    </xf>
    <xf numFmtId="0" fontId="24" fillId="0" borderId="9" xfId="0" applyFont="1" applyFill="1" applyBorder="1" applyAlignment="1">
      <alignment horizontal="left"/>
    </xf>
    <xf numFmtId="0" fontId="23" fillId="0" borderId="2" xfId="0" applyFont="1" applyBorder="1" applyAlignment="1">
      <alignment horizontal="left"/>
    </xf>
    <xf numFmtId="0" fontId="24" fillId="0" borderId="2" xfId="0" applyFont="1" applyFill="1" applyBorder="1" applyAlignment="1">
      <alignment horizontal="left"/>
    </xf>
    <xf numFmtId="0" fontId="23" fillId="0" borderId="2" xfId="0" applyFont="1" applyFill="1" applyBorder="1" applyAlignment="1">
      <alignment horizontal="left" vertical="center" wrapText="1"/>
    </xf>
    <xf numFmtId="0" fontId="23" fillId="0" borderId="7" xfId="0" applyFont="1" applyFill="1" applyBorder="1" applyAlignment="1">
      <alignment horizontal="left" vertical="center" wrapText="1"/>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23" fillId="0" borderId="33" xfId="0" applyFont="1" applyFill="1" applyBorder="1" applyAlignment="1">
      <alignment horizontal="center"/>
    </xf>
    <xf numFmtId="0" fontId="23" fillId="0" borderId="11" xfId="0" applyFont="1" applyFill="1" applyBorder="1" applyAlignment="1">
      <alignment horizontal="center"/>
    </xf>
    <xf numFmtId="0" fontId="23" fillId="0" borderId="0" xfId="0" applyFont="1" applyFill="1" applyAlignment="1">
      <alignment horizontal="center"/>
    </xf>
    <xf numFmtId="0" fontId="23" fillId="0" borderId="7" xfId="0" applyFont="1" applyFill="1" applyBorder="1" applyAlignment="1">
      <alignment horizontal="center" vertical="center"/>
    </xf>
    <xf numFmtId="0" fontId="23" fillId="0" borderId="8" xfId="0" applyFont="1" applyFill="1" applyBorder="1" applyAlignment="1">
      <alignment horizontal="center" vertical="center"/>
    </xf>
    <xf numFmtId="0" fontId="23" fillId="0" borderId="13"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24" fillId="7" borderId="33" xfId="0" applyFont="1" applyFill="1" applyBorder="1" applyAlignment="1">
      <alignment horizontal="left"/>
    </xf>
    <xf numFmtId="0" fontId="24" fillId="7" borderId="0" xfId="0" applyFont="1" applyFill="1" applyAlignment="1">
      <alignment horizontal="left" wrapText="1"/>
    </xf>
    <xf numFmtId="43" fontId="24" fillId="0" borderId="2" xfId="46" applyNumberFormat="1" applyFont="1" applyFill="1" applyBorder="1" applyAlignment="1">
      <alignment horizontal="center"/>
    </xf>
    <xf numFmtId="0" fontId="23" fillId="0" borderId="11" xfId="46" applyFont="1" applyBorder="1" applyAlignment="1">
      <alignment horizontal="center"/>
    </xf>
    <xf numFmtId="0" fontId="24" fillId="0" borderId="2" xfId="46" applyFont="1" applyFill="1" applyBorder="1" applyAlignment="1">
      <alignment horizontal="center"/>
    </xf>
    <xf numFmtId="0" fontId="24" fillId="0" borderId="7" xfId="46" applyFont="1" applyFill="1" applyBorder="1" applyAlignment="1">
      <alignment horizontal="center"/>
    </xf>
    <xf numFmtId="0" fontId="24" fillId="0" borderId="8" xfId="46" applyFont="1" applyFill="1" applyBorder="1" applyAlignment="1">
      <alignment horizontal="center"/>
    </xf>
    <xf numFmtId="0" fontId="24" fillId="0" borderId="9" xfId="46" applyFont="1" applyFill="1" applyBorder="1" applyAlignment="1">
      <alignment horizontal="center"/>
    </xf>
    <xf numFmtId="43" fontId="23" fillId="0" borderId="13" xfId="1" applyFont="1" applyFill="1" applyBorder="1" applyAlignment="1">
      <alignment horizontal="left" vertical="center" wrapText="1"/>
    </xf>
    <xf numFmtId="43" fontId="23" fillId="0" borderId="18" xfId="1" applyFont="1" applyFill="1" applyBorder="1" applyAlignment="1">
      <alignment horizontal="left" vertical="center" wrapText="1"/>
    </xf>
    <xf numFmtId="43" fontId="23" fillId="0" borderId="12" xfId="1" applyFont="1" applyFill="1" applyBorder="1" applyAlignment="1">
      <alignment horizontal="left" vertical="center" wrapText="1"/>
    </xf>
    <xf numFmtId="0" fontId="23" fillId="0" borderId="2" xfId="46" applyFont="1" applyBorder="1" applyAlignment="1">
      <alignment horizontal="center" vertical="center" wrapText="1"/>
    </xf>
    <xf numFmtId="0" fontId="23" fillId="0" borderId="2" xfId="0" applyFont="1" applyBorder="1" applyAlignment="1">
      <alignment horizontal="center"/>
    </xf>
    <xf numFmtId="0" fontId="23" fillId="0" borderId="2" xfId="0" applyFont="1" applyBorder="1" applyAlignment="1">
      <alignment horizontal="center" wrapText="1"/>
    </xf>
    <xf numFmtId="165" fontId="23" fillId="0" borderId="2" xfId="0" applyNumberFormat="1" applyFont="1" applyBorder="1" applyAlignment="1">
      <alignment horizontal="left"/>
    </xf>
    <xf numFmtId="0" fontId="23" fillId="0" borderId="10" xfId="0" applyFont="1" applyBorder="1" applyAlignment="1">
      <alignment horizontal="left" vertical="top" wrapText="1"/>
    </xf>
    <xf numFmtId="0" fontId="23" fillId="0" borderId="11" xfId="0" applyFont="1" applyBorder="1" applyAlignment="1">
      <alignment horizontal="left" vertical="top" wrapText="1"/>
    </xf>
    <xf numFmtId="0" fontId="24" fillId="0" borderId="2" xfId="0" applyFont="1" applyFill="1" applyBorder="1" applyAlignment="1">
      <alignment horizontal="center"/>
    </xf>
    <xf numFmtId="0" fontId="24" fillId="0" borderId="7" xfId="0" applyFont="1" applyFill="1" applyBorder="1" applyAlignment="1">
      <alignment horizontal="center"/>
    </xf>
    <xf numFmtId="0" fontId="24" fillId="0" borderId="9" xfId="0" applyFont="1" applyFill="1" applyBorder="1" applyAlignment="1">
      <alignment horizontal="center"/>
    </xf>
    <xf numFmtId="43" fontId="23" fillId="0" borderId="13" xfId="1" applyFont="1" applyFill="1" applyBorder="1" applyAlignment="1">
      <alignment horizontal="left" wrapText="1"/>
    </xf>
    <xf numFmtId="43" fontId="23" fillId="0" borderId="18" xfId="1" applyFont="1" applyFill="1" applyBorder="1" applyAlignment="1">
      <alignment horizontal="left" wrapText="1"/>
    </xf>
    <xf numFmtId="43" fontId="23" fillId="0" borderId="12" xfId="1" applyFont="1" applyFill="1"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0" fillId="0" borderId="22" xfId="0" applyBorder="1" applyAlignment="1">
      <alignment horizontal="left" wrapText="1"/>
    </xf>
  </cellXfs>
  <cellStyles count="98">
    <cellStyle name=" Names" xfId="4"/>
    <cellStyle name=" Task]_x000d__x000a_TaskName=Scan At_x000d__x000a_TaskID=3_x000d__x000a_WorkstationName=SmarTone_x000d__x000a_LastExecuted=0_x000d__x000a_LastSt" xfId="5"/>
    <cellStyle name="_aux detail 13 9 07" xfId="6"/>
    <cellStyle name="⋢b愼¢⋲b慠¢⌂b憄¢⌒b憨¢⌢b懌¢⌲b_x0005_DocumentSummaryInformation" xfId="7"/>
    <cellStyle name="⇢b㐤¢⇲b䮜¢∂b䮼¢−b䯜¢∢b䯼¢∲b_x0005_SummaryInformation" xfId="8"/>
    <cellStyle name="ↂb䭔¢→b䭸¢↢b㎄¢↲b㏄¢⇂b㏤¢⇒b㐄¢⇢b㐤¢⇲b䮜¢∂b䮼¢−b䯜¢∢b䯼¢∲b_x0005_SummaryInformation" xfId="9"/>
    <cellStyle name="AS" xfId="10"/>
    <cellStyle name="Body" xfId="11"/>
    <cellStyle name="⛲b哔£✂b哸£✒b啐£✢b啴£✲bUser Names" xfId="12"/>
    <cellStyle name="⎲b拄¢⏂b拸¢⏒b笌¢⏢b筀¢⏲b筬¢␂b箔¢␒b篌¢␢b捠¢␲b_x0001_CompObj" xfId="13"/>
    <cellStyle name="Calc Currency (0)" xfId="14"/>
    <cellStyle name="ⓒb擤¢ⓢb攨¢⓲b敜¢│b斔¢┒b絴¢┢b綜¢┲bCtls" xfId="15"/>
    <cellStyle name="Comma" xfId="1" builtinId="3"/>
    <cellStyle name="Comma 2" xfId="16"/>
    <cellStyle name="Comma 3" xfId="17"/>
    <cellStyle name="Comma 3 2" xfId="71"/>
    <cellStyle name="Comma 3 3" xfId="72"/>
    <cellStyle name="Comma 4" xfId="86"/>
    <cellStyle name="Comma 5" xfId="96"/>
    <cellStyle name="Copied" xfId="18"/>
    <cellStyle name="Currency 2" xfId="87"/>
    <cellStyle name="Date" xfId="19"/>
    <cellStyle name="Define your own named style" xfId="20"/>
    <cellStyle name="Draw lines around data in range" xfId="21"/>
    <cellStyle name="Draw shadow and lines within range" xfId="22"/>
    <cellStyle name="Enlarge title text, yellow on blue" xfId="23"/>
    <cellStyle name="Entered" xfId="24"/>
    <cellStyle name="F2" xfId="25"/>
    <cellStyle name="F3" xfId="26"/>
    <cellStyle name="F4" xfId="27"/>
    <cellStyle name="F5" xfId="28"/>
    <cellStyle name="F6" xfId="29"/>
    <cellStyle name="F7" xfId="30"/>
    <cellStyle name="F8" xfId="31"/>
    <cellStyle name="Fixed" xfId="32"/>
    <cellStyle name="Format a column of totals" xfId="33"/>
    <cellStyle name="Format a row of totals" xfId="34"/>
    <cellStyle name="Format text as bold, black on yello" xfId="35"/>
    <cellStyle name="Grey" xfId="36"/>
    <cellStyle name="Header1" xfId="37"/>
    <cellStyle name="Header2" xfId="38"/>
    <cellStyle name="Heading1" xfId="39"/>
    <cellStyle name="Heading2" xfId="40"/>
    <cellStyle name="Hyperlink" xfId="94" builtinId="8"/>
    <cellStyle name="Hyperlink 2" xfId="41"/>
    <cellStyle name="Hyperlink 3" xfId="88"/>
    <cellStyle name="Input [yellow]" xfId="42"/>
    <cellStyle name="ls" xfId="43"/>
    <cellStyle name="no dec" xfId="44"/>
    <cellStyle name="Normal" xfId="0" builtinId="0"/>
    <cellStyle name="Normal - Style1" xfId="45"/>
    <cellStyle name="Normal 2" xfId="46"/>
    <cellStyle name="Normal 2 2" xfId="73"/>
    <cellStyle name="Normal 2 2 2" xfId="74"/>
    <cellStyle name="Normal 2 2 2 2" xfId="75"/>
    <cellStyle name="Normal 2 3" xfId="76"/>
    <cellStyle name="Normal 2 4" xfId="77"/>
    <cellStyle name="Normal 2 5" xfId="78"/>
    <cellStyle name="Normal 3" xfId="47"/>
    <cellStyle name="Normal 3 2" xfId="89"/>
    <cellStyle name="Normal 4" xfId="48"/>
    <cellStyle name="Normal 4 2" xfId="79"/>
    <cellStyle name="Normal 4 3" xfId="80"/>
    <cellStyle name="Normal 4 4" xfId="90"/>
    <cellStyle name="Normal 5" xfId="49"/>
    <cellStyle name="Normal 5 2" xfId="81"/>
    <cellStyle name="Normal 5 3" xfId="82"/>
    <cellStyle name="Normal 6" xfId="83"/>
    <cellStyle name="Normal 7" xfId="91"/>
    <cellStyle name="Normal 8" xfId="95"/>
    <cellStyle name="Normal_Sheet2" xfId="3"/>
    <cellStyle name="original cost" xfId="50"/>
    <cellStyle name="Percent" xfId="2" builtinId="5"/>
    <cellStyle name="Percent [2]" xfId="51"/>
    <cellStyle name="Percent 2" xfId="52"/>
    <cellStyle name="Percent 3" xfId="53"/>
    <cellStyle name="Percent 3 2" xfId="84"/>
    <cellStyle name="Percent 3 3" xfId="85"/>
    <cellStyle name="Percent 4" xfId="92"/>
    <cellStyle name="Percent 5" xfId="93"/>
    <cellStyle name="Percent 6" xfId="97"/>
    <cellStyle name="pObj" xfId="54"/>
    <cellStyle name="Reset range style to defaults" xfId="55"/>
    <cellStyle name="RevList" xfId="56"/>
    <cellStyle name="sion Log" xfId="57"/>
    <cellStyle name="Style 1" xfId="58"/>
    <cellStyle name="Subtotal" xfId="59"/>
    <cellStyle name="TextNormal" xfId="60"/>
    <cellStyle name="totalmarch" xfId="61"/>
    <cellStyle name="umentSummaryInformation" xfId="62"/>
    <cellStyle name="ummaryInformation" xfId="63"/>
    <cellStyle name="즠¢➲b진¢⟂b짬¢⟒b쨈¢⟢b阨¢⟲b限¢⠂b陴¢⠒b隠¢⠢b雄¢⠲bBook" xfId="64"/>
    <cellStyle name="篌¢␢b捠¢␲b_x0001_CompObj" xfId="65"/>
    <cellStyle name="籄¢⒒b粰¢⒢b糤¢⒲b経¢Ⓜb撬¢ⓒb擤¢ⓢb攨¢⓲b敜¢│b斔¢┒b絴¢┢b綜¢┲bCtls" xfId="66"/>
    <cellStyle name="纐¢◒b纴¢◢b绘¢◲b缐¢☂b钰¢☒b铰¢☢b锘¢☲bRevision Log" xfId="67"/>
    <cellStyle name="鐄¢▂b鐴¢▒b鑜¢▢b针¢▲b繜¢◂b纐¢◒b纴¢◢b绘¢◲b缐¢☂b钰¢☒b铰¢☢b锘¢☲bRevision Log" xfId="68"/>
    <cellStyle name="門¢⚲b閤¢⛂b闼¢⛒b⯐¤⛢b⯴¤⛲b哔£✂b哸£✒b啐£✢b啴£✲bUser Names" xfId="69"/>
    <cellStyle name="陴¢⠒b隠¢⠢b雄¢⠲bBook" xfId="7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il\c\SAPpc\ccrcop01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iya/Work/Workings%20-%20priya%20for%20CDM/DGEN%20PDD/DGEN%20PDD%20models/IRR%20Calculation.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Work\Workings%20-%20priya%20for%20CDM\Benchmark%20Analysis\IRR%20Calculation.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ppili\c\Monthly%20P&amp;L\May'01\provisional%20P&amp;L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ppili\c\My%20Documents\15th%20shipment\calculation%20sheet%20-%20provisio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ndranil\c\UPPILI\december\Provisional%20Profit%20&amp;Loss%20account-till%20d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areek\c\SAPpc\pmp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Desktop\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CT%20P&amp;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khilesh\akhilesh_c\uppili\BUDGET%2000-01\refinery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ant\d\MIS%202003-04\Mis-Copper-April%20200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s-ddc\c\Emails\Dipak\CarbonblackM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areek\c\SAPpc\CC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ppili\c\Monthly%20P&amp;L\sept'00\profit%20&amp;%20loss%20accoun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0040\LOCALS~1\Temp\Purta%20Main%20&amp;%20Monthlly%20%200506%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nancial Perfor"/>
      <sheetName val="Top Sheet"/>
      <sheetName val="Assumptions"/>
      <sheetName val="prs"/>
      <sheetName val="Stores"/>
      <sheetName val="Petroleum"/>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Benchmark Calculation"/>
      <sheetName val="T119"/>
      <sheetName val="Beta Value"/>
      <sheetName val="BSE-500"/>
      <sheetName val="Summary"/>
    </sheetNames>
    <sheetDataSet>
      <sheetData sheetId="0"/>
      <sheetData sheetId="1"/>
      <sheetData sheetId="2">
        <row r="26">
          <cell r="C26">
            <v>1283.0999999999999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ssumption"/>
      <sheetName val="depre"/>
      <sheetName val="term loan "/>
      <sheetName val="fuel"/>
      <sheetName val="Sheet1"/>
      <sheetName val="Fuel Pricing"/>
      <sheetName val="Financials-Project IRR - change"/>
      <sheetName val="Tax without CDM "/>
      <sheetName val="Financials-PIRR with CDM change"/>
      <sheetName val="Tax with CDM"/>
      <sheetName val="WACC"/>
      <sheetName val="Financials-Equity IRR"/>
      <sheetName val="Financials-Equity with CDM"/>
      <sheetName val="Financials with CDM"/>
      <sheetName val="ROE for Benchmark Calculation"/>
      <sheetName val="T119"/>
      <sheetName val="Beta Value"/>
      <sheetName val="BSE-500"/>
      <sheetName val="Summary"/>
      <sheetName val="Beta Screenshots"/>
      <sheetName val="Benchmark Calculation"/>
      <sheetName val="Sensitivity"/>
      <sheetName val="term loan - for CDM"/>
      <sheetName val="fixed cost"/>
      <sheetName val="Tax"/>
      <sheetName val="Tax for PIRR - change"/>
      <sheetName val="Tax for PIRR - with CDM change"/>
      <sheetName val="Tax for EIRR "/>
      <sheetName val="Tax for EIRR with CDM"/>
      <sheetName val="Beta by Bloomberg"/>
      <sheetName val="Beta of power companies"/>
      <sheetName val="power companies share prices fo"/>
      <sheetName val="POWER-1"/>
      <sheetName val="Beta on bse 500"/>
      <sheetName val="Sheet3"/>
      <sheetName val="Financials-Project IRR"/>
      <sheetName val="Tax for IRR"/>
      <sheetName val="Financials-Project IRR with CDM"/>
      <sheetName val="Tax for IRR - with CDM"/>
      <sheetName val="Sheet8"/>
      <sheetName val="YEARLY SENSEX DATA"/>
      <sheetName val="Nifty values"/>
      <sheetName val="Beta, RRR-sensex"/>
      <sheetName val="Sheet1 (2)"/>
      <sheetName val="Sheet7"/>
      <sheetName val="Sheet9"/>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FWP "/>
      <sheetName val="CASHFLOW "/>
      <sheetName val="Sheet3"/>
      <sheetName val="CONTANGO (3)"/>
      <sheetName val="margin."/>
      <sheetName val="workings"/>
      <sheetName val="PM VALUE TABLE"/>
      <sheetName val="Break up of RMcost"/>
      <sheetName val="RawmaterialCost"/>
      <sheetName val="RM cons adj"/>
      <sheetName val="sales"/>
      <sheetName val="P &amp; L"/>
    </sheetNames>
    <sheetDataSet>
      <sheetData sheetId="0"/>
      <sheetData sheetId="1"/>
      <sheetData sheetId="2"/>
      <sheetData sheetId="3"/>
      <sheetData sheetId="4" refreshError="1">
        <row r="17">
          <cell r="I17">
            <v>-46027.598784338683</v>
          </cell>
        </row>
      </sheetData>
      <sheetData sheetId="5"/>
      <sheetData sheetId="6"/>
      <sheetData sheetId="7"/>
      <sheetData sheetId="8"/>
      <sheetData sheetId="9"/>
      <sheetData sheetId="10"/>
      <sheetData sheetId="1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da"/>
      <sheetName val="lot no 86"/>
      <sheetName val="lot no 87"/>
      <sheetName val="lot no 88"/>
      <sheetName val="lot no 89"/>
      <sheetName val="lot no 90"/>
      <sheetName val="lot no 91"/>
      <sheetName val="lot no 92"/>
      <sheetName val="lot no 93"/>
      <sheetName val="lot no 94"/>
      <sheetName val="TOTAL"/>
      <sheetName val="EXPORTS-FIN-FINPERF"/>
      <sheetName val="IMP-FP"/>
      <sheetName val="FP -Import"/>
      <sheetName val="Finance _PAP"/>
      <sheetName val="Finan- SMT"/>
      <sheetName val="Finan- sap"/>
      <sheetName val="Fin-CPP"/>
      <sheetName val="Chpd Variance"/>
      <sheetName val="MKT (2)"/>
      <sheetName val="CCR FP (2)"/>
      <sheetName val="Ref FP (2)"/>
      <sheetName val="ACP (2)"/>
      <sheetName val="PM (2)"/>
    </sheetNames>
    <sheetDataSet>
      <sheetData sheetId="0" refreshError="1"/>
      <sheetData sheetId="1" refreshError="1">
        <row r="28">
          <cell r="K28">
            <v>583.70000000000005</v>
          </cell>
        </row>
        <row r="29">
          <cell r="K29">
            <v>735.35</v>
          </cell>
        </row>
        <row r="31">
          <cell r="K31">
            <v>1934.8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ummary (2)"/>
      <sheetName val="Sheet2"/>
      <sheetName val="margin working"/>
      <sheetName val="CONTANGO (2)"/>
      <sheetName val="CASHFLOW lacs"/>
      <sheetName val="P &amp; L (2)"/>
      <sheetName val="margin."/>
      <sheetName val="workings"/>
      <sheetName val="PM VALUE TABLE"/>
      <sheetName val="Break up of RMcost"/>
      <sheetName val="RawmaterialCost"/>
      <sheetName val="P &amp; L"/>
      <sheetName val="Sheet3"/>
      <sheetName val="Sheet1"/>
      <sheetName val="variance till date"/>
      <sheetName val="FWP"/>
      <sheetName val="sales"/>
      <sheetName val="P &amp; L (3)"/>
      <sheetName val="P &amp; L pareek"/>
      <sheetName val="nord"/>
      <sheetName val="summary-new"/>
    </sheetNames>
    <sheetDataSet>
      <sheetData sheetId="0" refreshError="1"/>
      <sheetData sheetId="1" refreshError="1"/>
      <sheetData sheetId="2" refreshError="1"/>
      <sheetData sheetId="3" refreshError="1"/>
      <sheetData sheetId="4" refreshError="1"/>
      <sheetData sheetId="5" refreshError="1"/>
      <sheetData sheetId="6" refreshError="1">
        <row r="4">
          <cell r="L4">
            <v>46.25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CONSUMPTION"/>
      <sheetName val="PROCESS LOSS"/>
      <sheetName val="margin."/>
      <sheetName val="DETAILS"/>
      <sheetName val="marginRawmaterialCost"/>
      <sheetName val="July'00"/>
      <sheetName val="GOLD SILVER"/>
      <sheetName val="calculation"/>
      <sheetName val="CONTANGO"/>
      <sheetName val="P &amp; L"/>
      <sheetName val="CASHFLOW lacs"/>
    </sheetNames>
    <sheetDataSet>
      <sheetData sheetId="0" refreshError="1"/>
      <sheetData sheetId="1" refreshError="1"/>
      <sheetData sheetId="2" refreshError="1"/>
      <sheetData sheetId="3" refreshError="1">
        <row r="5">
          <cell r="C5">
            <v>32.150722587490151</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 val="Details"/>
      <sheetName val="margin."/>
      <sheetName val="CONTANGO"/>
      <sheetName val="Book1"/>
      <sheetName val="#REF"/>
      <sheetName val="REFNCOMPARE"/>
      <sheetName val="Cons-Division"/>
      <sheetName val="CVK p&amp;L"/>
      <sheetName val="lot no 86"/>
      <sheetName val="Sales &amp;Sale Cost"/>
      <sheetName val="Stock Cal"/>
      <sheetName val="Lme-REV"/>
      <sheetName val="CU-P&amp;L-Work"/>
      <sheetName val="GROUPING"/>
      <sheetName val="rawmat break up"/>
      <sheetName val="cell rel"/>
      <sheetName val="Contract Details"/>
      <sheetName val="COST SHEET"/>
      <sheetName val="OTHER RM"/>
      <sheetName val="assumption"/>
      <sheetName val="BREAKUP"/>
      <sheetName val="Top Sheet"/>
      <sheetName val="Break up of RMcost"/>
      <sheetName val="YTD (2)"/>
      <sheetName val="March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4"/>
      <sheetName val="CASHFLOW lacs"/>
      <sheetName val="CONTANGO (2)"/>
      <sheetName val="reasons"/>
      <sheetName val="variance till date"/>
      <sheetName val="P &amp; L (2)"/>
      <sheetName val="TOTAL"/>
      <sheetName val="workings"/>
      <sheetName val="margin."/>
      <sheetName val="PM VALUE TABLE"/>
      <sheetName val="Break up of RMcost"/>
      <sheetName val="Raw MaterialCost"/>
      <sheetName val="P &amp; L"/>
      <sheetName val="Sheet2"/>
      <sheetName val="P &amp; L revised"/>
      <sheetName val="P &amp; L (4)"/>
      <sheetName val="P &amp; L pareek"/>
      <sheetName val="nord"/>
      <sheetName val="summary-new"/>
    </sheetNames>
    <sheetDataSet>
      <sheetData sheetId="0"/>
      <sheetData sheetId="1"/>
      <sheetData sheetId="2"/>
      <sheetData sheetId="3"/>
      <sheetData sheetId="4"/>
      <sheetData sheetId="5"/>
      <sheetData sheetId="6"/>
      <sheetData sheetId="7"/>
      <sheetData sheetId="8"/>
      <sheetData sheetId="9"/>
      <sheetData sheetId="10" refreshError="1">
        <row r="5">
          <cell r="D5">
            <v>31.1035</v>
          </cell>
        </row>
      </sheetData>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etails"/>
      <sheetName val="PACKING"/>
      <sheetName val="cell house"/>
      <sheetName val="slime&amp;purification (2)"/>
      <sheetName val="PREC"/>
      <sheetName val="REFLAB"/>
      <sheetName val="ISO"/>
      <sheetName val="PKG"/>
      <sheetName val="WATP"/>
      <sheetName val="COMP"/>
      <sheetName val="BOIHOU"/>
      <sheetName val="MATL"/>
      <sheetName val="REFINS"/>
      <sheetName val="REFMEC"/>
      <sheetName val="REFELE"/>
      <sheetName val="CELLHOU"/>
      <sheetName val="SLMPUR"/>
      <sheetName val="CAPITAL"/>
      <sheetName val="UPKEEP"/>
      <sheetName val="SAFETY"/>
      <sheetName val="POWER (2)"/>
      <sheetName val="POWER (3)"/>
      <sheetName val="Sheet2"/>
      <sheetName val="anex-power (2)"/>
      <sheetName val="norms"/>
      <sheetName val="TOP"/>
      <sheetName val="assumption"/>
      <sheetName val="P&amp;l"/>
      <sheetName val="power final"/>
      <sheetName val="Summery"/>
      <sheetName val="refinery"/>
      <sheetName val="elec-1"/>
      <sheetName val="elec-2"/>
      <sheetName val="elec-4"/>
      <sheetName val="elec-6"/>
      <sheetName val="elec-5"/>
      <sheetName val="elec-7"/>
      <sheetName val="elec-3"/>
    </sheetNames>
    <sheetDataSet>
      <sheetData sheetId="0" refreshError="1">
        <row r="156">
          <cell r="D156">
            <v>2070300</v>
          </cell>
        </row>
        <row r="187">
          <cell r="D187">
            <v>14070668.216039279</v>
          </cell>
        </row>
        <row r="195">
          <cell r="D195">
            <v>1342087.3846153845</v>
          </cell>
        </row>
        <row r="205">
          <cell r="D205">
            <v>585253.84615384613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pper P&amp;L FTM"/>
      <sheetName val="Copper P&amp;L YTD"/>
      <sheetName val="SIIL-P&amp;L-FTM"/>
      <sheetName val="SIIL-P&amp;L-YTD"/>
      <sheetName val="BS Final"/>
      <sheetName val="FI-New"/>
      <sheetName val="Mfg admin SIIL"/>
      <sheetName val="Mfg admin final-Copper"/>
      <sheetName val="Sheet1"/>
      <sheetName val="Cu-P&amp;L"/>
      <sheetName val="Sales"/>
      <sheetName val="Conc"/>
      <sheetName val="Mfg &amp; Adm-Consol"/>
      <sheetName val="Mfg &amp; Adm-Others"/>
      <sheetName val="Mfg &amp; Adm-COPPER"/>
      <sheetName val="Bud P&amp;L-Work YTD"/>
      <sheetName val="Bud P&amp;L-Work FTM"/>
      <sheetName val="Fund Inv."/>
      <sheetName val="CLBS"/>
      <sheetName val="Variables"/>
      <sheetName val="Budget P&amp;L-Worksheet"/>
      <sheetName val="Fund Inv"/>
      <sheetName val="TUTY FI"/>
      <sheetName val="TUTY BS"/>
      <sheetName val="Mfg admin final"/>
      <sheetName val="Mfg admin Consol"/>
      <sheetName val="Mfg admin others"/>
      <sheetName val="Mfg admin Copper"/>
      <sheetName val="CVK-BS-fUND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v>100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dt"/>
      <sheetName val="Report Setup Sheet"/>
      <sheetName val="Business Summary Financial"/>
      <sheetName val="Unit Breakup"/>
      <sheetName val="Segment"/>
      <sheetName val="Ughai"/>
      <sheetName val="KPM"/>
      <sheetName val="Project Progress"/>
      <sheetName val="Initiative Progress"/>
      <sheetName val="Business Position Paper"/>
      <sheetName val="Consolidated Business"/>
      <sheetName val="Unit1"/>
      <sheetName val="Unit2"/>
      <sheetName val="Unit3"/>
      <sheetName val="Unit4"/>
      <sheetName val="Unit5"/>
      <sheetName val="Unit6"/>
      <sheetName val="Unit7"/>
      <sheetName val="Unit8"/>
      <sheetName val="Unit9"/>
      <sheetName val="Unit10"/>
      <sheetName val="Unit11"/>
      <sheetName val="Unit12"/>
      <sheetName val="Unit13"/>
      <sheetName val="Unit14"/>
      <sheetName val="Unit15"/>
    </sheetNames>
    <sheetDataSet>
      <sheetData sheetId="0" refreshError="1"/>
      <sheetData sheetId="1" refreshError="1">
        <row r="50">
          <cell r="B50" t="str">
            <v>Carbon Black</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CRCOP"/>
      <sheetName val="REFNRY"/>
      <sheetName val="INDCOST"/>
      <sheetName val="INDANNEX"/>
      <sheetName val="CCRCOPAFTER"/>
      <sheetName val="CCRCOP AS IS"/>
      <sheetName val="SUMMARY CVK"/>
      <sheetName val="schedules"/>
      <sheetName val="assumptions"/>
      <sheetName val="Summery"/>
      <sheetName val="CCR "/>
      <sheetName val="REFNCOMPA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PROCESS LOSS"/>
      <sheetName val="CONSUMPTION"/>
      <sheetName val="margin."/>
      <sheetName val="PM VALUE TABLE"/>
      <sheetName val="DETAILS"/>
      <sheetName val="marginRawmaterialCost"/>
      <sheetName val="sep'00"/>
      <sheetName val="calculation"/>
      <sheetName val="CONTANGO"/>
      <sheetName val="CONTANGO (2)"/>
      <sheetName val="P &amp; L"/>
      <sheetName val="P &amp; L (2)"/>
      <sheetName val="Sheet2"/>
      <sheetName val="P &amp; L pareek"/>
      <sheetName val="nord"/>
      <sheetName val="CASHFLOW lacs"/>
      <sheetName val="operating performance"/>
      <sheetName val="Sheet1"/>
      <sheetName val="summary-new"/>
      <sheetName val="P &amp; L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8">
          <cell r="I38">
            <v>817606.62494253123</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LE04 vs Budget05"/>
      <sheetName val="Main Sheet"/>
      <sheetName val="Monthly Break Up"/>
      <sheetName val="Detail Working"/>
      <sheetName val=" MonthhlyWORKING"/>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ndianexpress.com/news/govt-allocates-kgd6-gas-to-power-sector/445266/" TargetMode="External"/><Relationship Id="rId2" Type="http://schemas.openxmlformats.org/officeDocument/2006/relationships/hyperlink" Target="http://energytechnologyexpert.com/financial-models/how-to-evaluate-economic-feasibility-of-a-power-plant-project-use-project-finance-model/" TargetMode="External"/><Relationship Id="rId1" Type="http://schemas.openxmlformats.org/officeDocument/2006/relationships/printerSettings" Target="../printerSettings/printerSettings1.bin"/><Relationship Id="rId5" Type="http://schemas.openxmlformats.org/officeDocument/2006/relationships/printerSettings" Target="../printerSettings/printerSettings2.bin"/><Relationship Id="rId4" Type="http://schemas.openxmlformats.org/officeDocument/2006/relationships/hyperlink" Target="http://wtocentre.iift.ac.in/DOC/subsidies%20discipline%20final%20report-Natural%20resourse%20Pricing1.pdf%20%20(Page%20No.%207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sheetPr codeName="Sheet1">
    <pageSetUpPr fitToPage="1"/>
  </sheetPr>
  <dimension ref="A1:E81"/>
  <sheetViews>
    <sheetView tabSelected="1" topLeftCell="A5" workbookViewId="0">
      <selection activeCell="A14" sqref="A14:C14"/>
    </sheetView>
  </sheetViews>
  <sheetFormatPr defaultRowHeight="15"/>
  <cols>
    <col min="1" max="1" width="10.42578125" style="6" bestFit="1" customWidth="1"/>
    <col min="2" max="2" width="9.140625" style="6"/>
    <col min="3" max="3" width="47.7109375" style="6" customWidth="1"/>
    <col min="4" max="4" width="10.42578125" style="6" bestFit="1" customWidth="1"/>
    <col min="5" max="5" width="169.85546875" style="6" bestFit="1" customWidth="1"/>
    <col min="6" max="16384" width="9.140625" style="6"/>
  </cols>
  <sheetData>
    <row r="1" spans="1:5">
      <c r="A1" s="173"/>
      <c r="B1" s="173"/>
      <c r="C1" s="173"/>
      <c r="D1" s="173"/>
      <c r="E1" s="173"/>
    </row>
    <row r="2" spans="1:5">
      <c r="A2" s="172"/>
      <c r="B2" s="172"/>
      <c r="C2" s="172"/>
      <c r="D2" s="172"/>
      <c r="E2" s="172"/>
    </row>
    <row r="3" spans="1:5">
      <c r="A3" s="162" t="s">
        <v>40</v>
      </c>
      <c r="B3" s="163"/>
      <c r="C3" s="163"/>
      <c r="D3" s="64" t="s">
        <v>160</v>
      </c>
      <c r="E3" s="65" t="s">
        <v>158</v>
      </c>
    </row>
    <row r="4" spans="1:5">
      <c r="A4" s="153" t="s">
        <v>191</v>
      </c>
      <c r="B4" s="154"/>
      <c r="C4" s="155"/>
      <c r="D4" s="7">
        <v>382.5</v>
      </c>
      <c r="E4" s="167" t="s">
        <v>298</v>
      </c>
    </row>
    <row r="5" spans="1:5">
      <c r="A5" s="153" t="s">
        <v>179</v>
      </c>
      <c r="B5" s="154"/>
      <c r="C5" s="155"/>
      <c r="D5" s="7">
        <v>1</v>
      </c>
      <c r="E5" s="167"/>
    </row>
    <row r="6" spans="1:5">
      <c r="A6" s="153" t="s">
        <v>50</v>
      </c>
      <c r="B6" s="154"/>
      <c r="C6" s="155"/>
      <c r="D6" s="7">
        <f>D5*D4</f>
        <v>382.5</v>
      </c>
      <c r="E6" s="167"/>
    </row>
    <row r="7" spans="1:5">
      <c r="A7" s="171"/>
      <c r="B7" s="171"/>
      <c r="C7" s="171"/>
      <c r="D7" s="171"/>
      <c r="E7" s="171"/>
    </row>
    <row r="8" spans="1:5">
      <c r="A8" s="172"/>
      <c r="B8" s="172"/>
      <c r="C8" s="172"/>
      <c r="D8" s="172"/>
      <c r="E8" s="172"/>
    </row>
    <row r="9" spans="1:5">
      <c r="A9" s="153" t="s">
        <v>237</v>
      </c>
      <c r="B9" s="154"/>
      <c r="C9" s="155"/>
      <c r="D9" s="8">
        <f>D10/D6</f>
        <v>46.839111111111109</v>
      </c>
      <c r="E9" s="167" t="s">
        <v>299</v>
      </c>
    </row>
    <row r="10" spans="1:5">
      <c r="A10" s="156" t="s">
        <v>238</v>
      </c>
      <c r="B10" s="156"/>
      <c r="C10" s="156"/>
      <c r="D10" s="8">
        <f>17915.96*(1+'Sensitivity Analysis'!$B$4)</f>
        <v>17915.96</v>
      </c>
      <c r="E10" s="167"/>
    </row>
    <row r="11" spans="1:5">
      <c r="A11" s="161"/>
      <c r="B11" s="161"/>
      <c r="C11" s="161"/>
      <c r="D11" s="161"/>
      <c r="E11" s="161"/>
    </row>
    <row r="12" spans="1:5">
      <c r="A12" s="166" t="s">
        <v>41</v>
      </c>
      <c r="B12" s="166"/>
      <c r="C12" s="166"/>
      <c r="D12" s="166"/>
      <c r="E12" s="166"/>
    </row>
    <row r="13" spans="1:5" ht="30">
      <c r="A13" s="156" t="s">
        <v>35</v>
      </c>
      <c r="B13" s="165"/>
      <c r="C13" s="165"/>
      <c r="D13" s="9">
        <v>0.12</v>
      </c>
      <c r="E13" s="148" t="s">
        <v>300</v>
      </c>
    </row>
    <row r="14" spans="1:5">
      <c r="A14" s="156" t="s">
        <v>301</v>
      </c>
      <c r="B14" s="156"/>
      <c r="C14" s="156"/>
      <c r="D14" s="131">
        <v>11</v>
      </c>
      <c r="E14" s="167" t="s">
        <v>216</v>
      </c>
    </row>
    <row r="15" spans="1:5">
      <c r="A15" s="156" t="s">
        <v>38</v>
      </c>
      <c r="B15" s="165"/>
      <c r="C15" s="165"/>
      <c r="D15" s="11">
        <v>4</v>
      </c>
      <c r="E15" s="167"/>
    </row>
    <row r="16" spans="1:5">
      <c r="A16" s="156" t="s">
        <v>36</v>
      </c>
      <c r="B16" s="165"/>
      <c r="C16" s="165"/>
      <c r="D16" s="132">
        <f>D14*D15</f>
        <v>44</v>
      </c>
      <c r="E16" s="167"/>
    </row>
    <row r="17" spans="1:5">
      <c r="A17" s="156" t="s">
        <v>239</v>
      </c>
      <c r="B17" s="165"/>
      <c r="C17" s="165"/>
      <c r="D17" s="12">
        <f>(D10*0.7)/D16</f>
        <v>285.02663636363633</v>
      </c>
      <c r="E17" s="167"/>
    </row>
    <row r="18" spans="1:5">
      <c r="A18" s="156" t="s">
        <v>240</v>
      </c>
      <c r="B18" s="165"/>
      <c r="C18" s="165"/>
      <c r="D18" s="12">
        <f>D17*4</f>
        <v>1140.1065454545453</v>
      </c>
      <c r="E18" s="167"/>
    </row>
    <row r="19" spans="1:5">
      <c r="A19" s="171"/>
      <c r="B19" s="171"/>
      <c r="C19" s="171"/>
      <c r="D19" s="171"/>
      <c r="E19" s="171"/>
    </row>
    <row r="20" spans="1:5">
      <c r="A20" s="172"/>
      <c r="B20" s="172"/>
      <c r="C20" s="172"/>
      <c r="D20" s="172"/>
      <c r="E20" s="172"/>
    </row>
    <row r="21" spans="1:5">
      <c r="A21" s="166" t="s">
        <v>30</v>
      </c>
      <c r="B21" s="166"/>
      <c r="C21" s="166"/>
      <c r="D21" s="166"/>
      <c r="E21" s="166"/>
    </row>
    <row r="22" spans="1:5">
      <c r="A22" s="156" t="s">
        <v>279</v>
      </c>
      <c r="B22" s="165"/>
      <c r="C22" s="165"/>
      <c r="D22" s="11">
        <v>364</v>
      </c>
      <c r="E22" s="10" t="s">
        <v>302</v>
      </c>
    </row>
    <row r="23" spans="1:5">
      <c r="A23" s="149" t="s">
        <v>280</v>
      </c>
      <c r="B23" s="149"/>
      <c r="C23" s="149"/>
      <c r="D23" s="11">
        <v>365</v>
      </c>
      <c r="E23" s="10"/>
    </row>
    <row r="24" spans="1:5">
      <c r="A24" s="171"/>
      <c r="B24" s="171"/>
      <c r="C24" s="171"/>
      <c r="D24" s="171"/>
      <c r="E24" s="171"/>
    </row>
    <row r="25" spans="1:5">
      <c r="A25" s="172"/>
      <c r="B25" s="172"/>
      <c r="C25" s="172"/>
      <c r="D25" s="172"/>
      <c r="E25" s="172"/>
    </row>
    <row r="26" spans="1:5">
      <c r="A26" s="162" t="s">
        <v>55</v>
      </c>
      <c r="B26" s="163"/>
      <c r="C26" s="163"/>
      <c r="D26" s="163"/>
      <c r="E26" s="164"/>
    </row>
    <row r="27" spans="1:5" ht="15" customHeight="1">
      <c r="A27" s="150" t="s">
        <v>54</v>
      </c>
      <c r="B27" s="157"/>
      <c r="C27" s="158"/>
      <c r="D27" s="9">
        <v>5.28E-2</v>
      </c>
      <c r="E27" s="105" t="s">
        <v>192</v>
      </c>
    </row>
    <row r="28" spans="1:5">
      <c r="A28" s="150" t="s">
        <v>60</v>
      </c>
      <c r="B28" s="157"/>
      <c r="C28" s="158"/>
      <c r="D28" s="9">
        <v>0.1</v>
      </c>
      <c r="E28" s="105" t="s">
        <v>193</v>
      </c>
    </row>
    <row r="29" spans="1:5">
      <c r="A29" s="150" t="s">
        <v>61</v>
      </c>
      <c r="B29" s="157"/>
      <c r="C29" s="158"/>
      <c r="D29" s="13">
        <f>1-D28</f>
        <v>0.9</v>
      </c>
      <c r="E29" s="105" t="s">
        <v>193</v>
      </c>
    </row>
    <row r="30" spans="1:5">
      <c r="A30" s="161"/>
      <c r="B30" s="161"/>
      <c r="C30" s="161"/>
      <c r="D30" s="161"/>
      <c r="E30" s="161"/>
    </row>
    <row r="31" spans="1:5">
      <c r="A31" s="162" t="s">
        <v>124</v>
      </c>
      <c r="B31" s="163"/>
      <c r="C31" s="163"/>
      <c r="D31" s="163"/>
      <c r="E31" s="164"/>
    </row>
    <row r="32" spans="1:5">
      <c r="A32" s="168" t="s">
        <v>123</v>
      </c>
      <c r="B32" s="169"/>
      <c r="C32" s="170"/>
      <c r="D32" s="9">
        <v>0.15</v>
      </c>
      <c r="E32" s="105" t="s">
        <v>209</v>
      </c>
    </row>
    <row r="33" spans="1:5">
      <c r="A33" s="168" t="s">
        <v>125</v>
      </c>
      <c r="B33" s="169"/>
      <c r="C33" s="170"/>
      <c r="D33" s="9">
        <v>5.28E-2</v>
      </c>
      <c r="E33" s="176" t="s">
        <v>174</v>
      </c>
    </row>
    <row r="34" spans="1:5">
      <c r="A34" s="150" t="str">
        <f>A28  &amp; " as per Companies Act, 1956"</f>
        <v>Salvage Value of Plant as per Companies Act, 1956</v>
      </c>
      <c r="B34" s="151"/>
      <c r="C34" s="152"/>
      <c r="D34" s="14">
        <v>0</v>
      </c>
      <c r="E34" s="177"/>
    </row>
    <row r="35" spans="1:5">
      <c r="A35" s="174"/>
      <c r="B35" s="175"/>
      <c r="C35" s="175"/>
      <c r="D35" s="175"/>
      <c r="E35" s="175"/>
    </row>
    <row r="36" spans="1:5">
      <c r="A36" s="149" t="s">
        <v>211</v>
      </c>
      <c r="B36" s="149"/>
      <c r="C36" s="149"/>
      <c r="D36" s="19">
        <v>0.1</v>
      </c>
      <c r="E36" s="127" t="s">
        <v>212</v>
      </c>
    </row>
    <row r="37" spans="1:5">
      <c r="A37" s="160"/>
      <c r="B37" s="161"/>
      <c r="C37" s="161"/>
      <c r="D37" s="161"/>
      <c r="E37" s="161"/>
    </row>
    <row r="38" spans="1:5">
      <c r="A38" s="150" t="s">
        <v>242</v>
      </c>
      <c r="B38" s="157"/>
      <c r="C38" s="158"/>
      <c r="D38" s="7">
        <v>46.68</v>
      </c>
      <c r="E38" s="176" t="s">
        <v>156</v>
      </c>
    </row>
    <row r="39" spans="1:5">
      <c r="A39" s="150" t="s">
        <v>243</v>
      </c>
      <c r="B39" s="157"/>
      <c r="C39" s="158"/>
      <c r="D39" s="7">
        <v>43.48</v>
      </c>
      <c r="E39" s="177"/>
    </row>
    <row r="40" spans="1:5">
      <c r="A40" s="150" t="s">
        <v>217</v>
      </c>
      <c r="B40" s="157"/>
      <c r="C40" s="158"/>
      <c r="D40" s="134">
        <f>DAYS360(DATE(2000,1,3),DATE(2009,12,31))/360</f>
        <v>9.9944444444444436</v>
      </c>
      <c r="E40" s="129" t="s">
        <v>218</v>
      </c>
    </row>
    <row r="41" spans="1:5">
      <c r="A41" s="149" t="s">
        <v>303</v>
      </c>
      <c r="B41" s="159"/>
      <c r="C41" s="159"/>
      <c r="D41" s="133">
        <f>1+ROUND((D38/D39)^(1/D40)-1,3)</f>
        <v>1.0069999999999999</v>
      </c>
      <c r="E41" s="16" t="s">
        <v>210</v>
      </c>
    </row>
    <row r="42" spans="1:5">
      <c r="A42" s="150" t="s">
        <v>215</v>
      </c>
      <c r="B42" s="151"/>
      <c r="C42" s="152"/>
      <c r="D42" s="17">
        <f>'Fuel Pricing'!B15*(1+'Sensitivity Analysis'!$B$2)</f>
        <v>6.35</v>
      </c>
      <c r="E42" s="15" t="s">
        <v>157</v>
      </c>
    </row>
    <row r="43" spans="1:5">
      <c r="A43" s="153" t="s">
        <v>224</v>
      </c>
      <c r="B43" s="154"/>
      <c r="C43" s="155"/>
      <c r="D43" s="17">
        <v>8100</v>
      </c>
      <c r="E43" s="135" t="s">
        <v>223</v>
      </c>
    </row>
    <row r="44" spans="1:5">
      <c r="A44" s="153" t="s">
        <v>222</v>
      </c>
      <c r="B44" s="154"/>
      <c r="C44" s="155"/>
      <c r="D44" s="17">
        <f>D43*D53</f>
        <v>8910</v>
      </c>
      <c r="E44" s="129" t="s">
        <v>221</v>
      </c>
    </row>
    <row r="45" spans="1:5">
      <c r="A45" s="153" t="s">
        <v>220</v>
      </c>
      <c r="B45" s="154"/>
      <c r="C45" s="155"/>
      <c r="D45" s="17">
        <v>9880</v>
      </c>
      <c r="E45" s="135" t="s">
        <v>219</v>
      </c>
    </row>
    <row r="46" spans="1:5">
      <c r="A46" s="150" t="s">
        <v>159</v>
      </c>
      <c r="B46" s="157"/>
      <c r="C46" s="158"/>
      <c r="D46" s="18">
        <f>D44*0.5+0.5*D45</f>
        <v>9395</v>
      </c>
      <c r="E46" s="129" t="s">
        <v>231</v>
      </c>
    </row>
    <row r="47" spans="1:5">
      <c r="A47" s="161"/>
      <c r="B47" s="161"/>
      <c r="C47" s="161"/>
      <c r="D47" s="161"/>
      <c r="E47" s="161"/>
    </row>
    <row r="48" spans="1:5">
      <c r="A48" s="162" t="s">
        <v>28</v>
      </c>
      <c r="B48" s="163"/>
      <c r="C48" s="163"/>
      <c r="D48" s="163"/>
      <c r="E48" s="164"/>
    </row>
    <row r="49" spans="1:5">
      <c r="A49" s="153" t="s">
        <v>241</v>
      </c>
      <c r="B49" s="154"/>
      <c r="C49" s="155"/>
      <c r="D49" s="114">
        <v>3.968</v>
      </c>
      <c r="E49" s="10" t="s">
        <v>49</v>
      </c>
    </row>
    <row r="50" spans="1:5">
      <c r="A50" s="149" t="s">
        <v>27</v>
      </c>
      <c r="B50" s="149"/>
      <c r="C50" s="149"/>
      <c r="D50" s="19">
        <f>85%*(1+'Sensitivity Analysis'!$B$3)</f>
        <v>0.85</v>
      </c>
      <c r="E50" s="106" t="s">
        <v>194</v>
      </c>
    </row>
    <row r="51" spans="1:5">
      <c r="A51" s="156" t="s">
        <v>225</v>
      </c>
      <c r="B51" s="156"/>
      <c r="C51" s="156"/>
      <c r="D51" s="131">
        <f>6527*(1+'Sensitivity Analysis'!$B$6)</f>
        <v>6527</v>
      </c>
      <c r="E51" s="10" t="s">
        <v>226</v>
      </c>
    </row>
    <row r="52" spans="1:5">
      <c r="A52" s="153" t="s">
        <v>227</v>
      </c>
      <c r="B52" s="154"/>
      <c r="C52" s="155"/>
      <c r="D52" s="136">
        <v>4.1859999999999999</v>
      </c>
      <c r="E52" s="105" t="s">
        <v>228</v>
      </c>
    </row>
    <row r="53" spans="1:5">
      <c r="A53" s="153" t="s">
        <v>229</v>
      </c>
      <c r="B53" s="154"/>
      <c r="C53" s="155"/>
      <c r="D53" s="131">
        <v>1.1000000000000001</v>
      </c>
      <c r="E53" s="105" t="s">
        <v>230</v>
      </c>
    </row>
    <row r="54" spans="1:5" ht="15" customHeight="1">
      <c r="A54" s="149" t="s">
        <v>26</v>
      </c>
      <c r="B54" s="149"/>
      <c r="C54" s="149"/>
      <c r="D54" s="14">
        <v>0.03</v>
      </c>
      <c r="E54" s="106" t="s">
        <v>195</v>
      </c>
    </row>
    <row r="55" spans="1:5">
      <c r="A55" s="149" t="s">
        <v>100</v>
      </c>
      <c r="B55" s="149"/>
      <c r="C55" s="149"/>
      <c r="D55" s="137">
        <f>ROUND(D51/D52*D53*(1-D54),2)</f>
        <v>1663.71</v>
      </c>
      <c r="E55" s="10" t="s">
        <v>232</v>
      </c>
    </row>
    <row r="56" spans="1:5">
      <c r="A56" s="149" t="s">
        <v>155</v>
      </c>
      <c r="B56" s="149"/>
      <c r="C56" s="149"/>
      <c r="D56" s="8">
        <v>1.05</v>
      </c>
      <c r="E56" s="106" t="s">
        <v>196</v>
      </c>
    </row>
    <row r="57" spans="1:5">
      <c r="A57" s="149" t="s">
        <v>181</v>
      </c>
      <c r="B57" s="149"/>
      <c r="C57" s="149"/>
      <c r="D57" s="8">
        <f>D55*D56</f>
        <v>1746.8955000000001</v>
      </c>
      <c r="E57" s="105" t="s">
        <v>197</v>
      </c>
    </row>
    <row r="58" spans="1:5">
      <c r="A58" s="161"/>
      <c r="B58" s="161"/>
      <c r="C58" s="161"/>
      <c r="D58" s="161"/>
      <c r="E58" s="161"/>
    </row>
    <row r="59" spans="1:5">
      <c r="A59" s="162" t="s">
        <v>29</v>
      </c>
      <c r="B59" s="163"/>
      <c r="C59" s="163"/>
      <c r="D59" s="163"/>
      <c r="E59" s="164"/>
    </row>
    <row r="60" spans="1:5" ht="15" customHeight="1">
      <c r="A60" s="149" t="s">
        <v>296</v>
      </c>
      <c r="B60" s="159"/>
      <c r="C60" s="159"/>
      <c r="D60" s="11">
        <f>1.849*(1+'Sensitivity Analysis'!$B$5)</f>
        <v>1.849</v>
      </c>
      <c r="E60" s="107" t="s">
        <v>198</v>
      </c>
    </row>
    <row r="61" spans="1:5">
      <c r="A61" s="149" t="s">
        <v>162</v>
      </c>
      <c r="B61" s="149"/>
      <c r="C61" s="149"/>
      <c r="D61" s="11">
        <v>1.0571999999999999</v>
      </c>
      <c r="E61" s="107" t="s">
        <v>198</v>
      </c>
    </row>
    <row r="62" spans="1:5">
      <c r="A62" s="149" t="s">
        <v>19</v>
      </c>
      <c r="B62" s="149"/>
      <c r="C62" s="149"/>
      <c r="D62" s="20">
        <v>0.155</v>
      </c>
      <c r="E62" s="107" t="s">
        <v>199</v>
      </c>
    </row>
    <row r="63" spans="1:5">
      <c r="A63" s="149" t="s">
        <v>163</v>
      </c>
      <c r="B63" s="159"/>
      <c r="C63" s="159"/>
      <c r="D63" s="11">
        <v>1.1019000000000001</v>
      </c>
      <c r="E63" s="129" t="s">
        <v>233</v>
      </c>
    </row>
    <row r="64" spans="1:5">
      <c r="A64" s="161"/>
      <c r="B64" s="161"/>
      <c r="C64" s="161"/>
      <c r="D64" s="161"/>
      <c r="E64" s="161"/>
    </row>
    <row r="65" spans="1:5">
      <c r="A65" s="162" t="s">
        <v>31</v>
      </c>
      <c r="B65" s="163"/>
      <c r="C65" s="163"/>
      <c r="D65" s="163"/>
      <c r="E65" s="164"/>
    </row>
    <row r="66" spans="1:5">
      <c r="A66" s="150" t="s">
        <v>32</v>
      </c>
      <c r="B66" s="151"/>
      <c r="C66" s="152"/>
      <c r="D66" s="13">
        <f>30/100*((1.1)*(1.03))</f>
        <v>0.33990000000000004</v>
      </c>
      <c r="E66" s="167" t="s">
        <v>297</v>
      </c>
    </row>
    <row r="67" spans="1:5">
      <c r="A67" s="150" t="s">
        <v>33</v>
      </c>
      <c r="B67" s="151"/>
      <c r="C67" s="152"/>
      <c r="D67" s="21">
        <f>15/100*(1.1*1.03)</f>
        <v>0.16995000000000002</v>
      </c>
      <c r="E67" s="167"/>
    </row>
    <row r="68" spans="1:5">
      <c r="A68" s="171"/>
      <c r="B68" s="171"/>
      <c r="C68" s="171"/>
      <c r="D68" s="171"/>
      <c r="E68" s="171"/>
    </row>
    <row r="69" spans="1:5">
      <c r="A69" s="172"/>
      <c r="B69" s="172"/>
      <c r="C69" s="172"/>
      <c r="D69" s="172"/>
      <c r="E69" s="172"/>
    </row>
    <row r="70" spans="1:5">
      <c r="A70" s="162" t="s">
        <v>57</v>
      </c>
      <c r="B70" s="163"/>
      <c r="C70" s="163"/>
      <c r="D70" s="163"/>
      <c r="E70" s="164"/>
    </row>
    <row r="71" spans="1:5">
      <c r="A71" s="149" t="s">
        <v>69</v>
      </c>
      <c r="B71" s="159"/>
      <c r="C71" s="159"/>
      <c r="D71" s="11">
        <v>2</v>
      </c>
      <c r="E71" s="106" t="s">
        <v>200</v>
      </c>
    </row>
    <row r="72" spans="1:5">
      <c r="A72" s="149" t="s">
        <v>43</v>
      </c>
      <c r="B72" s="149"/>
      <c r="C72" s="149"/>
      <c r="D72" s="11">
        <v>1</v>
      </c>
      <c r="E72" s="106" t="s">
        <v>200</v>
      </c>
    </row>
    <row r="73" spans="1:5">
      <c r="A73" s="149" t="s">
        <v>44</v>
      </c>
      <c r="B73" s="159"/>
      <c r="C73" s="159"/>
      <c r="D73" s="11">
        <v>1</v>
      </c>
      <c r="E73" s="106" t="s">
        <v>200</v>
      </c>
    </row>
    <row r="74" spans="1:5">
      <c r="A74" s="149" t="s">
        <v>56</v>
      </c>
      <c r="B74" s="149"/>
      <c r="C74" s="149"/>
      <c r="D74" s="14">
        <v>0.3</v>
      </c>
      <c r="E74" s="106" t="s">
        <v>200</v>
      </c>
    </row>
    <row r="75" spans="1:5" ht="30">
      <c r="A75" s="149" t="s">
        <v>34</v>
      </c>
      <c r="B75" s="149"/>
      <c r="C75" s="149"/>
      <c r="D75" s="13">
        <v>0.11749999999999999</v>
      </c>
      <c r="E75" s="105" t="s">
        <v>201</v>
      </c>
    </row>
    <row r="81" spans="1:1">
      <c r="A81" s="22"/>
    </row>
  </sheetData>
  <customSheetViews>
    <customSheetView guid="{6D27EB6A-3939-4201-8E4B-897AA8118F21}" scale="80" showPageBreaks="1" printArea="1" hiddenColumns="1" topLeftCell="A37">
      <selection activeCell="D50" sqref="D50"/>
      <colBreaks count="1" manualBreakCount="1">
        <brk id="9" max="111" man="1"/>
      </colBreaks>
      <pageMargins left="0.7" right="0.16" top="1" bottom="0.55000000000000004" header="0.5" footer="0.5"/>
      <pageSetup paperSize="9" scale="70" orientation="landscape" r:id="rId1"/>
      <headerFooter alignWithMargins="0"/>
    </customSheetView>
  </customSheetViews>
  <mergeCells count="76">
    <mergeCell ref="A47:E47"/>
    <mergeCell ref="A58:E58"/>
    <mergeCell ref="A64:E64"/>
    <mergeCell ref="A68:E69"/>
    <mergeCell ref="A1:E2"/>
    <mergeCell ref="A7:E8"/>
    <mergeCell ref="A11:E11"/>
    <mergeCell ref="A19:E20"/>
    <mergeCell ref="A24:E25"/>
    <mergeCell ref="A35:E35"/>
    <mergeCell ref="A36:C36"/>
    <mergeCell ref="A39:C39"/>
    <mergeCell ref="A40:C40"/>
    <mergeCell ref="E38:E39"/>
    <mergeCell ref="A43:C43"/>
    <mergeCell ref="E33:E34"/>
    <mergeCell ref="A33:C33"/>
    <mergeCell ref="A34:C34"/>
    <mergeCell ref="A75:C75"/>
    <mergeCell ref="A71:C71"/>
    <mergeCell ref="A74:C74"/>
    <mergeCell ref="A65:E65"/>
    <mergeCell ref="A59:E59"/>
    <mergeCell ref="A48:E48"/>
    <mergeCell ref="A73:C73"/>
    <mergeCell ref="E66:E67"/>
    <mergeCell ref="A70:E70"/>
    <mergeCell ref="A44:C44"/>
    <mergeCell ref="A45:C45"/>
    <mergeCell ref="A51:C51"/>
    <mergeCell ref="A52:C52"/>
    <mergeCell ref="A53:C53"/>
    <mergeCell ref="A3:C3"/>
    <mergeCell ref="A60:C60"/>
    <mergeCell ref="A61:C61"/>
    <mergeCell ref="A62:C62"/>
    <mergeCell ref="A63:C63"/>
    <mergeCell ref="A50:C50"/>
    <mergeCell ref="A55:C55"/>
    <mergeCell ref="A56:C56"/>
    <mergeCell ref="A29:C29"/>
    <mergeCell ref="A32:C32"/>
    <mergeCell ref="A22:C22"/>
    <mergeCell ref="A12:E12"/>
    <mergeCell ref="E4:E6"/>
    <mergeCell ref="E9:E10"/>
    <mergeCell ref="A5:C5"/>
    <mergeCell ref="A6:C6"/>
    <mergeCell ref="A4:C4"/>
    <mergeCell ref="A23:C23"/>
    <mergeCell ref="A27:C27"/>
    <mergeCell ref="A13:C13"/>
    <mergeCell ref="A16:C16"/>
    <mergeCell ref="A17:C17"/>
    <mergeCell ref="A18:C18"/>
    <mergeCell ref="A15:C15"/>
    <mergeCell ref="A26:E26"/>
    <mergeCell ref="A14:C14"/>
    <mergeCell ref="A21:E21"/>
    <mergeCell ref="E14:E18"/>
    <mergeCell ref="A72:C72"/>
    <mergeCell ref="A66:C66"/>
    <mergeCell ref="A67:C67"/>
    <mergeCell ref="A9:C9"/>
    <mergeCell ref="A10:C10"/>
    <mergeCell ref="A42:C42"/>
    <mergeCell ref="A54:C54"/>
    <mergeCell ref="A38:C38"/>
    <mergeCell ref="A41:C41"/>
    <mergeCell ref="A46:C46"/>
    <mergeCell ref="A49:C49"/>
    <mergeCell ref="A57:C57"/>
    <mergeCell ref="A37:E37"/>
    <mergeCell ref="A31:E31"/>
    <mergeCell ref="A28:C28"/>
    <mergeCell ref="A30:E30"/>
  </mergeCells>
  <phoneticPr fontId="6" type="noConversion"/>
  <hyperlinks>
    <hyperlink ref="E36" r:id="rId2"/>
    <hyperlink ref="E43" r:id="rId3"/>
    <hyperlink ref="E45" r:id="rId4"/>
  </hyperlinks>
  <pageMargins left="0.7" right="0.16" top="1" bottom="0.55000000000000004" header="0.5" footer="0.5"/>
  <pageSetup paperSize="9" scale="52" orientation="portrait" r:id="rId5"/>
  <headerFooter alignWithMargins="0"/>
</worksheet>
</file>

<file path=xl/worksheets/sheet10.xml><?xml version="1.0" encoding="utf-8"?>
<worksheet xmlns="http://schemas.openxmlformats.org/spreadsheetml/2006/main" xmlns:r="http://schemas.openxmlformats.org/officeDocument/2006/relationships">
  <sheetPr codeName="Sheet8">
    <pageSetUpPr fitToPage="1"/>
  </sheetPr>
  <dimension ref="A1:AA42"/>
  <sheetViews>
    <sheetView workbookViewId="0">
      <pane xSplit="2" ySplit="6" topLeftCell="C7" activePane="bottomRight" state="frozen"/>
      <selection activeCell="G11" sqref="G11"/>
      <selection pane="topRight" activeCell="G11" sqref="G11"/>
      <selection pane="bottomLeft" activeCell="G11" sqref="G11"/>
      <selection pane="bottomRight"/>
    </sheetView>
  </sheetViews>
  <sheetFormatPr defaultRowHeight="14.25" customHeight="1"/>
  <cols>
    <col min="1" max="1" width="27.42578125" style="37" customWidth="1"/>
    <col min="2" max="3" width="12.42578125" style="22" customWidth="1"/>
    <col min="4" max="5" width="11" style="22" bestFit="1" customWidth="1"/>
    <col min="6" max="6" width="11.7109375" style="22" bestFit="1" customWidth="1"/>
    <col min="7" max="8" width="11" style="22" bestFit="1" customWidth="1"/>
    <col min="9" max="10" width="11.7109375" style="22" bestFit="1" customWidth="1"/>
    <col min="11" max="21" width="11" style="22" bestFit="1" customWidth="1"/>
    <col min="22" max="27" width="10.28515625" style="22" bestFit="1" customWidth="1"/>
    <col min="28" max="256" width="9.140625" style="22"/>
    <col min="257" max="257" width="27.42578125" style="22" customWidth="1"/>
    <col min="258" max="258" width="12.42578125" style="22" customWidth="1"/>
    <col min="259" max="259" width="12.28515625" style="22" bestFit="1" customWidth="1"/>
    <col min="260" max="268" width="8.42578125" style="22" customWidth="1"/>
    <col min="269" max="512" width="9.140625" style="22"/>
    <col min="513" max="513" width="27.42578125" style="22" customWidth="1"/>
    <col min="514" max="514" width="12.42578125" style="22" customWidth="1"/>
    <col min="515" max="515" width="12.28515625" style="22" bestFit="1" customWidth="1"/>
    <col min="516" max="524" width="8.42578125" style="22" customWidth="1"/>
    <col min="525" max="768" width="9.140625" style="22"/>
    <col min="769" max="769" width="27.42578125" style="22" customWidth="1"/>
    <col min="770" max="770" width="12.42578125" style="22" customWidth="1"/>
    <col min="771" max="771" width="12.28515625" style="22" bestFit="1" customWidth="1"/>
    <col min="772" max="780" width="8.42578125" style="22" customWidth="1"/>
    <col min="781" max="1024" width="9.140625" style="22"/>
    <col min="1025" max="1025" width="27.42578125" style="22" customWidth="1"/>
    <col min="1026" max="1026" width="12.42578125" style="22" customWidth="1"/>
    <col min="1027" max="1027" width="12.28515625" style="22" bestFit="1" customWidth="1"/>
    <col min="1028" max="1036" width="8.42578125" style="22" customWidth="1"/>
    <col min="1037" max="1280" width="9.140625" style="22"/>
    <col min="1281" max="1281" width="27.42578125" style="22" customWidth="1"/>
    <col min="1282" max="1282" width="12.42578125" style="22" customWidth="1"/>
    <col min="1283" max="1283" width="12.28515625" style="22" bestFit="1" customWidth="1"/>
    <col min="1284" max="1292" width="8.42578125" style="22" customWidth="1"/>
    <col min="1293" max="1536" width="9.140625" style="22"/>
    <col min="1537" max="1537" width="27.42578125" style="22" customWidth="1"/>
    <col min="1538" max="1538" width="12.42578125" style="22" customWidth="1"/>
    <col min="1539" max="1539" width="12.28515625" style="22" bestFit="1" customWidth="1"/>
    <col min="1540" max="1548" width="8.42578125" style="22" customWidth="1"/>
    <col min="1549" max="1792" width="9.140625" style="22"/>
    <col min="1793" max="1793" width="27.42578125" style="22" customWidth="1"/>
    <col min="1794" max="1794" width="12.42578125" style="22" customWidth="1"/>
    <col min="1795" max="1795" width="12.28515625" style="22" bestFit="1" customWidth="1"/>
    <col min="1796" max="1804" width="8.42578125" style="22" customWidth="1"/>
    <col min="1805" max="2048" width="9.140625" style="22"/>
    <col min="2049" max="2049" width="27.42578125" style="22" customWidth="1"/>
    <col min="2050" max="2050" width="12.42578125" style="22" customWidth="1"/>
    <col min="2051" max="2051" width="12.28515625" style="22" bestFit="1" customWidth="1"/>
    <col min="2052" max="2060" width="8.42578125" style="22" customWidth="1"/>
    <col min="2061" max="2304" width="9.140625" style="22"/>
    <col min="2305" max="2305" width="27.42578125" style="22" customWidth="1"/>
    <col min="2306" max="2306" width="12.42578125" style="22" customWidth="1"/>
    <col min="2307" max="2307" width="12.28515625" style="22" bestFit="1" customWidth="1"/>
    <col min="2308" max="2316" width="8.42578125" style="22" customWidth="1"/>
    <col min="2317" max="2560" width="9.140625" style="22"/>
    <col min="2561" max="2561" width="27.42578125" style="22" customWidth="1"/>
    <col min="2562" max="2562" width="12.42578125" style="22" customWidth="1"/>
    <col min="2563" max="2563" width="12.28515625" style="22" bestFit="1" customWidth="1"/>
    <col min="2564" max="2572" width="8.42578125" style="22" customWidth="1"/>
    <col min="2573" max="2816" width="9.140625" style="22"/>
    <col min="2817" max="2817" width="27.42578125" style="22" customWidth="1"/>
    <col min="2818" max="2818" width="12.42578125" style="22" customWidth="1"/>
    <col min="2819" max="2819" width="12.28515625" style="22" bestFit="1" customWidth="1"/>
    <col min="2820" max="2828" width="8.42578125" style="22" customWidth="1"/>
    <col min="2829" max="3072" width="9.140625" style="22"/>
    <col min="3073" max="3073" width="27.42578125" style="22" customWidth="1"/>
    <col min="3074" max="3074" width="12.42578125" style="22" customWidth="1"/>
    <col min="3075" max="3075" width="12.28515625" style="22" bestFit="1" customWidth="1"/>
    <col min="3076" max="3084" width="8.42578125" style="22" customWidth="1"/>
    <col min="3085" max="3328" width="9.140625" style="22"/>
    <col min="3329" max="3329" width="27.42578125" style="22" customWidth="1"/>
    <col min="3330" max="3330" width="12.42578125" style="22" customWidth="1"/>
    <col min="3331" max="3331" width="12.28515625" style="22" bestFit="1" customWidth="1"/>
    <col min="3332" max="3340" width="8.42578125" style="22" customWidth="1"/>
    <col min="3341" max="3584" width="9.140625" style="22"/>
    <col min="3585" max="3585" width="27.42578125" style="22" customWidth="1"/>
    <col min="3586" max="3586" width="12.42578125" style="22" customWidth="1"/>
    <col min="3587" max="3587" width="12.28515625" style="22" bestFit="1" customWidth="1"/>
    <col min="3588" max="3596" width="8.42578125" style="22" customWidth="1"/>
    <col min="3597" max="3840" width="9.140625" style="22"/>
    <col min="3841" max="3841" width="27.42578125" style="22" customWidth="1"/>
    <col min="3842" max="3842" width="12.42578125" style="22" customWidth="1"/>
    <col min="3843" max="3843" width="12.28515625" style="22" bestFit="1" customWidth="1"/>
    <col min="3844" max="3852" width="8.42578125" style="22" customWidth="1"/>
    <col min="3853" max="4096" width="9.140625" style="22"/>
    <col min="4097" max="4097" width="27.42578125" style="22" customWidth="1"/>
    <col min="4098" max="4098" width="12.42578125" style="22" customWidth="1"/>
    <col min="4099" max="4099" width="12.28515625" style="22" bestFit="1" customWidth="1"/>
    <col min="4100" max="4108" width="8.42578125" style="22" customWidth="1"/>
    <col min="4109" max="4352" width="9.140625" style="22"/>
    <col min="4353" max="4353" width="27.42578125" style="22" customWidth="1"/>
    <col min="4354" max="4354" width="12.42578125" style="22" customWidth="1"/>
    <col min="4355" max="4355" width="12.28515625" style="22" bestFit="1" customWidth="1"/>
    <col min="4356" max="4364" width="8.42578125" style="22" customWidth="1"/>
    <col min="4365" max="4608" width="9.140625" style="22"/>
    <col min="4609" max="4609" width="27.42578125" style="22" customWidth="1"/>
    <col min="4610" max="4610" width="12.42578125" style="22" customWidth="1"/>
    <col min="4611" max="4611" width="12.28515625" style="22" bestFit="1" customWidth="1"/>
    <col min="4612" max="4620" width="8.42578125" style="22" customWidth="1"/>
    <col min="4621" max="4864" width="9.140625" style="22"/>
    <col min="4865" max="4865" width="27.42578125" style="22" customWidth="1"/>
    <col min="4866" max="4866" width="12.42578125" style="22" customWidth="1"/>
    <col min="4867" max="4867" width="12.28515625" style="22" bestFit="1" customWidth="1"/>
    <col min="4868" max="4876" width="8.42578125" style="22" customWidth="1"/>
    <col min="4877" max="5120" width="9.140625" style="22"/>
    <col min="5121" max="5121" width="27.42578125" style="22" customWidth="1"/>
    <col min="5122" max="5122" width="12.42578125" style="22" customWidth="1"/>
    <col min="5123" max="5123" width="12.28515625" style="22" bestFit="1" customWidth="1"/>
    <col min="5124" max="5132" width="8.42578125" style="22" customWidth="1"/>
    <col min="5133" max="5376" width="9.140625" style="22"/>
    <col min="5377" max="5377" width="27.42578125" style="22" customWidth="1"/>
    <col min="5378" max="5378" width="12.42578125" style="22" customWidth="1"/>
    <col min="5379" max="5379" width="12.28515625" style="22" bestFit="1" customWidth="1"/>
    <col min="5380" max="5388" width="8.42578125" style="22" customWidth="1"/>
    <col min="5389" max="5632" width="9.140625" style="22"/>
    <col min="5633" max="5633" width="27.42578125" style="22" customWidth="1"/>
    <col min="5634" max="5634" width="12.42578125" style="22" customWidth="1"/>
    <col min="5635" max="5635" width="12.28515625" style="22" bestFit="1" customWidth="1"/>
    <col min="5636" max="5644" width="8.42578125" style="22" customWidth="1"/>
    <col min="5645" max="5888" width="9.140625" style="22"/>
    <col min="5889" max="5889" width="27.42578125" style="22" customWidth="1"/>
    <col min="5890" max="5890" width="12.42578125" style="22" customWidth="1"/>
    <col min="5891" max="5891" width="12.28515625" style="22" bestFit="1" customWidth="1"/>
    <col min="5892" max="5900" width="8.42578125" style="22" customWidth="1"/>
    <col min="5901" max="6144" width="9.140625" style="22"/>
    <col min="6145" max="6145" width="27.42578125" style="22" customWidth="1"/>
    <col min="6146" max="6146" width="12.42578125" style="22" customWidth="1"/>
    <col min="6147" max="6147" width="12.28515625" style="22" bestFit="1" customWidth="1"/>
    <col min="6148" max="6156" width="8.42578125" style="22" customWidth="1"/>
    <col min="6157" max="6400" width="9.140625" style="22"/>
    <col min="6401" max="6401" width="27.42578125" style="22" customWidth="1"/>
    <col min="6402" max="6402" width="12.42578125" style="22" customWidth="1"/>
    <col min="6403" max="6403" width="12.28515625" style="22" bestFit="1" customWidth="1"/>
    <col min="6404" max="6412" width="8.42578125" style="22" customWidth="1"/>
    <col min="6413" max="6656" width="9.140625" style="22"/>
    <col min="6657" max="6657" width="27.42578125" style="22" customWidth="1"/>
    <col min="6658" max="6658" width="12.42578125" style="22" customWidth="1"/>
    <col min="6659" max="6659" width="12.28515625" style="22" bestFit="1" customWidth="1"/>
    <col min="6660" max="6668" width="8.42578125" style="22" customWidth="1"/>
    <col min="6669" max="6912" width="9.140625" style="22"/>
    <col min="6913" max="6913" width="27.42578125" style="22" customWidth="1"/>
    <col min="6914" max="6914" width="12.42578125" style="22" customWidth="1"/>
    <col min="6915" max="6915" width="12.28515625" style="22" bestFit="1" customWidth="1"/>
    <col min="6916" max="6924" width="8.42578125" style="22" customWidth="1"/>
    <col min="6925" max="7168" width="9.140625" style="22"/>
    <col min="7169" max="7169" width="27.42578125" style="22" customWidth="1"/>
    <col min="7170" max="7170" width="12.42578125" style="22" customWidth="1"/>
    <col min="7171" max="7171" width="12.28515625" style="22" bestFit="1" customWidth="1"/>
    <col min="7172" max="7180" width="8.42578125" style="22" customWidth="1"/>
    <col min="7181" max="7424" width="9.140625" style="22"/>
    <col min="7425" max="7425" width="27.42578125" style="22" customWidth="1"/>
    <col min="7426" max="7426" width="12.42578125" style="22" customWidth="1"/>
    <col min="7427" max="7427" width="12.28515625" style="22" bestFit="1" customWidth="1"/>
    <col min="7428" max="7436" width="8.42578125" style="22" customWidth="1"/>
    <col min="7437" max="7680" width="9.140625" style="22"/>
    <col min="7681" max="7681" width="27.42578125" style="22" customWidth="1"/>
    <col min="7682" max="7682" width="12.42578125" style="22" customWidth="1"/>
    <col min="7683" max="7683" width="12.28515625" style="22" bestFit="1" customWidth="1"/>
    <col min="7684" max="7692" width="8.42578125" style="22" customWidth="1"/>
    <col min="7693" max="7936" width="9.140625" style="22"/>
    <col min="7937" max="7937" width="27.42578125" style="22" customWidth="1"/>
    <col min="7938" max="7938" width="12.42578125" style="22" customWidth="1"/>
    <col min="7939" max="7939" width="12.28515625" style="22" bestFit="1" customWidth="1"/>
    <col min="7940" max="7948" width="8.42578125" style="22" customWidth="1"/>
    <col min="7949" max="8192" width="9.140625" style="22"/>
    <col min="8193" max="8193" width="27.42578125" style="22" customWidth="1"/>
    <col min="8194" max="8194" width="12.42578125" style="22" customWidth="1"/>
    <col min="8195" max="8195" width="12.28515625" style="22" bestFit="1" customWidth="1"/>
    <col min="8196" max="8204" width="8.42578125" style="22" customWidth="1"/>
    <col min="8205" max="8448" width="9.140625" style="22"/>
    <col min="8449" max="8449" width="27.42578125" style="22" customWidth="1"/>
    <col min="8450" max="8450" width="12.42578125" style="22" customWidth="1"/>
    <col min="8451" max="8451" width="12.28515625" style="22" bestFit="1" customWidth="1"/>
    <col min="8452" max="8460" width="8.42578125" style="22" customWidth="1"/>
    <col min="8461" max="8704" width="9.140625" style="22"/>
    <col min="8705" max="8705" width="27.42578125" style="22" customWidth="1"/>
    <col min="8706" max="8706" width="12.42578125" style="22" customWidth="1"/>
    <col min="8707" max="8707" width="12.28515625" style="22" bestFit="1" customWidth="1"/>
    <col min="8708" max="8716" width="8.42578125" style="22" customWidth="1"/>
    <col min="8717" max="8960" width="9.140625" style="22"/>
    <col min="8961" max="8961" width="27.42578125" style="22" customWidth="1"/>
    <col min="8962" max="8962" width="12.42578125" style="22" customWidth="1"/>
    <col min="8963" max="8963" width="12.28515625" style="22" bestFit="1" customWidth="1"/>
    <col min="8964" max="8972" width="8.42578125" style="22" customWidth="1"/>
    <col min="8973" max="9216" width="9.140625" style="22"/>
    <col min="9217" max="9217" width="27.42578125" style="22" customWidth="1"/>
    <col min="9218" max="9218" width="12.42578125" style="22" customWidth="1"/>
    <col min="9219" max="9219" width="12.28515625" style="22" bestFit="1" customWidth="1"/>
    <col min="9220" max="9228" width="8.42578125" style="22" customWidth="1"/>
    <col min="9229" max="9472" width="9.140625" style="22"/>
    <col min="9473" max="9473" width="27.42578125" style="22" customWidth="1"/>
    <col min="9474" max="9474" width="12.42578125" style="22" customWidth="1"/>
    <col min="9475" max="9475" width="12.28515625" style="22" bestFit="1" customWidth="1"/>
    <col min="9476" max="9484" width="8.42578125" style="22" customWidth="1"/>
    <col min="9485" max="9728" width="9.140625" style="22"/>
    <col min="9729" max="9729" width="27.42578125" style="22" customWidth="1"/>
    <col min="9730" max="9730" width="12.42578125" style="22" customWidth="1"/>
    <col min="9731" max="9731" width="12.28515625" style="22" bestFit="1" customWidth="1"/>
    <col min="9732" max="9740" width="8.42578125" style="22" customWidth="1"/>
    <col min="9741" max="9984" width="9.140625" style="22"/>
    <col min="9985" max="9985" width="27.42578125" style="22" customWidth="1"/>
    <col min="9986" max="9986" width="12.42578125" style="22" customWidth="1"/>
    <col min="9987" max="9987" width="12.28515625" style="22" bestFit="1" customWidth="1"/>
    <col min="9988" max="9996" width="8.42578125" style="22" customWidth="1"/>
    <col min="9997" max="10240" width="9.140625" style="22"/>
    <col min="10241" max="10241" width="27.42578125" style="22" customWidth="1"/>
    <col min="10242" max="10242" width="12.42578125" style="22" customWidth="1"/>
    <col min="10243" max="10243" width="12.28515625" style="22" bestFit="1" customWidth="1"/>
    <col min="10244" max="10252" width="8.42578125" style="22" customWidth="1"/>
    <col min="10253" max="10496" width="9.140625" style="22"/>
    <col min="10497" max="10497" width="27.42578125" style="22" customWidth="1"/>
    <col min="10498" max="10498" width="12.42578125" style="22" customWidth="1"/>
    <col min="10499" max="10499" width="12.28515625" style="22" bestFit="1" customWidth="1"/>
    <col min="10500" max="10508" width="8.42578125" style="22" customWidth="1"/>
    <col min="10509" max="10752" width="9.140625" style="22"/>
    <col min="10753" max="10753" width="27.42578125" style="22" customWidth="1"/>
    <col min="10754" max="10754" width="12.42578125" style="22" customWidth="1"/>
    <col min="10755" max="10755" width="12.28515625" style="22" bestFit="1" customWidth="1"/>
    <col min="10756" max="10764" width="8.42578125" style="22" customWidth="1"/>
    <col min="10765" max="11008" width="9.140625" style="22"/>
    <col min="11009" max="11009" width="27.42578125" style="22" customWidth="1"/>
    <col min="11010" max="11010" width="12.42578125" style="22" customWidth="1"/>
    <col min="11011" max="11011" width="12.28515625" style="22" bestFit="1" customWidth="1"/>
    <col min="11012" max="11020" width="8.42578125" style="22" customWidth="1"/>
    <col min="11021" max="11264" width="9.140625" style="22"/>
    <col min="11265" max="11265" width="27.42578125" style="22" customWidth="1"/>
    <col min="11266" max="11266" width="12.42578125" style="22" customWidth="1"/>
    <col min="11267" max="11267" width="12.28515625" style="22" bestFit="1" customWidth="1"/>
    <col min="11268" max="11276" width="8.42578125" style="22" customWidth="1"/>
    <col min="11277" max="11520" width="9.140625" style="22"/>
    <col min="11521" max="11521" width="27.42578125" style="22" customWidth="1"/>
    <col min="11522" max="11522" width="12.42578125" style="22" customWidth="1"/>
    <col min="11523" max="11523" width="12.28515625" style="22" bestFit="1" customWidth="1"/>
    <col min="11524" max="11532" width="8.42578125" style="22" customWidth="1"/>
    <col min="11533" max="11776" width="9.140625" style="22"/>
    <col min="11777" max="11777" width="27.42578125" style="22" customWidth="1"/>
    <col min="11778" max="11778" width="12.42578125" style="22" customWidth="1"/>
    <col min="11779" max="11779" width="12.28515625" style="22" bestFit="1" customWidth="1"/>
    <col min="11780" max="11788" width="8.42578125" style="22" customWidth="1"/>
    <col min="11789" max="12032" width="9.140625" style="22"/>
    <col min="12033" max="12033" width="27.42578125" style="22" customWidth="1"/>
    <col min="12034" max="12034" width="12.42578125" style="22" customWidth="1"/>
    <col min="12035" max="12035" width="12.28515625" style="22" bestFit="1" customWidth="1"/>
    <col min="12036" max="12044" width="8.42578125" style="22" customWidth="1"/>
    <col min="12045" max="12288" width="9.140625" style="22"/>
    <col min="12289" max="12289" width="27.42578125" style="22" customWidth="1"/>
    <col min="12290" max="12290" width="12.42578125" style="22" customWidth="1"/>
    <col min="12291" max="12291" width="12.28515625" style="22" bestFit="1" customWidth="1"/>
    <col min="12292" max="12300" width="8.42578125" style="22" customWidth="1"/>
    <col min="12301" max="12544" width="9.140625" style="22"/>
    <col min="12545" max="12545" width="27.42578125" style="22" customWidth="1"/>
    <col min="12546" max="12546" width="12.42578125" style="22" customWidth="1"/>
    <col min="12547" max="12547" width="12.28515625" style="22" bestFit="1" customWidth="1"/>
    <col min="12548" max="12556" width="8.42578125" style="22" customWidth="1"/>
    <col min="12557" max="12800" width="9.140625" style="22"/>
    <col min="12801" max="12801" width="27.42578125" style="22" customWidth="1"/>
    <col min="12802" max="12802" width="12.42578125" style="22" customWidth="1"/>
    <col min="12803" max="12803" width="12.28515625" style="22" bestFit="1" customWidth="1"/>
    <col min="12804" max="12812" width="8.42578125" style="22" customWidth="1"/>
    <col min="12813" max="13056" width="9.140625" style="22"/>
    <col min="13057" max="13057" width="27.42578125" style="22" customWidth="1"/>
    <col min="13058" max="13058" width="12.42578125" style="22" customWidth="1"/>
    <col min="13059" max="13059" width="12.28515625" style="22" bestFit="1" customWidth="1"/>
    <col min="13060" max="13068" width="8.42578125" style="22" customWidth="1"/>
    <col min="13069" max="13312" width="9.140625" style="22"/>
    <col min="13313" max="13313" width="27.42578125" style="22" customWidth="1"/>
    <col min="13314" max="13314" width="12.42578125" style="22" customWidth="1"/>
    <col min="13315" max="13315" width="12.28515625" style="22" bestFit="1" customWidth="1"/>
    <col min="13316" max="13324" width="8.42578125" style="22" customWidth="1"/>
    <col min="13325" max="13568" width="9.140625" style="22"/>
    <col min="13569" max="13569" width="27.42578125" style="22" customWidth="1"/>
    <col min="13570" max="13570" width="12.42578125" style="22" customWidth="1"/>
    <col min="13571" max="13571" width="12.28515625" style="22" bestFit="1" customWidth="1"/>
    <col min="13572" max="13580" width="8.42578125" style="22" customWidth="1"/>
    <col min="13581" max="13824" width="9.140625" style="22"/>
    <col min="13825" max="13825" width="27.42578125" style="22" customWidth="1"/>
    <col min="13826" max="13826" width="12.42578125" style="22" customWidth="1"/>
    <col min="13827" max="13827" width="12.28515625" style="22" bestFit="1" customWidth="1"/>
    <col min="13828" max="13836" width="8.42578125" style="22" customWidth="1"/>
    <col min="13837" max="14080" width="9.140625" style="22"/>
    <col min="14081" max="14081" width="27.42578125" style="22" customWidth="1"/>
    <col min="14082" max="14082" width="12.42578125" style="22" customWidth="1"/>
    <col min="14083" max="14083" width="12.28515625" style="22" bestFit="1" customWidth="1"/>
    <col min="14084" max="14092" width="8.42578125" style="22" customWidth="1"/>
    <col min="14093" max="14336" width="9.140625" style="22"/>
    <col min="14337" max="14337" width="27.42578125" style="22" customWidth="1"/>
    <col min="14338" max="14338" width="12.42578125" style="22" customWidth="1"/>
    <col min="14339" max="14339" width="12.28515625" style="22" bestFit="1" customWidth="1"/>
    <col min="14340" max="14348" width="8.42578125" style="22" customWidth="1"/>
    <col min="14349" max="14592" width="9.140625" style="22"/>
    <col min="14593" max="14593" width="27.42578125" style="22" customWidth="1"/>
    <col min="14594" max="14594" width="12.42578125" style="22" customWidth="1"/>
    <col min="14595" max="14595" width="12.28515625" style="22" bestFit="1" customWidth="1"/>
    <col min="14596" max="14604" width="8.42578125" style="22" customWidth="1"/>
    <col min="14605" max="14848" width="9.140625" style="22"/>
    <col min="14849" max="14849" width="27.42578125" style="22" customWidth="1"/>
    <col min="14850" max="14850" width="12.42578125" style="22" customWidth="1"/>
    <col min="14851" max="14851" width="12.28515625" style="22" bestFit="1" customWidth="1"/>
    <col min="14852" max="14860" width="8.42578125" style="22" customWidth="1"/>
    <col min="14861" max="15104" width="9.140625" style="22"/>
    <col min="15105" max="15105" width="27.42578125" style="22" customWidth="1"/>
    <col min="15106" max="15106" width="12.42578125" style="22" customWidth="1"/>
    <col min="15107" max="15107" width="12.28515625" style="22" bestFit="1" customWidth="1"/>
    <col min="15108" max="15116" width="8.42578125" style="22" customWidth="1"/>
    <col min="15117" max="15360" width="9.140625" style="22"/>
    <col min="15361" max="15361" width="27.42578125" style="22" customWidth="1"/>
    <col min="15362" max="15362" width="12.42578125" style="22" customWidth="1"/>
    <col min="15363" max="15363" width="12.28515625" style="22" bestFit="1" customWidth="1"/>
    <col min="15364" max="15372" width="8.42578125" style="22" customWidth="1"/>
    <col min="15373" max="15616" width="9.140625" style="22"/>
    <col min="15617" max="15617" width="27.42578125" style="22" customWidth="1"/>
    <col min="15618" max="15618" width="12.42578125" style="22" customWidth="1"/>
    <col min="15619" max="15619" width="12.28515625" style="22" bestFit="1" customWidth="1"/>
    <col min="15620" max="15628" width="8.42578125" style="22" customWidth="1"/>
    <col min="15629" max="15872" width="9.140625" style="22"/>
    <col min="15873" max="15873" width="27.42578125" style="22" customWidth="1"/>
    <col min="15874" max="15874" width="12.42578125" style="22" customWidth="1"/>
    <col min="15875" max="15875" width="12.28515625" style="22" bestFit="1" customWidth="1"/>
    <col min="15876" max="15884" width="8.42578125" style="22" customWidth="1"/>
    <col min="15885" max="16128" width="9.140625" style="22"/>
    <col min="16129" max="16129" width="27.42578125" style="22" customWidth="1"/>
    <col min="16130" max="16130" width="12.42578125" style="22" customWidth="1"/>
    <col min="16131" max="16131" width="12.28515625" style="22" bestFit="1" customWidth="1"/>
    <col min="16132" max="16140" width="8.42578125" style="22" customWidth="1"/>
    <col min="16141" max="16384" width="9.140625" style="22"/>
  </cols>
  <sheetData>
    <row r="1" spans="1:27" ht="15">
      <c r="A1" s="22"/>
      <c r="B1" s="67"/>
      <c r="C1" s="68"/>
    </row>
    <row r="2" spans="1:27" ht="15.75" customHeight="1">
      <c r="A2" s="69"/>
      <c r="B2" s="67"/>
      <c r="C2" s="68"/>
    </row>
    <row r="3" spans="1:27" ht="15">
      <c r="A3" s="69"/>
      <c r="B3" s="67"/>
      <c r="C3" s="68"/>
    </row>
    <row r="4" spans="1:27" ht="30">
      <c r="A4" s="26" t="s">
        <v>105</v>
      </c>
      <c r="B4" s="25"/>
      <c r="C4" s="70"/>
      <c r="D4" s="23"/>
      <c r="E4" s="23"/>
      <c r="F4" s="23"/>
      <c r="G4" s="23"/>
      <c r="H4" s="23"/>
      <c r="I4" s="23" t="s">
        <v>106</v>
      </c>
      <c r="J4" s="23"/>
      <c r="K4" s="23"/>
      <c r="L4" s="23"/>
      <c r="M4" s="23"/>
      <c r="N4" s="23"/>
      <c r="O4" s="23"/>
      <c r="P4" s="23"/>
      <c r="Q4" s="23"/>
      <c r="R4" s="23"/>
      <c r="S4" s="23"/>
      <c r="T4" s="23"/>
      <c r="U4" s="23"/>
      <c r="V4" s="23"/>
      <c r="W4" s="23"/>
      <c r="X4" s="23"/>
      <c r="Y4" s="23"/>
      <c r="Z4" s="23"/>
      <c r="AA4" s="23"/>
    </row>
    <row r="5" spans="1:27" ht="15">
      <c r="A5" s="24" t="s">
        <v>58</v>
      </c>
      <c r="B5" s="25"/>
      <c r="C5" s="23">
        <f>depre!B2</f>
        <v>1</v>
      </c>
      <c r="D5" s="23">
        <f>depre!C2</f>
        <v>2</v>
      </c>
      <c r="E5" s="23">
        <f>depre!D2</f>
        <v>3</v>
      </c>
      <c r="F5" s="23">
        <f>depre!E2</f>
        <v>4</v>
      </c>
      <c r="G5" s="23">
        <f>depre!F2</f>
        <v>5</v>
      </c>
      <c r="H5" s="23">
        <f>depre!G2</f>
        <v>6</v>
      </c>
      <c r="I5" s="23">
        <f>depre!H2</f>
        <v>7</v>
      </c>
      <c r="J5" s="23">
        <f>depre!I2</f>
        <v>8</v>
      </c>
      <c r="K5" s="23">
        <f>depre!J2</f>
        <v>9</v>
      </c>
      <c r="L5" s="23">
        <f>depre!K2</f>
        <v>10</v>
      </c>
      <c r="M5" s="23">
        <f>depre!L2</f>
        <v>11</v>
      </c>
      <c r="N5" s="23">
        <f>depre!M2</f>
        <v>12</v>
      </c>
      <c r="O5" s="23">
        <f>depre!N2</f>
        <v>13</v>
      </c>
      <c r="P5" s="23">
        <f>depre!O2</f>
        <v>14</v>
      </c>
      <c r="Q5" s="23">
        <f>depre!P2</f>
        <v>15</v>
      </c>
      <c r="R5" s="23">
        <f>depre!Q2</f>
        <v>16</v>
      </c>
      <c r="S5" s="23">
        <f>depre!R2</f>
        <v>17</v>
      </c>
      <c r="T5" s="23">
        <f>depre!S2</f>
        <v>18</v>
      </c>
      <c r="U5" s="23">
        <f>depre!T2</f>
        <v>19</v>
      </c>
      <c r="V5" s="23">
        <f>depre!U2</f>
        <v>20</v>
      </c>
      <c r="W5" s="23">
        <f>depre!V2</f>
        <v>21</v>
      </c>
      <c r="X5" s="23">
        <f>depre!W2</f>
        <v>22</v>
      </c>
      <c r="Y5" s="23">
        <f>depre!X2</f>
        <v>23</v>
      </c>
      <c r="Z5" s="23">
        <f>depre!Y2</f>
        <v>24</v>
      </c>
      <c r="AA5" s="23">
        <f>depre!Z2</f>
        <v>25</v>
      </c>
    </row>
    <row r="6" spans="1:27" ht="15">
      <c r="A6" s="26" t="s">
        <v>107</v>
      </c>
      <c r="B6" s="25"/>
      <c r="C6" s="27">
        <f>depre!B5</f>
        <v>41729</v>
      </c>
      <c r="D6" s="27">
        <f>depre!C5</f>
        <v>42094</v>
      </c>
      <c r="E6" s="27">
        <f>depre!D5</f>
        <v>42460</v>
      </c>
      <c r="F6" s="27">
        <f>depre!E5</f>
        <v>42825</v>
      </c>
      <c r="G6" s="27">
        <f>depre!F5</f>
        <v>43190</v>
      </c>
      <c r="H6" s="27">
        <f>depre!G5</f>
        <v>43555</v>
      </c>
      <c r="I6" s="27">
        <f>depre!H5</f>
        <v>43921</v>
      </c>
      <c r="J6" s="27">
        <f>depre!I5</f>
        <v>44286</v>
      </c>
      <c r="K6" s="27">
        <f>depre!J5</f>
        <v>44651</v>
      </c>
      <c r="L6" s="27">
        <f>depre!K5</f>
        <v>45016</v>
      </c>
      <c r="M6" s="27">
        <f>depre!L5</f>
        <v>45382</v>
      </c>
      <c r="N6" s="27">
        <f>depre!M5</f>
        <v>45747</v>
      </c>
      <c r="O6" s="27">
        <f>depre!N5</f>
        <v>46112</v>
      </c>
      <c r="P6" s="27">
        <f>depre!O5</f>
        <v>46477</v>
      </c>
      <c r="Q6" s="27">
        <f>depre!P5</f>
        <v>46843</v>
      </c>
      <c r="R6" s="27">
        <f>depre!Q5</f>
        <v>47208</v>
      </c>
      <c r="S6" s="27">
        <f>depre!R5</f>
        <v>47573</v>
      </c>
      <c r="T6" s="27">
        <f>depre!S5</f>
        <v>47938</v>
      </c>
      <c r="U6" s="27">
        <f>depre!T5</f>
        <v>48304</v>
      </c>
      <c r="V6" s="27">
        <f>depre!U5</f>
        <v>48669</v>
      </c>
      <c r="W6" s="27">
        <f>depre!V5</f>
        <v>49034</v>
      </c>
      <c r="X6" s="27">
        <f>depre!W5</f>
        <v>49399</v>
      </c>
      <c r="Y6" s="27">
        <f>depre!X5</f>
        <v>49765</v>
      </c>
      <c r="Z6" s="27">
        <f>depre!Y5</f>
        <v>50130</v>
      </c>
      <c r="AA6" s="27">
        <f>depre!Z5</f>
        <v>50495</v>
      </c>
    </row>
    <row r="7" spans="1:27" ht="15">
      <c r="A7" s="26" t="s">
        <v>2</v>
      </c>
      <c r="B7" s="23"/>
      <c r="C7" s="23">
        <f>depre!B4</f>
        <v>364</v>
      </c>
      <c r="D7" s="23">
        <f>depre!C4</f>
        <v>365</v>
      </c>
      <c r="E7" s="23">
        <f>depre!D4</f>
        <v>366</v>
      </c>
      <c r="F7" s="23">
        <f>depre!E4</f>
        <v>365</v>
      </c>
      <c r="G7" s="23">
        <f>depre!F4</f>
        <v>365</v>
      </c>
      <c r="H7" s="23">
        <f>depre!G4</f>
        <v>365</v>
      </c>
      <c r="I7" s="23">
        <f>depre!H4</f>
        <v>366</v>
      </c>
      <c r="J7" s="23">
        <f>depre!I4</f>
        <v>365</v>
      </c>
      <c r="K7" s="23">
        <f>depre!J4</f>
        <v>365</v>
      </c>
      <c r="L7" s="23">
        <f>depre!K4</f>
        <v>365</v>
      </c>
      <c r="M7" s="23">
        <f>depre!L4</f>
        <v>366</v>
      </c>
      <c r="N7" s="23">
        <f>depre!M4</f>
        <v>365</v>
      </c>
      <c r="O7" s="23">
        <f>depre!N4</f>
        <v>365</v>
      </c>
      <c r="P7" s="23">
        <f>depre!O4</f>
        <v>365</v>
      </c>
      <c r="Q7" s="23">
        <f>depre!P4</f>
        <v>366</v>
      </c>
      <c r="R7" s="23">
        <f>depre!Q4</f>
        <v>365</v>
      </c>
      <c r="S7" s="23">
        <f>depre!R4</f>
        <v>365</v>
      </c>
      <c r="T7" s="23">
        <f>depre!S4</f>
        <v>365</v>
      </c>
      <c r="U7" s="23">
        <f>depre!T4</f>
        <v>366</v>
      </c>
      <c r="V7" s="23">
        <f>depre!U4</f>
        <v>365</v>
      </c>
      <c r="W7" s="23">
        <f>depre!V4</f>
        <v>365</v>
      </c>
      <c r="X7" s="23">
        <f>depre!W4</f>
        <v>365</v>
      </c>
      <c r="Y7" s="23">
        <f>depre!X4</f>
        <v>366</v>
      </c>
      <c r="Z7" s="23">
        <f>depre!Y4</f>
        <v>365</v>
      </c>
      <c r="AA7" s="23">
        <f>depre!Z4</f>
        <v>365</v>
      </c>
    </row>
    <row r="8" spans="1:27" ht="30">
      <c r="A8" s="24" t="s">
        <v>108</v>
      </c>
      <c r="B8" s="23"/>
      <c r="C8" s="28">
        <f>fuel!B51</f>
        <v>2755.0832399999999</v>
      </c>
      <c r="D8" s="28">
        <f>fuel!C51</f>
        <v>2762.6521499999999</v>
      </c>
      <c r="E8" s="28">
        <f>fuel!D51</f>
        <v>2770.2210600000003</v>
      </c>
      <c r="F8" s="28">
        <f>fuel!E51</f>
        <v>2762.6521499999999</v>
      </c>
      <c r="G8" s="28">
        <f>fuel!F51</f>
        <v>2762.6521499999999</v>
      </c>
      <c r="H8" s="28">
        <f>fuel!G51</f>
        <v>2762.6521499999999</v>
      </c>
      <c r="I8" s="28">
        <f>fuel!H51</f>
        <v>2770.2210600000003</v>
      </c>
      <c r="J8" s="28">
        <f>fuel!I51</f>
        <v>2762.6521499999999</v>
      </c>
      <c r="K8" s="28">
        <f>fuel!J51</f>
        <v>2762.6521499999999</v>
      </c>
      <c r="L8" s="28">
        <f>fuel!K51</f>
        <v>2762.6521499999999</v>
      </c>
      <c r="M8" s="28">
        <f>fuel!L51</f>
        <v>2770.2210600000003</v>
      </c>
      <c r="N8" s="28">
        <f>fuel!M51</f>
        <v>2762.6521499999999</v>
      </c>
      <c r="O8" s="28">
        <f>fuel!N51</f>
        <v>2762.6521499999999</v>
      </c>
      <c r="P8" s="28">
        <f>fuel!O51</f>
        <v>2762.6521499999999</v>
      </c>
      <c r="Q8" s="28">
        <f>fuel!P51</f>
        <v>2770.2210600000003</v>
      </c>
      <c r="R8" s="28">
        <f>fuel!Q51</f>
        <v>2762.6521499999999</v>
      </c>
      <c r="S8" s="28">
        <f>fuel!R51</f>
        <v>2762.6521499999999</v>
      </c>
      <c r="T8" s="28">
        <f>fuel!S51</f>
        <v>2762.6521499999999</v>
      </c>
      <c r="U8" s="28">
        <f>fuel!T51</f>
        <v>2770.2210600000003</v>
      </c>
      <c r="V8" s="28">
        <f>fuel!U51</f>
        <v>2762.6521499999999</v>
      </c>
      <c r="W8" s="28">
        <f>fuel!V51</f>
        <v>2762.6521499999999</v>
      </c>
      <c r="X8" s="28">
        <f>fuel!W51</f>
        <v>2762.6521499999999</v>
      </c>
      <c r="Y8" s="28">
        <f>fuel!X51</f>
        <v>2770.2210600000003</v>
      </c>
      <c r="Z8" s="28">
        <f>fuel!Y51</f>
        <v>2762.6521499999999</v>
      </c>
      <c r="AA8" s="28">
        <f>fuel!Z51</f>
        <v>2762.6521499999999</v>
      </c>
    </row>
    <row r="9" spans="1:27" ht="15">
      <c r="A9" s="24"/>
      <c r="B9" s="23"/>
      <c r="C9" s="28"/>
      <c r="D9" s="28"/>
      <c r="E9" s="28"/>
      <c r="F9" s="28"/>
      <c r="G9" s="28"/>
      <c r="H9" s="28"/>
      <c r="I9" s="28"/>
      <c r="J9" s="28"/>
      <c r="K9" s="28"/>
      <c r="L9" s="28"/>
      <c r="M9" s="23"/>
      <c r="N9" s="23"/>
      <c r="O9" s="23"/>
      <c r="P9" s="23"/>
      <c r="Q9" s="23"/>
      <c r="R9" s="23"/>
      <c r="S9" s="23"/>
      <c r="T9" s="23"/>
      <c r="U9" s="23"/>
      <c r="V9" s="23"/>
      <c r="W9" s="23"/>
      <c r="X9" s="23"/>
      <c r="Y9" s="23"/>
      <c r="Z9" s="23"/>
      <c r="AA9" s="23"/>
    </row>
    <row r="10" spans="1:27" ht="15">
      <c r="A10" s="29" t="s">
        <v>275</v>
      </c>
      <c r="B10" s="30"/>
      <c r="C10" s="30">
        <f ca="1">'fixed cost'!B23</f>
        <v>3.7471938455391887</v>
      </c>
      <c r="D10" s="30">
        <f ca="1">'fixed cost'!C23</f>
        <v>3.736786519531345</v>
      </c>
      <c r="E10" s="30">
        <f ca="1">'fixed cost'!D23</f>
        <v>3.7245266797703294</v>
      </c>
      <c r="F10" s="30">
        <f ca="1">'fixed cost'!E23</f>
        <v>3.7183211146527695</v>
      </c>
      <c r="G10" s="30">
        <f ca="1">'fixed cost'!F23</f>
        <v>3.7107232986809771</v>
      </c>
      <c r="H10" s="30">
        <f ca="1">'fixed cost'!G23</f>
        <v>3.704291509185401</v>
      </c>
      <c r="I10" s="30">
        <f ca="1">'fixed cost'!H23</f>
        <v>3.6963878924378344</v>
      </c>
      <c r="J10" s="30">
        <f ca="1">'fixed cost'!I23</f>
        <v>3.6951739477643333</v>
      </c>
      <c r="K10" s="30">
        <f ca="1">'fixed cost'!J23</f>
        <v>3.6926209849907776</v>
      </c>
      <c r="L10" s="30">
        <f ca="1">'fixed cost'!K23</f>
        <v>3.6915000732300731</v>
      </c>
      <c r="M10" s="30">
        <f ca="1">'fixed cost'!L23</f>
        <v>3.6889415372560017</v>
      </c>
      <c r="N10" s="30">
        <f ca="1">'fixed cost'!M23</f>
        <v>3.69386343641255</v>
      </c>
      <c r="O10" s="30">
        <f ca="1">'fixed cost'!N23</f>
        <v>3.4967023239564177</v>
      </c>
      <c r="P10" s="30">
        <f ca="1">'fixed cost'!O23</f>
        <v>3.5277512673250868</v>
      </c>
      <c r="Q10" s="30">
        <f ca="1">'fixed cost'!P23</f>
        <v>3.5579812561794784</v>
      </c>
      <c r="R10" s="30">
        <f ca="1">'fixed cost'!Q23</f>
        <v>3.601664806459572</v>
      </c>
      <c r="S10" s="30">
        <f ca="1">'fixed cost'!R23</f>
        <v>3.6528731711427902</v>
      </c>
      <c r="T10" s="30">
        <f ca="1">'fixed cost'!S23</f>
        <v>3.8036600480470959</v>
      </c>
      <c r="U10" s="30">
        <f ca="1">'fixed cost'!T23</f>
        <v>3.8580319821843236</v>
      </c>
      <c r="V10" s="30">
        <f ca="1">'fixed cost'!U23</f>
        <v>3.9214395073065651</v>
      </c>
      <c r="W10" s="30">
        <f ca="1">'fixed cost'!V23</f>
        <v>3.9840929089405002</v>
      </c>
      <c r="X10" s="30">
        <f ca="1">'fixed cost'!W23</f>
        <v>4.0494393870180287</v>
      </c>
      <c r="Y10" s="30">
        <f ca="1">'fixed cost'!X23</f>
        <v>4.1138514457101145</v>
      </c>
      <c r="Z10" s="30">
        <f ca="1">'fixed cost'!Y23</f>
        <v>4.1888112198820258</v>
      </c>
      <c r="AA10" s="30">
        <f ca="1">'fixed cost'!Z23</f>
        <v>3.6016985060655737</v>
      </c>
    </row>
    <row r="11" spans="1:27" ht="15">
      <c r="A11" s="24"/>
      <c r="B11" s="23"/>
      <c r="C11" s="31"/>
      <c r="D11" s="31"/>
      <c r="E11" s="31"/>
      <c r="F11" s="31"/>
      <c r="G11" s="31"/>
      <c r="H11" s="31"/>
      <c r="I11" s="31"/>
      <c r="J11" s="31"/>
      <c r="K11" s="31"/>
      <c r="L11" s="31"/>
      <c r="M11" s="23"/>
      <c r="N11" s="23"/>
      <c r="O11" s="23"/>
      <c r="P11" s="23"/>
      <c r="Q11" s="23"/>
      <c r="R11" s="23"/>
      <c r="S11" s="23"/>
      <c r="T11" s="23"/>
      <c r="U11" s="23"/>
      <c r="V11" s="23"/>
      <c r="W11" s="23"/>
      <c r="X11" s="23"/>
      <c r="Y11" s="23"/>
      <c r="Z11" s="23"/>
      <c r="AA11" s="23"/>
    </row>
    <row r="12" spans="1:27" ht="15">
      <c r="A12" s="24" t="s">
        <v>277</v>
      </c>
      <c r="B12" s="23"/>
      <c r="C12" s="32">
        <f ca="1">(C8*C10)</f>
        <v>10323.830960876167</v>
      </c>
      <c r="D12" s="32">
        <f t="shared" ref="D12:AA12" ca="1" si="0">(D8*D10)</f>
        <v>10323.441312274286</v>
      </c>
      <c r="E12" s="32">
        <f t="shared" ca="1" si="0"/>
        <v>10317.762246831644</v>
      </c>
      <c r="F12" s="32">
        <f t="shared" ca="1" si="0"/>
        <v>10272.42782178587</v>
      </c>
      <c r="G12" s="32">
        <f t="shared" ca="1" si="0"/>
        <v>10251.437699156093</v>
      </c>
      <c r="H12" s="32">
        <f t="shared" ca="1" si="0"/>
        <v>10233.668902077792</v>
      </c>
      <c r="I12" s="32">
        <f t="shared" ca="1" si="0"/>
        <v>10239.811585560305</v>
      </c>
      <c r="J12" s="32">
        <f t="shared" ca="1" si="0"/>
        <v>10208.480251415123</v>
      </c>
      <c r="K12" s="32">
        <f t="shared" ca="1" si="0"/>
        <v>10201.42730331989</v>
      </c>
      <c r="L12" s="32">
        <f t="shared" ca="1" si="0"/>
        <v>10198.330614034219</v>
      </c>
      <c r="M12" s="32">
        <f t="shared" ca="1" si="0"/>
        <v>10219.183535615352</v>
      </c>
      <c r="N12" s="32">
        <f t="shared" ca="1" si="0"/>
        <v>10204.85976441152</v>
      </c>
      <c r="O12" s="32">
        <f t="shared" ca="1" si="0"/>
        <v>9660.172193188193</v>
      </c>
      <c r="P12" s="32">
        <f t="shared" ca="1" si="0"/>
        <v>9745.9496233408754</v>
      </c>
      <c r="Q12" s="32">
        <f t="shared" ca="1" si="0"/>
        <v>9856.3946069536469</v>
      </c>
      <c r="R12" s="32">
        <f t="shared" ca="1" si="0"/>
        <v>9950.1470211448705</v>
      </c>
      <c r="S12" s="32">
        <f t="shared" ca="1" si="0"/>
        <v>10091.617919934946</v>
      </c>
      <c r="T12" s="32">
        <f t="shared" ca="1" si="0"/>
        <v>10508.189609606412</v>
      </c>
      <c r="U12" s="32">
        <f t="shared" ca="1" si="0"/>
        <v>10687.601447200559</v>
      </c>
      <c r="V12" s="32">
        <f t="shared" ca="1" si="0"/>
        <v>10833.573285955423</v>
      </c>
      <c r="W12" s="32">
        <f t="shared" ca="1" si="0"/>
        <v>11006.662840684226</v>
      </c>
      <c r="X12" s="32">
        <f t="shared" ca="1" si="0"/>
        <v>11187.192428840039</v>
      </c>
      <c r="Y12" s="32">
        <f t="shared" ca="1" si="0"/>
        <v>11396.277912617606</v>
      </c>
      <c r="Z12" s="32">
        <f t="shared" ca="1" si="0"/>
        <v>11572.2283225512</v>
      </c>
      <c r="AA12" s="32">
        <f t="shared" ca="1" si="0"/>
        <v>9950.2401214338443</v>
      </c>
    </row>
    <row r="13" spans="1:27" ht="30">
      <c r="A13" s="24" t="s">
        <v>278</v>
      </c>
      <c r="B13" s="23"/>
      <c r="C13" s="32">
        <v>0</v>
      </c>
      <c r="D13" s="32">
        <v>0</v>
      </c>
      <c r="E13" s="32">
        <v>0</v>
      </c>
      <c r="F13" s="32">
        <v>0</v>
      </c>
      <c r="G13" s="32">
        <v>0</v>
      </c>
      <c r="H13" s="32">
        <v>0</v>
      </c>
      <c r="I13" s="32">
        <v>0</v>
      </c>
      <c r="J13" s="32">
        <v>0</v>
      </c>
      <c r="K13" s="32">
        <v>0</v>
      </c>
      <c r="L13" s="32">
        <v>0</v>
      </c>
      <c r="M13" s="32">
        <v>0</v>
      </c>
      <c r="N13" s="32">
        <v>0</v>
      </c>
      <c r="O13" s="32">
        <v>0</v>
      </c>
      <c r="P13" s="32">
        <v>0</v>
      </c>
      <c r="Q13" s="32">
        <v>0</v>
      </c>
      <c r="R13" s="32">
        <v>0</v>
      </c>
      <c r="S13" s="32">
        <v>0</v>
      </c>
      <c r="T13" s="32">
        <v>0</v>
      </c>
      <c r="U13" s="32">
        <v>0</v>
      </c>
      <c r="V13" s="32">
        <v>0</v>
      </c>
      <c r="W13" s="32">
        <v>0</v>
      </c>
      <c r="X13" s="32">
        <v>0</v>
      </c>
      <c r="Y13" s="32">
        <v>0</v>
      </c>
      <c r="Z13" s="32">
        <v>0</v>
      </c>
      <c r="AA13" s="32">
        <f>Assumption!$D$36*Assumption!$D$10</f>
        <v>1791.596</v>
      </c>
    </row>
    <row r="14" spans="1:27" ht="15">
      <c r="A14" s="24" t="s">
        <v>276</v>
      </c>
      <c r="B14" s="23"/>
      <c r="C14" s="32">
        <f t="shared" ref="C14:AA14" ca="1" si="1">C12+C13</f>
        <v>10323.830960876167</v>
      </c>
      <c r="D14" s="32">
        <f t="shared" ca="1" si="1"/>
        <v>10323.441312274286</v>
      </c>
      <c r="E14" s="32">
        <f t="shared" ca="1" si="1"/>
        <v>10317.762246831644</v>
      </c>
      <c r="F14" s="32">
        <f t="shared" ca="1" si="1"/>
        <v>10272.42782178587</v>
      </c>
      <c r="G14" s="32">
        <f t="shared" ca="1" si="1"/>
        <v>10251.437699156093</v>
      </c>
      <c r="H14" s="32">
        <f t="shared" ca="1" si="1"/>
        <v>10233.668902077792</v>
      </c>
      <c r="I14" s="32">
        <f t="shared" ca="1" si="1"/>
        <v>10239.811585560305</v>
      </c>
      <c r="J14" s="32">
        <f t="shared" ca="1" si="1"/>
        <v>10208.480251415123</v>
      </c>
      <c r="K14" s="32">
        <f t="shared" ca="1" si="1"/>
        <v>10201.42730331989</v>
      </c>
      <c r="L14" s="32">
        <f t="shared" ca="1" si="1"/>
        <v>10198.330614034219</v>
      </c>
      <c r="M14" s="32">
        <f t="shared" ca="1" si="1"/>
        <v>10219.183535615352</v>
      </c>
      <c r="N14" s="32">
        <f t="shared" ca="1" si="1"/>
        <v>10204.85976441152</v>
      </c>
      <c r="O14" s="32">
        <f t="shared" ca="1" si="1"/>
        <v>9660.172193188193</v>
      </c>
      <c r="P14" s="32">
        <f t="shared" ca="1" si="1"/>
        <v>9745.9496233408754</v>
      </c>
      <c r="Q14" s="32">
        <f t="shared" ca="1" si="1"/>
        <v>9856.3946069536469</v>
      </c>
      <c r="R14" s="32">
        <f t="shared" ca="1" si="1"/>
        <v>9950.1470211448705</v>
      </c>
      <c r="S14" s="32">
        <f t="shared" ca="1" si="1"/>
        <v>10091.617919934946</v>
      </c>
      <c r="T14" s="32">
        <f t="shared" ca="1" si="1"/>
        <v>10508.189609606412</v>
      </c>
      <c r="U14" s="32">
        <f t="shared" ca="1" si="1"/>
        <v>10687.601447200559</v>
      </c>
      <c r="V14" s="32">
        <f t="shared" ca="1" si="1"/>
        <v>10833.573285955423</v>
      </c>
      <c r="W14" s="32">
        <f t="shared" ca="1" si="1"/>
        <v>11006.662840684226</v>
      </c>
      <c r="X14" s="32">
        <f t="shared" ca="1" si="1"/>
        <v>11187.192428840039</v>
      </c>
      <c r="Y14" s="32">
        <f t="shared" ca="1" si="1"/>
        <v>11396.277912617606</v>
      </c>
      <c r="Z14" s="32">
        <f t="shared" ca="1" si="1"/>
        <v>11572.2283225512</v>
      </c>
      <c r="AA14" s="32">
        <f t="shared" ca="1" si="1"/>
        <v>11741.836121433844</v>
      </c>
    </row>
    <row r="15" spans="1:27" ht="15">
      <c r="A15" s="24"/>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row>
    <row r="16" spans="1:27" ht="15">
      <c r="A16" s="24"/>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row>
    <row r="17" spans="1:27" ht="15">
      <c r="A17" s="24" t="s">
        <v>109</v>
      </c>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row>
    <row r="18" spans="1:27" ht="15">
      <c r="A18" s="24"/>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row>
    <row r="19" spans="1:27" ht="15">
      <c r="A19" s="24" t="s">
        <v>110</v>
      </c>
      <c r="B19" s="23"/>
      <c r="C19" s="31">
        <f>'fixed cost'!B11</f>
        <v>705.30484931506851</v>
      </c>
      <c r="D19" s="31">
        <f>'fixed cost'!C11</f>
        <v>747.69677100000001</v>
      </c>
      <c r="E19" s="31">
        <f>'fixed cost'!D11</f>
        <v>790.46502630119994</v>
      </c>
      <c r="F19" s="31">
        <f>'fixed cost'!E11</f>
        <v>835.67962580562846</v>
      </c>
      <c r="G19" s="31">
        <f>'fixed cost'!F11</f>
        <v>883.48050040171017</v>
      </c>
      <c r="H19" s="31">
        <f>'fixed cost'!G11</f>
        <v>934.01558502468799</v>
      </c>
      <c r="I19" s="31">
        <f>'fixed cost'!H11</f>
        <v>987.44127648810013</v>
      </c>
      <c r="J19" s="31">
        <f>'fixed cost'!I11</f>
        <v>1043.9229175032194</v>
      </c>
      <c r="K19" s="31">
        <f>'fixed cost'!J11</f>
        <v>1103.6353083844035</v>
      </c>
      <c r="L19" s="31">
        <f>'fixed cost'!K11</f>
        <v>1166.7632480239913</v>
      </c>
      <c r="M19" s="31">
        <f>'fixed cost'!L11</f>
        <v>1233.5021058109635</v>
      </c>
      <c r="N19" s="31">
        <f>'fixed cost'!M11</f>
        <v>1304.0584262633506</v>
      </c>
      <c r="O19" s="31">
        <f>'fixed cost'!N11</f>
        <v>1378.6505682456143</v>
      </c>
      <c r="P19" s="31">
        <f>'fixed cost'!O11</f>
        <v>1457.5093807492631</v>
      </c>
      <c r="Q19" s="31">
        <f>'fixed cost'!P11</f>
        <v>1540.8789173281211</v>
      </c>
      <c r="R19" s="31">
        <f>'fixed cost'!Q11</f>
        <v>1629.0171913992895</v>
      </c>
      <c r="S19" s="31">
        <f>'fixed cost'!R11</f>
        <v>1722.1969747473288</v>
      </c>
      <c r="T19" s="31">
        <f>'fixed cost'!S11</f>
        <v>1820.7066417028761</v>
      </c>
      <c r="U19" s="31">
        <f>'fixed cost'!T11</f>
        <v>1924.8510616082804</v>
      </c>
      <c r="V19" s="31">
        <f>'fixed cost'!U11</f>
        <v>2034.9525423322737</v>
      </c>
      <c r="W19" s="31">
        <f>'fixed cost'!V11</f>
        <v>2151.35182775368</v>
      </c>
      <c r="X19" s="31">
        <f>'fixed cost'!W11</f>
        <v>2274.4091523011903</v>
      </c>
      <c r="Y19" s="31">
        <f>'fixed cost'!X11</f>
        <v>2404.5053558128184</v>
      </c>
      <c r="Z19" s="31">
        <f>'fixed cost'!Y11</f>
        <v>2542.0430621653113</v>
      </c>
      <c r="AA19" s="31">
        <f>'fixed cost'!Z11</f>
        <v>2687.4479253211666</v>
      </c>
    </row>
    <row r="20" spans="1:27" ht="15">
      <c r="A20" s="24" t="s">
        <v>111</v>
      </c>
      <c r="B20" s="23"/>
      <c r="C20" s="31">
        <f>fuel!B23</f>
        <v>5938.5780774265531</v>
      </c>
      <c r="D20" s="31">
        <f>fuel!C23</f>
        <v>5996.5771023310872</v>
      </c>
      <c r="E20" s="31">
        <f>fuel!D23</f>
        <v>6055.0971232584943</v>
      </c>
      <c r="F20" s="31">
        <f>fuel!E23</f>
        <v>6080.8230140417354</v>
      </c>
      <c r="G20" s="31">
        <f>fuel!F23</f>
        <v>6123.3887751400262</v>
      </c>
      <c r="H20" s="31">
        <f>fuel!G23</f>
        <v>6166.2524965660077</v>
      </c>
      <c r="I20" s="31">
        <f>fuel!H23</f>
        <v>6226.4283633955083</v>
      </c>
      <c r="J20" s="31">
        <f>fuel!I23</f>
        <v>6252.882177890262</v>
      </c>
      <c r="K20" s="31">
        <f>fuel!J23</f>
        <v>6296.6523531354942</v>
      </c>
      <c r="L20" s="31">
        <f>fuel!K23</f>
        <v>6340.7289196074407</v>
      </c>
      <c r="M20" s="31">
        <f>fuel!L23</f>
        <v>6402.6074851187886</v>
      </c>
      <c r="N20" s="31">
        <f>fuel!M23</f>
        <v>6429.8098201990051</v>
      </c>
      <c r="O20" s="31">
        <f>fuel!N23</f>
        <v>6474.8184889403974</v>
      </c>
      <c r="P20" s="31">
        <f>fuel!O23</f>
        <v>6520.1422183629802</v>
      </c>
      <c r="Q20" s="31">
        <f>fuel!P23</f>
        <v>6583.771661052866</v>
      </c>
      <c r="R20" s="31">
        <f>fuel!Q23</f>
        <v>6611.7436963887594</v>
      </c>
      <c r="S20" s="31">
        <f>fuel!R23</f>
        <v>6658.0259022634809</v>
      </c>
      <c r="T20" s="31">
        <f>fuel!S23</f>
        <v>6704.632083579324</v>
      </c>
      <c r="U20" s="31">
        <f>fuel!T23</f>
        <v>6770.061945173049</v>
      </c>
      <c r="V20" s="31">
        <f>fuel!U23</f>
        <v>6798.8254597215273</v>
      </c>
      <c r="W20" s="31">
        <f>fuel!V23</f>
        <v>6846.4172379395786</v>
      </c>
      <c r="X20" s="31">
        <f>fuel!W23</f>
        <v>6894.3421586051527</v>
      </c>
      <c r="Y20" s="31">
        <f>fuel!X23</f>
        <v>6961.6233826296784</v>
      </c>
      <c r="Z20" s="31">
        <f>fuel!Y23</f>
        <v>6991.200771591396</v>
      </c>
      <c r="AA20" s="31">
        <f>fuel!Z23</f>
        <v>7040.1391769925349</v>
      </c>
    </row>
    <row r="21" spans="1:27" ht="15">
      <c r="A21" s="24" t="s">
        <v>112</v>
      </c>
      <c r="B21" s="23"/>
      <c r="C21" s="31">
        <f t="shared" ref="C21:L21" si="2">SUM(C19:C20)</f>
        <v>6643.8829267416213</v>
      </c>
      <c r="D21" s="31">
        <f t="shared" si="2"/>
        <v>6744.2738733310871</v>
      </c>
      <c r="E21" s="31">
        <f t="shared" si="2"/>
        <v>6845.5621495596943</v>
      </c>
      <c r="F21" s="31">
        <f t="shared" si="2"/>
        <v>6916.5026398473638</v>
      </c>
      <c r="G21" s="31">
        <f t="shared" si="2"/>
        <v>7006.869275541736</v>
      </c>
      <c r="H21" s="31">
        <f t="shared" si="2"/>
        <v>7100.2680815906961</v>
      </c>
      <c r="I21" s="31">
        <f t="shared" si="2"/>
        <v>7213.8696398836082</v>
      </c>
      <c r="J21" s="31">
        <f t="shared" si="2"/>
        <v>7296.8050953934817</v>
      </c>
      <c r="K21" s="31">
        <f t="shared" si="2"/>
        <v>7400.2876615198975</v>
      </c>
      <c r="L21" s="31">
        <f t="shared" si="2"/>
        <v>7507.4921676314316</v>
      </c>
      <c r="M21" s="31">
        <f t="shared" ref="M21:AA21" si="3">SUM(M19:M20)</f>
        <v>7636.1095909297519</v>
      </c>
      <c r="N21" s="31">
        <f t="shared" si="3"/>
        <v>7733.8682464623562</v>
      </c>
      <c r="O21" s="31">
        <f t="shared" si="3"/>
        <v>7853.4690571860119</v>
      </c>
      <c r="P21" s="31">
        <f t="shared" si="3"/>
        <v>7977.6515991122433</v>
      </c>
      <c r="Q21" s="31">
        <f t="shared" si="3"/>
        <v>8124.6505783809871</v>
      </c>
      <c r="R21" s="31">
        <f t="shared" si="3"/>
        <v>8240.7608877880484</v>
      </c>
      <c r="S21" s="31">
        <f t="shared" si="3"/>
        <v>8380.2228770108104</v>
      </c>
      <c r="T21" s="31">
        <f t="shared" si="3"/>
        <v>8525.3387252821994</v>
      </c>
      <c r="U21" s="31">
        <f t="shared" si="3"/>
        <v>8694.9130067813294</v>
      </c>
      <c r="V21" s="31">
        <f t="shared" si="3"/>
        <v>8833.7780020538012</v>
      </c>
      <c r="W21" s="31">
        <f t="shared" si="3"/>
        <v>8997.7690656932591</v>
      </c>
      <c r="X21" s="31">
        <f t="shared" si="3"/>
        <v>9168.7513109063439</v>
      </c>
      <c r="Y21" s="31">
        <f t="shared" si="3"/>
        <v>9366.1287384424977</v>
      </c>
      <c r="Z21" s="31">
        <f t="shared" si="3"/>
        <v>9533.2438337567073</v>
      </c>
      <c r="AA21" s="31">
        <f t="shared" si="3"/>
        <v>9727.5871023137006</v>
      </c>
    </row>
    <row r="22" spans="1:27" ht="15">
      <c r="A22" s="24"/>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row>
    <row r="23" spans="1:27" ht="15">
      <c r="A23" s="24" t="s">
        <v>113</v>
      </c>
      <c r="B23" s="23"/>
      <c r="C23" s="32">
        <f t="shared" ref="C23:AA23" ca="1" si="4">C14-C21</f>
        <v>3679.9480341345452</v>
      </c>
      <c r="D23" s="32">
        <f t="shared" ca="1" si="4"/>
        <v>3579.1674389431992</v>
      </c>
      <c r="E23" s="32">
        <f t="shared" ca="1" si="4"/>
        <v>3472.2000972719497</v>
      </c>
      <c r="F23" s="32">
        <f t="shared" ca="1" si="4"/>
        <v>3355.9251819385063</v>
      </c>
      <c r="G23" s="32">
        <f t="shared" ca="1" si="4"/>
        <v>3244.568423614357</v>
      </c>
      <c r="H23" s="32">
        <f t="shared" ca="1" si="4"/>
        <v>3133.4008204870961</v>
      </c>
      <c r="I23" s="32">
        <f t="shared" ca="1" si="4"/>
        <v>3025.9419456766964</v>
      </c>
      <c r="J23" s="32">
        <f t="shared" ca="1" si="4"/>
        <v>2911.6751560216417</v>
      </c>
      <c r="K23" s="32">
        <f t="shared" ca="1" si="4"/>
        <v>2801.1396417999922</v>
      </c>
      <c r="L23" s="32">
        <f t="shared" ca="1" si="4"/>
        <v>2690.8384464027877</v>
      </c>
      <c r="M23" s="32">
        <f t="shared" ca="1" si="4"/>
        <v>2583.0739446855996</v>
      </c>
      <c r="N23" s="32">
        <f t="shared" ca="1" si="4"/>
        <v>2470.9915179491636</v>
      </c>
      <c r="O23" s="32">
        <f t="shared" ca="1" si="4"/>
        <v>1806.7031360021811</v>
      </c>
      <c r="P23" s="32">
        <f t="shared" ca="1" si="4"/>
        <v>1768.2980242286321</v>
      </c>
      <c r="Q23" s="32">
        <f t="shared" ca="1" si="4"/>
        <v>1731.7440285726598</v>
      </c>
      <c r="R23" s="32">
        <f t="shared" ca="1" si="4"/>
        <v>1709.386133356822</v>
      </c>
      <c r="S23" s="32">
        <f t="shared" ca="1" si="4"/>
        <v>1711.3950429241359</v>
      </c>
      <c r="T23" s="32">
        <f t="shared" ca="1" si="4"/>
        <v>1982.8508843242125</v>
      </c>
      <c r="U23" s="32">
        <f t="shared" ca="1" si="4"/>
        <v>1992.6884404192297</v>
      </c>
      <c r="V23" s="32">
        <f t="shared" ca="1" si="4"/>
        <v>1999.7952839016216</v>
      </c>
      <c r="W23" s="32">
        <f t="shared" ca="1" si="4"/>
        <v>2008.8937749909674</v>
      </c>
      <c r="X23" s="32">
        <f t="shared" ca="1" si="4"/>
        <v>2018.4411179336948</v>
      </c>
      <c r="Y23" s="32">
        <f t="shared" ca="1" si="4"/>
        <v>2030.1491741751088</v>
      </c>
      <c r="Z23" s="32">
        <f t="shared" ca="1" si="4"/>
        <v>2038.9844887944928</v>
      </c>
      <c r="AA23" s="32">
        <f t="shared" ca="1" si="4"/>
        <v>2014.2490191201432</v>
      </c>
    </row>
    <row r="24" spans="1:27" ht="15">
      <c r="A24" s="24"/>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row>
    <row r="25" spans="1:27" ht="15">
      <c r="A25" s="24" t="s">
        <v>114</v>
      </c>
      <c r="B25" s="31"/>
      <c r="C25" s="32">
        <f>'term loan '!Q4</f>
        <v>1500.8175149589038</v>
      </c>
      <c r="D25" s="32">
        <f>'term loan '!Q5</f>
        <v>1436.5342472727275</v>
      </c>
      <c r="E25" s="32">
        <f>'term loan '!Q6</f>
        <v>1303.2823425354918</v>
      </c>
      <c r="F25" s="32">
        <f>'term loan '!Q7</f>
        <v>1162.908676363636</v>
      </c>
      <c r="G25" s="32">
        <f>'term loan '!Q8</f>
        <v>1026.0958909090905</v>
      </c>
      <c r="H25" s="32">
        <f>'term loan '!$Q$9</f>
        <v>889.28310545454508</v>
      </c>
      <c r="I25" s="32">
        <f>'term loan '!$Q$10</f>
        <v>754.53188252054736</v>
      </c>
      <c r="J25" s="32">
        <f>'term loan '!$Q$11</f>
        <v>615.65753454545393</v>
      </c>
      <c r="K25" s="32">
        <f>'term loan '!$Q$12</f>
        <v>478.84474909090846</v>
      </c>
      <c r="L25" s="32">
        <f>'term loan '!$Q$13</f>
        <v>342.03196363636289</v>
      </c>
      <c r="M25" s="32">
        <f>'term loan '!$Q$14</f>
        <v>205.78142250560327</v>
      </c>
      <c r="N25" s="32">
        <f>'term loan '!$Q$15</f>
        <v>68.406392727272049</v>
      </c>
      <c r="O25" s="32">
        <v>0</v>
      </c>
      <c r="P25" s="32">
        <v>0</v>
      </c>
      <c r="Q25" s="32">
        <v>0</v>
      </c>
      <c r="R25" s="32">
        <v>0</v>
      </c>
      <c r="S25" s="32">
        <v>0</v>
      </c>
      <c r="T25" s="32">
        <v>0</v>
      </c>
      <c r="U25" s="32">
        <v>0</v>
      </c>
      <c r="V25" s="32">
        <v>0</v>
      </c>
      <c r="W25" s="32">
        <v>0</v>
      </c>
      <c r="X25" s="32">
        <v>0</v>
      </c>
      <c r="Y25" s="32">
        <v>0</v>
      </c>
      <c r="Z25" s="32">
        <v>0</v>
      </c>
      <c r="AA25" s="32">
        <v>0</v>
      </c>
    </row>
    <row r="26" spans="1:27" s="34" customFormat="1" ht="15">
      <c r="A26" s="24" t="s">
        <v>115</v>
      </c>
      <c r="B26" s="33"/>
      <c r="C26" s="33">
        <f ca="1">C42</f>
        <v>291.29145466411558</v>
      </c>
      <c r="D26" s="33">
        <f t="shared" ref="D26:AA26" ca="1" si="5">D42</f>
        <v>294.56138521948833</v>
      </c>
      <c r="E26" s="33">
        <f t="shared" ca="1" si="5"/>
        <v>297.76309258760352</v>
      </c>
      <c r="F26" s="33">
        <f t="shared" ca="1" si="5"/>
        <v>298.35017333479379</v>
      </c>
      <c r="G26" s="33">
        <f t="shared" ca="1" si="5"/>
        <v>300.50893757064659</v>
      </c>
      <c r="H26" s="33">
        <f t="shared" ca="1" si="5"/>
        <v>302.85685700338587</v>
      </c>
      <c r="I26" s="33">
        <f t="shared" ca="1" si="5"/>
        <v>306.81103695903454</v>
      </c>
      <c r="J26" s="33">
        <f t="shared" ca="1" si="5"/>
        <v>308.16223765792915</v>
      </c>
      <c r="K26" s="33">
        <f t="shared" ca="1" si="5"/>
        <v>311.14224599628034</v>
      </c>
      <c r="L26" s="33">
        <f t="shared" ca="1" si="5"/>
        <v>314.35657315907355</v>
      </c>
      <c r="M26" s="33">
        <f t="shared" ca="1" si="5"/>
        <v>319.24913193462379</v>
      </c>
      <c r="N26" s="33">
        <f t="shared" ca="1" si="5"/>
        <v>321.54068982545255</v>
      </c>
      <c r="O26" s="33">
        <f t="shared" ca="1" si="5"/>
        <v>314.6743558322064</v>
      </c>
      <c r="P26" s="33">
        <f t="shared" ca="1" si="5"/>
        <v>320.34989103647769</v>
      </c>
      <c r="Q26" s="33">
        <f t="shared" ca="1" si="5"/>
        <v>327.78650467814214</v>
      </c>
      <c r="R26" s="33">
        <f t="shared" ca="1" si="5"/>
        <v>332.97068552050325</v>
      </c>
      <c r="S26" s="33">
        <f t="shared" ca="1" si="5"/>
        <v>340.39130997692359</v>
      </c>
      <c r="T26" s="33">
        <f t="shared" ca="1" si="5"/>
        <v>353.44256399320687</v>
      </c>
      <c r="U26" s="33">
        <f t="shared" ca="1" si="5"/>
        <v>363.28012008822424</v>
      </c>
      <c r="V26" s="33">
        <f t="shared" ca="1" si="5"/>
        <v>370.38696357061644</v>
      </c>
      <c r="W26" s="33">
        <f t="shared" ca="1" si="5"/>
        <v>379.48545465996312</v>
      </c>
      <c r="X26" s="33">
        <f t="shared" ca="1" si="5"/>
        <v>389.03279760269231</v>
      </c>
      <c r="Y26" s="33">
        <f t="shared" ca="1" si="5"/>
        <v>400.74085384410699</v>
      </c>
      <c r="Z26" s="33">
        <f t="shared" ca="1" si="5"/>
        <v>409.57616846348935</v>
      </c>
      <c r="AA26" s="33">
        <f t="shared" ca="1" si="5"/>
        <v>384.8406987891388</v>
      </c>
    </row>
    <row r="27" spans="1:27" ht="15">
      <c r="A27" s="29" t="s">
        <v>116</v>
      </c>
      <c r="B27" s="10"/>
      <c r="C27" s="30">
        <f>depre!B27</f>
        <v>943.37100940273967</v>
      </c>
      <c r="D27" s="30">
        <f>depre!C27</f>
        <v>945.96268799999996</v>
      </c>
      <c r="E27" s="30">
        <f>depre!D27</f>
        <v>945.96268799999996</v>
      </c>
      <c r="F27" s="30">
        <f>depre!E27</f>
        <v>945.96268799999996</v>
      </c>
      <c r="G27" s="30">
        <f>depre!F27</f>
        <v>945.96268799999996</v>
      </c>
      <c r="H27" s="30">
        <f>depre!G27</f>
        <v>945.96268799999996</v>
      </c>
      <c r="I27" s="30">
        <f>depre!H27</f>
        <v>945.96268799999996</v>
      </c>
      <c r="J27" s="30">
        <f>depre!I27</f>
        <v>945.96268799999996</v>
      </c>
      <c r="K27" s="30">
        <f>depre!J27</f>
        <v>945.96268799999996</v>
      </c>
      <c r="L27" s="30">
        <f>depre!K27</f>
        <v>945.96268799999996</v>
      </c>
      <c r="M27" s="30">
        <f>depre!L27</f>
        <v>945.96268799999996</v>
      </c>
      <c r="N27" s="30">
        <f>depre!M27</f>
        <v>945.96268799999996</v>
      </c>
      <c r="O27" s="30">
        <f>depre!N27</f>
        <v>945.96268799999996</v>
      </c>
      <c r="P27" s="30">
        <f>depre!O27</f>
        <v>945.96268799999996</v>
      </c>
      <c r="Q27" s="30">
        <f>depre!P27</f>
        <v>945.96268799999996</v>
      </c>
      <c r="R27" s="30">
        <f>depre!Q27</f>
        <v>945.96268799999996</v>
      </c>
      <c r="S27" s="30">
        <f>depre!R27</f>
        <v>945.96268799999996</v>
      </c>
      <c r="T27" s="30">
        <f>depre!S27</f>
        <v>945.96268799999996</v>
      </c>
      <c r="U27" s="30">
        <f>depre!T27</f>
        <v>891.22329459726461</v>
      </c>
      <c r="V27" s="30">
        <f>depre!U27</f>
        <v>0</v>
      </c>
      <c r="W27" s="30">
        <f>depre!V27</f>
        <v>0</v>
      </c>
      <c r="X27" s="30">
        <f>depre!W27</f>
        <v>0</v>
      </c>
      <c r="Y27" s="30">
        <f>depre!X27</f>
        <v>0</v>
      </c>
      <c r="Z27" s="30">
        <f>depre!Y27</f>
        <v>0</v>
      </c>
      <c r="AA27" s="30">
        <f>depre!Z27</f>
        <v>0</v>
      </c>
    </row>
    <row r="28" spans="1:27" ht="15">
      <c r="A28" s="24"/>
      <c r="B28" s="23"/>
      <c r="C28" s="32"/>
      <c r="D28" s="32"/>
      <c r="E28" s="32"/>
      <c r="F28" s="32"/>
      <c r="G28" s="32"/>
      <c r="H28" s="32"/>
      <c r="I28" s="32"/>
      <c r="J28" s="32"/>
      <c r="K28" s="32"/>
      <c r="L28" s="32"/>
      <c r="M28" s="23"/>
      <c r="N28" s="23"/>
      <c r="O28" s="23"/>
      <c r="P28" s="23"/>
      <c r="Q28" s="23"/>
      <c r="R28" s="23"/>
      <c r="S28" s="23"/>
      <c r="T28" s="23"/>
      <c r="U28" s="23"/>
      <c r="V28" s="23"/>
      <c r="W28" s="23"/>
      <c r="X28" s="23"/>
      <c r="Y28" s="23"/>
      <c r="Z28" s="23"/>
      <c r="AA28" s="23"/>
    </row>
    <row r="29" spans="1:27" ht="15">
      <c r="A29" s="24" t="s">
        <v>117</v>
      </c>
      <c r="B29" s="23"/>
      <c r="C29" s="32">
        <f ca="1">C23-C25-C26-C27</f>
        <v>944.4680551087863</v>
      </c>
      <c r="D29" s="32">
        <f t="shared" ref="D29:AA29" ca="1" si="6">D23-D25-D26-D27</f>
        <v>902.10911845098337</v>
      </c>
      <c r="E29" s="32">
        <f t="shared" ca="1" si="6"/>
        <v>925.19197414885446</v>
      </c>
      <c r="F29" s="32">
        <f t="shared" ca="1" si="6"/>
        <v>948.70364424007641</v>
      </c>
      <c r="G29" s="32">
        <f t="shared" ca="1" si="6"/>
        <v>972.00090713461998</v>
      </c>
      <c r="H29" s="32">
        <f t="shared" ca="1" si="6"/>
        <v>995.29817002916536</v>
      </c>
      <c r="I29" s="32">
        <f t="shared" ca="1" si="6"/>
        <v>1018.6363381971147</v>
      </c>
      <c r="J29" s="32">
        <f t="shared" ca="1" si="6"/>
        <v>1041.8926958182587</v>
      </c>
      <c r="K29" s="32">
        <f t="shared" ca="1" si="6"/>
        <v>1065.1899587128037</v>
      </c>
      <c r="L29" s="32">
        <f t="shared" ca="1" si="6"/>
        <v>1088.4872216073513</v>
      </c>
      <c r="M29" s="32">
        <f t="shared" ca="1" si="6"/>
        <v>1112.0807022453728</v>
      </c>
      <c r="N29" s="32">
        <f t="shared" ca="1" si="6"/>
        <v>1135.0817473964394</v>
      </c>
      <c r="O29" s="32">
        <f t="shared" ca="1" si="6"/>
        <v>546.0660921699747</v>
      </c>
      <c r="P29" s="32">
        <f t="shared" ca="1" si="6"/>
        <v>501.98544519215454</v>
      </c>
      <c r="Q29" s="32">
        <f t="shared" ca="1" si="6"/>
        <v>457.99483589451768</v>
      </c>
      <c r="R29" s="32">
        <f t="shared" ca="1" si="6"/>
        <v>430.45275983631893</v>
      </c>
      <c r="S29" s="32">
        <f t="shared" ca="1" si="6"/>
        <v>425.0410449472123</v>
      </c>
      <c r="T29" s="32">
        <f t="shared" ca="1" si="6"/>
        <v>683.44563233100564</v>
      </c>
      <c r="U29" s="32">
        <f t="shared" ca="1" si="6"/>
        <v>738.18502573374076</v>
      </c>
      <c r="V29" s="32">
        <f t="shared" ca="1" si="6"/>
        <v>1629.4083203310051</v>
      </c>
      <c r="W29" s="32">
        <f t="shared" ca="1" si="6"/>
        <v>1629.4083203310042</v>
      </c>
      <c r="X29" s="32">
        <f t="shared" ca="1" si="6"/>
        <v>1629.4083203310024</v>
      </c>
      <c r="Y29" s="32">
        <f t="shared" ca="1" si="6"/>
        <v>1629.4083203310017</v>
      </c>
      <c r="Z29" s="32">
        <f t="shared" ca="1" si="6"/>
        <v>1629.4083203310033</v>
      </c>
      <c r="AA29" s="32">
        <f t="shared" ca="1" si="6"/>
        <v>1629.4083203310045</v>
      </c>
    </row>
    <row r="30" spans="1:27" ht="15">
      <c r="A30" s="24"/>
      <c r="B30" s="23"/>
      <c r="C30" s="32"/>
      <c r="D30" s="32"/>
      <c r="E30" s="32"/>
      <c r="F30" s="32"/>
      <c r="G30" s="32"/>
      <c r="H30" s="32"/>
      <c r="I30" s="32"/>
      <c r="J30" s="32"/>
      <c r="K30" s="32"/>
      <c r="L30" s="32"/>
      <c r="M30" s="23"/>
      <c r="N30" s="23"/>
      <c r="O30" s="23"/>
      <c r="P30" s="23"/>
      <c r="Q30" s="23"/>
      <c r="R30" s="23"/>
      <c r="S30" s="23"/>
      <c r="T30" s="23"/>
      <c r="U30" s="23"/>
      <c r="V30" s="23"/>
      <c r="W30" s="23"/>
      <c r="X30" s="23"/>
      <c r="Y30" s="23"/>
      <c r="Z30" s="23"/>
      <c r="AA30" s="23"/>
    </row>
    <row r="31" spans="1:27" ht="15">
      <c r="A31" s="24" t="s">
        <v>118</v>
      </c>
      <c r="B31" s="23"/>
      <c r="C31" s="32">
        <f ca="1">Tax!B32</f>
        <v>160.51234596573826</v>
      </c>
      <c r="D31" s="32">
        <f ca="1">Tax!C32</f>
        <v>153.31344468074465</v>
      </c>
      <c r="E31" s="32">
        <f ca="1">Tax!D32</f>
        <v>157.23637600659782</v>
      </c>
      <c r="F31" s="32">
        <f ca="1">Tax!E32</f>
        <v>161.232184338601</v>
      </c>
      <c r="G31" s="32">
        <f ca="1">Tax!F32</f>
        <v>165.19155416752869</v>
      </c>
      <c r="H31" s="32">
        <f ca="1">Tax!G32</f>
        <v>169.15092399645667</v>
      </c>
      <c r="I31" s="32">
        <f ca="1">Tax!H32</f>
        <v>173.11724567659965</v>
      </c>
      <c r="J31" s="32">
        <f ca="1">Tax!I32</f>
        <v>177.0696636543131</v>
      </c>
      <c r="K31" s="32">
        <f ca="1">Tax!J32</f>
        <v>181.02903348324099</v>
      </c>
      <c r="L31" s="32">
        <f ca="1">Tax!K32</f>
        <v>184.98840331216937</v>
      </c>
      <c r="M31" s="32">
        <f ca="1">Tax!L32</f>
        <v>188.99811534660111</v>
      </c>
      <c r="N31" s="32">
        <f ca="1">Tax!M32</f>
        <v>192.90714297002489</v>
      </c>
      <c r="O31" s="32">
        <f ca="1">Tax!N32</f>
        <v>92.803932364287206</v>
      </c>
      <c r="P31" s="32">
        <f ca="1">Tax!O32</f>
        <v>85.312426410406673</v>
      </c>
      <c r="Q31" s="32">
        <f ca="1">Tax!P32</f>
        <v>77.836222360273283</v>
      </c>
      <c r="R31" s="32">
        <f ca="1">Tax!Q32</f>
        <v>73.155446534182431</v>
      </c>
      <c r="S31" s="32">
        <f ca="1">Tax!R32</f>
        <v>72.235725588779189</v>
      </c>
      <c r="T31" s="32">
        <f ca="1">Tax!S32</f>
        <v>133.14897060520485</v>
      </c>
      <c r="U31" s="32">
        <f ca="1">Tax!T32</f>
        <v>504.83283144127449</v>
      </c>
      <c r="V31" s="32">
        <f ca="1">Tax!U32</f>
        <v>512.18328993715954</v>
      </c>
      <c r="W31" s="32">
        <f ca="1">Tax!V32</f>
        <v>518.43117965866156</v>
      </c>
      <c r="X31" s="32">
        <f ca="1">Tax!W32</f>
        <v>523.74188592193798</v>
      </c>
      <c r="Y31" s="32">
        <f ca="1">Tax!X32</f>
        <v>528.25598624572331</v>
      </c>
      <c r="Z31" s="32">
        <f ca="1">Tax!Y32</f>
        <v>532.09297152094143</v>
      </c>
      <c r="AA31" s="32">
        <f ca="1">Tax!Z32</f>
        <v>535.35440900487674</v>
      </c>
    </row>
    <row r="32" spans="1:27" ht="15">
      <c r="A32" s="24"/>
      <c r="B32" s="23"/>
      <c r="C32" s="32"/>
      <c r="D32" s="32"/>
      <c r="E32" s="32"/>
      <c r="F32" s="32"/>
      <c r="G32" s="32"/>
      <c r="H32" s="32"/>
      <c r="I32" s="32"/>
      <c r="J32" s="32"/>
      <c r="K32" s="32"/>
      <c r="L32" s="32"/>
      <c r="M32" s="32"/>
      <c r="N32" s="32"/>
      <c r="O32" s="32"/>
      <c r="P32" s="32"/>
      <c r="Q32" s="32"/>
      <c r="R32" s="32"/>
      <c r="S32" s="32"/>
      <c r="T32" s="32"/>
      <c r="U32" s="32"/>
      <c r="V32" s="32"/>
      <c r="W32" s="32"/>
      <c r="X32" s="32"/>
      <c r="Y32" s="32"/>
      <c r="Z32" s="32"/>
      <c r="AA32" s="32"/>
    </row>
    <row r="33" spans="1:27" ht="15">
      <c r="A33" s="24" t="s">
        <v>119</v>
      </c>
      <c r="B33" s="23"/>
      <c r="C33" s="32">
        <f ca="1">C29-C31-C32</f>
        <v>783.95570914304801</v>
      </c>
      <c r="D33" s="32">
        <f t="shared" ref="D33:AA33" ca="1" si="7">D29-D31-D32</f>
        <v>748.79567377023875</v>
      </c>
      <c r="E33" s="32">
        <f t="shared" ca="1" si="7"/>
        <v>767.95559814225658</v>
      </c>
      <c r="F33" s="32">
        <f t="shared" ca="1" si="7"/>
        <v>787.47145990147544</v>
      </c>
      <c r="G33" s="32">
        <f t="shared" ca="1" si="7"/>
        <v>806.80935296709129</v>
      </c>
      <c r="H33" s="32">
        <f t="shared" ca="1" si="7"/>
        <v>826.14724603270872</v>
      </c>
      <c r="I33" s="32">
        <f t="shared" ca="1" si="7"/>
        <v>845.51909252051507</v>
      </c>
      <c r="J33" s="32">
        <f t="shared" ca="1" si="7"/>
        <v>864.82303216394564</v>
      </c>
      <c r="K33" s="32">
        <f t="shared" ca="1" si="7"/>
        <v>884.16092522956274</v>
      </c>
      <c r="L33" s="32">
        <f t="shared" ca="1" si="7"/>
        <v>903.49881829518199</v>
      </c>
      <c r="M33" s="32">
        <f t="shared" ca="1" si="7"/>
        <v>923.08258689877164</v>
      </c>
      <c r="N33" s="32">
        <f t="shared" ca="1" si="7"/>
        <v>942.17460442641448</v>
      </c>
      <c r="O33" s="32">
        <f t="shared" ca="1" si="7"/>
        <v>453.26215980568747</v>
      </c>
      <c r="P33" s="32">
        <f t="shared" ca="1" si="7"/>
        <v>416.67301878174788</v>
      </c>
      <c r="Q33" s="32">
        <f t="shared" ca="1" si="7"/>
        <v>380.15861353424441</v>
      </c>
      <c r="R33" s="32">
        <f t="shared" ca="1" si="7"/>
        <v>357.2973133021365</v>
      </c>
      <c r="S33" s="32">
        <f t="shared" ca="1" si="7"/>
        <v>352.80531935843311</v>
      </c>
      <c r="T33" s="32">
        <f t="shared" ca="1" si="7"/>
        <v>550.29666172580073</v>
      </c>
      <c r="U33" s="32">
        <f t="shared" ca="1" si="7"/>
        <v>233.35219429246627</v>
      </c>
      <c r="V33" s="32">
        <f t="shared" ca="1" si="7"/>
        <v>1117.2250303938456</v>
      </c>
      <c r="W33" s="32">
        <f t="shared" ca="1" si="7"/>
        <v>1110.9771406723426</v>
      </c>
      <c r="X33" s="32">
        <f t="shared" ca="1" si="7"/>
        <v>1105.6664344090645</v>
      </c>
      <c r="Y33" s="32">
        <f t="shared" ca="1" si="7"/>
        <v>1101.1523340852784</v>
      </c>
      <c r="Z33" s="32">
        <f t="shared" ca="1" si="7"/>
        <v>1097.315348810062</v>
      </c>
      <c r="AA33" s="32">
        <f t="shared" ca="1" si="7"/>
        <v>1094.0539113261277</v>
      </c>
    </row>
    <row r="34" spans="1:27" ht="15">
      <c r="A34" s="24"/>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row>
    <row r="35" spans="1:27" ht="15">
      <c r="M35" s="35"/>
      <c r="N35" s="35"/>
      <c r="O35" s="35"/>
      <c r="P35" s="35"/>
    </row>
    <row r="36" spans="1:27" ht="15">
      <c r="A36" s="193" t="s">
        <v>274</v>
      </c>
      <c r="B36" s="194"/>
      <c r="C36" s="194"/>
      <c r="D36" s="194"/>
      <c r="E36" s="194"/>
    </row>
    <row r="37" spans="1:27" ht="30">
      <c r="A37" s="24" t="s">
        <v>176</v>
      </c>
      <c r="B37" s="23"/>
      <c r="C37" s="36">
        <f>C19/12*Assumption!$D$73</f>
        <v>58.77540410958904</v>
      </c>
      <c r="D37" s="36">
        <f>D19/12*Assumption!$D$73</f>
        <v>62.308064250000001</v>
      </c>
      <c r="E37" s="36">
        <f>E19/12*Assumption!$D$73</f>
        <v>65.87208552509999</v>
      </c>
      <c r="F37" s="36">
        <f>F19/12*Assumption!$D$73</f>
        <v>69.63996881713571</v>
      </c>
      <c r="G37" s="36">
        <f>G19/12*Assumption!$D$73</f>
        <v>73.623375033475853</v>
      </c>
      <c r="H37" s="36">
        <f>H19/12*Assumption!$D$73</f>
        <v>77.834632085390666</v>
      </c>
      <c r="I37" s="36">
        <f>I19/12*Assumption!$D$73</f>
        <v>82.286773040675016</v>
      </c>
      <c r="J37" s="36">
        <f>J19/12*Assumption!$D$73</f>
        <v>86.993576458601623</v>
      </c>
      <c r="K37" s="36">
        <f>K19/12*Assumption!$D$73</f>
        <v>91.969609032033631</v>
      </c>
      <c r="L37" s="36">
        <f>L19/12*Assumption!$D$73</f>
        <v>97.230270668665938</v>
      </c>
      <c r="M37" s="36">
        <f>M19/12*Assumption!$D$73</f>
        <v>102.79184215091362</v>
      </c>
      <c r="N37" s="36">
        <f>N19/12*Assumption!$D$73</f>
        <v>108.67153552194588</v>
      </c>
      <c r="O37" s="36">
        <f>O19/12*Assumption!$D$73</f>
        <v>114.8875473538012</v>
      </c>
      <c r="P37" s="36">
        <f>P19/12*Assumption!$D$73</f>
        <v>121.45911506243858</v>
      </c>
      <c r="Q37" s="36">
        <f>Q19/12*Assumption!$D$73</f>
        <v>128.40657644401008</v>
      </c>
      <c r="R37" s="36">
        <f>R19/12*Assumption!$D$73</f>
        <v>135.75143261660745</v>
      </c>
      <c r="S37" s="36">
        <f>S19/12*Assumption!$D$73</f>
        <v>143.51641456227739</v>
      </c>
      <c r="T37" s="36">
        <f>T19/12*Assumption!$D$73</f>
        <v>151.72555347523968</v>
      </c>
      <c r="U37" s="36">
        <f>U19/12*Assumption!$D$73</f>
        <v>160.40425513402337</v>
      </c>
      <c r="V37" s="36">
        <f>V19/12*Assumption!$D$73</f>
        <v>169.57937852768947</v>
      </c>
      <c r="W37" s="36">
        <f>W19/12*Assumption!$D$73</f>
        <v>179.27931897947335</v>
      </c>
      <c r="X37" s="36">
        <f>X19/12*Assumption!$D$73</f>
        <v>189.53409602509919</v>
      </c>
      <c r="Y37" s="36">
        <f>Y19/12*Assumption!$D$73</f>
        <v>200.37544631773486</v>
      </c>
      <c r="Z37" s="36">
        <f>Z19/12*Assumption!$D$73</f>
        <v>211.83692184710927</v>
      </c>
      <c r="AA37" s="36">
        <f>AA19/12*Assumption!$D$73</f>
        <v>223.95399377676389</v>
      </c>
    </row>
    <row r="38" spans="1:27" ht="15">
      <c r="A38" s="24" t="s">
        <v>20</v>
      </c>
      <c r="B38" s="23"/>
      <c r="C38" s="36">
        <f>fuel!B23/12*Assumption!$D$72</f>
        <v>494.88150645221276</v>
      </c>
      <c r="D38" s="36">
        <f>fuel!C23/12*Assumption!$D$72</f>
        <v>499.71475852759062</v>
      </c>
      <c r="E38" s="36">
        <f>fuel!D23/12*Assumption!$D$72</f>
        <v>504.59142693820786</v>
      </c>
      <c r="F38" s="36">
        <f>fuel!E23/12*Assumption!$D$72</f>
        <v>506.73525117014464</v>
      </c>
      <c r="G38" s="36">
        <f>fuel!F23/12*Assumption!$D$72</f>
        <v>510.28239792833551</v>
      </c>
      <c r="H38" s="36">
        <f>fuel!G23/12*Assumption!$D$72</f>
        <v>513.85437471383398</v>
      </c>
      <c r="I38" s="36">
        <f>fuel!H23/12*Assumption!$D$72</f>
        <v>518.86903028295899</v>
      </c>
      <c r="J38" s="36">
        <f>fuel!I23/12*Assumption!$D$72</f>
        <v>521.07351482418846</v>
      </c>
      <c r="K38" s="36">
        <f>fuel!J23/12*Assumption!$D$72</f>
        <v>524.72102942795789</v>
      </c>
      <c r="L38" s="36">
        <f>fuel!K23/12*Assumption!$D$72</f>
        <v>528.39407663395343</v>
      </c>
      <c r="M38" s="36">
        <f>fuel!L23/12*Assumption!$D$72</f>
        <v>533.55062375989905</v>
      </c>
      <c r="N38" s="36">
        <f>fuel!M23/12*Assumption!$D$72</f>
        <v>535.81748501658376</v>
      </c>
      <c r="O38" s="36">
        <f>fuel!N23/12*Assumption!$D$72</f>
        <v>539.56820741169975</v>
      </c>
      <c r="P38" s="36">
        <f>fuel!O23/12*Assumption!$D$72</f>
        <v>543.34518486358172</v>
      </c>
      <c r="Q38" s="36">
        <f>fuel!P23/12*Assumption!$D$72</f>
        <v>548.6476384210722</v>
      </c>
      <c r="R38" s="36">
        <f>fuel!Q23/12*Assumption!$D$72</f>
        <v>550.97864136572991</v>
      </c>
      <c r="S38" s="36">
        <f>fuel!R23/12*Assumption!$D$72</f>
        <v>554.83549185529012</v>
      </c>
      <c r="T38" s="36">
        <f>fuel!S23/12*Assumption!$D$72</f>
        <v>558.71934029827696</v>
      </c>
      <c r="U38" s="36">
        <f>fuel!T23/12*Assumption!$D$72</f>
        <v>564.17182876442075</v>
      </c>
      <c r="V38" s="36">
        <f>fuel!U23/12*Assumption!$D$72</f>
        <v>566.56878831012727</v>
      </c>
      <c r="W38" s="36">
        <f>fuel!V23/12*Assumption!$D$72</f>
        <v>570.53476982829818</v>
      </c>
      <c r="X38" s="36">
        <f>fuel!W23/12*Assumption!$D$72</f>
        <v>574.52851321709602</v>
      </c>
      <c r="Y38" s="36">
        <f>fuel!X23/12*Assumption!$D$72</f>
        <v>580.13528188580653</v>
      </c>
      <c r="Z38" s="36">
        <f>fuel!Y23/12*Assumption!$D$72</f>
        <v>582.60006429928296</v>
      </c>
      <c r="AA38" s="36">
        <f>fuel!Z23/12*Assumption!$D$72</f>
        <v>586.67826474937795</v>
      </c>
    </row>
    <row r="39" spans="1:27" ht="15">
      <c r="A39" s="24" t="s">
        <v>21</v>
      </c>
      <c r="B39" s="23"/>
      <c r="C39" s="36">
        <f>C19*Assumption!$D$74</f>
        <v>211.59145479452056</v>
      </c>
      <c r="D39" s="36">
        <f>D19*Assumption!$D$74</f>
        <v>224.30903129999999</v>
      </c>
      <c r="E39" s="36">
        <f>E19*Assumption!$D$74</f>
        <v>237.13950789035997</v>
      </c>
      <c r="F39" s="36">
        <f>F19*Assumption!$D$74</f>
        <v>250.70388774168853</v>
      </c>
      <c r="G39" s="36">
        <f>G19*Assumption!$D$74</f>
        <v>265.04415012051305</v>
      </c>
      <c r="H39" s="36">
        <f>H19*Assumption!$D$74</f>
        <v>280.20467550740636</v>
      </c>
      <c r="I39" s="36">
        <f>I19*Assumption!$D$74</f>
        <v>296.23238294643005</v>
      </c>
      <c r="J39" s="36">
        <f>J19*Assumption!$D$74</f>
        <v>313.17687525096579</v>
      </c>
      <c r="K39" s="36">
        <f>K19*Assumption!$D$74</f>
        <v>331.09059251532102</v>
      </c>
      <c r="L39" s="36">
        <f>L19*Assumption!$D$74</f>
        <v>350.02897440719738</v>
      </c>
      <c r="M39" s="36">
        <f>M19*Assumption!$D$74</f>
        <v>370.05063174328905</v>
      </c>
      <c r="N39" s="36">
        <f>N19*Assumption!$D$74</f>
        <v>391.21752787900516</v>
      </c>
      <c r="O39" s="36">
        <f>O19*Assumption!$D$74</f>
        <v>413.59517047368428</v>
      </c>
      <c r="P39" s="36">
        <f>P19*Assumption!$D$74</f>
        <v>437.25281422477889</v>
      </c>
      <c r="Q39" s="36">
        <f>Q19*Assumption!$D$74</f>
        <v>462.26367519843632</v>
      </c>
      <c r="R39" s="36">
        <f>R19*Assumption!$D$74</f>
        <v>488.70515741978681</v>
      </c>
      <c r="S39" s="36">
        <f>S19*Assumption!$D$74</f>
        <v>516.65909242419866</v>
      </c>
      <c r="T39" s="36">
        <f>T19*Assumption!$D$74</f>
        <v>546.21199251086284</v>
      </c>
      <c r="U39" s="36">
        <f>U19*Assumption!$D$74</f>
        <v>577.45531848248413</v>
      </c>
      <c r="V39" s="36">
        <f>V19*Assumption!$D$74</f>
        <v>610.48576269968203</v>
      </c>
      <c r="W39" s="36">
        <f>W19*Assumption!$D$74</f>
        <v>645.40554832610394</v>
      </c>
      <c r="X39" s="36">
        <f>X19*Assumption!$D$74</f>
        <v>682.32274569035701</v>
      </c>
      <c r="Y39" s="36">
        <f>Y19*Assumption!$D$74</f>
        <v>721.35160674384554</v>
      </c>
      <c r="Z39" s="36">
        <f>Z19*Assumption!$D$74</f>
        <v>762.61291864959333</v>
      </c>
      <c r="AA39" s="36">
        <f>AA19*Assumption!$D$74</f>
        <v>806.23437759634999</v>
      </c>
    </row>
    <row r="40" spans="1:27" ht="15">
      <c r="A40" s="24" t="s">
        <v>70</v>
      </c>
      <c r="B40" s="23"/>
      <c r="C40" s="36">
        <f ca="1">C12*Assumption!$D$71/12</f>
        <v>1720.6384934793612</v>
      </c>
      <c r="D40" s="36">
        <f ca="1">D12*Assumption!$D$71/12</f>
        <v>1720.5735520457145</v>
      </c>
      <c r="E40" s="36">
        <f ca="1">E12*Assumption!$D$71/12</f>
        <v>1719.6270411386074</v>
      </c>
      <c r="F40" s="36">
        <f ca="1">F12*Assumption!$D$71/12</f>
        <v>1712.0713036309783</v>
      </c>
      <c r="G40" s="36">
        <f ca="1">G12*Assumption!$D$71/12</f>
        <v>1708.5729498593489</v>
      </c>
      <c r="H40" s="36">
        <f ca="1">H12*Assumption!$D$71/12</f>
        <v>1705.6114836796321</v>
      </c>
      <c r="I40" s="36">
        <f ca="1">I12*Assumption!$D$71/12</f>
        <v>1706.6352642600507</v>
      </c>
      <c r="J40" s="36">
        <f ca="1">J12*Assumption!$D$71/12</f>
        <v>1701.4133752358539</v>
      </c>
      <c r="K40" s="36">
        <f ca="1">K12*Assumption!$D$71/12</f>
        <v>1700.2378838866482</v>
      </c>
      <c r="L40" s="36">
        <f ca="1">L12*Assumption!$D$71/12</f>
        <v>1699.7217690057032</v>
      </c>
      <c r="M40" s="36">
        <f ca="1">M12*Assumption!$D$71/12</f>
        <v>1703.1972559358919</v>
      </c>
      <c r="N40" s="36">
        <f ca="1">N12*Assumption!$D$71/12</f>
        <v>1700.8099607352533</v>
      </c>
      <c r="O40" s="36">
        <f ca="1">O12*Assumption!$D$71/12</f>
        <v>1610.0286988646988</v>
      </c>
      <c r="P40" s="36">
        <f ca="1">P12*Assumption!$D$71/12</f>
        <v>1624.3249372234793</v>
      </c>
      <c r="Q40" s="36">
        <f ca="1">Q12*Assumption!$D$71/12</f>
        <v>1642.7324344922745</v>
      </c>
      <c r="R40" s="36">
        <f ca="1">R12*Assumption!$D$71/12</f>
        <v>1658.3578368574783</v>
      </c>
      <c r="S40" s="36">
        <f ca="1">S12*Assumption!$D$71/12</f>
        <v>1681.9363199891577</v>
      </c>
      <c r="T40" s="36">
        <f ca="1">T12*Assumption!$D$71/12</f>
        <v>1751.3649349344021</v>
      </c>
      <c r="U40" s="36">
        <f ca="1">U12*Assumption!$D$71/12</f>
        <v>1781.2669078667598</v>
      </c>
      <c r="V40" s="36">
        <f ca="1">V12*Assumption!$D$71/12</f>
        <v>1805.5955476592371</v>
      </c>
      <c r="W40" s="36">
        <f ca="1">W12*Assumption!$D$71/12</f>
        <v>1834.4438067807043</v>
      </c>
      <c r="X40" s="36">
        <f ca="1">X12*Assumption!$D$71/12</f>
        <v>1864.5320714733398</v>
      </c>
      <c r="Y40" s="36">
        <f ca="1">Y12*Assumption!$D$71/12</f>
        <v>1899.3796521029344</v>
      </c>
      <c r="Z40" s="36">
        <f ca="1">Z12*Assumption!$D$71/12</f>
        <v>1928.7047204252001</v>
      </c>
      <c r="AA40" s="36">
        <f ca="1">AA12*Assumption!$D$71/12</f>
        <v>1658.3733535723075</v>
      </c>
    </row>
    <row r="41" spans="1:27" ht="15">
      <c r="A41" s="24" t="s">
        <v>22</v>
      </c>
      <c r="B41" s="23"/>
      <c r="C41" s="36">
        <f t="shared" ref="C41:AA41" ca="1" si="8">SUM(C37:C40)</f>
        <v>2485.8868588356836</v>
      </c>
      <c r="D41" s="36">
        <f t="shared" ca="1" si="8"/>
        <v>2506.9054061233051</v>
      </c>
      <c r="E41" s="36">
        <f t="shared" ca="1" si="8"/>
        <v>2527.2300614922751</v>
      </c>
      <c r="F41" s="36">
        <f t="shared" ca="1" si="8"/>
        <v>2539.1504113599472</v>
      </c>
      <c r="G41" s="36">
        <f t="shared" ca="1" si="8"/>
        <v>2557.5228729416731</v>
      </c>
      <c r="H41" s="36">
        <f t="shared" ca="1" si="8"/>
        <v>2577.5051659862629</v>
      </c>
      <c r="I41" s="36">
        <f t="shared" ca="1" si="8"/>
        <v>2604.023450530115</v>
      </c>
      <c r="J41" s="36">
        <f t="shared" ca="1" si="8"/>
        <v>2622.65734176961</v>
      </c>
      <c r="K41" s="36">
        <f t="shared" ca="1" si="8"/>
        <v>2648.0191148619606</v>
      </c>
      <c r="L41" s="36">
        <f t="shared" ca="1" si="8"/>
        <v>2675.3750907155199</v>
      </c>
      <c r="M41" s="36">
        <f t="shared" ca="1" si="8"/>
        <v>2709.5903535899938</v>
      </c>
      <c r="N41" s="36">
        <f t="shared" ca="1" si="8"/>
        <v>2736.5165091527879</v>
      </c>
      <c r="O41" s="36">
        <f t="shared" ca="1" si="8"/>
        <v>2678.0796241038843</v>
      </c>
      <c r="P41" s="36">
        <f t="shared" ca="1" si="8"/>
        <v>2726.3820513742785</v>
      </c>
      <c r="Q41" s="36">
        <f t="shared" ca="1" si="8"/>
        <v>2782.0503245557929</v>
      </c>
      <c r="R41" s="36">
        <f t="shared" ca="1" si="8"/>
        <v>2833.7930682596025</v>
      </c>
      <c r="S41" s="36">
        <f t="shared" ca="1" si="8"/>
        <v>2896.9473188309239</v>
      </c>
      <c r="T41" s="36">
        <f t="shared" ca="1" si="8"/>
        <v>3008.021821218782</v>
      </c>
      <c r="U41" s="36">
        <f t="shared" ca="1" si="8"/>
        <v>3083.2983102476883</v>
      </c>
      <c r="V41" s="36">
        <f t="shared" ca="1" si="8"/>
        <v>3152.2294771967358</v>
      </c>
      <c r="W41" s="36">
        <f t="shared" ca="1" si="8"/>
        <v>3229.6634439145801</v>
      </c>
      <c r="X41" s="36">
        <f t="shared" ca="1" si="8"/>
        <v>3310.917426405892</v>
      </c>
      <c r="Y41" s="36">
        <f t="shared" ca="1" si="8"/>
        <v>3401.2419870503213</v>
      </c>
      <c r="Z41" s="36">
        <f t="shared" ca="1" si="8"/>
        <v>3485.754625221186</v>
      </c>
      <c r="AA41" s="36">
        <f t="shared" ca="1" si="8"/>
        <v>3275.2399896947991</v>
      </c>
    </row>
    <row r="42" spans="1:27" ht="30">
      <c r="A42" s="24" t="s">
        <v>120</v>
      </c>
      <c r="B42" s="23"/>
      <c r="C42" s="36">
        <f ca="1">C41*Assumption!$D$75*C7/365</f>
        <v>291.29145466411558</v>
      </c>
      <c r="D42" s="36">
        <f ca="1">D41*Assumption!$D$75*D7/365</f>
        <v>294.56138521948833</v>
      </c>
      <c r="E42" s="36">
        <f ca="1">E41*Assumption!$D$75*E7/365</f>
        <v>297.76309258760352</v>
      </c>
      <c r="F42" s="36">
        <f ca="1">F41*Assumption!$D$75*F7/365</f>
        <v>298.35017333479379</v>
      </c>
      <c r="G42" s="36">
        <f ca="1">G41*Assumption!$D$75*G7/365</f>
        <v>300.50893757064659</v>
      </c>
      <c r="H42" s="36">
        <f ca="1">H41*Assumption!$D$75*H7/365</f>
        <v>302.85685700338587</v>
      </c>
      <c r="I42" s="36">
        <f ca="1">I41*Assumption!$D$75*I7/365</f>
        <v>306.81103695903454</v>
      </c>
      <c r="J42" s="36">
        <f ca="1">J41*Assumption!$D$75*J7/365</f>
        <v>308.16223765792915</v>
      </c>
      <c r="K42" s="36">
        <f ca="1">K41*Assumption!$D$75*K7/365</f>
        <v>311.14224599628034</v>
      </c>
      <c r="L42" s="36">
        <f ca="1">L41*Assumption!$D$75*L7/365</f>
        <v>314.35657315907355</v>
      </c>
      <c r="M42" s="36">
        <f ca="1">M41*Assumption!$D$75*M7/365</f>
        <v>319.24913193462379</v>
      </c>
      <c r="N42" s="36">
        <f ca="1">N41*Assumption!$D$75*N7/365</f>
        <v>321.54068982545255</v>
      </c>
      <c r="O42" s="36">
        <f ca="1">O41*Assumption!$D$75*O7/365</f>
        <v>314.6743558322064</v>
      </c>
      <c r="P42" s="36">
        <f ca="1">P41*Assumption!$D$75*P7/365</f>
        <v>320.34989103647769</v>
      </c>
      <c r="Q42" s="36">
        <f ca="1">Q41*Assumption!$D$75*Q7/365</f>
        <v>327.78650467814214</v>
      </c>
      <c r="R42" s="36">
        <f ca="1">R41*Assumption!$D$75*R7/365</f>
        <v>332.97068552050325</v>
      </c>
      <c r="S42" s="36">
        <f ca="1">S41*Assumption!$D$75*S7/365</f>
        <v>340.39130996263356</v>
      </c>
      <c r="T42" s="36">
        <f ca="1">T41*Assumption!$D$75*T7/365</f>
        <v>353.44256399320687</v>
      </c>
      <c r="U42" s="36">
        <f ca="1">U41*Assumption!$D$75*U7/365</f>
        <v>363.28012008822424</v>
      </c>
      <c r="V42" s="36">
        <f ca="1">V41*Assumption!$D$75*V7/365</f>
        <v>370.38696357061644</v>
      </c>
      <c r="W42" s="36">
        <f ca="1">W41*Assumption!$D$75*W7/365</f>
        <v>379.48545465996312</v>
      </c>
      <c r="X42" s="36">
        <f ca="1">X41*Assumption!$D$75*X7/365</f>
        <v>389.03279760269231</v>
      </c>
      <c r="Y42" s="36">
        <f ca="1">Y41*Assumption!$D$75*Y7/365</f>
        <v>400.74085384410699</v>
      </c>
      <c r="Z42" s="36">
        <f ca="1">Z41*Assumption!$D$75*Z7/365</f>
        <v>409.57616846348935</v>
      </c>
      <c r="AA42" s="36">
        <f ca="1">AA41*Assumption!$D$75*AA7/365</f>
        <v>384.8406987891388</v>
      </c>
    </row>
  </sheetData>
  <mergeCells count="1">
    <mergeCell ref="A36:E36"/>
  </mergeCells>
  <pageMargins left="0.25" right="0.05" top="1" bottom="1" header="0.5" footer="0.5"/>
  <pageSetup paperSize="9" scale="82" fitToWidth="2" orientation="landscape" r:id="rId1"/>
  <headerFooter alignWithMargins="0"/>
</worksheet>
</file>

<file path=xl/worksheets/sheet11.xml><?xml version="1.0" encoding="utf-8"?>
<worksheet xmlns="http://schemas.openxmlformats.org/spreadsheetml/2006/main" xmlns:r="http://schemas.openxmlformats.org/officeDocument/2006/relationships">
  <sheetPr codeName="Sheet11">
    <pageSetUpPr fitToPage="1"/>
  </sheetPr>
  <dimension ref="C2:I18"/>
  <sheetViews>
    <sheetView workbookViewId="0">
      <selection activeCell="D24" sqref="D24"/>
    </sheetView>
  </sheetViews>
  <sheetFormatPr defaultRowHeight="12.75"/>
  <cols>
    <col min="3" max="3" width="50" bestFit="1" customWidth="1"/>
    <col min="4" max="4" width="19.85546875" bestFit="1" customWidth="1"/>
    <col min="5" max="5" width="18.7109375" customWidth="1"/>
    <col min="6" max="6" width="26" customWidth="1"/>
    <col min="7" max="7" width="36.5703125" customWidth="1"/>
    <col min="8" max="8" width="22.28515625" bestFit="1" customWidth="1"/>
    <col min="9" max="9" width="21.5703125" bestFit="1" customWidth="1"/>
  </cols>
  <sheetData>
    <row r="2" spans="3:9" ht="15" thickBot="1">
      <c r="C2" s="195" t="s">
        <v>1</v>
      </c>
      <c r="D2" s="196" t="s">
        <v>131</v>
      </c>
      <c r="E2" s="197"/>
      <c r="F2" s="81"/>
      <c r="G2" s="195" t="s">
        <v>1</v>
      </c>
      <c r="H2" s="82" t="s">
        <v>132</v>
      </c>
    </row>
    <row r="3" spans="3:9" ht="15">
      <c r="C3" s="195"/>
      <c r="D3" s="66" t="s">
        <v>133</v>
      </c>
      <c r="E3" s="63" t="s">
        <v>134</v>
      </c>
      <c r="F3" s="66" t="s">
        <v>164</v>
      </c>
      <c r="G3" s="197"/>
      <c r="H3" s="63" t="s">
        <v>134</v>
      </c>
      <c r="I3" s="83" t="s">
        <v>164</v>
      </c>
    </row>
    <row r="4" spans="3:9" ht="15">
      <c r="C4" s="4" t="s">
        <v>135</v>
      </c>
      <c r="D4" s="4">
        <f>4.205</f>
        <v>4.2050000000000001</v>
      </c>
      <c r="E4" s="84">
        <f>D4/1.1</f>
        <v>3.8227272727272723</v>
      </c>
      <c r="F4" s="198" t="s">
        <v>165</v>
      </c>
      <c r="G4" s="85" t="s">
        <v>135</v>
      </c>
      <c r="H4" s="84">
        <v>4.9001999999999999</v>
      </c>
      <c r="I4" s="201" t="s">
        <v>166</v>
      </c>
    </row>
    <row r="5" spans="3:9" ht="15">
      <c r="C5" s="4" t="s">
        <v>136</v>
      </c>
      <c r="D5" s="4">
        <v>0.13500000000000001</v>
      </c>
      <c r="E5" s="84">
        <f>D5/1.11</f>
        <v>0.12162162162162161</v>
      </c>
      <c r="F5" s="199"/>
      <c r="G5" s="85" t="s">
        <v>136</v>
      </c>
      <c r="H5" s="84">
        <f>39.26/D18</f>
        <v>0.84104541559554413</v>
      </c>
      <c r="I5" s="202"/>
    </row>
    <row r="6" spans="3:9" ht="15">
      <c r="C6" s="4" t="s">
        <v>167</v>
      </c>
      <c r="D6" s="4">
        <f>(D4+D5)*2%</f>
        <v>8.6800000000000002E-2</v>
      </c>
      <c r="E6" s="84">
        <f>D6/1.1</f>
        <v>7.8909090909090901E-2</v>
      </c>
      <c r="F6" s="200"/>
      <c r="G6" s="85" t="s">
        <v>146</v>
      </c>
      <c r="H6" s="84">
        <f>(H4+H5)*15%</f>
        <v>0.86118681233933159</v>
      </c>
      <c r="I6" s="203"/>
    </row>
    <row r="7" spans="3:9" ht="15">
      <c r="C7" s="4" t="s">
        <v>22</v>
      </c>
      <c r="D7" s="86">
        <f>SUM(D4:D6)</f>
        <v>4.4268000000000001</v>
      </c>
      <c r="E7" s="87">
        <f>SUM(E4:E6)</f>
        <v>4.0232579852579846</v>
      </c>
      <c r="F7" s="88"/>
      <c r="G7" s="85" t="s">
        <v>22</v>
      </c>
      <c r="H7" s="87">
        <f>SUM(H4:H6)</f>
        <v>6.6024322279348757</v>
      </c>
      <c r="I7" s="89"/>
    </row>
    <row r="8" spans="3:9" ht="15" customHeight="1">
      <c r="C8" s="4" t="s">
        <v>137</v>
      </c>
      <c r="D8" s="4">
        <f>68.56/D18</f>
        <v>1.4687232219365896</v>
      </c>
      <c r="E8" s="84">
        <f>D8/1.1</f>
        <v>1.3352029290332632</v>
      </c>
      <c r="F8" s="4" t="s">
        <v>168</v>
      </c>
      <c r="G8" s="85" t="s">
        <v>138</v>
      </c>
      <c r="H8" s="84">
        <f>(21.91/1.1)/D18</f>
        <v>0.42669626859858223</v>
      </c>
      <c r="I8" s="90" t="s">
        <v>173</v>
      </c>
    </row>
    <row r="9" spans="3:9" ht="15">
      <c r="C9" s="4" t="s">
        <v>139</v>
      </c>
      <c r="D9" s="4">
        <f>21.91/D18</f>
        <v>0.46936589545844043</v>
      </c>
      <c r="E9" s="84">
        <f>D9/1.1</f>
        <v>0.42669626859858217</v>
      </c>
      <c r="F9" s="91" t="s">
        <v>173</v>
      </c>
      <c r="G9" s="85" t="s">
        <v>169</v>
      </c>
      <c r="H9" s="84">
        <f>H8*10.3%</f>
        <v>4.394971566565397E-2</v>
      </c>
      <c r="I9" s="89"/>
    </row>
    <row r="10" spans="3:9" ht="15">
      <c r="C10" s="4" t="s">
        <v>170</v>
      </c>
      <c r="D10" s="4">
        <f>(D8+D9)*10.3%</f>
        <v>0.19962317909168809</v>
      </c>
      <c r="E10" s="84">
        <f>(E8+E9)*10.3%</f>
        <v>0.18147561735608009</v>
      </c>
      <c r="F10" s="4"/>
      <c r="G10" s="85" t="s">
        <v>140</v>
      </c>
      <c r="H10" s="87">
        <f>SUM(H8:H9)</f>
        <v>0.47064598426423621</v>
      </c>
      <c r="I10" s="89"/>
    </row>
    <row r="11" spans="3:9" ht="15">
      <c r="C11" s="4" t="s">
        <v>140</v>
      </c>
      <c r="D11" s="88">
        <f>SUM(D8:D10)</f>
        <v>2.1377122964867179</v>
      </c>
      <c r="E11" s="87">
        <f>SUM(E8:E10)</f>
        <v>1.9433748149879255</v>
      </c>
      <c r="F11" s="88"/>
      <c r="G11" s="85" t="s">
        <v>141</v>
      </c>
      <c r="H11" s="87">
        <f>H7+H10</f>
        <v>7.0730782121991123</v>
      </c>
      <c r="I11" s="89"/>
    </row>
    <row r="12" spans="3:9" ht="15">
      <c r="C12" s="4" t="s">
        <v>142</v>
      </c>
      <c r="D12" s="88">
        <f>D7+D11</f>
        <v>6.5645122964867184</v>
      </c>
      <c r="E12" s="87">
        <f>E7+E11</f>
        <v>5.9666328002459101</v>
      </c>
      <c r="F12" s="88"/>
      <c r="G12" s="92"/>
      <c r="H12" s="93"/>
      <c r="I12" s="89"/>
    </row>
    <row r="13" spans="3:9" ht="15">
      <c r="C13" s="5" t="s">
        <v>143</v>
      </c>
      <c r="E13" s="84">
        <v>0.5</v>
      </c>
      <c r="F13" s="4"/>
      <c r="G13" s="94" t="s">
        <v>143</v>
      </c>
      <c r="H13" s="84">
        <v>0.5</v>
      </c>
      <c r="I13" s="89"/>
    </row>
    <row r="14" spans="3:9" ht="15.75" thickBot="1">
      <c r="C14" s="10" t="s">
        <v>144</v>
      </c>
      <c r="D14" s="10"/>
      <c r="E14" s="95">
        <f>E13*E12</f>
        <v>2.9833164001229551</v>
      </c>
      <c r="F14" s="96"/>
      <c r="G14" s="92"/>
      <c r="H14" s="97">
        <f>H13*H11</f>
        <v>3.5365391060995561</v>
      </c>
      <c r="I14" s="98"/>
    </row>
    <row r="15" spans="3:9" ht="15">
      <c r="C15" s="10" t="s">
        <v>145</v>
      </c>
      <c r="D15" s="99">
        <f>E14+H14</f>
        <v>6.5198555062225108</v>
      </c>
      <c r="E15" s="100"/>
      <c r="F15" s="101"/>
      <c r="G15" s="100"/>
      <c r="H15" s="102"/>
    </row>
    <row r="17" spans="3:5" ht="13.5" thickBot="1"/>
    <row r="18" spans="3:5" ht="15.75" thickBot="1">
      <c r="C18" s="103" t="s">
        <v>171</v>
      </c>
      <c r="D18" s="104">
        <v>46.68</v>
      </c>
      <c r="E18" t="s">
        <v>172</v>
      </c>
    </row>
  </sheetData>
  <mergeCells count="5">
    <mergeCell ref="C2:C3"/>
    <mergeCell ref="D2:E2"/>
    <mergeCell ref="G2:G3"/>
    <mergeCell ref="F4:F6"/>
    <mergeCell ref="I4:I6"/>
  </mergeCells>
  <pageMargins left="0.7" right="0.7" top="0.75" bottom="0.75" header="0.3" footer="0.3"/>
  <pageSetup paperSize="9" scale="52" orientation="landscape" horizontalDpi="300" verticalDpi="300" r:id="rId1"/>
</worksheet>
</file>

<file path=xl/worksheets/sheet2.xml><?xml version="1.0" encoding="utf-8"?>
<worksheet xmlns="http://schemas.openxmlformats.org/spreadsheetml/2006/main" xmlns:r="http://schemas.openxmlformats.org/officeDocument/2006/relationships">
  <sheetPr codeName="Sheet9"/>
  <dimension ref="A1:J15"/>
  <sheetViews>
    <sheetView workbookViewId="0">
      <selection activeCell="I7" sqref="I7"/>
    </sheetView>
  </sheetViews>
  <sheetFormatPr defaultRowHeight="15"/>
  <cols>
    <col min="1" max="1" width="19.42578125" style="22" bestFit="1" customWidth="1"/>
    <col min="2" max="2" width="11.5703125" style="22" customWidth="1"/>
    <col min="3" max="3" width="25.28515625" style="22" bestFit="1" customWidth="1"/>
    <col min="4" max="4" width="12.7109375" style="22" bestFit="1" customWidth="1"/>
    <col min="5" max="5" width="11.7109375" style="22" bestFit="1" customWidth="1"/>
    <col min="6" max="6" width="10.5703125" style="22" bestFit="1" customWidth="1"/>
    <col min="7" max="16384" width="9.140625" style="22"/>
  </cols>
  <sheetData>
    <row r="1" spans="1:10">
      <c r="A1" s="23" t="s">
        <v>129</v>
      </c>
      <c r="B1" s="23" t="s">
        <v>235</v>
      </c>
      <c r="C1" s="23" t="s">
        <v>295</v>
      </c>
    </row>
    <row r="2" spans="1:10">
      <c r="A2" s="23" t="s">
        <v>98</v>
      </c>
      <c r="B2" s="49">
        <v>0</v>
      </c>
      <c r="C2" s="31">
        <f ca="1">ROUNDUP(('fixed cost'!$B$29+'fixed cost'!$B$34),2)</f>
        <v>3.7199999999999998</v>
      </c>
    </row>
    <row r="3" spans="1:10">
      <c r="A3" s="23" t="s">
        <v>130</v>
      </c>
      <c r="B3" s="49">
        <v>0</v>
      </c>
      <c r="C3" s="31">
        <f ca="1">ROUNDUP(('fixed cost'!$B$29+'fixed cost'!$B$34),2)</f>
        <v>3.7199999999999998</v>
      </c>
    </row>
    <row r="4" spans="1:10">
      <c r="A4" s="23" t="s">
        <v>161</v>
      </c>
      <c r="B4" s="49">
        <v>0</v>
      </c>
      <c r="C4" s="31">
        <f ca="1">ROUNDUP(('fixed cost'!$B$29+'fixed cost'!$B$34),2)</f>
        <v>3.7199999999999998</v>
      </c>
    </row>
    <row r="5" spans="1:10">
      <c r="A5" s="23" t="s">
        <v>177</v>
      </c>
      <c r="B5" s="49">
        <v>0</v>
      </c>
      <c r="C5" s="31">
        <f ca="1">ROUNDUP(('fixed cost'!$B$29+'fixed cost'!$B$34),2)</f>
        <v>3.7199999999999998</v>
      </c>
    </row>
    <row r="6" spans="1:10">
      <c r="A6" s="23" t="s">
        <v>178</v>
      </c>
      <c r="B6" s="49">
        <v>0</v>
      </c>
      <c r="C6" s="31">
        <f ca="1">ROUNDUP(('fixed cost'!$B$29+'fixed cost'!$B$34),2)</f>
        <v>3.7199999999999998</v>
      </c>
    </row>
    <row r="7" spans="1:10">
      <c r="B7" s="178" t="s">
        <v>234</v>
      </c>
      <c r="C7" s="178"/>
    </row>
    <row r="9" spans="1:10" ht="15.75" thickBot="1">
      <c r="A9" s="22" t="s">
        <v>129</v>
      </c>
    </row>
    <row r="10" spans="1:10" ht="15.75" thickBot="1">
      <c r="A10" s="120"/>
      <c r="B10" s="121" t="s">
        <v>98</v>
      </c>
      <c r="C10" s="121" t="s">
        <v>130</v>
      </c>
      <c r="D10" s="121" t="s">
        <v>161</v>
      </c>
      <c r="E10" s="121" t="s">
        <v>208</v>
      </c>
      <c r="F10" s="122" t="s">
        <v>178</v>
      </c>
    </row>
    <row r="11" spans="1:10">
      <c r="A11" s="123" t="s">
        <v>206</v>
      </c>
      <c r="B11" s="115">
        <v>3.96</v>
      </c>
      <c r="C11" s="51">
        <v>3.6</v>
      </c>
      <c r="D11" s="51">
        <v>3.82</v>
      </c>
      <c r="E11" s="53">
        <v>3.77</v>
      </c>
      <c r="F11" s="117">
        <v>3.96</v>
      </c>
    </row>
    <row r="12" spans="1:10">
      <c r="A12" s="124">
        <v>0</v>
      </c>
      <c r="B12" s="42">
        <v>3.72</v>
      </c>
      <c r="C12" s="23">
        <v>3.72</v>
      </c>
      <c r="D12" s="23">
        <v>3.72</v>
      </c>
      <c r="E12" s="23">
        <v>3.72</v>
      </c>
      <c r="F12" s="118">
        <v>3.72</v>
      </c>
    </row>
    <row r="13" spans="1:10" ht="15.75" thickBot="1">
      <c r="A13" s="125" t="s">
        <v>207</v>
      </c>
      <c r="B13" s="116">
        <v>3.49</v>
      </c>
      <c r="C13" s="113">
        <v>3.88</v>
      </c>
      <c r="D13" s="113">
        <v>3.63</v>
      </c>
      <c r="E13" s="113">
        <v>3.68</v>
      </c>
      <c r="F13" s="119">
        <v>3.49</v>
      </c>
    </row>
    <row r="15" spans="1:10" ht="99.75" customHeight="1">
      <c r="A15" s="179" t="s">
        <v>236</v>
      </c>
      <c r="B15" s="179"/>
      <c r="C15" s="179"/>
      <c r="D15" s="179"/>
      <c r="E15" s="179"/>
      <c r="F15" s="179"/>
      <c r="G15" s="179"/>
      <c r="H15" s="179"/>
      <c r="I15" s="179"/>
      <c r="J15" s="179"/>
    </row>
  </sheetData>
  <mergeCells count="2">
    <mergeCell ref="B7:C7"/>
    <mergeCell ref="A15:J15"/>
  </mergeCells>
  <pageMargins left="0.7" right="0.7" top="0.75" bottom="0.75" header="0.3" footer="0.3"/>
  <pageSetup paperSize="9" orientation="portrait" horizontalDpi="300" verticalDpi="300" r:id="rId1"/>
  <ignoredErrors>
    <ignoredError sqref="A11 A13" numberStoredAsText="1"/>
  </ignoredErrors>
</worksheet>
</file>

<file path=xl/worksheets/sheet3.xml><?xml version="1.0" encoding="utf-8"?>
<worksheet xmlns="http://schemas.openxmlformats.org/spreadsheetml/2006/main" xmlns:r="http://schemas.openxmlformats.org/officeDocument/2006/relationships">
  <sheetPr codeName="Sheet10"/>
  <dimension ref="A1:G15"/>
  <sheetViews>
    <sheetView workbookViewId="0">
      <selection activeCell="B15" sqref="B15:G15"/>
    </sheetView>
  </sheetViews>
  <sheetFormatPr defaultRowHeight="15"/>
  <cols>
    <col min="1" max="1" width="20.7109375" style="138" customWidth="1"/>
    <col min="2" max="2" width="12.28515625" style="138" customWidth="1"/>
    <col min="3" max="3" width="14" style="138" customWidth="1"/>
    <col min="4" max="4" width="17.85546875" style="138" customWidth="1"/>
    <col min="5" max="5" width="17.42578125" style="138" customWidth="1"/>
    <col min="6" max="6" width="12.28515625" style="138" customWidth="1"/>
    <col min="7" max="7" width="14.140625" style="138" customWidth="1"/>
    <col min="8" max="16384" width="9.140625" style="138"/>
  </cols>
  <sheetData>
    <row r="1" spans="1:7">
      <c r="A1" s="181"/>
      <c r="B1" s="181"/>
      <c r="C1" s="181"/>
      <c r="D1" s="181"/>
      <c r="E1" s="181"/>
      <c r="F1" s="181"/>
      <c r="G1" s="181"/>
    </row>
    <row r="2" spans="1:7">
      <c r="A2" s="182" t="s">
        <v>1</v>
      </c>
      <c r="B2" s="183" t="s">
        <v>131</v>
      </c>
      <c r="C2" s="184"/>
      <c r="D2" s="185"/>
      <c r="E2" s="182" t="s">
        <v>1</v>
      </c>
      <c r="F2" s="182" t="s">
        <v>132</v>
      </c>
      <c r="G2" s="182"/>
    </row>
    <row r="3" spans="1:7" ht="34.5" customHeight="1">
      <c r="A3" s="182"/>
      <c r="B3" s="145" t="s">
        <v>293</v>
      </c>
      <c r="C3" s="145" t="s">
        <v>294</v>
      </c>
      <c r="D3" s="145" t="s">
        <v>164</v>
      </c>
      <c r="E3" s="182"/>
      <c r="F3" s="145" t="s">
        <v>294</v>
      </c>
      <c r="G3" s="139" t="s">
        <v>164</v>
      </c>
    </row>
    <row r="4" spans="1:7" ht="15" customHeight="1">
      <c r="A4" s="144" t="s">
        <v>281</v>
      </c>
      <c r="B4" s="4">
        <f>4.205</f>
        <v>4.2050000000000001</v>
      </c>
      <c r="C4" s="4">
        <f>B4/Assumption!$D$53</f>
        <v>3.8227272727272723</v>
      </c>
      <c r="D4" s="186" t="s">
        <v>282</v>
      </c>
      <c r="E4" s="144" t="s">
        <v>281</v>
      </c>
      <c r="F4" s="4">
        <v>5.1548999999999996</v>
      </c>
      <c r="G4" s="189" t="s">
        <v>283</v>
      </c>
    </row>
    <row r="5" spans="1:7">
      <c r="A5" s="144" t="s">
        <v>136</v>
      </c>
      <c r="B5" s="4">
        <f>0.135</f>
        <v>0.13500000000000001</v>
      </c>
      <c r="C5" s="4">
        <f>B5/Assumption!$D$53</f>
        <v>0.12272727272727273</v>
      </c>
      <c r="D5" s="187"/>
      <c r="E5" s="147" t="s">
        <v>136</v>
      </c>
      <c r="F5" s="42">
        <f>39.26/Assumption!$D$38</f>
        <v>0.84104541559554413</v>
      </c>
      <c r="G5" s="189"/>
    </row>
    <row r="6" spans="1:7">
      <c r="A6" s="144" t="s">
        <v>284</v>
      </c>
      <c r="B6" s="4">
        <f>SUM(B4:B5)*2%</f>
        <v>8.6800000000000002E-2</v>
      </c>
      <c r="C6" s="4">
        <f>C4*2%</f>
        <v>7.6454545454545442E-2</v>
      </c>
      <c r="D6" s="188"/>
      <c r="E6" s="144" t="s">
        <v>146</v>
      </c>
      <c r="F6" s="4">
        <f>(F4+F5)*15%</f>
        <v>0.89939181233933152</v>
      </c>
      <c r="G6" s="147"/>
    </row>
    <row r="7" spans="1:7">
      <c r="A7" s="144" t="s">
        <v>22</v>
      </c>
      <c r="B7" s="88">
        <f>SUM(B4:B6)</f>
        <v>4.4268000000000001</v>
      </c>
      <c r="C7" s="88">
        <f>SUM(C4:C6)</f>
        <v>4.02190909090909</v>
      </c>
      <c r="D7" s="88"/>
      <c r="E7" s="144" t="s">
        <v>22</v>
      </c>
      <c r="F7" s="88">
        <f>SUM(F4:F6)</f>
        <v>6.895337227934875</v>
      </c>
      <c r="G7" s="147"/>
    </row>
    <row r="8" spans="1:7" ht="45">
      <c r="A8" s="144" t="s">
        <v>285</v>
      </c>
      <c r="B8" s="4">
        <f>68.56/Assumption!$D$38</f>
        <v>1.4687232219365896</v>
      </c>
      <c r="C8" s="4">
        <f>B8/Assumption!$D$53</f>
        <v>1.3352029290332632</v>
      </c>
      <c r="D8" s="144" t="s">
        <v>286</v>
      </c>
      <c r="E8" s="144" t="s">
        <v>287</v>
      </c>
      <c r="F8" s="4">
        <f>6.37/Assumption!$D$38</f>
        <v>0.13646101113967438</v>
      </c>
      <c r="G8" s="147" t="s">
        <v>288</v>
      </c>
    </row>
    <row r="9" spans="1:7" ht="30">
      <c r="A9" s="144" t="s">
        <v>289</v>
      </c>
      <c r="B9" s="4">
        <f>7.78/Assumption!$D$38</f>
        <v>0.16666666666666669</v>
      </c>
      <c r="C9" s="4">
        <f>B9/Assumption!$D$53</f>
        <v>0.15151515151515152</v>
      </c>
      <c r="D9" s="144" t="s">
        <v>288</v>
      </c>
      <c r="E9" s="144" t="s">
        <v>290</v>
      </c>
      <c r="F9" s="4">
        <f>F8*10.3%</f>
        <v>1.4055484147386462E-2</v>
      </c>
      <c r="G9" s="147"/>
    </row>
    <row r="10" spans="1:7">
      <c r="A10" s="144" t="s">
        <v>290</v>
      </c>
      <c r="B10" s="4">
        <f>(B8+B9)*10.3%</f>
        <v>0.16844515852613542</v>
      </c>
      <c r="C10" s="4">
        <f>(C8+C9)*10.3%</f>
        <v>0.15313196229648673</v>
      </c>
      <c r="D10" s="4"/>
      <c r="E10" s="144" t="s">
        <v>291</v>
      </c>
      <c r="F10" s="88">
        <f>SUM(F8:F9)</f>
        <v>0.15051649528706085</v>
      </c>
      <c r="G10" s="140"/>
    </row>
    <row r="11" spans="1:7">
      <c r="A11" s="144" t="s">
        <v>291</v>
      </c>
      <c r="B11" s="88">
        <f>SUM(B8:B10)</f>
        <v>1.8038350471293918</v>
      </c>
      <c r="C11" s="88">
        <f>SUM(C8:C10)</f>
        <v>1.6398500428449014</v>
      </c>
      <c r="D11" s="88"/>
      <c r="E11" s="144" t="s">
        <v>141</v>
      </c>
      <c r="F11" s="88">
        <f>F7+F10</f>
        <v>7.0458537232219358</v>
      </c>
      <c r="G11" s="140"/>
    </row>
    <row r="12" spans="1:7">
      <c r="A12" s="144" t="s">
        <v>292</v>
      </c>
      <c r="B12" s="88">
        <f>B7+B11</f>
        <v>6.2306350471293914</v>
      </c>
      <c r="C12" s="88">
        <f>C7+C11</f>
        <v>5.661759133753991</v>
      </c>
      <c r="D12" s="88"/>
      <c r="E12" s="146"/>
      <c r="F12" s="141"/>
      <c r="G12" s="140"/>
    </row>
    <row r="13" spans="1:7" ht="45">
      <c r="A13" s="144" t="s">
        <v>143</v>
      </c>
      <c r="B13" s="140"/>
      <c r="C13" s="140">
        <v>0.5</v>
      </c>
      <c r="D13" s="140"/>
      <c r="E13" s="144" t="s">
        <v>143</v>
      </c>
      <c r="F13" s="141">
        <v>0.5</v>
      </c>
      <c r="G13" s="140"/>
    </row>
    <row r="14" spans="1:7" ht="30">
      <c r="A14" s="146" t="s">
        <v>144</v>
      </c>
      <c r="B14" s="141"/>
      <c r="C14" s="142">
        <f>C13*C12</f>
        <v>2.8308795668769955</v>
      </c>
      <c r="D14" s="142"/>
      <c r="E14" s="141"/>
      <c r="F14" s="142">
        <f>F13*F11</f>
        <v>3.5229268616109679</v>
      </c>
      <c r="G14" s="140"/>
    </row>
    <row r="15" spans="1:7">
      <c r="A15" s="143" t="s">
        <v>145</v>
      </c>
      <c r="B15" s="180">
        <f>ROUNDDOWN(C14+F14,2)</f>
        <v>6.35</v>
      </c>
      <c r="C15" s="180"/>
      <c r="D15" s="180"/>
      <c r="E15" s="180"/>
      <c r="F15" s="180"/>
      <c r="G15" s="180"/>
    </row>
  </sheetData>
  <mergeCells count="8">
    <mergeCell ref="B15:G15"/>
    <mergeCell ref="A1:G1"/>
    <mergeCell ref="A2:A3"/>
    <mergeCell ref="B2:D2"/>
    <mergeCell ref="E2:E3"/>
    <mergeCell ref="F2:G2"/>
    <mergeCell ref="D4:D6"/>
    <mergeCell ref="G4:G5"/>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sheetPr codeName="Sheet2"/>
  <dimension ref="A1:Z31"/>
  <sheetViews>
    <sheetView view="pageBreakPreview" zoomScaleSheetLayoutView="100" workbookViewId="0">
      <selection activeCell="A31" sqref="A31"/>
    </sheetView>
  </sheetViews>
  <sheetFormatPr defaultRowHeight="15"/>
  <cols>
    <col min="1" max="1" width="50.28515625" style="22" bestFit="1" customWidth="1"/>
    <col min="2" max="26" width="16.5703125" style="22" customWidth="1"/>
    <col min="27" max="16384" width="9.140625" style="22"/>
  </cols>
  <sheetData>
    <row r="1" spans="1:26">
      <c r="A1" s="22" t="s">
        <v>126</v>
      </c>
    </row>
    <row r="2" spans="1:26">
      <c r="A2" s="23" t="s">
        <v>58</v>
      </c>
      <c r="B2" s="23">
        <v>1</v>
      </c>
      <c r="C2" s="23">
        <f>B2+1</f>
        <v>2</v>
      </c>
      <c r="D2" s="23">
        <f t="shared" ref="D2:P2" si="0">C2+1</f>
        <v>3</v>
      </c>
      <c r="E2" s="23">
        <f t="shared" si="0"/>
        <v>4</v>
      </c>
      <c r="F2" s="23">
        <f t="shared" si="0"/>
        <v>5</v>
      </c>
      <c r="G2" s="23">
        <f t="shared" si="0"/>
        <v>6</v>
      </c>
      <c r="H2" s="23">
        <f t="shared" si="0"/>
        <v>7</v>
      </c>
      <c r="I2" s="23">
        <f t="shared" si="0"/>
        <v>8</v>
      </c>
      <c r="J2" s="23">
        <f t="shared" si="0"/>
        <v>9</v>
      </c>
      <c r="K2" s="23">
        <f t="shared" si="0"/>
        <v>10</v>
      </c>
      <c r="L2" s="23">
        <f t="shared" si="0"/>
        <v>11</v>
      </c>
      <c r="M2" s="23">
        <f t="shared" si="0"/>
        <v>12</v>
      </c>
      <c r="N2" s="23">
        <f t="shared" si="0"/>
        <v>13</v>
      </c>
      <c r="O2" s="23">
        <f t="shared" si="0"/>
        <v>14</v>
      </c>
      <c r="P2" s="23">
        <f t="shared" si="0"/>
        <v>15</v>
      </c>
      <c r="Q2" s="23">
        <f t="shared" ref="Q2:Z2" si="1">P2+1</f>
        <v>16</v>
      </c>
      <c r="R2" s="23">
        <f t="shared" si="1"/>
        <v>17</v>
      </c>
      <c r="S2" s="23">
        <f t="shared" si="1"/>
        <v>18</v>
      </c>
      <c r="T2" s="23">
        <f t="shared" si="1"/>
        <v>19</v>
      </c>
      <c r="U2" s="23">
        <f t="shared" si="1"/>
        <v>20</v>
      </c>
      <c r="V2" s="23">
        <f t="shared" si="1"/>
        <v>21</v>
      </c>
      <c r="W2" s="23">
        <f t="shared" si="1"/>
        <v>22</v>
      </c>
      <c r="X2" s="23">
        <f t="shared" si="1"/>
        <v>23</v>
      </c>
      <c r="Y2" s="23">
        <f t="shared" si="1"/>
        <v>24</v>
      </c>
      <c r="Z2" s="23">
        <f t="shared" si="1"/>
        <v>25</v>
      </c>
    </row>
    <row r="3" spans="1:26">
      <c r="A3" s="23" t="s">
        <v>154</v>
      </c>
      <c r="B3" s="23">
        <v>365</v>
      </c>
      <c r="C3" s="23">
        <f>C4</f>
        <v>365</v>
      </c>
      <c r="D3" s="23">
        <f t="shared" ref="D3:Z3" si="2">D4</f>
        <v>366</v>
      </c>
      <c r="E3" s="23">
        <f t="shared" si="2"/>
        <v>365</v>
      </c>
      <c r="F3" s="23">
        <f t="shared" si="2"/>
        <v>365</v>
      </c>
      <c r="G3" s="23">
        <f t="shared" si="2"/>
        <v>365</v>
      </c>
      <c r="H3" s="23">
        <f t="shared" si="2"/>
        <v>366</v>
      </c>
      <c r="I3" s="23">
        <f t="shared" si="2"/>
        <v>365</v>
      </c>
      <c r="J3" s="23">
        <f t="shared" si="2"/>
        <v>365</v>
      </c>
      <c r="K3" s="23">
        <f t="shared" si="2"/>
        <v>365</v>
      </c>
      <c r="L3" s="23">
        <f t="shared" si="2"/>
        <v>366</v>
      </c>
      <c r="M3" s="23">
        <f t="shared" si="2"/>
        <v>365</v>
      </c>
      <c r="N3" s="23">
        <f t="shared" si="2"/>
        <v>365</v>
      </c>
      <c r="O3" s="23">
        <f t="shared" si="2"/>
        <v>365</v>
      </c>
      <c r="P3" s="23">
        <f t="shared" si="2"/>
        <v>366</v>
      </c>
      <c r="Q3" s="23">
        <f t="shared" si="2"/>
        <v>365</v>
      </c>
      <c r="R3" s="23">
        <f t="shared" si="2"/>
        <v>365</v>
      </c>
      <c r="S3" s="23">
        <f t="shared" si="2"/>
        <v>365</v>
      </c>
      <c r="T3" s="23">
        <f t="shared" si="2"/>
        <v>366</v>
      </c>
      <c r="U3" s="23">
        <f t="shared" si="2"/>
        <v>365</v>
      </c>
      <c r="V3" s="23">
        <f t="shared" si="2"/>
        <v>365</v>
      </c>
      <c r="W3" s="23">
        <f t="shared" si="2"/>
        <v>365</v>
      </c>
      <c r="X3" s="23">
        <f t="shared" si="2"/>
        <v>366</v>
      </c>
      <c r="Y3" s="23">
        <f t="shared" si="2"/>
        <v>365</v>
      </c>
      <c r="Z3" s="23">
        <f t="shared" si="2"/>
        <v>365</v>
      </c>
    </row>
    <row r="4" spans="1:26">
      <c r="A4" s="23" t="s">
        <v>2</v>
      </c>
      <c r="B4" s="23">
        <f>Assumption!D22</f>
        <v>364</v>
      </c>
      <c r="C4" s="23">
        <f>Assumption!$D$23</f>
        <v>365</v>
      </c>
      <c r="D4" s="23">
        <f>Assumption!$D$23+1</f>
        <v>366</v>
      </c>
      <c r="E4" s="23">
        <f>Assumption!$D$23</f>
        <v>365</v>
      </c>
      <c r="F4" s="23">
        <f>Assumption!$D$23</f>
        <v>365</v>
      </c>
      <c r="G4" s="23">
        <f>Assumption!$D$23</f>
        <v>365</v>
      </c>
      <c r="H4" s="23">
        <f>Assumption!$D$23+1</f>
        <v>366</v>
      </c>
      <c r="I4" s="23">
        <f>Assumption!$D$23</f>
        <v>365</v>
      </c>
      <c r="J4" s="23">
        <f>Assumption!$D$23</f>
        <v>365</v>
      </c>
      <c r="K4" s="23">
        <f>Assumption!$D$23</f>
        <v>365</v>
      </c>
      <c r="L4" s="23">
        <f>Assumption!$D$23+1</f>
        <v>366</v>
      </c>
      <c r="M4" s="23">
        <f>Assumption!$D$23</f>
        <v>365</v>
      </c>
      <c r="N4" s="23">
        <f>Assumption!$D$23</f>
        <v>365</v>
      </c>
      <c r="O4" s="23">
        <f>Assumption!$D$23</f>
        <v>365</v>
      </c>
      <c r="P4" s="23">
        <f>Assumption!$D$23+1</f>
        <v>366</v>
      </c>
      <c r="Q4" s="23">
        <f>Assumption!$D$23</f>
        <v>365</v>
      </c>
      <c r="R4" s="23">
        <f>Assumption!$D$23</f>
        <v>365</v>
      </c>
      <c r="S4" s="23">
        <f>Assumption!$D$23</f>
        <v>365</v>
      </c>
      <c r="T4" s="23">
        <f>Assumption!$D$23+1</f>
        <v>366</v>
      </c>
      <c r="U4" s="23">
        <f>Assumption!$D$23</f>
        <v>365</v>
      </c>
      <c r="V4" s="23">
        <f>Assumption!$D$23</f>
        <v>365</v>
      </c>
      <c r="W4" s="23">
        <f>Assumption!$D$23</f>
        <v>365</v>
      </c>
      <c r="X4" s="23">
        <f>Assumption!$D$23+1</f>
        <v>366</v>
      </c>
      <c r="Y4" s="23">
        <f>Assumption!$D$23</f>
        <v>365</v>
      </c>
      <c r="Z4" s="23">
        <f>Assumption!$D$23</f>
        <v>365</v>
      </c>
    </row>
    <row r="5" spans="1:26">
      <c r="A5" s="23" t="s">
        <v>0</v>
      </c>
      <c r="B5" s="27">
        <f>DATE(2014,3,31)</f>
        <v>41729</v>
      </c>
      <c r="C5" s="27">
        <f>DATE((YEAR(B5)+1),MONTH(B5),DAY(B5))</f>
        <v>42094</v>
      </c>
      <c r="D5" s="27">
        <f>DATE((YEAR(C5)+1),MONTH(C5),DAY(C5))</f>
        <v>42460</v>
      </c>
      <c r="E5" s="27">
        <f t="shared" ref="E5:P5" si="3">DATE((YEAR(D5)+1),MONTH(D5),DAY(D5))</f>
        <v>42825</v>
      </c>
      <c r="F5" s="27">
        <f t="shared" si="3"/>
        <v>43190</v>
      </c>
      <c r="G5" s="27">
        <f t="shared" si="3"/>
        <v>43555</v>
      </c>
      <c r="H5" s="27">
        <f t="shared" si="3"/>
        <v>43921</v>
      </c>
      <c r="I5" s="27">
        <f t="shared" si="3"/>
        <v>44286</v>
      </c>
      <c r="J5" s="27">
        <f t="shared" si="3"/>
        <v>44651</v>
      </c>
      <c r="K5" s="27">
        <f t="shared" si="3"/>
        <v>45016</v>
      </c>
      <c r="L5" s="27">
        <f t="shared" si="3"/>
        <v>45382</v>
      </c>
      <c r="M5" s="27">
        <f t="shared" si="3"/>
        <v>45747</v>
      </c>
      <c r="N5" s="27">
        <f t="shared" si="3"/>
        <v>46112</v>
      </c>
      <c r="O5" s="27">
        <f t="shared" si="3"/>
        <v>46477</v>
      </c>
      <c r="P5" s="27">
        <f t="shared" si="3"/>
        <v>46843</v>
      </c>
      <c r="Q5" s="27">
        <f t="shared" ref="Q5:Z5" si="4">DATE((YEAR(P5)+1),MONTH(P5),DAY(P5))</f>
        <v>47208</v>
      </c>
      <c r="R5" s="27">
        <f t="shared" si="4"/>
        <v>47573</v>
      </c>
      <c r="S5" s="27">
        <f t="shared" si="4"/>
        <v>47938</v>
      </c>
      <c r="T5" s="27">
        <f t="shared" si="4"/>
        <v>48304</v>
      </c>
      <c r="U5" s="27">
        <f t="shared" si="4"/>
        <v>48669</v>
      </c>
      <c r="V5" s="27">
        <f t="shared" si="4"/>
        <v>49034</v>
      </c>
      <c r="W5" s="27">
        <f t="shared" si="4"/>
        <v>49399</v>
      </c>
      <c r="X5" s="27">
        <f t="shared" si="4"/>
        <v>49765</v>
      </c>
      <c r="Y5" s="27">
        <f t="shared" si="4"/>
        <v>50130</v>
      </c>
      <c r="Z5" s="27">
        <f t="shared" si="4"/>
        <v>50495</v>
      </c>
    </row>
    <row r="6" spans="1:26">
      <c r="A6" s="22" t="s">
        <v>1</v>
      </c>
    </row>
    <row r="7" spans="1:26">
      <c r="A7" s="23" t="s">
        <v>244</v>
      </c>
      <c r="B7" s="31">
        <f>B19</f>
        <v>17915.96</v>
      </c>
      <c r="C7" s="31">
        <f t="shared" ref="C7:P7" si="5">C19</f>
        <v>17915.96</v>
      </c>
      <c r="D7" s="31">
        <f t="shared" si="5"/>
        <v>17915.96</v>
      </c>
      <c r="E7" s="31">
        <f t="shared" si="5"/>
        <v>17915.96</v>
      </c>
      <c r="F7" s="31">
        <f t="shared" si="5"/>
        <v>17915.96</v>
      </c>
      <c r="G7" s="31">
        <f t="shared" si="5"/>
        <v>17915.96</v>
      </c>
      <c r="H7" s="31">
        <f t="shared" si="5"/>
        <v>17915.96</v>
      </c>
      <c r="I7" s="31">
        <f t="shared" si="5"/>
        <v>17915.96</v>
      </c>
      <c r="J7" s="31">
        <f t="shared" si="5"/>
        <v>17915.96</v>
      </c>
      <c r="K7" s="31">
        <f t="shared" si="5"/>
        <v>17915.96</v>
      </c>
      <c r="L7" s="31">
        <f t="shared" si="5"/>
        <v>17915.96</v>
      </c>
      <c r="M7" s="31">
        <f t="shared" si="5"/>
        <v>17915.96</v>
      </c>
      <c r="N7" s="31">
        <f t="shared" si="5"/>
        <v>17915.96</v>
      </c>
      <c r="O7" s="31">
        <f t="shared" si="5"/>
        <v>17915.96</v>
      </c>
      <c r="P7" s="31">
        <f t="shared" si="5"/>
        <v>17915.96</v>
      </c>
      <c r="Q7" s="31">
        <f t="shared" ref="Q7:Z7" si="6">Q19</f>
        <v>17915.96</v>
      </c>
      <c r="R7" s="31">
        <f t="shared" si="6"/>
        <v>17915.96</v>
      </c>
      <c r="S7" s="31">
        <f t="shared" si="6"/>
        <v>17915.96</v>
      </c>
      <c r="T7" s="31">
        <f t="shared" si="6"/>
        <v>17915.96</v>
      </c>
      <c r="U7" s="31">
        <f t="shared" si="6"/>
        <v>17915.96</v>
      </c>
      <c r="V7" s="31">
        <f t="shared" si="6"/>
        <v>17915.96</v>
      </c>
      <c r="W7" s="31">
        <f t="shared" si="6"/>
        <v>17915.96</v>
      </c>
      <c r="X7" s="31">
        <f t="shared" si="6"/>
        <v>17915.96</v>
      </c>
      <c r="Y7" s="31">
        <f t="shared" si="6"/>
        <v>17915.96</v>
      </c>
      <c r="Z7" s="31">
        <f t="shared" si="6"/>
        <v>17915.96</v>
      </c>
    </row>
    <row r="8" spans="1:26">
      <c r="A8" s="23" t="s">
        <v>245</v>
      </c>
      <c r="B8" s="31">
        <f>B24</f>
        <v>943.37100940273967</v>
      </c>
      <c r="C8" s="31">
        <f t="shared" ref="C8:P8" si="7">C24</f>
        <v>945.96268799999996</v>
      </c>
      <c r="D8" s="31">
        <f t="shared" si="7"/>
        <v>945.96268799999996</v>
      </c>
      <c r="E8" s="31">
        <f t="shared" si="7"/>
        <v>945.96268799999996</v>
      </c>
      <c r="F8" s="31">
        <f t="shared" si="7"/>
        <v>945.96268799999996</v>
      </c>
      <c r="G8" s="31">
        <f t="shared" si="7"/>
        <v>945.96268799999996</v>
      </c>
      <c r="H8" s="31">
        <f t="shared" si="7"/>
        <v>945.96268799999996</v>
      </c>
      <c r="I8" s="31">
        <f t="shared" si="7"/>
        <v>945.96268799999996</v>
      </c>
      <c r="J8" s="31">
        <f t="shared" si="7"/>
        <v>945.96268799999996</v>
      </c>
      <c r="K8" s="31">
        <f t="shared" si="7"/>
        <v>945.96268799999996</v>
      </c>
      <c r="L8" s="31">
        <f t="shared" si="7"/>
        <v>945.96268799999996</v>
      </c>
      <c r="M8" s="31">
        <f t="shared" si="7"/>
        <v>945.96268799999996</v>
      </c>
      <c r="N8" s="31">
        <f t="shared" si="7"/>
        <v>367.33872481517403</v>
      </c>
      <c r="O8" s="31">
        <f t="shared" si="7"/>
        <v>367.33872481517403</v>
      </c>
      <c r="P8" s="31">
        <f t="shared" si="7"/>
        <v>367.33872481517403</v>
      </c>
      <c r="Q8" s="31">
        <f t="shared" ref="Q8:Z8" si="8">Q24</f>
        <v>367.33872481517403</v>
      </c>
      <c r="R8" s="31">
        <f t="shared" si="8"/>
        <v>367.33872481517403</v>
      </c>
      <c r="S8" s="31">
        <f t="shared" si="8"/>
        <v>367.33872481517403</v>
      </c>
      <c r="T8" s="31">
        <f t="shared" si="8"/>
        <v>367.33872481517403</v>
      </c>
      <c r="U8" s="31">
        <f t="shared" si="8"/>
        <v>367.33872481517403</v>
      </c>
      <c r="V8" s="31">
        <f t="shared" si="8"/>
        <v>367.33872481517403</v>
      </c>
      <c r="W8" s="31">
        <f t="shared" si="8"/>
        <v>367.33872481517403</v>
      </c>
      <c r="X8" s="31">
        <f t="shared" si="8"/>
        <v>367.33872481517403</v>
      </c>
      <c r="Y8" s="31">
        <f t="shared" si="8"/>
        <v>367.33872481517403</v>
      </c>
      <c r="Z8" s="31">
        <f t="shared" si="8"/>
        <v>367.33872481517403</v>
      </c>
    </row>
    <row r="9" spans="1:26">
      <c r="A9" s="23" t="s">
        <v>246</v>
      </c>
      <c r="B9" s="31">
        <f>B8</f>
        <v>943.37100940273967</v>
      </c>
      <c r="C9" s="31">
        <f t="shared" ref="C9:Q9" si="9">B9+C8</f>
        <v>1889.3336974027397</v>
      </c>
      <c r="D9" s="31">
        <f t="shared" si="9"/>
        <v>2835.2963854027398</v>
      </c>
      <c r="E9" s="31">
        <f t="shared" si="9"/>
        <v>3781.2590734027399</v>
      </c>
      <c r="F9" s="31">
        <f t="shared" si="9"/>
        <v>4727.2217614027395</v>
      </c>
      <c r="G9" s="31">
        <f t="shared" si="9"/>
        <v>5673.1844494027391</v>
      </c>
      <c r="H9" s="31">
        <f t="shared" si="9"/>
        <v>6619.1471374027387</v>
      </c>
      <c r="I9" s="31">
        <f t="shared" si="9"/>
        <v>7565.1098254027384</v>
      </c>
      <c r="J9" s="31">
        <f t="shared" si="9"/>
        <v>8511.072513402738</v>
      </c>
      <c r="K9" s="31">
        <f t="shared" si="9"/>
        <v>9457.0352014027376</v>
      </c>
      <c r="L9" s="31">
        <f t="shared" si="9"/>
        <v>10402.997889402737</v>
      </c>
      <c r="M9" s="31">
        <f t="shared" si="9"/>
        <v>11348.960577402737</v>
      </c>
      <c r="N9" s="31">
        <f t="shared" si="9"/>
        <v>11716.299302217911</v>
      </c>
      <c r="O9" s="31">
        <f t="shared" si="9"/>
        <v>12083.638027033085</v>
      </c>
      <c r="P9" s="31">
        <f t="shared" si="9"/>
        <v>12450.976751848259</v>
      </c>
      <c r="Q9" s="31">
        <f t="shared" si="9"/>
        <v>12818.315476663432</v>
      </c>
      <c r="R9" s="31">
        <f t="shared" ref="R9:Z9" si="10">Q9+R8</f>
        <v>13185.654201478606</v>
      </c>
      <c r="S9" s="31">
        <f t="shared" si="10"/>
        <v>13552.99292629378</v>
      </c>
      <c r="T9" s="31">
        <f t="shared" si="10"/>
        <v>13920.331651108954</v>
      </c>
      <c r="U9" s="31">
        <f t="shared" si="10"/>
        <v>14287.670375924128</v>
      </c>
      <c r="V9" s="31">
        <f t="shared" si="10"/>
        <v>14655.009100739302</v>
      </c>
      <c r="W9" s="31">
        <f t="shared" si="10"/>
        <v>15022.347825554476</v>
      </c>
      <c r="X9" s="31">
        <f t="shared" si="10"/>
        <v>15389.68655036965</v>
      </c>
      <c r="Y9" s="31">
        <f t="shared" si="10"/>
        <v>15757.025275184824</v>
      </c>
      <c r="Z9" s="31">
        <f t="shared" si="10"/>
        <v>16124.363999999998</v>
      </c>
    </row>
    <row r="11" spans="1:26">
      <c r="A11" s="22" t="s">
        <v>85</v>
      </c>
    </row>
    <row r="12" spans="1:26">
      <c r="A12" s="23" t="s">
        <v>247</v>
      </c>
      <c r="B12" s="31">
        <f>Assumption!D10</f>
        <v>17915.96</v>
      </c>
      <c r="C12" s="31">
        <f>B14</f>
        <v>15228.565999999999</v>
      </c>
      <c r="D12" s="31">
        <f t="shared" ref="D12:Z12" si="11">C14</f>
        <v>12944.2811</v>
      </c>
      <c r="E12" s="31">
        <f t="shared" si="11"/>
        <v>11002.638935000001</v>
      </c>
      <c r="F12" s="31">
        <f t="shared" si="11"/>
        <v>9352.2430947500015</v>
      </c>
      <c r="G12" s="31">
        <f t="shared" si="11"/>
        <v>7949.4066305375018</v>
      </c>
      <c r="H12" s="31">
        <f t="shared" si="11"/>
        <v>6756.9956359568769</v>
      </c>
      <c r="I12" s="31">
        <f t="shared" si="11"/>
        <v>5743.4462905633454</v>
      </c>
      <c r="J12" s="31">
        <f t="shared" si="11"/>
        <v>4881.9293469788436</v>
      </c>
      <c r="K12" s="31">
        <f t="shared" si="11"/>
        <v>4149.639944932017</v>
      </c>
      <c r="L12" s="31">
        <f t="shared" si="11"/>
        <v>3527.1939531922144</v>
      </c>
      <c r="M12" s="31">
        <f t="shared" si="11"/>
        <v>2998.1148602133821</v>
      </c>
      <c r="N12" s="31">
        <f t="shared" si="11"/>
        <v>2548.3976311813749</v>
      </c>
      <c r="O12" s="31">
        <f t="shared" si="11"/>
        <v>2166.1379865041686</v>
      </c>
      <c r="P12" s="31">
        <f t="shared" si="11"/>
        <v>1841.2172885285433</v>
      </c>
      <c r="Q12" s="31">
        <f t="shared" si="11"/>
        <v>1565.0346952492619</v>
      </c>
      <c r="R12" s="31">
        <f t="shared" si="11"/>
        <v>1330.2794909618726</v>
      </c>
      <c r="S12" s="31">
        <f t="shared" si="11"/>
        <v>1130.7375673175918</v>
      </c>
      <c r="T12" s="31">
        <f t="shared" si="11"/>
        <v>961.12693221995301</v>
      </c>
      <c r="U12" s="31">
        <f t="shared" si="11"/>
        <v>816.95789238696011</v>
      </c>
      <c r="V12" s="31">
        <f t="shared" si="11"/>
        <v>694.41420852891611</v>
      </c>
      <c r="W12" s="31">
        <f t="shared" si="11"/>
        <v>590.25207724957863</v>
      </c>
      <c r="X12" s="31">
        <f t="shared" si="11"/>
        <v>501.71426566214183</v>
      </c>
      <c r="Y12" s="31">
        <f t="shared" si="11"/>
        <v>426.45712581282055</v>
      </c>
      <c r="Z12" s="31">
        <f t="shared" si="11"/>
        <v>362.48855694089747</v>
      </c>
    </row>
    <row r="13" spans="1:26">
      <c r="A13" s="23" t="s">
        <v>248</v>
      </c>
      <c r="B13" s="31">
        <f>(B12*Assumption!$D$32)</f>
        <v>2687.3939999999998</v>
      </c>
      <c r="C13" s="31">
        <f>(C12*Assumption!$D$32)</f>
        <v>2284.2848999999997</v>
      </c>
      <c r="D13" s="31">
        <f>(D12*Assumption!$D$32)</f>
        <v>1941.642165</v>
      </c>
      <c r="E13" s="31">
        <f>(E12*Assumption!$D$32)</f>
        <v>1650.39584025</v>
      </c>
      <c r="F13" s="31">
        <f>(F12*Assumption!$D$32)</f>
        <v>1402.8364642125002</v>
      </c>
      <c r="G13" s="31">
        <f>(G12*Assumption!$D$32)</f>
        <v>1192.4109945806251</v>
      </c>
      <c r="H13" s="31">
        <f>(H12*Assumption!$D$32)</f>
        <v>1013.5493453935314</v>
      </c>
      <c r="I13" s="31">
        <f>(I12*Assumption!$D$32)</f>
        <v>861.51694358450175</v>
      </c>
      <c r="J13" s="31">
        <f>(J12*Assumption!$D$32)</f>
        <v>732.28940204682647</v>
      </c>
      <c r="K13" s="31">
        <f>(K12*Assumption!$D$32)</f>
        <v>622.44599173980248</v>
      </c>
      <c r="L13" s="31">
        <f>(L12*Assumption!$D$32)</f>
        <v>529.07909297883214</v>
      </c>
      <c r="M13" s="31">
        <f>(M12*Assumption!$D$32)</f>
        <v>449.71722903200731</v>
      </c>
      <c r="N13" s="31">
        <f>(N12*Assumption!$D$32)</f>
        <v>382.25964467720621</v>
      </c>
      <c r="O13" s="31">
        <f>(O12*Assumption!$D$32)</f>
        <v>324.92069797562527</v>
      </c>
      <c r="P13" s="31">
        <f>(P12*Assumption!$D$32)</f>
        <v>276.18259327928149</v>
      </c>
      <c r="Q13" s="31">
        <f>(Q12*Assumption!$D$32)</f>
        <v>234.75520428738926</v>
      </c>
      <c r="R13" s="31">
        <f>(R12*Assumption!$D$32)</f>
        <v>199.5419236442809</v>
      </c>
      <c r="S13" s="31">
        <f>(S12*Assumption!$D$32)</f>
        <v>169.61063509763878</v>
      </c>
      <c r="T13" s="31">
        <f>(T12*Assumption!$D$32)</f>
        <v>144.16903983299295</v>
      </c>
      <c r="U13" s="31">
        <f>(U12*Assumption!$D$32)</f>
        <v>122.54368385804401</v>
      </c>
      <c r="V13" s="31">
        <f>(V12*Assumption!$D$32)</f>
        <v>104.16213127933742</v>
      </c>
      <c r="W13" s="31">
        <f>(W12*Assumption!$D$32)</f>
        <v>88.537811587436792</v>
      </c>
      <c r="X13" s="31">
        <f>(X12*Assumption!$D$32)</f>
        <v>75.257139849321277</v>
      </c>
      <c r="Y13" s="31">
        <f>(Y12*Assumption!$D$32)</f>
        <v>63.968568871923082</v>
      </c>
      <c r="Z13" s="31">
        <f>(Z12*Assumption!$D$32)</f>
        <v>54.373283541134619</v>
      </c>
    </row>
    <row r="14" spans="1:26">
      <c r="A14" s="23" t="s">
        <v>249</v>
      </c>
      <c r="B14" s="31">
        <f>B12-B13</f>
        <v>15228.565999999999</v>
      </c>
      <c r="C14" s="31">
        <f t="shared" ref="C14:Z14" si="12">C12-C13</f>
        <v>12944.2811</v>
      </c>
      <c r="D14" s="31">
        <f t="shared" si="12"/>
        <v>11002.638935000001</v>
      </c>
      <c r="E14" s="31">
        <f t="shared" si="12"/>
        <v>9352.2430947500015</v>
      </c>
      <c r="F14" s="31">
        <f t="shared" si="12"/>
        <v>7949.4066305375018</v>
      </c>
      <c r="G14" s="31">
        <f t="shared" si="12"/>
        <v>6756.9956359568769</v>
      </c>
      <c r="H14" s="31">
        <f t="shared" si="12"/>
        <v>5743.4462905633454</v>
      </c>
      <c r="I14" s="31">
        <f t="shared" si="12"/>
        <v>4881.9293469788436</v>
      </c>
      <c r="J14" s="31">
        <f t="shared" si="12"/>
        <v>4149.639944932017</v>
      </c>
      <c r="K14" s="31">
        <f t="shared" si="12"/>
        <v>3527.1939531922144</v>
      </c>
      <c r="L14" s="31">
        <f t="shared" si="12"/>
        <v>2998.1148602133821</v>
      </c>
      <c r="M14" s="31">
        <f t="shared" si="12"/>
        <v>2548.3976311813749</v>
      </c>
      <c r="N14" s="31">
        <f t="shared" si="12"/>
        <v>2166.1379865041686</v>
      </c>
      <c r="O14" s="31">
        <f t="shared" si="12"/>
        <v>1841.2172885285433</v>
      </c>
      <c r="P14" s="31">
        <f t="shared" si="12"/>
        <v>1565.0346952492619</v>
      </c>
      <c r="Q14" s="31">
        <f t="shared" si="12"/>
        <v>1330.2794909618726</v>
      </c>
      <c r="R14" s="31">
        <f t="shared" si="12"/>
        <v>1130.7375673175918</v>
      </c>
      <c r="S14" s="31">
        <f t="shared" si="12"/>
        <v>961.12693221995301</v>
      </c>
      <c r="T14" s="31">
        <f t="shared" si="12"/>
        <v>816.95789238696011</v>
      </c>
      <c r="U14" s="31">
        <f t="shared" si="12"/>
        <v>694.41420852891611</v>
      </c>
      <c r="V14" s="31">
        <f t="shared" si="12"/>
        <v>590.25207724957863</v>
      </c>
      <c r="W14" s="31">
        <f t="shared" si="12"/>
        <v>501.71426566214183</v>
      </c>
      <c r="X14" s="31">
        <f t="shared" si="12"/>
        <v>426.45712581282055</v>
      </c>
      <c r="Y14" s="31">
        <f t="shared" si="12"/>
        <v>362.48855694089747</v>
      </c>
      <c r="Z14" s="31">
        <f t="shared" si="12"/>
        <v>308.11527339976283</v>
      </c>
    </row>
    <row r="16" spans="1:26">
      <c r="A16" s="22" t="s">
        <v>46</v>
      </c>
    </row>
    <row r="17" spans="1:26">
      <c r="A17" s="23" t="s">
        <v>59</v>
      </c>
      <c r="B17" s="27">
        <f>B5</f>
        <v>41729</v>
      </c>
      <c r="C17" s="27">
        <f t="shared" ref="C17:Z17" si="13">C5</f>
        <v>42094</v>
      </c>
      <c r="D17" s="27">
        <f t="shared" si="13"/>
        <v>42460</v>
      </c>
      <c r="E17" s="27">
        <f t="shared" si="13"/>
        <v>42825</v>
      </c>
      <c r="F17" s="27">
        <f t="shared" si="13"/>
        <v>43190</v>
      </c>
      <c r="G17" s="27">
        <f t="shared" si="13"/>
        <v>43555</v>
      </c>
      <c r="H17" s="27">
        <f t="shared" si="13"/>
        <v>43921</v>
      </c>
      <c r="I17" s="27">
        <f t="shared" si="13"/>
        <v>44286</v>
      </c>
      <c r="J17" s="27">
        <f t="shared" si="13"/>
        <v>44651</v>
      </c>
      <c r="K17" s="27">
        <f t="shared" si="13"/>
        <v>45016</v>
      </c>
      <c r="L17" s="27">
        <f t="shared" si="13"/>
        <v>45382</v>
      </c>
      <c r="M17" s="27">
        <f t="shared" si="13"/>
        <v>45747</v>
      </c>
      <c r="N17" s="27">
        <f t="shared" si="13"/>
        <v>46112</v>
      </c>
      <c r="O17" s="27">
        <f t="shared" si="13"/>
        <v>46477</v>
      </c>
      <c r="P17" s="27">
        <f t="shared" si="13"/>
        <v>46843</v>
      </c>
      <c r="Q17" s="27">
        <f t="shared" si="13"/>
        <v>47208</v>
      </c>
      <c r="R17" s="27">
        <f t="shared" si="13"/>
        <v>47573</v>
      </c>
      <c r="S17" s="27">
        <f t="shared" si="13"/>
        <v>47938</v>
      </c>
      <c r="T17" s="27">
        <f t="shared" si="13"/>
        <v>48304</v>
      </c>
      <c r="U17" s="27">
        <f t="shared" si="13"/>
        <v>48669</v>
      </c>
      <c r="V17" s="27">
        <f t="shared" si="13"/>
        <v>49034</v>
      </c>
      <c r="W17" s="27">
        <f t="shared" si="13"/>
        <v>49399</v>
      </c>
      <c r="X17" s="27">
        <f t="shared" si="13"/>
        <v>49765</v>
      </c>
      <c r="Y17" s="27">
        <f t="shared" si="13"/>
        <v>50130</v>
      </c>
      <c r="Z17" s="27">
        <f t="shared" si="13"/>
        <v>50495</v>
      </c>
    </row>
    <row r="18" spans="1:26">
      <c r="A18" s="23" t="s">
        <v>250</v>
      </c>
      <c r="B18" s="31">
        <f>Assumption!D10</f>
        <v>17915.96</v>
      </c>
      <c r="C18" s="31">
        <f>B18</f>
        <v>17915.96</v>
      </c>
      <c r="D18" s="31">
        <f>C18</f>
        <v>17915.96</v>
      </c>
      <c r="E18" s="31">
        <f>D18</f>
        <v>17915.96</v>
      </c>
      <c r="F18" s="31">
        <f t="shared" ref="F18:Q18" si="14">E18</f>
        <v>17915.96</v>
      </c>
      <c r="G18" s="31">
        <f t="shared" si="14"/>
        <v>17915.96</v>
      </c>
      <c r="H18" s="31">
        <f t="shared" si="14"/>
        <v>17915.96</v>
      </c>
      <c r="I18" s="31">
        <f t="shared" si="14"/>
        <v>17915.96</v>
      </c>
      <c r="J18" s="31">
        <f t="shared" si="14"/>
        <v>17915.96</v>
      </c>
      <c r="K18" s="31">
        <f t="shared" si="14"/>
        <v>17915.96</v>
      </c>
      <c r="L18" s="31">
        <f t="shared" si="14"/>
        <v>17915.96</v>
      </c>
      <c r="M18" s="31">
        <f t="shared" si="14"/>
        <v>17915.96</v>
      </c>
      <c r="N18" s="31">
        <f t="shared" si="14"/>
        <v>17915.96</v>
      </c>
      <c r="O18" s="31">
        <f t="shared" si="14"/>
        <v>17915.96</v>
      </c>
      <c r="P18" s="31">
        <f t="shared" si="14"/>
        <v>17915.96</v>
      </c>
      <c r="Q18" s="31">
        <f t="shared" si="14"/>
        <v>17915.96</v>
      </c>
      <c r="R18" s="31">
        <f t="shared" ref="R18:Z18" si="15">Q18</f>
        <v>17915.96</v>
      </c>
      <c r="S18" s="31">
        <f t="shared" si="15"/>
        <v>17915.96</v>
      </c>
      <c r="T18" s="31">
        <f t="shared" si="15"/>
        <v>17915.96</v>
      </c>
      <c r="U18" s="31">
        <f t="shared" si="15"/>
        <v>17915.96</v>
      </c>
      <c r="V18" s="31">
        <f t="shared" si="15"/>
        <v>17915.96</v>
      </c>
      <c r="W18" s="31">
        <f t="shared" si="15"/>
        <v>17915.96</v>
      </c>
      <c r="X18" s="31">
        <f t="shared" si="15"/>
        <v>17915.96</v>
      </c>
      <c r="Y18" s="31">
        <f t="shared" si="15"/>
        <v>17915.96</v>
      </c>
      <c r="Z18" s="31">
        <f t="shared" si="15"/>
        <v>17915.96</v>
      </c>
    </row>
    <row r="19" spans="1:26">
      <c r="A19" s="23"/>
      <c r="B19" s="31">
        <f t="shared" ref="B19:Z19" si="16">SUM(B18:B18)</f>
        <v>17915.96</v>
      </c>
      <c r="C19" s="31">
        <f t="shared" si="16"/>
        <v>17915.96</v>
      </c>
      <c r="D19" s="31">
        <f t="shared" si="16"/>
        <v>17915.96</v>
      </c>
      <c r="E19" s="31">
        <f t="shared" si="16"/>
        <v>17915.96</v>
      </c>
      <c r="F19" s="31">
        <f t="shared" si="16"/>
        <v>17915.96</v>
      </c>
      <c r="G19" s="31">
        <f t="shared" si="16"/>
        <v>17915.96</v>
      </c>
      <c r="H19" s="31">
        <f t="shared" si="16"/>
        <v>17915.96</v>
      </c>
      <c r="I19" s="31">
        <f t="shared" si="16"/>
        <v>17915.96</v>
      </c>
      <c r="J19" s="31">
        <f t="shared" si="16"/>
        <v>17915.96</v>
      </c>
      <c r="K19" s="31">
        <f t="shared" si="16"/>
        <v>17915.96</v>
      </c>
      <c r="L19" s="31">
        <f t="shared" si="16"/>
        <v>17915.96</v>
      </c>
      <c r="M19" s="31">
        <f t="shared" si="16"/>
        <v>17915.96</v>
      </c>
      <c r="N19" s="31">
        <f t="shared" si="16"/>
        <v>17915.96</v>
      </c>
      <c r="O19" s="31">
        <f t="shared" si="16"/>
        <v>17915.96</v>
      </c>
      <c r="P19" s="31">
        <f t="shared" si="16"/>
        <v>17915.96</v>
      </c>
      <c r="Q19" s="31">
        <f t="shared" si="16"/>
        <v>17915.96</v>
      </c>
      <c r="R19" s="31">
        <f t="shared" si="16"/>
        <v>17915.96</v>
      </c>
      <c r="S19" s="31">
        <f t="shared" si="16"/>
        <v>17915.96</v>
      </c>
      <c r="T19" s="31">
        <f t="shared" si="16"/>
        <v>17915.96</v>
      </c>
      <c r="U19" s="31">
        <f t="shared" si="16"/>
        <v>17915.96</v>
      </c>
      <c r="V19" s="31">
        <f t="shared" si="16"/>
        <v>17915.96</v>
      </c>
      <c r="W19" s="31">
        <f t="shared" si="16"/>
        <v>17915.96</v>
      </c>
      <c r="X19" s="31">
        <f t="shared" si="16"/>
        <v>17915.96</v>
      </c>
      <c r="Y19" s="31">
        <f t="shared" si="16"/>
        <v>17915.96</v>
      </c>
      <c r="Z19" s="31">
        <f t="shared" si="16"/>
        <v>17915.96</v>
      </c>
    </row>
    <row r="20" spans="1:26">
      <c r="B20" s="48"/>
    </row>
    <row r="21" spans="1:26">
      <c r="A21" s="22" t="s">
        <v>55</v>
      </c>
      <c r="B21" s="48"/>
    </row>
    <row r="22" spans="1:26">
      <c r="A22" s="23" t="str">
        <f>A17</f>
        <v>Year ending on</v>
      </c>
      <c r="B22" s="27">
        <f>B17</f>
        <v>41729</v>
      </c>
      <c r="C22" s="27">
        <f t="shared" ref="C22:Z22" si="17">C17</f>
        <v>42094</v>
      </c>
      <c r="D22" s="27">
        <f t="shared" si="17"/>
        <v>42460</v>
      </c>
      <c r="E22" s="27">
        <f t="shared" si="17"/>
        <v>42825</v>
      </c>
      <c r="F22" s="27">
        <f t="shared" si="17"/>
        <v>43190</v>
      </c>
      <c r="G22" s="27">
        <f t="shared" si="17"/>
        <v>43555</v>
      </c>
      <c r="H22" s="27">
        <f t="shared" si="17"/>
        <v>43921</v>
      </c>
      <c r="I22" s="27">
        <f t="shared" si="17"/>
        <v>44286</v>
      </c>
      <c r="J22" s="27">
        <f t="shared" si="17"/>
        <v>44651</v>
      </c>
      <c r="K22" s="27">
        <f t="shared" si="17"/>
        <v>45016</v>
      </c>
      <c r="L22" s="27">
        <f t="shared" si="17"/>
        <v>45382</v>
      </c>
      <c r="M22" s="27">
        <f t="shared" si="17"/>
        <v>45747</v>
      </c>
      <c r="N22" s="27">
        <f t="shared" si="17"/>
        <v>46112</v>
      </c>
      <c r="O22" s="27">
        <f t="shared" si="17"/>
        <v>46477</v>
      </c>
      <c r="P22" s="27">
        <f t="shared" si="17"/>
        <v>46843</v>
      </c>
      <c r="Q22" s="27">
        <f t="shared" si="17"/>
        <v>47208</v>
      </c>
      <c r="R22" s="27">
        <f t="shared" si="17"/>
        <v>47573</v>
      </c>
      <c r="S22" s="27">
        <f t="shared" si="17"/>
        <v>47938</v>
      </c>
      <c r="T22" s="27">
        <f t="shared" si="17"/>
        <v>48304</v>
      </c>
      <c r="U22" s="27">
        <f t="shared" si="17"/>
        <v>48669</v>
      </c>
      <c r="V22" s="27">
        <f t="shared" si="17"/>
        <v>49034</v>
      </c>
      <c r="W22" s="27">
        <f t="shared" si="17"/>
        <v>49399</v>
      </c>
      <c r="X22" s="27">
        <f t="shared" si="17"/>
        <v>49765</v>
      </c>
      <c r="Y22" s="27">
        <f t="shared" si="17"/>
        <v>50130</v>
      </c>
      <c r="Z22" s="27">
        <f t="shared" si="17"/>
        <v>50495</v>
      </c>
    </row>
    <row r="23" spans="1:26" s="62" customFormat="1">
      <c r="A23" s="130" t="s">
        <v>250</v>
      </c>
      <c r="B23" s="61">
        <f>IF(B2&lt;=12,B18*Assumption!$D$27*depre!B4/B3,(Assumption!$D$10-(Assumption!$D$10*Assumption!$D$28)-SUM($B$23:$M$23))/13)</f>
        <v>943.37100940273967</v>
      </c>
      <c r="C23" s="61">
        <f>IF(C2&lt;=12,C18*Assumption!$D$27*depre!C4/C3,(Assumption!$D$10-(Assumption!$D$10*Assumption!$D$28)-SUM($B$23:$M$23))/13)</f>
        <v>945.96268799999996</v>
      </c>
      <c r="D23" s="61">
        <f>IF(D2&lt;=12,D18*Assumption!$D$27*depre!D4/D3,(Assumption!$D$10-(Assumption!$D$10*Assumption!$D$28)-SUM($B$23:$M$23))/13)</f>
        <v>945.96268799999996</v>
      </c>
      <c r="E23" s="61">
        <f>IF(E2&lt;=12,E18*Assumption!$D$27*depre!E4/E3,(Assumption!$D$10-(Assumption!$D$10*Assumption!$D$28)-SUM($B$23:$M$23))/13)</f>
        <v>945.96268799999996</v>
      </c>
      <c r="F23" s="61">
        <f>IF(F2&lt;=12,F18*Assumption!$D$27*depre!F4/F3,(Assumption!$D$10-(Assumption!$D$10*Assumption!$D$28)-SUM($B$23:$M$23))/13)</f>
        <v>945.96268799999996</v>
      </c>
      <c r="G23" s="61">
        <f>IF(G2&lt;=12,G18*Assumption!$D$27*depre!G4/G3,(Assumption!$D$10-(Assumption!$D$10*Assumption!$D$28)-SUM($B$23:$M$23))/13)</f>
        <v>945.96268799999996</v>
      </c>
      <c r="H23" s="61">
        <f>IF(H2&lt;=12,H18*Assumption!$D$27*depre!H4/H3,(Assumption!$D$10-(Assumption!$D$10*Assumption!$D$28)-SUM($B$23:$M$23))/13)</f>
        <v>945.96268799999996</v>
      </c>
      <c r="I23" s="61">
        <f>IF(I2&lt;=12,I18*Assumption!$D$27*depre!I4/I3,(Assumption!$D$10-(Assumption!$D$10*Assumption!$D$28)-SUM($B$23:$M$23))/13)</f>
        <v>945.96268799999996</v>
      </c>
      <c r="J23" s="61">
        <f>IF(J2&lt;=12,J18*Assumption!$D$27*depre!J4/J3,(Assumption!$D$10-(Assumption!$D$10*Assumption!$D$28)-SUM($B$23:$M$23))/13)</f>
        <v>945.96268799999996</v>
      </c>
      <c r="K23" s="61">
        <f>IF(K2&lt;=12,K18*Assumption!$D$27*depre!K4/K3,(Assumption!$D$10-(Assumption!$D$10*Assumption!$D$28)-SUM($B$23:$M$23))/13)</f>
        <v>945.96268799999996</v>
      </c>
      <c r="L23" s="61">
        <f>IF(L2&lt;=12,L18*Assumption!$D$27*depre!L4/L3,(Assumption!$D$10-(Assumption!$D$10*Assumption!$D$28)-SUM($B$23:$M$23))/13)</f>
        <v>945.96268799999996</v>
      </c>
      <c r="M23" s="61">
        <f>IF(M2&lt;=12,M18*Assumption!$D$27*depre!M4/M3,(Assumption!$D$10-(Assumption!$D$10*Assumption!$D$28)-SUM($B$23:$M$23))/13)</f>
        <v>945.96268799999996</v>
      </c>
      <c r="N23" s="61">
        <f>IF(N2&lt;=12,N18*Assumption!$D$27*depre!N4/N3,(Assumption!$D$10-(Assumption!$D$10*Assumption!$D$28)-SUM($B$23:$M$23))/13)</f>
        <v>367.33872481517403</v>
      </c>
      <c r="O23" s="61">
        <f>IF(O2&lt;=12,O18*Assumption!$D$27*depre!O4/O3,(Assumption!$D$10-(Assumption!$D$10*Assumption!$D$28)-SUM($B$23:$M$23))/13)</f>
        <v>367.33872481517403</v>
      </c>
      <c r="P23" s="61">
        <f>IF(P2&lt;=12,P18*Assumption!$D$27*depre!P4/P3,(Assumption!$D$10-(Assumption!$D$10*Assumption!$D$28)-SUM($B$23:$M$23))/13)</f>
        <v>367.33872481517403</v>
      </c>
      <c r="Q23" s="61">
        <f>IF(Q2&lt;=12,Q18*Assumption!$D$27*depre!Q4/Q3,(Assumption!$D$10-(Assumption!$D$10*Assumption!$D$28)-SUM($B$23:$M$23))/13)</f>
        <v>367.33872481517403</v>
      </c>
      <c r="R23" s="61">
        <f>IF(R2&lt;=12,R18*Assumption!$D$27*depre!R4/R3,(Assumption!$D$10-(Assumption!$D$10*Assumption!$D$28)-SUM($B$23:$M$23))/13)</f>
        <v>367.33872481517403</v>
      </c>
      <c r="S23" s="61">
        <f>IF(S2&lt;=12,S18*Assumption!$D$27*depre!S4/S3,(Assumption!$D$10-(Assumption!$D$10*Assumption!$D$28)-SUM($B$23:$M$23))/13)</f>
        <v>367.33872481517403</v>
      </c>
      <c r="T23" s="61">
        <f>IF(T2&lt;=12,T18*Assumption!$D$27*depre!T4/T3,(Assumption!$D$10-(Assumption!$D$10*Assumption!$D$28)-SUM($B$23:$M$23))/13)</f>
        <v>367.33872481517403</v>
      </c>
      <c r="U23" s="61">
        <f>IF(U2&lt;=12,U18*Assumption!$D$27*depre!U4/U3,(Assumption!$D$10-(Assumption!$D$10*Assumption!$D$28)-SUM($B$23:$M$23))/13)</f>
        <v>367.33872481517403</v>
      </c>
      <c r="V23" s="61">
        <f>IF(V2&lt;=12,V18*Assumption!$D$27*depre!V4/V3,(Assumption!$D$10-(Assumption!$D$10*Assumption!$D$28)-SUM($B$23:$M$23))/13)</f>
        <v>367.33872481517403</v>
      </c>
      <c r="W23" s="61">
        <f>IF(W2&lt;=12,W18*Assumption!$D$27*depre!W4/W3,(Assumption!$D$10-(Assumption!$D$10*Assumption!$D$28)-SUM($B$23:$M$23))/13)</f>
        <v>367.33872481517403</v>
      </c>
      <c r="X23" s="61">
        <f>IF(X2&lt;=12,X18*Assumption!$D$27*depre!X4/X3,(Assumption!$D$10-(Assumption!$D$10*Assumption!$D$28)-SUM($B$23:$M$23))/13)</f>
        <v>367.33872481517403</v>
      </c>
      <c r="Y23" s="61">
        <f>IF(Y2&lt;=12,Y18*Assumption!$D$27*depre!Y4/Y3,(Assumption!$D$10-(Assumption!$D$10*Assumption!$D$28)-SUM($B$23:$M$23))/13)</f>
        <v>367.33872481517403</v>
      </c>
      <c r="Z23" s="61">
        <f>IF(Z2&lt;=12,Z18*Assumption!$D$27*depre!Z4/Z3,(Assumption!$D$10-(Assumption!$D$10*Assumption!$D$28)-SUM($B$23:$M$23))/13)</f>
        <v>367.33872481517403</v>
      </c>
    </row>
    <row r="24" spans="1:26">
      <c r="A24" s="23"/>
      <c r="B24" s="61">
        <f t="shared" ref="B24:Z24" si="18">SUM(B23:B23)</f>
        <v>943.37100940273967</v>
      </c>
      <c r="C24" s="31">
        <f t="shared" si="18"/>
        <v>945.96268799999996</v>
      </c>
      <c r="D24" s="31">
        <f t="shared" si="18"/>
        <v>945.96268799999996</v>
      </c>
      <c r="E24" s="31">
        <f t="shared" si="18"/>
        <v>945.96268799999996</v>
      </c>
      <c r="F24" s="31">
        <f t="shared" si="18"/>
        <v>945.96268799999996</v>
      </c>
      <c r="G24" s="31">
        <f t="shared" si="18"/>
        <v>945.96268799999996</v>
      </c>
      <c r="H24" s="31">
        <f t="shared" si="18"/>
        <v>945.96268799999996</v>
      </c>
      <c r="I24" s="31">
        <f t="shared" si="18"/>
        <v>945.96268799999996</v>
      </c>
      <c r="J24" s="31">
        <f t="shared" si="18"/>
        <v>945.96268799999996</v>
      </c>
      <c r="K24" s="31">
        <f t="shared" si="18"/>
        <v>945.96268799999996</v>
      </c>
      <c r="L24" s="31">
        <f t="shared" si="18"/>
        <v>945.96268799999996</v>
      </c>
      <c r="M24" s="31">
        <f t="shared" si="18"/>
        <v>945.96268799999996</v>
      </c>
      <c r="N24" s="31">
        <f t="shared" si="18"/>
        <v>367.33872481517403</v>
      </c>
      <c r="O24" s="31">
        <f t="shared" si="18"/>
        <v>367.33872481517403</v>
      </c>
      <c r="P24" s="31">
        <f t="shared" si="18"/>
        <v>367.33872481517403</v>
      </c>
      <c r="Q24" s="31">
        <f t="shared" si="18"/>
        <v>367.33872481517403</v>
      </c>
      <c r="R24" s="31">
        <f t="shared" si="18"/>
        <v>367.33872481517403</v>
      </c>
      <c r="S24" s="31">
        <f t="shared" si="18"/>
        <v>367.33872481517403</v>
      </c>
      <c r="T24" s="31">
        <f t="shared" si="18"/>
        <v>367.33872481517403</v>
      </c>
      <c r="U24" s="31">
        <f t="shared" si="18"/>
        <v>367.33872481517403</v>
      </c>
      <c r="V24" s="31">
        <f t="shared" si="18"/>
        <v>367.33872481517403</v>
      </c>
      <c r="W24" s="31">
        <f t="shared" si="18"/>
        <v>367.33872481517403</v>
      </c>
      <c r="X24" s="31">
        <f t="shared" si="18"/>
        <v>367.33872481517403</v>
      </c>
      <c r="Y24" s="31">
        <f t="shared" si="18"/>
        <v>367.33872481517403</v>
      </c>
      <c r="Z24" s="31">
        <f t="shared" si="18"/>
        <v>367.33872481517403</v>
      </c>
    </row>
    <row r="25" spans="1:26">
      <c r="A25" s="22" t="s">
        <v>127</v>
      </c>
    </row>
    <row r="26" spans="1:26">
      <c r="A26" s="23"/>
      <c r="B26" s="27">
        <f>B22</f>
        <v>41729</v>
      </c>
      <c r="C26" s="27">
        <f t="shared" ref="C26:Z26" si="19">C22</f>
        <v>42094</v>
      </c>
      <c r="D26" s="27">
        <f t="shared" si="19"/>
        <v>42460</v>
      </c>
      <c r="E26" s="27">
        <f t="shared" si="19"/>
        <v>42825</v>
      </c>
      <c r="F26" s="27">
        <f t="shared" si="19"/>
        <v>43190</v>
      </c>
      <c r="G26" s="27">
        <f t="shared" si="19"/>
        <v>43555</v>
      </c>
      <c r="H26" s="27">
        <f t="shared" si="19"/>
        <v>43921</v>
      </c>
      <c r="I26" s="27">
        <f t="shared" si="19"/>
        <v>44286</v>
      </c>
      <c r="J26" s="27">
        <f t="shared" si="19"/>
        <v>44651</v>
      </c>
      <c r="K26" s="27">
        <f t="shared" si="19"/>
        <v>45016</v>
      </c>
      <c r="L26" s="27">
        <f t="shared" si="19"/>
        <v>45382</v>
      </c>
      <c r="M26" s="27">
        <f t="shared" si="19"/>
        <v>45747</v>
      </c>
      <c r="N26" s="27">
        <f t="shared" si="19"/>
        <v>46112</v>
      </c>
      <c r="O26" s="27">
        <f t="shared" si="19"/>
        <v>46477</v>
      </c>
      <c r="P26" s="27">
        <f t="shared" si="19"/>
        <v>46843</v>
      </c>
      <c r="Q26" s="27">
        <f t="shared" si="19"/>
        <v>47208</v>
      </c>
      <c r="R26" s="27">
        <f t="shared" si="19"/>
        <v>47573</v>
      </c>
      <c r="S26" s="27">
        <f t="shared" si="19"/>
        <v>47938</v>
      </c>
      <c r="T26" s="27">
        <f t="shared" si="19"/>
        <v>48304</v>
      </c>
      <c r="U26" s="27">
        <f t="shared" si="19"/>
        <v>48669</v>
      </c>
      <c r="V26" s="27">
        <f t="shared" si="19"/>
        <v>49034</v>
      </c>
      <c r="W26" s="27">
        <f t="shared" si="19"/>
        <v>49399</v>
      </c>
      <c r="X26" s="27">
        <f t="shared" si="19"/>
        <v>49765</v>
      </c>
      <c r="Y26" s="27">
        <f t="shared" si="19"/>
        <v>50130</v>
      </c>
      <c r="Z26" s="27">
        <f t="shared" si="19"/>
        <v>50495</v>
      </c>
    </row>
    <row r="27" spans="1:26" s="62" customFormat="1">
      <c r="A27" s="130" t="s">
        <v>250</v>
      </c>
      <c r="B27" s="61">
        <f>MAX(MIN(B19*Assumption!$D$33*depre!B4/B3,B19-$B$31),0)</f>
        <v>943.37100940273967</v>
      </c>
      <c r="C27" s="61">
        <f>MAX(MIN(C19*Assumption!$D$33*depre!C4/C3,(C19-$B$31-B29)),0)</f>
        <v>945.96268799999996</v>
      </c>
      <c r="D27" s="61">
        <f>MAX(MIN(D19*Assumption!$D$33*depre!D4/D3,(D19-$B$31-C29)),0)</f>
        <v>945.96268799999996</v>
      </c>
      <c r="E27" s="61">
        <f>MAX(MIN(E19*Assumption!$D$33*depre!E4/E3,(E19-$B$31-D29)),0)</f>
        <v>945.96268799999996</v>
      </c>
      <c r="F27" s="61">
        <f>MAX(MIN(F19*Assumption!$D$33*depre!F4/F3,(F19-$B$31-E29)),0)</f>
        <v>945.96268799999996</v>
      </c>
      <c r="G27" s="61">
        <f>MAX(MIN(G19*Assumption!$D$33*depre!G4/G3,(G19-$B$31-F29)),0)</f>
        <v>945.96268799999996</v>
      </c>
      <c r="H27" s="61">
        <f>MAX(MIN(H19*Assumption!$D$33*depre!H4/H3,(H19-$B$31-G29)),0)</f>
        <v>945.96268799999996</v>
      </c>
      <c r="I27" s="61">
        <f>MAX(MIN(I19*Assumption!$D$33*depre!I4/I3,(I19-$B$31-H29)),0)</f>
        <v>945.96268799999996</v>
      </c>
      <c r="J27" s="61">
        <f>MAX(MIN(J19*Assumption!$D$33*depre!J4/J3,(J19-$B$31-I29)),0)</f>
        <v>945.96268799999996</v>
      </c>
      <c r="K27" s="61">
        <f>MAX(MIN(K19*Assumption!$D$33*depre!K4/K3,(K19-$B$31-J29)),0)</f>
        <v>945.96268799999996</v>
      </c>
      <c r="L27" s="61">
        <f>MAX(MIN(L19*Assumption!$D$33*depre!L4/L3,(L19-$B$31-K29)),0)</f>
        <v>945.96268799999996</v>
      </c>
      <c r="M27" s="61">
        <f>MAX(MIN(M19*Assumption!$D$33*depre!M4/M3,(M19-$B$31-L29)),0)</f>
        <v>945.96268799999996</v>
      </c>
      <c r="N27" s="61">
        <f>MAX(MIN(N19*Assumption!$D$33*depre!N4/N3,(N19-$B$31-M29)),0)</f>
        <v>945.96268799999996</v>
      </c>
      <c r="O27" s="61">
        <f>MAX(MIN(O19*Assumption!$D$33*depre!O4/O3,(O19-$B$31-N29)),0)</f>
        <v>945.96268799999996</v>
      </c>
      <c r="P27" s="61">
        <f>MAX(MIN(P19*Assumption!$D$33*depre!P4/P3,(P19-$B$31-O29)),0)</f>
        <v>945.96268799999996</v>
      </c>
      <c r="Q27" s="61">
        <f>MAX(MIN(Q19*Assumption!$D$33*depre!Q4/Q3,(Q19-$B$31-P29)),0)</f>
        <v>945.96268799999996</v>
      </c>
      <c r="R27" s="61">
        <f>MAX(MIN(R19*Assumption!$D$33*depre!R4/R3,(R19-$B$31-Q29)),0)</f>
        <v>945.96268799999996</v>
      </c>
      <c r="S27" s="61">
        <f>MAX(MIN(S19*Assumption!$D$33*depre!S4/S3,(S19-$B$31-R29)),0)</f>
        <v>945.96268799999996</v>
      </c>
      <c r="T27" s="61">
        <f>MAX(MIN(T19*Assumption!$D$33*depre!T4/365,S30-$B$31),0)</f>
        <v>891.22329459726461</v>
      </c>
      <c r="U27" s="61">
        <f>MAX(MIN(U19*Assumption!$D$33*depre!U4/365,T30-$B$31),0)</f>
        <v>0</v>
      </c>
      <c r="V27" s="61">
        <f>MAX(MIN(V19*Assumption!$D$33*depre!V4/365,U30-$B$31),0)</f>
        <v>0</v>
      </c>
      <c r="W27" s="61">
        <f>MAX(MIN(W19*Assumption!$D$33*depre!W4/365,V30-$B$31),0)</f>
        <v>0</v>
      </c>
      <c r="X27" s="61">
        <f>MAX(MIN(X19*Assumption!$D$33*depre!X4/365,W30-$B$31),0)</f>
        <v>0</v>
      </c>
      <c r="Y27" s="61">
        <f>MAX(MIN(Y19*Assumption!$D$33*depre!Y4/365,X30-$B$31),0)</f>
        <v>0</v>
      </c>
      <c r="Z27" s="61">
        <f>MAX(MIN(Z19*Assumption!$D$33*depre!Z4/365,Y30-$B$31),0)</f>
        <v>0</v>
      </c>
    </row>
    <row r="28" spans="1:26">
      <c r="A28" s="23" t="s">
        <v>245</v>
      </c>
      <c r="B28" s="61">
        <f t="shared" ref="B28:Z28" si="20">SUM(B27:B27)</f>
        <v>943.37100940273967</v>
      </c>
      <c r="C28" s="31">
        <f t="shared" si="20"/>
        <v>945.96268799999996</v>
      </c>
      <c r="D28" s="31">
        <f t="shared" si="20"/>
        <v>945.96268799999996</v>
      </c>
      <c r="E28" s="31">
        <f t="shared" si="20"/>
        <v>945.96268799999996</v>
      </c>
      <c r="F28" s="31">
        <f t="shared" si="20"/>
        <v>945.96268799999996</v>
      </c>
      <c r="G28" s="31">
        <f t="shared" si="20"/>
        <v>945.96268799999996</v>
      </c>
      <c r="H28" s="31">
        <f t="shared" si="20"/>
        <v>945.96268799999996</v>
      </c>
      <c r="I28" s="31">
        <f t="shared" si="20"/>
        <v>945.96268799999996</v>
      </c>
      <c r="J28" s="31">
        <f t="shared" si="20"/>
        <v>945.96268799999996</v>
      </c>
      <c r="K28" s="31">
        <f t="shared" si="20"/>
        <v>945.96268799999996</v>
      </c>
      <c r="L28" s="31">
        <f t="shared" si="20"/>
        <v>945.96268799999996</v>
      </c>
      <c r="M28" s="31">
        <f t="shared" si="20"/>
        <v>945.96268799999996</v>
      </c>
      <c r="N28" s="31">
        <f t="shared" si="20"/>
        <v>945.96268799999996</v>
      </c>
      <c r="O28" s="31">
        <f t="shared" si="20"/>
        <v>945.96268799999996</v>
      </c>
      <c r="P28" s="31">
        <f t="shared" si="20"/>
        <v>945.96268799999996</v>
      </c>
      <c r="Q28" s="31">
        <f t="shared" si="20"/>
        <v>945.96268799999996</v>
      </c>
      <c r="R28" s="31">
        <f t="shared" si="20"/>
        <v>945.96268799999996</v>
      </c>
      <c r="S28" s="31">
        <f t="shared" si="20"/>
        <v>945.96268799999996</v>
      </c>
      <c r="T28" s="31">
        <f t="shared" si="20"/>
        <v>891.22329459726461</v>
      </c>
      <c r="U28" s="31">
        <f t="shared" si="20"/>
        <v>0</v>
      </c>
      <c r="V28" s="31">
        <f t="shared" si="20"/>
        <v>0</v>
      </c>
      <c r="W28" s="31">
        <f t="shared" si="20"/>
        <v>0</v>
      </c>
      <c r="X28" s="31">
        <f t="shared" si="20"/>
        <v>0</v>
      </c>
      <c r="Y28" s="31">
        <f t="shared" si="20"/>
        <v>0</v>
      </c>
      <c r="Z28" s="31">
        <f t="shared" si="20"/>
        <v>0</v>
      </c>
    </row>
    <row r="29" spans="1:26">
      <c r="A29" s="23" t="s">
        <v>246</v>
      </c>
      <c r="B29" s="31">
        <f>B28</f>
        <v>943.37100940273967</v>
      </c>
      <c r="C29" s="31">
        <f>B29+C28</f>
        <v>1889.3336974027397</v>
      </c>
      <c r="D29" s="31">
        <f t="shared" ref="D29:Z29" si="21">C29+D28</f>
        <v>2835.2963854027398</v>
      </c>
      <c r="E29" s="31">
        <f t="shared" si="21"/>
        <v>3781.2590734027399</v>
      </c>
      <c r="F29" s="31">
        <f t="shared" si="21"/>
        <v>4727.2217614027395</v>
      </c>
      <c r="G29" s="31">
        <f t="shared" si="21"/>
        <v>5673.1844494027391</v>
      </c>
      <c r="H29" s="31">
        <f t="shared" si="21"/>
        <v>6619.1471374027387</v>
      </c>
      <c r="I29" s="31">
        <f t="shared" si="21"/>
        <v>7565.1098254027384</v>
      </c>
      <c r="J29" s="31">
        <f t="shared" si="21"/>
        <v>8511.072513402738</v>
      </c>
      <c r="K29" s="31">
        <f t="shared" si="21"/>
        <v>9457.0352014027376</v>
      </c>
      <c r="L29" s="31">
        <f t="shared" si="21"/>
        <v>10402.997889402737</v>
      </c>
      <c r="M29" s="31">
        <f t="shared" si="21"/>
        <v>11348.960577402737</v>
      </c>
      <c r="N29" s="31">
        <f t="shared" si="21"/>
        <v>12294.923265402736</v>
      </c>
      <c r="O29" s="31">
        <f t="shared" si="21"/>
        <v>13240.885953402736</v>
      </c>
      <c r="P29" s="31">
        <f t="shared" si="21"/>
        <v>14186.848641402736</v>
      </c>
      <c r="Q29" s="31">
        <f t="shared" si="21"/>
        <v>15132.811329402735</v>
      </c>
      <c r="R29" s="31">
        <f t="shared" si="21"/>
        <v>16078.774017402735</v>
      </c>
      <c r="S29" s="31">
        <f t="shared" si="21"/>
        <v>17024.736705402735</v>
      </c>
      <c r="T29" s="31">
        <f t="shared" si="21"/>
        <v>17915.96</v>
      </c>
      <c r="U29" s="31">
        <f t="shared" si="21"/>
        <v>17915.96</v>
      </c>
      <c r="V29" s="31">
        <f t="shared" si="21"/>
        <v>17915.96</v>
      </c>
      <c r="W29" s="31">
        <f t="shared" si="21"/>
        <v>17915.96</v>
      </c>
      <c r="X29" s="31">
        <f t="shared" si="21"/>
        <v>17915.96</v>
      </c>
      <c r="Y29" s="31">
        <f t="shared" si="21"/>
        <v>17915.96</v>
      </c>
      <c r="Z29" s="31">
        <f t="shared" si="21"/>
        <v>17915.96</v>
      </c>
    </row>
    <row r="30" spans="1:26">
      <c r="A30" s="23" t="s">
        <v>128</v>
      </c>
      <c r="B30" s="31">
        <f>B19-B29</f>
        <v>16972.588990597258</v>
      </c>
      <c r="C30" s="31">
        <f t="shared" ref="C30:Z30" si="22">C19-C29</f>
        <v>16026.626302597258</v>
      </c>
      <c r="D30" s="31">
        <f t="shared" si="22"/>
        <v>15080.663614597259</v>
      </c>
      <c r="E30" s="31">
        <f t="shared" si="22"/>
        <v>14134.700926597259</v>
      </c>
      <c r="F30" s="31">
        <f t="shared" si="22"/>
        <v>13188.73823859726</v>
      </c>
      <c r="G30" s="31">
        <f t="shared" si="22"/>
        <v>12242.77555059726</v>
      </c>
      <c r="H30" s="31">
        <f t="shared" si="22"/>
        <v>11296.81286259726</v>
      </c>
      <c r="I30" s="31">
        <f t="shared" si="22"/>
        <v>10350.850174597261</v>
      </c>
      <c r="J30" s="31">
        <f t="shared" si="22"/>
        <v>9404.8874865972612</v>
      </c>
      <c r="K30" s="31">
        <f t="shared" si="22"/>
        <v>8458.9247985972615</v>
      </c>
      <c r="L30" s="31">
        <f t="shared" si="22"/>
        <v>7512.9621105972619</v>
      </c>
      <c r="M30" s="31">
        <f t="shared" si="22"/>
        <v>6566.9994225972623</v>
      </c>
      <c r="N30" s="31">
        <f t="shared" si="22"/>
        <v>5621.0367345972627</v>
      </c>
      <c r="O30" s="31">
        <f t="shared" si="22"/>
        <v>4675.0740465972631</v>
      </c>
      <c r="P30" s="31">
        <f t="shared" si="22"/>
        <v>3729.1113585972635</v>
      </c>
      <c r="Q30" s="31">
        <f t="shared" si="22"/>
        <v>2783.1486705972638</v>
      </c>
      <c r="R30" s="31">
        <f t="shared" si="22"/>
        <v>1837.1859825972642</v>
      </c>
      <c r="S30" s="31">
        <f t="shared" si="22"/>
        <v>891.22329459726461</v>
      </c>
      <c r="T30" s="31">
        <f t="shared" si="22"/>
        <v>0</v>
      </c>
      <c r="U30" s="31">
        <f t="shared" si="22"/>
        <v>0</v>
      </c>
      <c r="V30" s="31">
        <f t="shared" si="22"/>
        <v>0</v>
      </c>
      <c r="W30" s="31">
        <f t="shared" si="22"/>
        <v>0</v>
      </c>
      <c r="X30" s="31">
        <f t="shared" si="22"/>
        <v>0</v>
      </c>
      <c r="Y30" s="31">
        <f t="shared" si="22"/>
        <v>0</v>
      </c>
      <c r="Z30" s="31">
        <f t="shared" si="22"/>
        <v>0</v>
      </c>
    </row>
    <row r="31" spans="1:26">
      <c r="A31" s="79" t="s">
        <v>251</v>
      </c>
      <c r="B31" s="23">
        <f>'term loan '!C25*Assumption!D34</f>
        <v>0</v>
      </c>
      <c r="C31" s="23"/>
      <c r="D31" s="23"/>
      <c r="E31" s="23"/>
      <c r="F31" s="23"/>
      <c r="G31" s="23"/>
      <c r="H31" s="23"/>
      <c r="I31" s="23"/>
      <c r="J31" s="23"/>
      <c r="K31" s="23"/>
      <c r="L31" s="23"/>
      <c r="M31" s="23"/>
      <c r="N31" s="23"/>
      <c r="O31" s="23"/>
      <c r="P31" s="23"/>
      <c r="Q31" s="31"/>
      <c r="R31" s="31"/>
      <c r="S31" s="31"/>
      <c r="T31" s="23"/>
      <c r="U31" s="23"/>
      <c r="V31" s="23"/>
      <c r="W31" s="23"/>
      <c r="X31" s="23"/>
      <c r="Y31" s="23"/>
      <c r="Z31" s="23"/>
    </row>
  </sheetData>
  <customSheetViews>
    <customSheetView guid="{6D27EB6A-3939-4201-8E4B-897AA8118F21}" scale="85" showPageBreaks="1" printArea="1" view="pageBreakPreview">
      <selection activeCell="A20" sqref="A20"/>
      <pageMargins left="0.75" right="0.75" top="1" bottom="0.63" header="0.5" footer="0.5"/>
      <pageSetup scale="70" orientation="landscape" r:id="rId1"/>
      <headerFooter alignWithMargins="0"/>
    </customSheetView>
  </customSheetViews>
  <phoneticPr fontId="6" type="noConversion"/>
  <pageMargins left="0.75" right="0.75" top="1" bottom="0.63" header="0.5" footer="0.5"/>
  <pageSetup scale="70" orientation="landscape" r:id="rId2"/>
  <headerFooter alignWithMargins="0"/>
</worksheet>
</file>

<file path=xl/worksheets/sheet5.xml><?xml version="1.0" encoding="utf-8"?>
<worksheet xmlns="http://schemas.openxmlformats.org/spreadsheetml/2006/main" xmlns:r="http://schemas.openxmlformats.org/officeDocument/2006/relationships">
  <sheetPr codeName="Sheet3">
    <pageSetUpPr fitToPage="1"/>
  </sheetPr>
  <dimension ref="A1:S28"/>
  <sheetViews>
    <sheetView view="pageBreakPreview" zoomScaleSheetLayoutView="100" workbookViewId="0">
      <selection activeCell="E29" sqref="E29"/>
    </sheetView>
  </sheetViews>
  <sheetFormatPr defaultRowHeight="15"/>
  <cols>
    <col min="1" max="1" width="5.28515625" style="22" bestFit="1" customWidth="1"/>
    <col min="2" max="2" width="12.85546875" style="22" customWidth="1"/>
    <col min="3" max="3" width="14" style="22" customWidth="1"/>
    <col min="4" max="4" width="12.7109375" style="22" customWidth="1"/>
    <col min="5" max="5" width="28.140625" style="22" customWidth="1"/>
    <col min="6" max="6" width="12.140625" style="22" customWidth="1"/>
    <col min="7" max="7" width="5.28515625" style="22" bestFit="1" customWidth="1"/>
    <col min="8" max="8" width="11.28515625" style="22" customWidth="1"/>
    <col min="9" max="9" width="12.7109375" style="22" customWidth="1"/>
    <col min="10" max="10" width="11" style="22" customWidth="1"/>
    <col min="11" max="11" width="13.42578125" style="22" customWidth="1"/>
    <col min="12" max="12" width="10.28515625" style="22" customWidth="1"/>
    <col min="13" max="13" width="13.5703125" style="22" customWidth="1"/>
    <col min="14" max="14" width="12" style="22" customWidth="1"/>
    <col min="15" max="15" width="13.140625" style="22" customWidth="1"/>
    <col min="16" max="16" width="12.7109375" style="22" bestFit="1" customWidth="1"/>
    <col min="17" max="17" width="10.7109375" style="22" customWidth="1"/>
    <col min="18" max="23" width="12.28515625" style="22" bestFit="1" customWidth="1"/>
    <col min="24" max="24" width="11.85546875" style="22" customWidth="1"/>
    <col min="25" max="25" width="11.7109375" style="22" customWidth="1"/>
    <col min="26" max="16384" width="9.140625" style="22"/>
  </cols>
  <sheetData>
    <row r="1" spans="1:19">
      <c r="A1" s="190" t="s">
        <v>121</v>
      </c>
      <c r="B1" s="190"/>
      <c r="C1" s="190"/>
      <c r="D1" s="190"/>
      <c r="E1" s="190"/>
      <c r="F1" s="191" t="s">
        <v>214</v>
      </c>
      <c r="G1" s="190" t="s">
        <v>122</v>
      </c>
      <c r="H1" s="190"/>
      <c r="I1" s="190"/>
      <c r="J1" s="190"/>
      <c r="K1" s="190"/>
      <c r="L1" s="190"/>
      <c r="M1" s="190"/>
      <c r="N1" s="190"/>
      <c r="O1" s="190"/>
      <c r="P1" s="190"/>
      <c r="Q1" s="190"/>
      <c r="R1" s="80"/>
      <c r="S1" s="80"/>
    </row>
    <row r="2" spans="1:19" ht="18.75" customHeight="1">
      <c r="A2" s="190" t="s">
        <v>37</v>
      </c>
      <c r="B2" s="190"/>
      <c r="C2" s="190"/>
      <c r="D2" s="190"/>
      <c r="E2" s="190"/>
      <c r="F2" s="191"/>
      <c r="G2" s="190" t="s">
        <v>37</v>
      </c>
      <c r="H2" s="190"/>
      <c r="I2" s="190"/>
      <c r="J2" s="190"/>
      <c r="K2" s="190"/>
      <c r="L2" s="190"/>
      <c r="M2" s="190"/>
      <c r="N2" s="190"/>
      <c r="O2" s="190"/>
      <c r="P2" s="190"/>
      <c r="Q2" s="190"/>
      <c r="S2" s="60"/>
    </row>
    <row r="3" spans="1:19" ht="60" customHeight="1">
      <c r="A3" s="77" t="s">
        <v>3</v>
      </c>
      <c r="B3" s="77" t="s">
        <v>252</v>
      </c>
      <c r="C3" s="77" t="s">
        <v>253</v>
      </c>
      <c r="D3" s="77" t="s">
        <v>254</v>
      </c>
      <c r="E3" s="126" t="s">
        <v>255</v>
      </c>
      <c r="F3" s="191"/>
      <c r="G3" s="77" t="s">
        <v>3</v>
      </c>
      <c r="H3" s="77" t="s">
        <v>252</v>
      </c>
      <c r="I3" s="77" t="s">
        <v>256</v>
      </c>
      <c r="J3" s="77" t="s">
        <v>257</v>
      </c>
      <c r="K3" s="77" t="s">
        <v>258</v>
      </c>
      <c r="L3" s="77" t="s">
        <v>257</v>
      </c>
      <c r="M3" s="77" t="s">
        <v>259</v>
      </c>
      <c r="N3" s="77" t="s">
        <v>257</v>
      </c>
      <c r="O3" s="77" t="s">
        <v>260</v>
      </c>
      <c r="P3" s="77" t="s">
        <v>257</v>
      </c>
      <c r="Q3" s="128" t="s">
        <v>255</v>
      </c>
      <c r="R3" s="6"/>
      <c r="S3" s="6"/>
    </row>
    <row r="4" spans="1:19">
      <c r="A4" s="23">
        <v>2013</v>
      </c>
      <c r="B4" s="28">
        <f>C26</f>
        <v>12541.171999999999</v>
      </c>
      <c r="C4" s="32">
        <f>depre!B8</f>
        <v>943.37100940273967</v>
      </c>
      <c r="D4" s="28">
        <f>B4-C4</f>
        <v>11597.800990597259</v>
      </c>
      <c r="E4" s="57">
        <f>((B4+D4)/2)*F4/365*Assumption!$D$13</f>
        <v>1444.3703290812166</v>
      </c>
      <c r="F4" s="23">
        <f>depre!B4</f>
        <v>364</v>
      </c>
      <c r="G4" s="23">
        <v>2013</v>
      </c>
      <c r="H4" s="28">
        <f>C26</f>
        <v>12541.171999999999</v>
      </c>
      <c r="I4" s="28">
        <v>0</v>
      </c>
      <c r="J4" s="28">
        <f>H4-I4</f>
        <v>12541.171999999999</v>
      </c>
      <c r="K4" s="28">
        <v>0</v>
      </c>
      <c r="L4" s="28">
        <f>J4-K4</f>
        <v>12541.171999999999</v>
      </c>
      <c r="M4" s="28">
        <v>0</v>
      </c>
      <c r="N4" s="28">
        <f>L4-M4</f>
        <v>12541.171999999999</v>
      </c>
      <c r="O4" s="28">
        <v>0</v>
      </c>
      <c r="P4" s="28">
        <f>N4-O4</f>
        <v>12541.171999999999</v>
      </c>
      <c r="Q4" s="28">
        <f>(AVERAGE(H4,J4,L4,N4,P4))*F4/365*Assumption!$D$13</f>
        <v>1500.8175149589038</v>
      </c>
      <c r="R4" s="6"/>
      <c r="S4" s="6"/>
    </row>
    <row r="5" spans="1:19">
      <c r="A5" s="23">
        <f>A4+1</f>
        <v>2014</v>
      </c>
      <c r="B5" s="28">
        <f t="shared" ref="B5:B21" si="0">D4</f>
        <v>11597.800990597259</v>
      </c>
      <c r="C5" s="32">
        <f>depre!C8</f>
        <v>945.96268799999996</v>
      </c>
      <c r="D5" s="28">
        <f t="shared" ref="D5:D21" si="1">B5-C5</f>
        <v>10651.83830259726</v>
      </c>
      <c r="E5" s="57">
        <f>((B5+D5)/2)*F5/365*Assumption!$D$13</f>
        <v>1334.9783575916711</v>
      </c>
      <c r="F5" s="23">
        <v>365</v>
      </c>
      <c r="G5" s="23">
        <f>G4+1</f>
        <v>2014</v>
      </c>
      <c r="H5" s="28">
        <f>P4</f>
        <v>12541.171999999999</v>
      </c>
      <c r="I5" s="28">
        <f>Assumption!$D$17</f>
        <v>285.02663636363633</v>
      </c>
      <c r="J5" s="28">
        <f>H5-I5</f>
        <v>12256.145363636362</v>
      </c>
      <c r="K5" s="28">
        <f>Assumption!$D$17</f>
        <v>285.02663636363633</v>
      </c>
      <c r="L5" s="28">
        <f>J5-K5</f>
        <v>11971.118727272726</v>
      </c>
      <c r="M5" s="28">
        <f>Assumption!$D$17</f>
        <v>285.02663636363633</v>
      </c>
      <c r="N5" s="28">
        <f>L5-M5</f>
        <v>11686.092090909089</v>
      </c>
      <c r="O5" s="28">
        <f>Assumption!$D$17</f>
        <v>285.02663636363633</v>
      </c>
      <c r="P5" s="28">
        <f>N5-O5</f>
        <v>11401.065454545453</v>
      </c>
      <c r="Q5" s="28">
        <f>(AVERAGE(H5,J5,L5,N5,P5))*F5/365*Assumption!$D$13</f>
        <v>1436.5342472727275</v>
      </c>
      <c r="R5" s="6"/>
      <c r="S5" s="6"/>
    </row>
    <row r="6" spans="1:19">
      <c r="A6" s="23">
        <f t="shared" ref="A6:A21" si="2">A5+1</f>
        <v>2015</v>
      </c>
      <c r="B6" s="28">
        <f t="shared" si="0"/>
        <v>10651.83830259726</v>
      </c>
      <c r="C6" s="32">
        <f>C5</f>
        <v>945.96268799999996</v>
      </c>
      <c r="D6" s="28">
        <f t="shared" si="1"/>
        <v>9705.8756145972602</v>
      </c>
      <c r="E6" s="57">
        <f>((B6+D6)/2)*F6/365*Assumption!$D$13</f>
        <v>1224.8093085523058</v>
      </c>
      <c r="F6" s="23">
        <v>366</v>
      </c>
      <c r="G6" s="23">
        <f t="shared" ref="G6:G21" si="3">G5+1</f>
        <v>2015</v>
      </c>
      <c r="H6" s="28">
        <f>P5</f>
        <v>11401.065454545453</v>
      </c>
      <c r="I6" s="28">
        <f>Assumption!$D$17</f>
        <v>285.02663636363633</v>
      </c>
      <c r="J6" s="28">
        <f t="shared" ref="J6:J15" si="4">H6-I6</f>
        <v>11116.038818181816</v>
      </c>
      <c r="K6" s="28">
        <f>Assumption!$D$17</f>
        <v>285.02663636363633</v>
      </c>
      <c r="L6" s="28">
        <f t="shared" ref="L6:L15" si="5">J6-K6</f>
        <v>10831.01218181818</v>
      </c>
      <c r="M6" s="28">
        <f>Assumption!$D$17</f>
        <v>285.02663636363633</v>
      </c>
      <c r="N6" s="28">
        <f t="shared" ref="N6:N15" si="6">L6-M6</f>
        <v>10545.985545454543</v>
      </c>
      <c r="O6" s="28">
        <f>Assumption!$D$17</f>
        <v>285.02663636363633</v>
      </c>
      <c r="P6" s="28">
        <f t="shared" ref="P6:P15" si="7">N6-O6</f>
        <v>10260.958909090907</v>
      </c>
      <c r="Q6" s="28">
        <f>(AVERAGE(H6,J6,L6,N6,P6))*F6/365*Assumption!$D$13</f>
        <v>1303.2823425354918</v>
      </c>
      <c r="R6" s="6"/>
      <c r="S6" s="6"/>
    </row>
    <row r="7" spans="1:19">
      <c r="A7" s="23">
        <f t="shared" si="2"/>
        <v>2016</v>
      </c>
      <c r="B7" s="28">
        <f t="shared" si="0"/>
        <v>9705.8756145972602</v>
      </c>
      <c r="C7" s="32">
        <f>C6</f>
        <v>945.96268799999996</v>
      </c>
      <c r="D7" s="28">
        <f t="shared" si="1"/>
        <v>8759.9129265972606</v>
      </c>
      <c r="E7" s="57">
        <f>((B7+D7)/2)*F7/365*Assumption!$D$13</f>
        <v>1107.9473124716712</v>
      </c>
      <c r="F7" s="23">
        <v>365</v>
      </c>
      <c r="G7" s="23">
        <f t="shared" si="3"/>
        <v>2016</v>
      </c>
      <c r="H7" s="28">
        <f t="shared" ref="H7:H15" si="8">P6</f>
        <v>10260.958909090907</v>
      </c>
      <c r="I7" s="28">
        <f>Assumption!$D$17</f>
        <v>285.02663636363633</v>
      </c>
      <c r="J7" s="28">
        <f t="shared" si="4"/>
        <v>9975.9322727272702</v>
      </c>
      <c r="K7" s="28">
        <f>Assumption!$D$17</f>
        <v>285.02663636363633</v>
      </c>
      <c r="L7" s="28">
        <f t="shared" si="5"/>
        <v>9690.9056363636337</v>
      </c>
      <c r="M7" s="28">
        <f>Assumption!$D$17</f>
        <v>285.02663636363633</v>
      </c>
      <c r="N7" s="28">
        <f t="shared" si="6"/>
        <v>9405.8789999999972</v>
      </c>
      <c r="O7" s="28">
        <f>Assumption!$D$17</f>
        <v>285.02663636363633</v>
      </c>
      <c r="P7" s="28">
        <f t="shared" si="7"/>
        <v>9120.8523636363607</v>
      </c>
      <c r="Q7" s="28">
        <f>(AVERAGE(H7,J7,L7,N7,P7))*F7/365*Assumption!$D$13</f>
        <v>1162.908676363636</v>
      </c>
      <c r="R7" s="6"/>
      <c r="S7" s="6"/>
    </row>
    <row r="8" spans="1:19">
      <c r="A8" s="23">
        <f t="shared" si="2"/>
        <v>2017</v>
      </c>
      <c r="B8" s="28">
        <f t="shared" si="0"/>
        <v>8759.9129265972606</v>
      </c>
      <c r="C8" s="32">
        <f t="shared" ref="C8:C15" si="9">C7</f>
        <v>945.96268799999996</v>
      </c>
      <c r="D8" s="28">
        <f t="shared" si="1"/>
        <v>7813.950238597261</v>
      </c>
      <c r="E8" s="57">
        <f>((B8+D8)/2)*F8/365*Assumption!$D$13</f>
        <v>994.43178991167122</v>
      </c>
      <c r="F8" s="23">
        <v>365</v>
      </c>
      <c r="G8" s="23">
        <f t="shared" si="3"/>
        <v>2017</v>
      </c>
      <c r="H8" s="28">
        <f t="shared" si="8"/>
        <v>9120.8523636363607</v>
      </c>
      <c r="I8" s="28">
        <f>Assumption!$D$17</f>
        <v>285.02663636363633</v>
      </c>
      <c r="J8" s="28">
        <f t="shared" si="4"/>
        <v>8835.8257272727242</v>
      </c>
      <c r="K8" s="28">
        <f>Assumption!$D$17</f>
        <v>285.02663636363633</v>
      </c>
      <c r="L8" s="28">
        <f t="shared" si="5"/>
        <v>8550.7990909090877</v>
      </c>
      <c r="M8" s="28">
        <f>Assumption!$D$17</f>
        <v>285.02663636363633</v>
      </c>
      <c r="N8" s="28">
        <f t="shared" si="6"/>
        <v>8265.7724545454512</v>
      </c>
      <c r="O8" s="28">
        <f>Assumption!$D$17</f>
        <v>285.02663636363633</v>
      </c>
      <c r="P8" s="28">
        <f t="shared" si="7"/>
        <v>7980.7458181818147</v>
      </c>
      <c r="Q8" s="28">
        <f>(AVERAGE(H8,J8,L8,N8,P8))*F8/365*Assumption!$D$13</f>
        <v>1026.0958909090905</v>
      </c>
      <c r="R8" s="6"/>
      <c r="S8" s="6"/>
    </row>
    <row r="9" spans="1:19">
      <c r="A9" s="23">
        <f t="shared" si="2"/>
        <v>2018</v>
      </c>
      <c r="B9" s="28">
        <f t="shared" si="0"/>
        <v>7813.950238597261</v>
      </c>
      <c r="C9" s="32">
        <f t="shared" si="9"/>
        <v>945.96268799999996</v>
      </c>
      <c r="D9" s="28">
        <f t="shared" si="1"/>
        <v>6867.9875505972614</v>
      </c>
      <c r="E9" s="57">
        <f>((B9+D9)/2)*F9/365*Assumption!$D$13</f>
        <v>880.91626735167131</v>
      </c>
      <c r="F9" s="23">
        <v>365</v>
      </c>
      <c r="G9" s="23">
        <f t="shared" si="3"/>
        <v>2018</v>
      </c>
      <c r="H9" s="28">
        <f t="shared" si="8"/>
        <v>7980.7458181818147</v>
      </c>
      <c r="I9" s="28">
        <f>Assumption!$D$17</f>
        <v>285.02663636363633</v>
      </c>
      <c r="J9" s="28">
        <f t="shared" si="4"/>
        <v>7695.7191818181782</v>
      </c>
      <c r="K9" s="28">
        <f>Assumption!$D$17</f>
        <v>285.02663636363633</v>
      </c>
      <c r="L9" s="28">
        <f t="shared" si="5"/>
        <v>7410.6925454545417</v>
      </c>
      <c r="M9" s="28">
        <f>Assumption!$D$17</f>
        <v>285.02663636363633</v>
      </c>
      <c r="N9" s="28">
        <f t="shared" si="6"/>
        <v>7125.6659090909052</v>
      </c>
      <c r="O9" s="28">
        <f>Assumption!$D$17</f>
        <v>285.02663636363633</v>
      </c>
      <c r="P9" s="28">
        <f t="shared" si="7"/>
        <v>6840.6392727272687</v>
      </c>
      <c r="Q9" s="28">
        <f>(AVERAGE(H9,J9,L9,N9,P9))*F9/365*Assumption!$D$13</f>
        <v>889.28310545454508</v>
      </c>
      <c r="R9" s="6"/>
      <c r="S9" s="6"/>
    </row>
    <row r="10" spans="1:19">
      <c r="A10" s="23">
        <f t="shared" si="2"/>
        <v>2019</v>
      </c>
      <c r="B10" s="28">
        <f t="shared" si="0"/>
        <v>6867.9875505972614</v>
      </c>
      <c r="C10" s="32">
        <f t="shared" si="9"/>
        <v>945.96268799999996</v>
      </c>
      <c r="D10" s="28">
        <f t="shared" si="1"/>
        <v>5922.0248625972617</v>
      </c>
      <c r="E10" s="57">
        <f>((B10+D10)/2)*F10/365*Assumption!$D$13</f>
        <v>769.5032125856211</v>
      </c>
      <c r="F10" s="23">
        <v>366</v>
      </c>
      <c r="G10" s="23">
        <f t="shared" si="3"/>
        <v>2019</v>
      </c>
      <c r="H10" s="28">
        <f t="shared" si="8"/>
        <v>6840.6392727272687</v>
      </c>
      <c r="I10" s="28">
        <f>Assumption!$D$17</f>
        <v>285.02663636363633</v>
      </c>
      <c r="J10" s="28">
        <f t="shared" si="4"/>
        <v>6555.6126363636322</v>
      </c>
      <c r="K10" s="28">
        <f>Assumption!$D$17</f>
        <v>285.02663636363633</v>
      </c>
      <c r="L10" s="28">
        <f t="shared" si="5"/>
        <v>6270.5859999999957</v>
      </c>
      <c r="M10" s="28">
        <f>Assumption!$D$17</f>
        <v>285.02663636363633</v>
      </c>
      <c r="N10" s="28">
        <f t="shared" si="6"/>
        <v>5985.5593636363592</v>
      </c>
      <c r="O10" s="28">
        <f>Assumption!$D$17</f>
        <v>285.02663636363633</v>
      </c>
      <c r="P10" s="28">
        <f t="shared" si="7"/>
        <v>5700.5327272727227</v>
      </c>
      <c r="Q10" s="28">
        <f>(AVERAGE(H10,J10,L10,N10,P10))*F10/365*Assumption!$D$13</f>
        <v>754.53188252054736</v>
      </c>
      <c r="R10" s="6"/>
      <c r="S10" s="6"/>
    </row>
    <row r="11" spans="1:19">
      <c r="A11" s="23">
        <f t="shared" si="2"/>
        <v>2020</v>
      </c>
      <c r="B11" s="28">
        <f t="shared" si="0"/>
        <v>5922.0248625972617</v>
      </c>
      <c r="C11" s="32">
        <f t="shared" si="9"/>
        <v>945.96268799999996</v>
      </c>
      <c r="D11" s="28">
        <f t="shared" si="1"/>
        <v>4976.0621745972621</v>
      </c>
      <c r="E11" s="57">
        <f>((B11+D11)/2)*F11/365*Assumption!$D$13</f>
        <v>653.88522223167138</v>
      </c>
      <c r="F11" s="23">
        <v>365</v>
      </c>
      <c r="G11" s="23">
        <f t="shared" si="3"/>
        <v>2020</v>
      </c>
      <c r="H11" s="28">
        <f t="shared" si="8"/>
        <v>5700.5327272727227</v>
      </c>
      <c r="I11" s="28">
        <f>Assumption!$D$17</f>
        <v>285.02663636363633</v>
      </c>
      <c r="J11" s="28">
        <f t="shared" si="4"/>
        <v>5415.5060909090862</v>
      </c>
      <c r="K11" s="28">
        <f>Assumption!$D$17</f>
        <v>285.02663636363633</v>
      </c>
      <c r="L11" s="28">
        <f t="shared" si="5"/>
        <v>5130.4794545454497</v>
      </c>
      <c r="M11" s="28">
        <f>Assumption!$D$17</f>
        <v>285.02663636363633</v>
      </c>
      <c r="N11" s="28">
        <f t="shared" si="6"/>
        <v>4845.4528181818132</v>
      </c>
      <c r="O11" s="28">
        <f>Assumption!$D$17</f>
        <v>285.02663636363633</v>
      </c>
      <c r="P11" s="28">
        <f t="shared" si="7"/>
        <v>4560.4261818181767</v>
      </c>
      <c r="Q11" s="28">
        <f>(AVERAGE(H11,J11,L11,N11,P11))*F11/365*Assumption!$D$13</f>
        <v>615.65753454545393</v>
      </c>
      <c r="R11" s="6"/>
      <c r="S11" s="6"/>
    </row>
    <row r="12" spans="1:19">
      <c r="A12" s="23">
        <f t="shared" si="2"/>
        <v>2021</v>
      </c>
      <c r="B12" s="28">
        <f t="shared" si="0"/>
        <v>4976.0621745972621</v>
      </c>
      <c r="C12" s="32">
        <f t="shared" si="9"/>
        <v>945.96268799999996</v>
      </c>
      <c r="D12" s="28">
        <f t="shared" si="1"/>
        <v>4030.0994865972621</v>
      </c>
      <c r="E12" s="57">
        <f>((B12+D12)/2)*F12/365*Assumption!$D$13</f>
        <v>540.36969967167147</v>
      </c>
      <c r="F12" s="23">
        <v>365</v>
      </c>
      <c r="G12" s="23">
        <f t="shared" si="3"/>
        <v>2021</v>
      </c>
      <c r="H12" s="28">
        <f t="shared" si="8"/>
        <v>4560.4261818181767</v>
      </c>
      <c r="I12" s="28">
        <f>Assumption!$D$17</f>
        <v>285.02663636363633</v>
      </c>
      <c r="J12" s="28">
        <f t="shared" si="4"/>
        <v>4275.3995454545402</v>
      </c>
      <c r="K12" s="28">
        <f>Assumption!$D$17</f>
        <v>285.02663636363633</v>
      </c>
      <c r="L12" s="28">
        <f t="shared" si="5"/>
        <v>3990.3729090909037</v>
      </c>
      <c r="M12" s="28">
        <f>Assumption!$D$17</f>
        <v>285.02663636363633</v>
      </c>
      <c r="N12" s="28">
        <f t="shared" si="6"/>
        <v>3705.3462727272672</v>
      </c>
      <c r="O12" s="28">
        <f>Assumption!$D$17</f>
        <v>285.02663636363633</v>
      </c>
      <c r="P12" s="28">
        <f t="shared" si="7"/>
        <v>3420.3196363636307</v>
      </c>
      <c r="Q12" s="28">
        <f>(AVERAGE(H12,J12,L12,N12,P12))*F12/365*Assumption!$D$13</f>
        <v>478.84474909090846</v>
      </c>
      <c r="R12" s="6"/>
      <c r="S12" s="6"/>
    </row>
    <row r="13" spans="1:19">
      <c r="A13" s="23">
        <f t="shared" si="2"/>
        <v>2022</v>
      </c>
      <c r="B13" s="28">
        <f t="shared" si="0"/>
        <v>4030.0994865972621</v>
      </c>
      <c r="C13" s="32">
        <f t="shared" si="9"/>
        <v>945.96268799999996</v>
      </c>
      <c r="D13" s="28">
        <f t="shared" si="1"/>
        <v>3084.136798597262</v>
      </c>
      <c r="E13" s="57">
        <f>((B13+D13)/2)*F13/365*Assumption!$D$13</f>
        <v>426.85417711167139</v>
      </c>
      <c r="F13" s="23">
        <v>365</v>
      </c>
      <c r="G13" s="23">
        <f t="shared" si="3"/>
        <v>2022</v>
      </c>
      <c r="H13" s="28">
        <f t="shared" si="8"/>
        <v>3420.3196363636307</v>
      </c>
      <c r="I13" s="28">
        <f>Assumption!$D$17</f>
        <v>285.02663636363633</v>
      </c>
      <c r="J13" s="28">
        <f t="shared" si="4"/>
        <v>3135.2929999999942</v>
      </c>
      <c r="K13" s="28">
        <f>Assumption!$D$17</f>
        <v>285.02663636363633</v>
      </c>
      <c r="L13" s="28">
        <f t="shared" si="5"/>
        <v>2850.2663636363577</v>
      </c>
      <c r="M13" s="28">
        <f>Assumption!$D$17</f>
        <v>285.02663636363633</v>
      </c>
      <c r="N13" s="28">
        <f t="shared" si="6"/>
        <v>2565.2397272727212</v>
      </c>
      <c r="O13" s="28">
        <f>Assumption!$D$17</f>
        <v>285.02663636363633</v>
      </c>
      <c r="P13" s="28">
        <f t="shared" si="7"/>
        <v>2280.2130909090847</v>
      </c>
      <c r="Q13" s="28">
        <f>(AVERAGE(H13,J13,L13,N13,P13))*F13/365*Assumption!$D$13</f>
        <v>342.03196363636289</v>
      </c>
      <c r="R13" s="6"/>
      <c r="S13" s="6"/>
    </row>
    <row r="14" spans="1:19">
      <c r="A14" s="23">
        <f t="shared" si="2"/>
        <v>2023</v>
      </c>
      <c r="B14" s="28">
        <f t="shared" si="0"/>
        <v>3084.136798597262</v>
      </c>
      <c r="C14" s="32">
        <f t="shared" si="9"/>
        <v>945.96268799999996</v>
      </c>
      <c r="D14" s="28">
        <f t="shared" si="1"/>
        <v>2138.1741105972619</v>
      </c>
      <c r="E14" s="57">
        <f>((B14+D14)/2)*F14/365*Assumption!$D$13</f>
        <v>314.19711661893632</v>
      </c>
      <c r="F14" s="23">
        <v>366</v>
      </c>
      <c r="G14" s="23">
        <f t="shared" si="3"/>
        <v>2023</v>
      </c>
      <c r="H14" s="28">
        <f t="shared" si="8"/>
        <v>2280.2130909090847</v>
      </c>
      <c r="I14" s="28">
        <f>Assumption!$D$17</f>
        <v>285.02663636363633</v>
      </c>
      <c r="J14" s="28">
        <f t="shared" si="4"/>
        <v>1995.1864545454484</v>
      </c>
      <c r="K14" s="28">
        <f>Assumption!$D$17</f>
        <v>285.02663636363633</v>
      </c>
      <c r="L14" s="28">
        <f t="shared" si="5"/>
        <v>1710.1598181818122</v>
      </c>
      <c r="M14" s="28">
        <f>Assumption!$D$17</f>
        <v>285.02663636363633</v>
      </c>
      <c r="N14" s="28">
        <f t="shared" si="6"/>
        <v>1425.1331818181759</v>
      </c>
      <c r="O14" s="28">
        <f>Assumption!$D$17</f>
        <v>285.02663636363633</v>
      </c>
      <c r="P14" s="28">
        <f t="shared" si="7"/>
        <v>1140.1065454545396</v>
      </c>
      <c r="Q14" s="28">
        <f>(AVERAGE(H14,J14,L14,N14,P14))*F14/365*Assumption!$D$13</f>
        <v>205.78142250560327</v>
      </c>
      <c r="R14" s="6"/>
      <c r="S14" s="6"/>
    </row>
    <row r="15" spans="1:19">
      <c r="A15" s="23">
        <f t="shared" si="2"/>
        <v>2024</v>
      </c>
      <c r="B15" s="28">
        <f t="shared" si="0"/>
        <v>2138.1741105972619</v>
      </c>
      <c r="C15" s="32">
        <f t="shared" si="9"/>
        <v>945.96268799999996</v>
      </c>
      <c r="D15" s="28">
        <f t="shared" si="1"/>
        <v>1192.2114225972618</v>
      </c>
      <c r="E15" s="57">
        <f>((B15+D15)/2)*F15/365*Assumption!$D$13</f>
        <v>199.82313199167143</v>
      </c>
      <c r="F15" s="23">
        <v>365</v>
      </c>
      <c r="G15" s="23">
        <f t="shared" si="3"/>
        <v>2024</v>
      </c>
      <c r="H15" s="28">
        <f t="shared" si="8"/>
        <v>1140.1065454545396</v>
      </c>
      <c r="I15" s="28">
        <f>Assumption!$D$17</f>
        <v>285.02663636363633</v>
      </c>
      <c r="J15" s="28">
        <f t="shared" si="4"/>
        <v>855.07990909090336</v>
      </c>
      <c r="K15" s="28">
        <f>Assumption!$D$17</f>
        <v>285.02663636363633</v>
      </c>
      <c r="L15" s="28">
        <f t="shared" si="5"/>
        <v>570.05327272726709</v>
      </c>
      <c r="M15" s="28">
        <f>Assumption!$D$17</f>
        <v>285.02663636363633</v>
      </c>
      <c r="N15" s="28">
        <f t="shared" si="6"/>
        <v>285.02663636363076</v>
      </c>
      <c r="O15" s="28">
        <f>Assumption!$D$17</f>
        <v>285.02663636363633</v>
      </c>
      <c r="P15" s="42">
        <f t="shared" si="7"/>
        <v>-5.5706550483591855E-12</v>
      </c>
      <c r="Q15" s="28">
        <f>(AVERAGE(H15,J15,L15,N15,P15))*F15/365*Assumption!$D$13</f>
        <v>68.406392727272049</v>
      </c>
      <c r="R15" s="6"/>
      <c r="S15" s="6"/>
    </row>
    <row r="16" spans="1:19">
      <c r="A16" s="23">
        <f t="shared" si="2"/>
        <v>2025</v>
      </c>
      <c r="B16" s="28">
        <f t="shared" si="0"/>
        <v>1192.2114225972618</v>
      </c>
      <c r="C16" s="32">
        <f>depre!N8</f>
        <v>367.33872481517403</v>
      </c>
      <c r="D16" s="28">
        <f t="shared" si="1"/>
        <v>824.87269778208781</v>
      </c>
      <c r="E16" s="57">
        <f>((B16+D16)/2)*F16/365*Assumption!$D$13</f>
        <v>121.02504722276097</v>
      </c>
      <c r="F16" s="23">
        <v>365</v>
      </c>
      <c r="G16" s="23">
        <f t="shared" si="3"/>
        <v>2025</v>
      </c>
      <c r="H16" s="42">
        <v>0</v>
      </c>
      <c r="I16" s="42">
        <v>0</v>
      </c>
      <c r="J16" s="42">
        <v>0</v>
      </c>
      <c r="K16" s="42">
        <v>0</v>
      </c>
      <c r="L16" s="42">
        <v>0</v>
      </c>
      <c r="M16" s="42">
        <v>0</v>
      </c>
      <c r="N16" s="42">
        <v>0</v>
      </c>
      <c r="O16" s="42">
        <v>0</v>
      </c>
      <c r="P16" s="42">
        <v>0</v>
      </c>
      <c r="Q16" s="42">
        <f>(AVERAGE(H16,J16,L16,N16,P16))*F16/365*Assumption!$D$13</f>
        <v>0</v>
      </c>
      <c r="R16" s="6"/>
      <c r="S16" s="6"/>
    </row>
    <row r="17" spans="1:19">
      <c r="A17" s="23">
        <f t="shared" si="2"/>
        <v>2026</v>
      </c>
      <c r="B17" s="28">
        <f t="shared" si="0"/>
        <v>824.87269778208781</v>
      </c>
      <c r="C17" s="32">
        <f>C16</f>
        <v>367.33872481517403</v>
      </c>
      <c r="D17" s="28">
        <f t="shared" si="1"/>
        <v>457.53397296691378</v>
      </c>
      <c r="E17" s="57">
        <f>((B17+D17)/2)*F17/365*Assumption!$D$13</f>
        <v>76.944400244940084</v>
      </c>
      <c r="F17" s="23">
        <v>365</v>
      </c>
      <c r="G17" s="23">
        <f t="shared" si="3"/>
        <v>2026</v>
      </c>
      <c r="H17" s="42">
        <v>0</v>
      </c>
      <c r="I17" s="42">
        <v>0</v>
      </c>
      <c r="J17" s="42">
        <v>0</v>
      </c>
      <c r="K17" s="42">
        <v>0</v>
      </c>
      <c r="L17" s="42">
        <v>0</v>
      </c>
      <c r="M17" s="42">
        <v>0</v>
      </c>
      <c r="N17" s="42">
        <v>0</v>
      </c>
      <c r="O17" s="42">
        <v>0</v>
      </c>
      <c r="P17" s="42">
        <v>0</v>
      </c>
      <c r="Q17" s="42">
        <f>(AVERAGE(H17,J17,L17,N17,P17))*F17/365*Assumption!$D$13</f>
        <v>0</v>
      </c>
      <c r="R17" s="6"/>
      <c r="S17" s="6"/>
    </row>
    <row r="18" spans="1:19">
      <c r="A18" s="23">
        <f t="shared" si="2"/>
        <v>2027</v>
      </c>
      <c r="B18" s="28">
        <f t="shared" si="0"/>
        <v>457.53397296691378</v>
      </c>
      <c r="C18" s="32">
        <f>C17</f>
        <v>367.33872481517403</v>
      </c>
      <c r="D18" s="28">
        <f t="shared" si="1"/>
        <v>90.195248151739747</v>
      </c>
      <c r="E18" s="57">
        <f>((B18+D18)/2)*F18/365*Assumption!$D$13</f>
        <v>32.953790947303098</v>
      </c>
      <c r="F18" s="23">
        <v>366</v>
      </c>
      <c r="G18" s="23">
        <f t="shared" si="3"/>
        <v>2027</v>
      </c>
      <c r="H18" s="42">
        <v>0</v>
      </c>
      <c r="I18" s="42">
        <v>0</v>
      </c>
      <c r="J18" s="42">
        <v>0</v>
      </c>
      <c r="K18" s="42">
        <v>0</v>
      </c>
      <c r="L18" s="42">
        <v>0</v>
      </c>
      <c r="M18" s="42">
        <v>0</v>
      </c>
      <c r="N18" s="42">
        <v>0</v>
      </c>
      <c r="O18" s="42">
        <v>0</v>
      </c>
      <c r="P18" s="42">
        <v>0</v>
      </c>
      <c r="Q18" s="42">
        <f>(AVERAGE(H18,J18,L18,N18,P18))*F18/365*Assumption!$D$13</f>
        <v>0</v>
      </c>
      <c r="R18" s="6"/>
      <c r="S18" s="6"/>
    </row>
    <row r="19" spans="1:19">
      <c r="A19" s="23">
        <f t="shared" si="2"/>
        <v>2028</v>
      </c>
      <c r="B19" s="28">
        <f t="shared" si="0"/>
        <v>90.195248151739747</v>
      </c>
      <c r="C19" s="32">
        <f>B19</f>
        <v>90.195248151739747</v>
      </c>
      <c r="D19" s="28">
        <f t="shared" si="1"/>
        <v>0</v>
      </c>
      <c r="E19" s="57">
        <f>((B19+D19)/2)*F19/365*Assumption!$D$13</f>
        <v>5.4117148891043838</v>
      </c>
      <c r="F19" s="23">
        <v>365</v>
      </c>
      <c r="G19" s="23">
        <f t="shared" si="3"/>
        <v>2028</v>
      </c>
      <c r="H19" s="42">
        <v>0</v>
      </c>
      <c r="I19" s="42">
        <v>0</v>
      </c>
      <c r="J19" s="42">
        <v>0</v>
      </c>
      <c r="K19" s="42">
        <v>0</v>
      </c>
      <c r="L19" s="42">
        <v>0</v>
      </c>
      <c r="M19" s="42">
        <v>0</v>
      </c>
      <c r="N19" s="42">
        <v>0</v>
      </c>
      <c r="O19" s="42">
        <v>0</v>
      </c>
      <c r="P19" s="42">
        <v>0</v>
      </c>
      <c r="Q19" s="42">
        <f>(AVERAGE(H19,J19,L19,N19,P19))*F19/365*Assumption!$D$13</f>
        <v>0</v>
      </c>
      <c r="R19" s="6"/>
      <c r="S19" s="6"/>
    </row>
    <row r="20" spans="1:19">
      <c r="A20" s="23">
        <f t="shared" si="2"/>
        <v>2029</v>
      </c>
      <c r="B20" s="28">
        <f t="shared" si="0"/>
        <v>0</v>
      </c>
      <c r="C20" s="32"/>
      <c r="D20" s="28">
        <f t="shared" si="1"/>
        <v>0</v>
      </c>
      <c r="E20" s="57">
        <f>((B20+D20)/2)*F20/365*Assumption!$D$13</f>
        <v>0</v>
      </c>
      <c r="F20" s="23">
        <v>365</v>
      </c>
      <c r="G20" s="23">
        <f t="shared" si="3"/>
        <v>2029</v>
      </c>
      <c r="H20" s="42">
        <v>0</v>
      </c>
      <c r="I20" s="42">
        <v>0</v>
      </c>
      <c r="J20" s="42">
        <v>0</v>
      </c>
      <c r="K20" s="42">
        <v>0</v>
      </c>
      <c r="L20" s="42">
        <v>0</v>
      </c>
      <c r="M20" s="42">
        <v>0</v>
      </c>
      <c r="N20" s="42">
        <v>0</v>
      </c>
      <c r="O20" s="42">
        <v>0</v>
      </c>
      <c r="P20" s="42">
        <v>0</v>
      </c>
      <c r="Q20" s="42">
        <f>(AVERAGE(H20,J20,L20,N20,P20))*F20/365*Assumption!$D$13</f>
        <v>0</v>
      </c>
      <c r="R20" s="6"/>
      <c r="S20" s="6"/>
    </row>
    <row r="21" spans="1:19">
      <c r="A21" s="23">
        <f t="shared" si="2"/>
        <v>2030</v>
      </c>
      <c r="B21" s="28">
        <f t="shared" si="0"/>
        <v>0</v>
      </c>
      <c r="C21" s="28">
        <f>B21</f>
        <v>0</v>
      </c>
      <c r="D21" s="28">
        <f t="shared" si="1"/>
        <v>0</v>
      </c>
      <c r="E21" s="57">
        <f>((B21+D21)/2)*F21/365*Assumption!$D$13</f>
        <v>0</v>
      </c>
      <c r="F21" s="23">
        <v>365</v>
      </c>
      <c r="G21" s="23">
        <f t="shared" si="3"/>
        <v>2030</v>
      </c>
      <c r="H21" s="42">
        <v>0</v>
      </c>
      <c r="I21" s="42">
        <v>0</v>
      </c>
      <c r="J21" s="42">
        <v>0</v>
      </c>
      <c r="K21" s="42">
        <v>0</v>
      </c>
      <c r="L21" s="42">
        <v>0</v>
      </c>
      <c r="M21" s="42">
        <v>0</v>
      </c>
      <c r="N21" s="42">
        <v>0</v>
      </c>
      <c r="O21" s="42">
        <v>0</v>
      </c>
      <c r="P21" s="42">
        <v>0</v>
      </c>
      <c r="Q21" s="42">
        <f>(AVERAGE(H21,J21,L21,N21,P21))*F21/365*Assumption!$D$13</f>
        <v>0</v>
      </c>
      <c r="R21" s="6"/>
      <c r="S21" s="6"/>
    </row>
    <row r="24" spans="1:19">
      <c r="A24" s="165" t="s">
        <v>1</v>
      </c>
      <c r="B24" s="165"/>
      <c r="C24" s="78" t="s">
        <v>261</v>
      </c>
      <c r="D24" s="78" t="s">
        <v>62</v>
      </c>
      <c r="E24" s="65" t="s">
        <v>158</v>
      </c>
    </row>
    <row r="25" spans="1:19">
      <c r="A25" s="165" t="s">
        <v>45</v>
      </c>
      <c r="B25" s="165"/>
      <c r="C25" s="31">
        <f>Assumption!D10</f>
        <v>17915.96</v>
      </c>
      <c r="D25" s="49">
        <v>1</v>
      </c>
      <c r="E25" s="23"/>
    </row>
    <row r="26" spans="1:19" ht="50.25" customHeight="1">
      <c r="A26" s="165" t="s">
        <v>47</v>
      </c>
      <c r="B26" s="165"/>
      <c r="C26" s="23">
        <f>C25*D26</f>
        <v>12541.171999999999</v>
      </c>
      <c r="D26" s="49">
        <v>0.7</v>
      </c>
      <c r="E26" s="191" t="s">
        <v>202</v>
      </c>
    </row>
    <row r="27" spans="1:19" ht="40.5" customHeight="1">
      <c r="A27" s="165" t="s">
        <v>18</v>
      </c>
      <c r="B27" s="165"/>
      <c r="C27" s="23">
        <f>C25*D27</f>
        <v>5374.7879999999996</v>
      </c>
      <c r="D27" s="49">
        <v>0.3</v>
      </c>
      <c r="E27" s="191"/>
    </row>
    <row r="28" spans="1:19">
      <c r="A28" s="35"/>
      <c r="B28" s="35"/>
      <c r="C28" s="35"/>
    </row>
  </sheetData>
  <customSheetViews>
    <customSheetView guid="{6D27EB6A-3939-4201-8E4B-897AA8118F21}" scale="85" showPageBreaks="1" fitToPage="1" printArea="1" view="pageBreakPreview" topLeftCell="A13">
      <selection sqref="A1:E1"/>
      <colBreaks count="1" manualBreakCount="1">
        <brk id="6" max="27" man="1"/>
      </colBreaks>
      <pageMargins left="0.75" right="0.75" top="1" bottom="1" header="0.5" footer="0.5"/>
      <pageSetup scale="80" orientation="portrait" r:id="rId1"/>
      <headerFooter alignWithMargins="0"/>
    </customSheetView>
  </customSheetViews>
  <mergeCells count="10">
    <mergeCell ref="G1:Q1"/>
    <mergeCell ref="G2:Q2"/>
    <mergeCell ref="A25:B25"/>
    <mergeCell ref="A26:B26"/>
    <mergeCell ref="A27:B27"/>
    <mergeCell ref="A2:E2"/>
    <mergeCell ref="A1:E1"/>
    <mergeCell ref="A24:B24"/>
    <mergeCell ref="E26:E27"/>
    <mergeCell ref="F1:F3"/>
  </mergeCells>
  <phoneticPr fontId="6" type="noConversion"/>
  <pageMargins left="0.75" right="0.75" top="1" bottom="1" header="0.5" footer="0.5"/>
  <pageSetup scale="43" orientation="portrait" r:id="rId2"/>
  <headerFooter alignWithMargins="0"/>
  <colBreaks count="1" manualBreakCount="1">
    <brk id="6" max="26" man="1"/>
  </colBreaks>
</worksheet>
</file>

<file path=xl/worksheets/sheet6.xml><?xml version="1.0" encoding="utf-8"?>
<worksheet xmlns="http://schemas.openxmlformats.org/spreadsheetml/2006/main" xmlns:r="http://schemas.openxmlformats.org/officeDocument/2006/relationships">
  <sheetPr codeName="Sheet4"/>
  <dimension ref="A1:AD53"/>
  <sheetViews>
    <sheetView view="pageBreakPreview" topLeftCell="A37" zoomScaleNormal="75" zoomScaleSheetLayoutView="100" workbookViewId="0">
      <selection activeCell="A22" sqref="A22"/>
    </sheetView>
  </sheetViews>
  <sheetFormatPr defaultRowHeight="15"/>
  <cols>
    <col min="1" max="1" width="57.85546875" style="22" customWidth="1"/>
    <col min="2" max="30" width="18.85546875" style="22" customWidth="1"/>
    <col min="31" max="16384" width="9.140625" style="22"/>
  </cols>
  <sheetData>
    <row r="1" spans="1:30">
      <c r="A1" s="22" t="s">
        <v>5</v>
      </c>
    </row>
    <row r="2" spans="1:30">
      <c r="A2" s="6"/>
    </row>
    <row r="3" spans="1:30">
      <c r="A3" s="10" t="str">
        <f>depre!A2</f>
        <v>No. of Year</v>
      </c>
      <c r="B3" s="23">
        <f>depre!B2</f>
        <v>1</v>
      </c>
      <c r="C3" s="23">
        <f>depre!C2</f>
        <v>2</v>
      </c>
      <c r="D3" s="23">
        <f>depre!D2</f>
        <v>3</v>
      </c>
      <c r="E3" s="23">
        <f>depre!E2</f>
        <v>4</v>
      </c>
      <c r="F3" s="23">
        <f>depre!F2</f>
        <v>5</v>
      </c>
      <c r="G3" s="23">
        <f>depre!G2</f>
        <v>6</v>
      </c>
      <c r="H3" s="23">
        <f>depre!H2</f>
        <v>7</v>
      </c>
      <c r="I3" s="23">
        <f>depre!I2</f>
        <v>8</v>
      </c>
      <c r="J3" s="23">
        <f>depre!J2</f>
        <v>9</v>
      </c>
      <c r="K3" s="23">
        <f>depre!K2</f>
        <v>10</v>
      </c>
      <c r="L3" s="23">
        <f>depre!L2</f>
        <v>11</v>
      </c>
      <c r="M3" s="23">
        <f>depre!M2</f>
        <v>12</v>
      </c>
      <c r="N3" s="23">
        <f>depre!N2</f>
        <v>13</v>
      </c>
      <c r="O3" s="23">
        <f>depre!O2</f>
        <v>14</v>
      </c>
      <c r="P3" s="23">
        <f>depre!P2</f>
        <v>15</v>
      </c>
      <c r="Q3" s="23">
        <f>depre!Q2</f>
        <v>16</v>
      </c>
      <c r="R3" s="23">
        <f>depre!R2</f>
        <v>17</v>
      </c>
      <c r="S3" s="23">
        <f>depre!S2</f>
        <v>18</v>
      </c>
      <c r="T3" s="23">
        <f>depre!T2</f>
        <v>19</v>
      </c>
      <c r="U3" s="23">
        <f>depre!U2</f>
        <v>20</v>
      </c>
      <c r="V3" s="23">
        <f>depre!V2</f>
        <v>21</v>
      </c>
      <c r="W3" s="23">
        <f>depre!W2</f>
        <v>22</v>
      </c>
      <c r="X3" s="23">
        <f>depre!X2</f>
        <v>23</v>
      </c>
      <c r="Y3" s="23">
        <f>depre!Y2</f>
        <v>24</v>
      </c>
      <c r="Z3" s="23">
        <f>depre!Z2</f>
        <v>25</v>
      </c>
    </row>
    <row r="4" spans="1:30">
      <c r="A4" s="10" t="str">
        <f>depre!A4</f>
        <v>Operative Days</v>
      </c>
      <c r="B4" s="23">
        <f>depre!B4</f>
        <v>364</v>
      </c>
      <c r="C4" s="23">
        <f>depre!C4</f>
        <v>365</v>
      </c>
      <c r="D4" s="23">
        <f>depre!D4</f>
        <v>366</v>
      </c>
      <c r="E4" s="23">
        <f>depre!E4</f>
        <v>365</v>
      </c>
      <c r="F4" s="23">
        <f>depre!F4</f>
        <v>365</v>
      </c>
      <c r="G4" s="23">
        <f>depre!G4</f>
        <v>365</v>
      </c>
      <c r="H4" s="23">
        <f>depre!H4</f>
        <v>366</v>
      </c>
      <c r="I4" s="23">
        <f>depre!I4</f>
        <v>365</v>
      </c>
      <c r="J4" s="23">
        <f>depre!J4</f>
        <v>365</v>
      </c>
      <c r="K4" s="23">
        <f>depre!K4</f>
        <v>365</v>
      </c>
      <c r="L4" s="23">
        <f>depre!L4</f>
        <v>366</v>
      </c>
      <c r="M4" s="23">
        <f>depre!M4</f>
        <v>365</v>
      </c>
      <c r="N4" s="23">
        <f>depre!N4</f>
        <v>365</v>
      </c>
      <c r="O4" s="23">
        <f>depre!O4</f>
        <v>365</v>
      </c>
      <c r="P4" s="23">
        <f>depre!P4</f>
        <v>366</v>
      </c>
      <c r="Q4" s="23">
        <f>depre!Q4</f>
        <v>365</v>
      </c>
      <c r="R4" s="23">
        <f>depre!R4</f>
        <v>365</v>
      </c>
      <c r="S4" s="23">
        <f>depre!S4</f>
        <v>365</v>
      </c>
      <c r="T4" s="23">
        <f>depre!T4</f>
        <v>366</v>
      </c>
      <c r="U4" s="23">
        <f>depre!U4</f>
        <v>365</v>
      </c>
      <c r="V4" s="23">
        <f>depre!V4</f>
        <v>365</v>
      </c>
      <c r="W4" s="23">
        <f>depre!W4</f>
        <v>365</v>
      </c>
      <c r="X4" s="23">
        <f>depre!X4</f>
        <v>366</v>
      </c>
      <c r="Y4" s="23">
        <f>depre!Y4</f>
        <v>365</v>
      </c>
      <c r="Z4" s="23">
        <f>depre!Z4</f>
        <v>365</v>
      </c>
    </row>
    <row r="5" spans="1:30">
      <c r="A5" s="10" t="str">
        <f>depre!A5</f>
        <v>Year Ending</v>
      </c>
      <c r="B5" s="27">
        <f>depre!B5</f>
        <v>41729</v>
      </c>
      <c r="C5" s="27">
        <f>depre!C5</f>
        <v>42094</v>
      </c>
      <c r="D5" s="27">
        <f>depre!D5</f>
        <v>42460</v>
      </c>
      <c r="E5" s="27">
        <f>depre!E5</f>
        <v>42825</v>
      </c>
      <c r="F5" s="27">
        <f>depre!F5</f>
        <v>43190</v>
      </c>
      <c r="G5" s="27">
        <f>depre!G5</f>
        <v>43555</v>
      </c>
      <c r="H5" s="27">
        <f>depre!H5</f>
        <v>43921</v>
      </c>
      <c r="I5" s="27">
        <f>depre!I5</f>
        <v>44286</v>
      </c>
      <c r="J5" s="27">
        <f>depre!J5</f>
        <v>44651</v>
      </c>
      <c r="K5" s="27">
        <f>depre!K5</f>
        <v>45016</v>
      </c>
      <c r="L5" s="27">
        <f>depre!L5</f>
        <v>45382</v>
      </c>
      <c r="M5" s="27">
        <f>depre!M5</f>
        <v>45747</v>
      </c>
      <c r="N5" s="27">
        <f>depre!N5</f>
        <v>46112</v>
      </c>
      <c r="O5" s="27">
        <f>depre!O5</f>
        <v>46477</v>
      </c>
      <c r="P5" s="27">
        <f>depre!P5</f>
        <v>46843</v>
      </c>
      <c r="Q5" s="27">
        <f>depre!Q5</f>
        <v>47208</v>
      </c>
      <c r="R5" s="27">
        <f>depre!R5</f>
        <v>47573</v>
      </c>
      <c r="S5" s="27">
        <f>depre!S5</f>
        <v>47938</v>
      </c>
      <c r="T5" s="27">
        <f>depre!T5</f>
        <v>48304</v>
      </c>
      <c r="U5" s="27">
        <f>depre!U5</f>
        <v>48669</v>
      </c>
      <c r="V5" s="27">
        <f>depre!V5</f>
        <v>49034</v>
      </c>
      <c r="W5" s="27">
        <f>depre!W5</f>
        <v>49399</v>
      </c>
      <c r="X5" s="27">
        <f>depre!X5</f>
        <v>49765</v>
      </c>
      <c r="Y5" s="27">
        <f>depre!Y5</f>
        <v>50130</v>
      </c>
      <c r="Z5" s="27">
        <f>depre!Z5</f>
        <v>50495</v>
      </c>
    </row>
    <row r="6" spans="1:30">
      <c r="A6" s="23" t="s">
        <v>262</v>
      </c>
      <c r="B6" s="23">
        <f>Assumption!D60</f>
        <v>1.849</v>
      </c>
      <c r="C6" s="31">
        <f>B6*Assumption!$D$61</f>
        <v>1.9547627999999999</v>
      </c>
      <c r="D6" s="31">
        <f>C6*Assumption!$D$61</f>
        <v>2.0665752321599999</v>
      </c>
      <c r="E6" s="31">
        <f>D6*Assumption!$D$61</f>
        <v>2.1847833354395516</v>
      </c>
      <c r="F6" s="31">
        <f>E6*Assumption!$D$61</f>
        <v>2.3097529422266936</v>
      </c>
      <c r="G6" s="31">
        <f>F6*Assumption!$D$61</f>
        <v>2.4418708105220603</v>
      </c>
      <c r="H6" s="31">
        <f>G6*Assumption!$D$61</f>
        <v>2.5815458208839219</v>
      </c>
      <c r="I6" s="31">
        <f>H6*Assumption!$D$61</f>
        <v>2.7292102418384823</v>
      </c>
      <c r="J6" s="31">
        <f>I6*Assumption!$D$61</f>
        <v>2.8853210676716432</v>
      </c>
      <c r="K6" s="31">
        <f>J6*Assumption!$D$61</f>
        <v>3.0503614327424611</v>
      </c>
      <c r="L6" s="31">
        <f>K6*Assumption!$D$61</f>
        <v>3.2248421066953297</v>
      </c>
      <c r="M6" s="31">
        <f>L6*Assumption!$D$61</f>
        <v>3.4093030751983022</v>
      </c>
      <c r="N6" s="31">
        <f>M6*Assumption!$D$61</f>
        <v>3.604315211099645</v>
      </c>
      <c r="O6" s="31">
        <f>N6*Assumption!$D$61</f>
        <v>3.8104820411745446</v>
      </c>
      <c r="P6" s="31">
        <f>O6*Assumption!$D$61</f>
        <v>4.0284416139297283</v>
      </c>
      <c r="Q6" s="31">
        <f>P6*Assumption!$D$61</f>
        <v>4.2588684742465084</v>
      </c>
      <c r="R6" s="31">
        <f>Q6*Assumption!$D$61</f>
        <v>4.5024757509734084</v>
      </c>
      <c r="S6" s="31">
        <f>R6*Assumption!$D$61</f>
        <v>4.7600173639290873</v>
      </c>
      <c r="T6" s="31">
        <f>S6*Assumption!$D$61</f>
        <v>5.0322903571458308</v>
      </c>
      <c r="U6" s="31">
        <f>T6*Assumption!$D$61</f>
        <v>5.3201373655745723</v>
      </c>
      <c r="V6" s="31">
        <f>U6*Assumption!$D$61</f>
        <v>5.6244492228854375</v>
      </c>
      <c r="W6" s="31">
        <f>V6*Assumption!$D$61</f>
        <v>5.9461677184344843</v>
      </c>
      <c r="X6" s="31">
        <f>W6*Assumption!$D$61</f>
        <v>6.2862885119289365</v>
      </c>
      <c r="Y6" s="31">
        <f>X6*Assumption!$D$61</f>
        <v>6.6458642148112714</v>
      </c>
      <c r="Z6" s="31">
        <f>Y6*Assumption!$D$61</f>
        <v>7.0260076478984752</v>
      </c>
    </row>
    <row r="8" spans="1:30">
      <c r="A8" s="22" t="s">
        <v>6</v>
      </c>
    </row>
    <row r="10" spans="1:30">
      <c r="A10" s="23" t="s">
        <v>3</v>
      </c>
      <c r="B10" s="23">
        <v>2010</v>
      </c>
      <c r="C10" s="23">
        <f>B10+1</f>
        <v>2011</v>
      </c>
      <c r="D10" s="23">
        <f t="shared" ref="D10:AD10" si="0">C10+1</f>
        <v>2012</v>
      </c>
      <c r="E10" s="23">
        <f t="shared" si="0"/>
        <v>2013</v>
      </c>
      <c r="F10" s="23">
        <f t="shared" si="0"/>
        <v>2014</v>
      </c>
      <c r="G10" s="23">
        <f t="shared" si="0"/>
        <v>2015</v>
      </c>
      <c r="H10" s="23">
        <f t="shared" si="0"/>
        <v>2016</v>
      </c>
      <c r="I10" s="23">
        <f t="shared" si="0"/>
        <v>2017</v>
      </c>
      <c r="J10" s="23">
        <f t="shared" si="0"/>
        <v>2018</v>
      </c>
      <c r="K10" s="23">
        <f t="shared" si="0"/>
        <v>2019</v>
      </c>
      <c r="L10" s="23">
        <f t="shared" si="0"/>
        <v>2020</v>
      </c>
      <c r="M10" s="23">
        <f t="shared" si="0"/>
        <v>2021</v>
      </c>
      <c r="N10" s="23">
        <f t="shared" si="0"/>
        <v>2022</v>
      </c>
      <c r="O10" s="23">
        <f t="shared" si="0"/>
        <v>2023</v>
      </c>
      <c r="P10" s="23">
        <f t="shared" si="0"/>
        <v>2024</v>
      </c>
      <c r="Q10" s="23">
        <f t="shared" si="0"/>
        <v>2025</v>
      </c>
      <c r="R10" s="23">
        <f t="shared" si="0"/>
        <v>2026</v>
      </c>
      <c r="S10" s="23">
        <f t="shared" si="0"/>
        <v>2027</v>
      </c>
      <c r="T10" s="23">
        <f t="shared" si="0"/>
        <v>2028</v>
      </c>
      <c r="U10" s="23">
        <f t="shared" si="0"/>
        <v>2029</v>
      </c>
      <c r="V10" s="23">
        <f t="shared" si="0"/>
        <v>2030</v>
      </c>
      <c r="W10" s="23">
        <f t="shared" si="0"/>
        <v>2031</v>
      </c>
      <c r="X10" s="23">
        <f t="shared" si="0"/>
        <v>2032</v>
      </c>
      <c r="Y10" s="23">
        <f t="shared" si="0"/>
        <v>2033</v>
      </c>
      <c r="Z10" s="23">
        <f t="shared" si="0"/>
        <v>2034</v>
      </c>
      <c r="AA10" s="23">
        <f t="shared" si="0"/>
        <v>2035</v>
      </c>
      <c r="AB10" s="23">
        <f t="shared" si="0"/>
        <v>2036</v>
      </c>
      <c r="AC10" s="23">
        <f t="shared" si="0"/>
        <v>2037</v>
      </c>
      <c r="AD10" s="23">
        <f t="shared" si="0"/>
        <v>2038</v>
      </c>
    </row>
    <row r="11" spans="1:30">
      <c r="A11" s="23" t="s">
        <v>265</v>
      </c>
      <c r="B11" s="23">
        <f>Assumption!D38</f>
        <v>46.68</v>
      </c>
      <c r="C11" s="31">
        <f>B11*Assumption!$D$41</f>
        <v>47.006759999999993</v>
      </c>
      <c r="D11" s="31">
        <f>C11*Assumption!$D$41</f>
        <v>47.335807319999986</v>
      </c>
      <c r="E11" s="31">
        <f>D11*Assumption!$D$41</f>
        <v>47.66715797123998</v>
      </c>
      <c r="F11" s="31">
        <f>E11*Assumption!$D$41</f>
        <v>48.000828077038655</v>
      </c>
      <c r="G11" s="31">
        <f>F11*Assumption!$D$41</f>
        <v>48.336833873577923</v>
      </c>
      <c r="H11" s="31">
        <f>G11*Assumption!$D$41</f>
        <v>48.675191710692964</v>
      </c>
      <c r="I11" s="31">
        <f>H11*Assumption!$D$41</f>
        <v>49.015918052667807</v>
      </c>
      <c r="J11" s="31">
        <f>I11*Assumption!$D$41</f>
        <v>49.359029479036479</v>
      </c>
      <c r="K11" s="31">
        <f>J11*Assumption!$D$41</f>
        <v>49.704542685389733</v>
      </c>
      <c r="L11" s="31">
        <f>K11*Assumption!$D$41</f>
        <v>50.052474484187456</v>
      </c>
      <c r="M11" s="31">
        <f>L11*Assumption!$D$41</f>
        <v>50.402841805576763</v>
      </c>
      <c r="N11" s="31">
        <f>M11*Assumption!$D$41</f>
        <v>50.755661698215796</v>
      </c>
      <c r="O11" s="31">
        <f>N11*Assumption!$D$41</f>
        <v>51.110951330103305</v>
      </c>
      <c r="P11" s="31">
        <f>O11*Assumption!$D$41</f>
        <v>51.46872798941402</v>
      </c>
      <c r="Q11" s="31">
        <f>P11*Assumption!$D$41</f>
        <v>51.829009085339912</v>
      </c>
      <c r="R11" s="31">
        <f>Q11*Assumption!$D$41</f>
        <v>52.191812148937288</v>
      </c>
      <c r="S11" s="31">
        <f>R11*Assumption!$D$41</f>
        <v>52.557154833979844</v>
      </c>
      <c r="T11" s="31">
        <f>S11*Assumption!$D$41</f>
        <v>52.925054917817697</v>
      </c>
      <c r="U11" s="31">
        <f>T11*Assumption!$D$41</f>
        <v>53.295530302242412</v>
      </c>
      <c r="V11" s="31">
        <f>U11*Assumption!$D$41</f>
        <v>53.668599014358101</v>
      </c>
      <c r="W11" s="31">
        <f>V11*Assumption!$D$41</f>
        <v>54.044279207458601</v>
      </c>
      <c r="X11" s="31">
        <f>W11*Assumption!$D$41</f>
        <v>54.422589161910807</v>
      </c>
      <c r="Y11" s="31">
        <f>X11*Assumption!$D$41</f>
        <v>54.803547286044179</v>
      </c>
      <c r="Z11" s="31">
        <f>Y11*Assumption!$D$41</f>
        <v>55.18717211704648</v>
      </c>
      <c r="AA11" s="31">
        <f>Z11*Assumption!$D$41</f>
        <v>55.573482321865797</v>
      </c>
      <c r="AB11" s="31">
        <f>AA11*Assumption!$D$41</f>
        <v>55.962496698118848</v>
      </c>
      <c r="AC11" s="31">
        <f>AB11*Assumption!$D$41</f>
        <v>56.354234175005672</v>
      </c>
      <c r="AD11" s="31">
        <f>AC11*Assumption!$D$41</f>
        <v>56.748713814230705</v>
      </c>
    </row>
    <row r="12" spans="1:30">
      <c r="A12" s="23" t="s">
        <v>266</v>
      </c>
      <c r="B12" s="23"/>
      <c r="C12" s="31">
        <f>B11</f>
        <v>46.68</v>
      </c>
      <c r="D12" s="31">
        <f>C11</f>
        <v>47.006759999999993</v>
      </c>
      <c r="E12" s="31">
        <f t="shared" ref="E12:S12" si="1">D11</f>
        <v>47.335807319999986</v>
      </c>
      <c r="F12" s="31">
        <f t="shared" si="1"/>
        <v>47.66715797123998</v>
      </c>
      <c r="G12" s="31">
        <f t="shared" si="1"/>
        <v>48.000828077038655</v>
      </c>
      <c r="H12" s="31">
        <f t="shared" si="1"/>
        <v>48.336833873577923</v>
      </c>
      <c r="I12" s="31">
        <f t="shared" si="1"/>
        <v>48.675191710692964</v>
      </c>
      <c r="J12" s="31">
        <f t="shared" si="1"/>
        <v>49.015918052667807</v>
      </c>
      <c r="K12" s="31">
        <f t="shared" si="1"/>
        <v>49.359029479036479</v>
      </c>
      <c r="L12" s="31">
        <f t="shared" si="1"/>
        <v>49.704542685389733</v>
      </c>
      <c r="M12" s="31">
        <f t="shared" si="1"/>
        <v>50.052474484187456</v>
      </c>
      <c r="N12" s="31">
        <f t="shared" si="1"/>
        <v>50.402841805576763</v>
      </c>
      <c r="O12" s="31">
        <f t="shared" si="1"/>
        <v>50.755661698215796</v>
      </c>
      <c r="P12" s="31">
        <f t="shared" si="1"/>
        <v>51.110951330103305</v>
      </c>
      <c r="Q12" s="31">
        <f t="shared" si="1"/>
        <v>51.46872798941402</v>
      </c>
      <c r="R12" s="31">
        <f t="shared" si="1"/>
        <v>51.829009085339912</v>
      </c>
      <c r="S12" s="31">
        <f t="shared" si="1"/>
        <v>52.191812148937288</v>
      </c>
      <c r="T12" s="31">
        <f t="shared" ref="T12:AD12" si="2">S11</f>
        <v>52.557154833979844</v>
      </c>
      <c r="U12" s="31">
        <f t="shared" si="2"/>
        <v>52.925054917817697</v>
      </c>
      <c r="V12" s="31">
        <f t="shared" si="2"/>
        <v>53.295530302242412</v>
      </c>
      <c r="W12" s="31">
        <f t="shared" si="2"/>
        <v>53.668599014358101</v>
      </c>
      <c r="X12" s="31">
        <f t="shared" si="2"/>
        <v>54.044279207458601</v>
      </c>
      <c r="Y12" s="31">
        <f t="shared" si="2"/>
        <v>54.422589161910807</v>
      </c>
      <c r="Z12" s="31">
        <f t="shared" si="2"/>
        <v>54.803547286044179</v>
      </c>
      <c r="AA12" s="31">
        <f t="shared" si="2"/>
        <v>55.18717211704648</v>
      </c>
      <c r="AB12" s="31">
        <f t="shared" si="2"/>
        <v>55.573482321865797</v>
      </c>
      <c r="AC12" s="31">
        <f t="shared" si="2"/>
        <v>55.962496698118848</v>
      </c>
      <c r="AD12" s="31">
        <f t="shared" si="2"/>
        <v>56.354234175005672</v>
      </c>
    </row>
    <row r="13" spans="1:30">
      <c r="A13" s="23" t="s">
        <v>267</v>
      </c>
      <c r="B13" s="23"/>
      <c r="C13" s="31">
        <f>(C11+C12)/2</f>
        <v>46.843379999999996</v>
      </c>
      <c r="D13" s="31">
        <f t="shared" ref="D13:AD13" si="3">(D11+D12)/2</f>
        <v>47.171283659999986</v>
      </c>
      <c r="E13" s="31">
        <f t="shared" si="3"/>
        <v>47.501482645619987</v>
      </c>
      <c r="F13" s="31">
        <f t="shared" si="3"/>
        <v>47.833993024139318</v>
      </c>
      <c r="G13" s="31">
        <f t="shared" si="3"/>
        <v>48.168830975308289</v>
      </c>
      <c r="H13" s="31">
        <f t="shared" si="3"/>
        <v>48.506012792135444</v>
      </c>
      <c r="I13" s="31">
        <f t="shared" si="3"/>
        <v>48.845554881680386</v>
      </c>
      <c r="J13" s="31">
        <f t="shared" si="3"/>
        <v>49.187473765852147</v>
      </c>
      <c r="K13" s="31">
        <f t="shared" si="3"/>
        <v>49.531786082213102</v>
      </c>
      <c r="L13" s="31">
        <f t="shared" si="3"/>
        <v>49.878508584788591</v>
      </c>
      <c r="M13" s="31">
        <f t="shared" si="3"/>
        <v>50.227658144882113</v>
      </c>
      <c r="N13" s="31">
        <f t="shared" si="3"/>
        <v>50.57925175189628</v>
      </c>
      <c r="O13" s="31">
        <f t="shared" si="3"/>
        <v>50.933306514159554</v>
      </c>
      <c r="P13" s="31">
        <f t="shared" si="3"/>
        <v>51.289839659758663</v>
      </c>
      <c r="Q13" s="31">
        <f t="shared" si="3"/>
        <v>51.64886853737697</v>
      </c>
      <c r="R13" s="31">
        <f t="shared" si="3"/>
        <v>52.010410617138604</v>
      </c>
      <c r="S13" s="31">
        <f t="shared" si="3"/>
        <v>52.374483491458562</v>
      </c>
      <c r="T13" s="31">
        <f t="shared" si="3"/>
        <v>52.74110487589877</v>
      </c>
      <c r="U13" s="31">
        <f t="shared" si="3"/>
        <v>53.110292610030058</v>
      </c>
      <c r="V13" s="31">
        <f t="shared" si="3"/>
        <v>53.48206465830026</v>
      </c>
      <c r="W13" s="31">
        <f t="shared" si="3"/>
        <v>53.856439110908354</v>
      </c>
      <c r="X13" s="31">
        <f t="shared" si="3"/>
        <v>54.233434184684704</v>
      </c>
      <c r="Y13" s="31">
        <f t="shared" si="3"/>
        <v>54.613068223977493</v>
      </c>
      <c r="Z13" s="31">
        <f t="shared" si="3"/>
        <v>54.995359701545325</v>
      </c>
      <c r="AA13" s="31">
        <f t="shared" si="3"/>
        <v>55.380327219456134</v>
      </c>
      <c r="AB13" s="31">
        <f t="shared" si="3"/>
        <v>55.767989509992319</v>
      </c>
      <c r="AC13" s="31">
        <f t="shared" si="3"/>
        <v>56.158365436562264</v>
      </c>
      <c r="AD13" s="31">
        <f t="shared" si="3"/>
        <v>56.551473994618192</v>
      </c>
    </row>
    <row r="15" spans="1:30">
      <c r="A15" s="22" t="s">
        <v>7</v>
      </c>
    </row>
    <row r="16" spans="1:30">
      <c r="A16" s="23" t="s">
        <v>3</v>
      </c>
      <c r="B16" s="27">
        <f>B5</f>
        <v>41729</v>
      </c>
      <c r="C16" s="27">
        <f t="shared" ref="C16:Z16" si="4">C5</f>
        <v>42094</v>
      </c>
      <c r="D16" s="27">
        <f t="shared" si="4"/>
        <v>42460</v>
      </c>
      <c r="E16" s="27">
        <f t="shared" si="4"/>
        <v>42825</v>
      </c>
      <c r="F16" s="27">
        <f t="shared" si="4"/>
        <v>43190</v>
      </c>
      <c r="G16" s="27">
        <f t="shared" si="4"/>
        <v>43555</v>
      </c>
      <c r="H16" s="27">
        <f t="shared" si="4"/>
        <v>43921</v>
      </c>
      <c r="I16" s="27">
        <f t="shared" si="4"/>
        <v>44286</v>
      </c>
      <c r="J16" s="27">
        <f t="shared" si="4"/>
        <v>44651</v>
      </c>
      <c r="K16" s="27">
        <f t="shared" si="4"/>
        <v>45016</v>
      </c>
      <c r="L16" s="27">
        <f t="shared" si="4"/>
        <v>45382</v>
      </c>
      <c r="M16" s="27">
        <f t="shared" si="4"/>
        <v>45747</v>
      </c>
      <c r="N16" s="27">
        <f t="shared" si="4"/>
        <v>46112</v>
      </c>
      <c r="O16" s="27">
        <f t="shared" si="4"/>
        <v>46477</v>
      </c>
      <c r="P16" s="27">
        <f t="shared" si="4"/>
        <v>46843</v>
      </c>
      <c r="Q16" s="27">
        <f t="shared" si="4"/>
        <v>47208</v>
      </c>
      <c r="R16" s="27">
        <f t="shared" si="4"/>
        <v>47573</v>
      </c>
      <c r="S16" s="27">
        <f t="shared" si="4"/>
        <v>47938</v>
      </c>
      <c r="T16" s="27">
        <f t="shared" si="4"/>
        <v>48304</v>
      </c>
      <c r="U16" s="27">
        <f t="shared" si="4"/>
        <v>48669</v>
      </c>
      <c r="V16" s="27">
        <f t="shared" si="4"/>
        <v>49034</v>
      </c>
      <c r="W16" s="27">
        <f t="shared" si="4"/>
        <v>49399</v>
      </c>
      <c r="X16" s="27">
        <f t="shared" si="4"/>
        <v>49765</v>
      </c>
      <c r="Y16" s="27">
        <f t="shared" si="4"/>
        <v>50130</v>
      </c>
      <c r="Z16" s="27">
        <f t="shared" si="4"/>
        <v>50495</v>
      </c>
      <c r="AA16" s="54"/>
      <c r="AB16" s="54"/>
      <c r="AC16" s="54"/>
      <c r="AD16" s="54"/>
    </row>
    <row r="17" spans="1:30">
      <c r="A17" s="23" t="s">
        <v>268</v>
      </c>
      <c r="B17" s="31">
        <f>E13</f>
        <v>47.501482645619987</v>
      </c>
      <c r="C17" s="31">
        <f t="shared" ref="C17:Z17" si="5">F13</f>
        <v>47.833993024139318</v>
      </c>
      <c r="D17" s="31">
        <f t="shared" si="5"/>
        <v>48.168830975308289</v>
      </c>
      <c r="E17" s="31">
        <f t="shared" si="5"/>
        <v>48.506012792135444</v>
      </c>
      <c r="F17" s="31">
        <f t="shared" si="5"/>
        <v>48.845554881680386</v>
      </c>
      <c r="G17" s="31">
        <f t="shared" si="5"/>
        <v>49.187473765852147</v>
      </c>
      <c r="H17" s="31">
        <f t="shared" si="5"/>
        <v>49.531786082213102</v>
      </c>
      <c r="I17" s="31">
        <f t="shared" si="5"/>
        <v>49.878508584788591</v>
      </c>
      <c r="J17" s="31">
        <f t="shared" si="5"/>
        <v>50.227658144882113</v>
      </c>
      <c r="K17" s="31">
        <f t="shared" si="5"/>
        <v>50.57925175189628</v>
      </c>
      <c r="L17" s="31">
        <f t="shared" si="5"/>
        <v>50.933306514159554</v>
      </c>
      <c r="M17" s="31">
        <f t="shared" si="5"/>
        <v>51.289839659758663</v>
      </c>
      <c r="N17" s="31">
        <f t="shared" si="5"/>
        <v>51.64886853737697</v>
      </c>
      <c r="O17" s="31">
        <f t="shared" si="5"/>
        <v>52.010410617138604</v>
      </c>
      <c r="P17" s="31">
        <f t="shared" si="5"/>
        <v>52.374483491458562</v>
      </c>
      <c r="Q17" s="31">
        <f t="shared" si="5"/>
        <v>52.74110487589877</v>
      </c>
      <c r="R17" s="31">
        <f t="shared" si="5"/>
        <v>53.110292610030058</v>
      </c>
      <c r="S17" s="31">
        <f t="shared" si="5"/>
        <v>53.48206465830026</v>
      </c>
      <c r="T17" s="31">
        <f t="shared" si="5"/>
        <v>53.856439110908354</v>
      </c>
      <c r="U17" s="31">
        <f t="shared" si="5"/>
        <v>54.233434184684704</v>
      </c>
      <c r="V17" s="31">
        <f t="shared" si="5"/>
        <v>54.613068223977493</v>
      </c>
      <c r="W17" s="31">
        <f t="shared" si="5"/>
        <v>54.995359701545325</v>
      </c>
      <c r="X17" s="31">
        <f t="shared" si="5"/>
        <v>55.380327219456134</v>
      </c>
      <c r="Y17" s="31">
        <f t="shared" si="5"/>
        <v>55.767989509992319</v>
      </c>
      <c r="Z17" s="31">
        <f t="shared" si="5"/>
        <v>56.158365436562264</v>
      </c>
      <c r="AA17" s="48"/>
      <c r="AB17" s="48"/>
      <c r="AC17" s="48"/>
      <c r="AD17" s="48"/>
    </row>
    <row r="18" spans="1:30">
      <c r="A18" s="23" t="s">
        <v>269</v>
      </c>
      <c r="B18" s="55">
        <f>Assumption!$D$42</f>
        <v>6.35</v>
      </c>
      <c r="C18" s="55">
        <f>Assumption!$D$42</f>
        <v>6.35</v>
      </c>
      <c r="D18" s="55">
        <f>Assumption!$D$42</f>
        <v>6.35</v>
      </c>
      <c r="E18" s="55">
        <f>Assumption!$D$42</f>
        <v>6.35</v>
      </c>
      <c r="F18" s="55">
        <f>Assumption!$D$42</f>
        <v>6.35</v>
      </c>
      <c r="G18" s="55">
        <f>Assumption!$D$42</f>
        <v>6.35</v>
      </c>
      <c r="H18" s="55">
        <f>Assumption!$D$42</f>
        <v>6.35</v>
      </c>
      <c r="I18" s="55">
        <f>Assumption!$D$42</f>
        <v>6.35</v>
      </c>
      <c r="J18" s="55">
        <f>Assumption!$D$42</f>
        <v>6.35</v>
      </c>
      <c r="K18" s="55">
        <f>Assumption!$D$42</f>
        <v>6.35</v>
      </c>
      <c r="L18" s="55">
        <f>Assumption!$D$42</f>
        <v>6.35</v>
      </c>
      <c r="M18" s="55">
        <f>Assumption!$D$42</f>
        <v>6.35</v>
      </c>
      <c r="N18" s="55">
        <f>Assumption!$D$42</f>
        <v>6.35</v>
      </c>
      <c r="O18" s="55">
        <f>Assumption!$D$42</f>
        <v>6.35</v>
      </c>
      <c r="P18" s="55">
        <f>Assumption!$D$42</f>
        <v>6.35</v>
      </c>
      <c r="Q18" s="55">
        <f>Assumption!$D$42</f>
        <v>6.35</v>
      </c>
      <c r="R18" s="55">
        <f>Assumption!$D$42</f>
        <v>6.35</v>
      </c>
      <c r="S18" s="55">
        <f>Assumption!$D$42</f>
        <v>6.35</v>
      </c>
      <c r="T18" s="55">
        <f>Assumption!$D$42</f>
        <v>6.35</v>
      </c>
      <c r="U18" s="55">
        <f>Assumption!$D$42</f>
        <v>6.35</v>
      </c>
      <c r="V18" s="55">
        <f>Assumption!$D$42</f>
        <v>6.35</v>
      </c>
      <c r="W18" s="55">
        <f>Assumption!$D$42</f>
        <v>6.35</v>
      </c>
      <c r="X18" s="55">
        <f>Assumption!$D$42</f>
        <v>6.35</v>
      </c>
      <c r="Y18" s="55">
        <f>Assumption!$D$42</f>
        <v>6.35</v>
      </c>
      <c r="Z18" s="55">
        <f>Assumption!$D$42</f>
        <v>6.35</v>
      </c>
    </row>
    <row r="19" spans="1:30">
      <c r="A19" s="23" t="s">
        <v>263</v>
      </c>
      <c r="B19" s="31">
        <f>B18*B17</f>
        <v>301.63441479968691</v>
      </c>
      <c r="C19" s="31">
        <f t="shared" ref="C19:Z19" si="6">C18*C17</f>
        <v>303.74585570328463</v>
      </c>
      <c r="D19" s="31">
        <f t="shared" si="6"/>
        <v>305.87207669320765</v>
      </c>
      <c r="E19" s="31">
        <f t="shared" si="6"/>
        <v>308.01318123006007</v>
      </c>
      <c r="F19" s="31">
        <f t="shared" si="6"/>
        <v>310.16927349867041</v>
      </c>
      <c r="G19" s="31">
        <f t="shared" si="6"/>
        <v>312.34045841316112</v>
      </c>
      <c r="H19" s="31">
        <f t="shared" si="6"/>
        <v>314.52684162205315</v>
      </c>
      <c r="I19" s="31">
        <f t="shared" si="6"/>
        <v>316.72852951340752</v>
      </c>
      <c r="J19" s="31">
        <f t="shared" si="6"/>
        <v>318.94562922000142</v>
      </c>
      <c r="K19" s="31">
        <f t="shared" si="6"/>
        <v>321.17824862454137</v>
      </c>
      <c r="L19" s="31">
        <f t="shared" si="6"/>
        <v>323.42649636491313</v>
      </c>
      <c r="M19" s="31">
        <f t="shared" si="6"/>
        <v>325.69048183946751</v>
      </c>
      <c r="N19" s="31">
        <f t="shared" si="6"/>
        <v>327.97031521234373</v>
      </c>
      <c r="O19" s="31">
        <f t="shared" si="6"/>
        <v>330.26610741883013</v>
      </c>
      <c r="P19" s="31">
        <f t="shared" si="6"/>
        <v>332.57797017076183</v>
      </c>
      <c r="Q19" s="31">
        <f t="shared" si="6"/>
        <v>334.90601596195717</v>
      </c>
      <c r="R19" s="31">
        <f t="shared" si="6"/>
        <v>337.25035807369085</v>
      </c>
      <c r="S19" s="31">
        <f t="shared" si="6"/>
        <v>339.61111058020663</v>
      </c>
      <c r="T19" s="31">
        <f t="shared" si="6"/>
        <v>341.98838835426801</v>
      </c>
      <c r="U19" s="31">
        <f t="shared" si="6"/>
        <v>344.38230707274784</v>
      </c>
      <c r="V19" s="31">
        <f t="shared" si="6"/>
        <v>346.79298322225708</v>
      </c>
      <c r="W19" s="31">
        <f t="shared" si="6"/>
        <v>349.22053410481277</v>
      </c>
      <c r="X19" s="31">
        <f t="shared" si="6"/>
        <v>351.66507784354644</v>
      </c>
      <c r="Y19" s="31">
        <f t="shared" si="6"/>
        <v>354.12673338845121</v>
      </c>
      <c r="Z19" s="31">
        <f t="shared" si="6"/>
        <v>356.60562052217034</v>
      </c>
    </row>
    <row r="20" spans="1:30">
      <c r="A20" s="23" t="s">
        <v>25</v>
      </c>
      <c r="B20" s="32">
        <f>1/B29</f>
        <v>252016.12903225806</v>
      </c>
      <c r="C20" s="32">
        <f t="shared" ref="C20:P20" si="7">1/C29</f>
        <v>252016.12903225806</v>
      </c>
      <c r="D20" s="32">
        <f t="shared" si="7"/>
        <v>252016.12903225806</v>
      </c>
      <c r="E20" s="32">
        <f t="shared" si="7"/>
        <v>252016.12903225806</v>
      </c>
      <c r="F20" s="32">
        <f t="shared" si="7"/>
        <v>252016.12903225806</v>
      </c>
      <c r="G20" s="32">
        <f t="shared" si="7"/>
        <v>252016.12903225806</v>
      </c>
      <c r="H20" s="32">
        <f t="shared" si="7"/>
        <v>252016.12903225806</v>
      </c>
      <c r="I20" s="32">
        <f t="shared" si="7"/>
        <v>252016.12903225806</v>
      </c>
      <c r="J20" s="32">
        <f t="shared" si="7"/>
        <v>252016.12903225806</v>
      </c>
      <c r="K20" s="32">
        <f t="shared" si="7"/>
        <v>252016.12903225806</v>
      </c>
      <c r="L20" s="32">
        <f t="shared" si="7"/>
        <v>252016.12903225806</v>
      </c>
      <c r="M20" s="32">
        <f t="shared" si="7"/>
        <v>252016.12903225806</v>
      </c>
      <c r="N20" s="32">
        <f t="shared" si="7"/>
        <v>252016.12903225806</v>
      </c>
      <c r="O20" s="32">
        <f t="shared" si="7"/>
        <v>252016.12903225806</v>
      </c>
      <c r="P20" s="32">
        <f t="shared" si="7"/>
        <v>252016.12903225806</v>
      </c>
      <c r="Q20" s="32">
        <f>1/Q29</f>
        <v>252016.12903225806</v>
      </c>
      <c r="R20" s="32">
        <f>1/R29</f>
        <v>252016.12903225806</v>
      </c>
      <c r="S20" s="32">
        <f t="shared" ref="S20:Z20" si="8">1/S29</f>
        <v>252016.12903225806</v>
      </c>
      <c r="T20" s="32">
        <f t="shared" si="8"/>
        <v>252016.12903225806</v>
      </c>
      <c r="U20" s="32">
        <f t="shared" si="8"/>
        <v>252016.12903225806</v>
      </c>
      <c r="V20" s="32">
        <f t="shared" si="8"/>
        <v>252016.12903225806</v>
      </c>
      <c r="W20" s="32">
        <f t="shared" si="8"/>
        <v>252016.12903225806</v>
      </c>
      <c r="X20" s="32">
        <f t="shared" si="8"/>
        <v>252016.12903225806</v>
      </c>
      <c r="Y20" s="32">
        <f t="shared" si="8"/>
        <v>252016.12903225806</v>
      </c>
      <c r="Z20" s="32">
        <f t="shared" si="8"/>
        <v>252016.12903225806</v>
      </c>
    </row>
    <row r="21" spans="1:30">
      <c r="A21" s="23" t="s">
        <v>270</v>
      </c>
      <c r="B21" s="55">
        <f>B19/B20</f>
        <v>1.1968853579251576E-3</v>
      </c>
      <c r="C21" s="55">
        <f t="shared" ref="C21:P21" si="9">C19/C20</f>
        <v>1.2052635554306334E-3</v>
      </c>
      <c r="D21" s="55">
        <f t="shared" si="9"/>
        <v>1.2137004003186479E-3</v>
      </c>
      <c r="E21" s="55">
        <f t="shared" si="9"/>
        <v>1.2221963031208783E-3</v>
      </c>
      <c r="F21" s="55">
        <f t="shared" si="9"/>
        <v>1.2307516772427241E-3</v>
      </c>
      <c r="G21" s="55">
        <f t="shared" si="9"/>
        <v>1.2393669389834233E-3</v>
      </c>
      <c r="H21" s="55">
        <f t="shared" si="9"/>
        <v>1.2480425075563069E-3</v>
      </c>
      <c r="I21" s="55">
        <f t="shared" si="9"/>
        <v>1.2567788051092012E-3</v>
      </c>
      <c r="J21" s="55">
        <f t="shared" si="9"/>
        <v>1.2655762567449656E-3</v>
      </c>
      <c r="K21" s="55">
        <f t="shared" si="9"/>
        <v>1.2744352905421801E-3</v>
      </c>
      <c r="L21" s="55">
        <f t="shared" si="9"/>
        <v>1.2833563375759752E-3</v>
      </c>
      <c r="M21" s="55">
        <f t="shared" si="9"/>
        <v>1.292339831939007E-3</v>
      </c>
      <c r="N21" s="55">
        <f t="shared" si="9"/>
        <v>1.30138621076258E-3</v>
      </c>
      <c r="O21" s="55">
        <f t="shared" si="9"/>
        <v>1.3104959142379181E-3</v>
      </c>
      <c r="P21" s="55">
        <f t="shared" si="9"/>
        <v>1.3196693856375829E-3</v>
      </c>
      <c r="Q21" s="55">
        <f>Q19/Q20</f>
        <v>1.3289070713370461E-3</v>
      </c>
      <c r="R21" s="55">
        <f>R19/R20</f>
        <v>1.3382094208364054E-3</v>
      </c>
      <c r="S21" s="55">
        <f t="shared" ref="S21:Z21" si="10">S19/S20</f>
        <v>1.3475768867822599E-3</v>
      </c>
      <c r="T21" s="55">
        <f t="shared" si="10"/>
        <v>1.3570099249897356E-3</v>
      </c>
      <c r="U21" s="55">
        <f t="shared" si="10"/>
        <v>1.3665089944646634E-3</v>
      </c>
      <c r="V21" s="55">
        <f t="shared" si="10"/>
        <v>1.3760745574259161E-3</v>
      </c>
      <c r="W21" s="55">
        <f t="shared" si="10"/>
        <v>1.385707079327897E-3</v>
      </c>
      <c r="X21" s="55">
        <f t="shared" si="10"/>
        <v>1.3954070288831923E-3</v>
      </c>
      <c r="Y21" s="55">
        <f t="shared" si="10"/>
        <v>1.4051748780853745E-3</v>
      </c>
      <c r="Z21" s="55">
        <f t="shared" si="10"/>
        <v>1.4150111022319719E-3</v>
      </c>
    </row>
    <row r="22" spans="1:30" s="58" customFormat="1">
      <c r="A22" s="56" t="s">
        <v>147</v>
      </c>
      <c r="B22" s="57">
        <f>B40*B44</f>
        <v>4961693.3134860005</v>
      </c>
      <c r="C22" s="57">
        <f t="shared" ref="C22:Z22" si="11">C40*C44</f>
        <v>4975324.3390724994</v>
      </c>
      <c r="D22" s="57">
        <f t="shared" si="11"/>
        <v>4988955.3646590002</v>
      </c>
      <c r="E22" s="57">
        <f t="shared" si="11"/>
        <v>4975324.3390724994</v>
      </c>
      <c r="F22" s="57">
        <f t="shared" si="11"/>
        <v>4975324.3390724994</v>
      </c>
      <c r="G22" s="57">
        <f t="shared" si="11"/>
        <v>4975324.3390724994</v>
      </c>
      <c r="H22" s="57">
        <f t="shared" si="11"/>
        <v>4988955.3646590002</v>
      </c>
      <c r="I22" s="57">
        <f t="shared" si="11"/>
        <v>4975324.3390724994</v>
      </c>
      <c r="J22" s="57">
        <f t="shared" si="11"/>
        <v>4975324.3390724994</v>
      </c>
      <c r="K22" s="57">
        <f t="shared" si="11"/>
        <v>4975324.3390724994</v>
      </c>
      <c r="L22" s="57">
        <f t="shared" si="11"/>
        <v>4988955.3646590002</v>
      </c>
      <c r="M22" s="57">
        <f t="shared" si="11"/>
        <v>4975324.3390724994</v>
      </c>
      <c r="N22" s="57">
        <f t="shared" si="11"/>
        <v>4975324.3390724994</v>
      </c>
      <c r="O22" s="57">
        <f t="shared" si="11"/>
        <v>4975324.3390724994</v>
      </c>
      <c r="P22" s="57">
        <f t="shared" si="11"/>
        <v>4988955.3646590002</v>
      </c>
      <c r="Q22" s="57">
        <f t="shared" si="11"/>
        <v>4975324.3390724994</v>
      </c>
      <c r="R22" s="57">
        <f t="shared" si="11"/>
        <v>4975324.3390724994</v>
      </c>
      <c r="S22" s="57">
        <f t="shared" si="11"/>
        <v>4975324.3390724994</v>
      </c>
      <c r="T22" s="57">
        <f t="shared" si="11"/>
        <v>4988955.3646590002</v>
      </c>
      <c r="U22" s="57">
        <f t="shared" si="11"/>
        <v>4975324.3390724994</v>
      </c>
      <c r="V22" s="57">
        <f t="shared" si="11"/>
        <v>4975324.3390724994</v>
      </c>
      <c r="W22" s="57">
        <f t="shared" si="11"/>
        <v>4975324.3390724994</v>
      </c>
      <c r="X22" s="57">
        <f t="shared" si="11"/>
        <v>4988955.3646590002</v>
      </c>
      <c r="Y22" s="57">
        <f t="shared" si="11"/>
        <v>4975324.3390724994</v>
      </c>
      <c r="Z22" s="57">
        <f t="shared" si="11"/>
        <v>4975324.3390724994</v>
      </c>
    </row>
    <row r="23" spans="1:30">
      <c r="A23" s="23" t="s">
        <v>264</v>
      </c>
      <c r="B23" s="31">
        <f>(B21*B22)</f>
        <v>5938.5780774265531</v>
      </c>
      <c r="C23" s="31">
        <f t="shared" ref="C23:J23" si="12">(C21*C22)</f>
        <v>5996.5771023310872</v>
      </c>
      <c r="D23" s="31">
        <f t="shared" si="12"/>
        <v>6055.0971232584943</v>
      </c>
      <c r="E23" s="31">
        <f t="shared" si="12"/>
        <v>6080.8230140417354</v>
      </c>
      <c r="F23" s="31">
        <f t="shared" si="12"/>
        <v>6123.3887751400262</v>
      </c>
      <c r="G23" s="31">
        <f t="shared" si="12"/>
        <v>6166.2524965660077</v>
      </c>
      <c r="H23" s="31">
        <f t="shared" si="12"/>
        <v>6226.4283633955083</v>
      </c>
      <c r="I23" s="31">
        <f t="shared" si="12"/>
        <v>6252.882177890262</v>
      </c>
      <c r="J23" s="31">
        <f t="shared" si="12"/>
        <v>6296.6523531354942</v>
      </c>
      <c r="K23" s="31">
        <f t="shared" ref="K23:Z23" si="13">(K21*K22)</f>
        <v>6340.7289196074407</v>
      </c>
      <c r="L23" s="31">
        <f t="shared" si="13"/>
        <v>6402.6074851187886</v>
      </c>
      <c r="M23" s="31">
        <f t="shared" si="13"/>
        <v>6429.8098201990051</v>
      </c>
      <c r="N23" s="31">
        <f t="shared" si="13"/>
        <v>6474.8184889403974</v>
      </c>
      <c r="O23" s="31">
        <f t="shared" si="13"/>
        <v>6520.1422183629802</v>
      </c>
      <c r="P23" s="31">
        <f t="shared" si="13"/>
        <v>6583.771661052866</v>
      </c>
      <c r="Q23" s="31">
        <f t="shared" si="13"/>
        <v>6611.7436963887594</v>
      </c>
      <c r="R23" s="31">
        <f t="shared" si="13"/>
        <v>6658.0259022634809</v>
      </c>
      <c r="S23" s="31">
        <f t="shared" si="13"/>
        <v>6704.632083579324</v>
      </c>
      <c r="T23" s="31">
        <f t="shared" si="13"/>
        <v>6770.061945173049</v>
      </c>
      <c r="U23" s="31">
        <f t="shared" si="13"/>
        <v>6798.8254597215273</v>
      </c>
      <c r="V23" s="31">
        <f t="shared" si="13"/>
        <v>6846.4172379395786</v>
      </c>
      <c r="W23" s="31">
        <f t="shared" si="13"/>
        <v>6894.3421586051527</v>
      </c>
      <c r="X23" s="31">
        <f t="shared" si="13"/>
        <v>6961.6233826296784</v>
      </c>
      <c r="Y23" s="31">
        <f t="shared" si="13"/>
        <v>6991.200771591396</v>
      </c>
      <c r="Z23" s="31">
        <f t="shared" si="13"/>
        <v>7040.1391769925349</v>
      </c>
    </row>
    <row r="24" spans="1:30">
      <c r="A24" s="23" t="s">
        <v>66</v>
      </c>
      <c r="B24" s="72">
        <f>(B23/B52)</f>
        <v>2.1554986038921107</v>
      </c>
      <c r="C24" s="72">
        <f>(C23/C52)</f>
        <v>2.1705870941193548</v>
      </c>
      <c r="D24" s="72">
        <f t="shared" ref="D24:Z24" si="14">(D23/D52)</f>
        <v>2.1857812037781899</v>
      </c>
      <c r="E24" s="72">
        <f t="shared" si="14"/>
        <v>2.2010816722046371</v>
      </c>
      <c r="F24" s="72">
        <f t="shared" si="14"/>
        <v>2.2164892439100687</v>
      </c>
      <c r="G24" s="72">
        <f t="shared" si="14"/>
        <v>2.23200466861744</v>
      </c>
      <c r="H24" s="72">
        <f t="shared" si="14"/>
        <v>2.2476287012977614</v>
      </c>
      <c r="I24" s="72">
        <f t="shared" si="14"/>
        <v>2.263362102206846</v>
      </c>
      <c r="J24" s="72">
        <f t="shared" si="14"/>
        <v>2.2792056369222937</v>
      </c>
      <c r="K24" s="72">
        <f t="shared" si="14"/>
        <v>2.2951600763807494</v>
      </c>
      <c r="L24" s="72">
        <f t="shared" si="14"/>
        <v>2.3112261969154142</v>
      </c>
      <c r="M24" s="72">
        <f t="shared" si="14"/>
        <v>2.327404780293822</v>
      </c>
      <c r="N24" s="72">
        <f t="shared" si="14"/>
        <v>2.3436966137558786</v>
      </c>
      <c r="O24" s="72">
        <f t="shared" si="14"/>
        <v>2.3601024900521699</v>
      </c>
      <c r="P24" s="72">
        <f t="shared" si="14"/>
        <v>2.3766232074825342</v>
      </c>
      <c r="Q24" s="72">
        <f t="shared" si="14"/>
        <v>2.3932595699349117</v>
      </c>
      <c r="R24" s="72">
        <f t="shared" si="14"/>
        <v>2.4100123869244565</v>
      </c>
      <c r="S24" s="72">
        <f t="shared" si="14"/>
        <v>2.4268824736329271</v>
      </c>
      <c r="T24" s="72">
        <f t="shared" si="14"/>
        <v>2.4438706509483574</v>
      </c>
      <c r="U24" s="72">
        <f t="shared" si="14"/>
        <v>2.4609777455049953</v>
      </c>
      <c r="V24" s="72">
        <f t="shared" si="14"/>
        <v>2.4782045897235303</v>
      </c>
      <c r="W24" s="72">
        <f t="shared" si="14"/>
        <v>2.4955520218515939</v>
      </c>
      <c r="X24" s="72">
        <f t="shared" si="14"/>
        <v>2.5130208860045551</v>
      </c>
      <c r="Y24" s="72">
        <f t="shared" si="14"/>
        <v>2.5306120322065868</v>
      </c>
      <c r="Z24" s="72">
        <f t="shared" si="14"/>
        <v>2.5483263164320324</v>
      </c>
    </row>
    <row r="25" spans="1:30">
      <c r="A25" s="35"/>
      <c r="B25" s="73"/>
      <c r="C25" s="73"/>
      <c r="D25" s="73"/>
      <c r="E25" s="73"/>
      <c r="F25" s="73"/>
      <c r="G25" s="73"/>
      <c r="H25" s="73"/>
      <c r="I25" s="73"/>
      <c r="J25" s="73"/>
      <c r="K25" s="73"/>
      <c r="L25" s="73"/>
      <c r="M25" s="73"/>
      <c r="N25" s="73"/>
      <c r="O25" s="73"/>
      <c r="P25" s="73"/>
      <c r="Q25" s="73"/>
      <c r="R25" s="73"/>
      <c r="S25" s="73"/>
      <c r="T25" s="73"/>
      <c r="U25" s="73"/>
      <c r="V25" s="73"/>
      <c r="W25" s="73"/>
      <c r="X25" s="73"/>
      <c r="Y25" s="73"/>
      <c r="Z25" s="73"/>
    </row>
    <row r="27" spans="1:30">
      <c r="A27" s="23" t="s">
        <v>8</v>
      </c>
      <c r="B27" s="23">
        <v>1</v>
      </c>
      <c r="C27" s="23">
        <f>B27</f>
        <v>1</v>
      </c>
      <c r="D27" s="23">
        <f t="shared" ref="D27:Q27" si="15">C27</f>
        <v>1</v>
      </c>
      <c r="E27" s="23">
        <f t="shared" si="15"/>
        <v>1</v>
      </c>
      <c r="F27" s="23">
        <f t="shared" si="15"/>
        <v>1</v>
      </c>
      <c r="G27" s="23">
        <f t="shared" si="15"/>
        <v>1</v>
      </c>
      <c r="H27" s="23">
        <f t="shared" si="15"/>
        <v>1</v>
      </c>
      <c r="I27" s="23">
        <f t="shared" si="15"/>
        <v>1</v>
      </c>
      <c r="J27" s="23">
        <f t="shared" si="15"/>
        <v>1</v>
      </c>
      <c r="K27" s="23">
        <f t="shared" si="15"/>
        <v>1</v>
      </c>
      <c r="L27" s="23">
        <f t="shared" si="15"/>
        <v>1</v>
      </c>
      <c r="M27" s="23">
        <f t="shared" si="15"/>
        <v>1</v>
      </c>
      <c r="N27" s="23">
        <f t="shared" si="15"/>
        <v>1</v>
      </c>
      <c r="O27" s="23">
        <f t="shared" si="15"/>
        <v>1</v>
      </c>
      <c r="P27" s="23">
        <f t="shared" si="15"/>
        <v>1</v>
      </c>
      <c r="Q27" s="23">
        <f t="shared" si="15"/>
        <v>1</v>
      </c>
      <c r="R27" s="23">
        <f t="shared" ref="R27:Z27" si="16">Q27</f>
        <v>1</v>
      </c>
      <c r="S27" s="23">
        <f t="shared" si="16"/>
        <v>1</v>
      </c>
      <c r="T27" s="23">
        <f t="shared" si="16"/>
        <v>1</v>
      </c>
      <c r="U27" s="23">
        <f t="shared" si="16"/>
        <v>1</v>
      </c>
      <c r="V27" s="23">
        <f t="shared" si="16"/>
        <v>1</v>
      </c>
      <c r="W27" s="23">
        <f t="shared" si="16"/>
        <v>1</v>
      </c>
      <c r="X27" s="23">
        <f t="shared" si="16"/>
        <v>1</v>
      </c>
      <c r="Y27" s="23">
        <f t="shared" si="16"/>
        <v>1</v>
      </c>
      <c r="Z27" s="23">
        <f t="shared" si="16"/>
        <v>1</v>
      </c>
    </row>
    <row r="28" spans="1:30">
      <c r="A28" s="23" t="s">
        <v>9</v>
      </c>
      <c r="B28" s="23">
        <f>Assumption!$D$49</f>
        <v>3.968</v>
      </c>
      <c r="C28" s="23">
        <f>Assumption!$D$49</f>
        <v>3.968</v>
      </c>
      <c r="D28" s="23">
        <f>Assumption!$D$49</f>
        <v>3.968</v>
      </c>
      <c r="E28" s="23">
        <f>Assumption!$D$49</f>
        <v>3.968</v>
      </c>
      <c r="F28" s="23">
        <f>Assumption!$D$49</f>
        <v>3.968</v>
      </c>
      <c r="G28" s="23">
        <f>Assumption!$D$49</f>
        <v>3.968</v>
      </c>
      <c r="H28" s="23">
        <f>Assumption!$D$49</f>
        <v>3.968</v>
      </c>
      <c r="I28" s="23">
        <f>Assumption!$D$49</f>
        <v>3.968</v>
      </c>
      <c r="J28" s="23">
        <f>Assumption!$D$49</f>
        <v>3.968</v>
      </c>
      <c r="K28" s="23">
        <f>Assumption!$D$49</f>
        <v>3.968</v>
      </c>
      <c r="L28" s="23">
        <f>Assumption!$D$49</f>
        <v>3.968</v>
      </c>
      <c r="M28" s="23">
        <f>Assumption!$D$49</f>
        <v>3.968</v>
      </c>
      <c r="N28" s="23">
        <f>Assumption!$D$49</f>
        <v>3.968</v>
      </c>
      <c r="O28" s="23">
        <f>Assumption!$D$49</f>
        <v>3.968</v>
      </c>
      <c r="P28" s="23">
        <f>Assumption!$D$49</f>
        <v>3.968</v>
      </c>
      <c r="Q28" s="23">
        <f>Assumption!$D$49</f>
        <v>3.968</v>
      </c>
      <c r="R28" s="23">
        <f>Assumption!$D$49</f>
        <v>3.968</v>
      </c>
      <c r="S28" s="23">
        <f>Assumption!$D$49</f>
        <v>3.968</v>
      </c>
      <c r="T28" s="23">
        <f>Assumption!$D$49</f>
        <v>3.968</v>
      </c>
      <c r="U28" s="23">
        <f>Assumption!$D$49</f>
        <v>3.968</v>
      </c>
      <c r="V28" s="23">
        <f>Assumption!$D$49</f>
        <v>3.968</v>
      </c>
      <c r="W28" s="23">
        <f>Assumption!$D$49</f>
        <v>3.968</v>
      </c>
      <c r="X28" s="23">
        <f>Assumption!$D$49</f>
        <v>3.968</v>
      </c>
      <c r="Y28" s="23">
        <f>Assumption!$D$49</f>
        <v>3.968</v>
      </c>
      <c r="Z28" s="23">
        <f>Assumption!$D$49</f>
        <v>3.968</v>
      </c>
    </row>
    <row r="29" spans="1:30">
      <c r="A29" s="23" t="s">
        <v>10</v>
      </c>
      <c r="B29" s="23">
        <f>B28/1000000</f>
        <v>3.968E-6</v>
      </c>
      <c r="C29" s="23">
        <f t="shared" ref="C29:P29" si="17">C28/1000000</f>
        <v>3.968E-6</v>
      </c>
      <c r="D29" s="23">
        <f t="shared" si="17"/>
        <v>3.968E-6</v>
      </c>
      <c r="E29" s="23">
        <f t="shared" si="17"/>
        <v>3.968E-6</v>
      </c>
      <c r="F29" s="23">
        <f t="shared" si="17"/>
        <v>3.968E-6</v>
      </c>
      <c r="G29" s="23">
        <f t="shared" si="17"/>
        <v>3.968E-6</v>
      </c>
      <c r="H29" s="23">
        <f t="shared" si="17"/>
        <v>3.968E-6</v>
      </c>
      <c r="I29" s="23">
        <f t="shared" si="17"/>
        <v>3.968E-6</v>
      </c>
      <c r="J29" s="23">
        <f t="shared" si="17"/>
        <v>3.968E-6</v>
      </c>
      <c r="K29" s="23">
        <f t="shared" si="17"/>
        <v>3.968E-6</v>
      </c>
      <c r="L29" s="23">
        <f t="shared" si="17"/>
        <v>3.968E-6</v>
      </c>
      <c r="M29" s="23">
        <f t="shared" si="17"/>
        <v>3.968E-6</v>
      </c>
      <c r="N29" s="23">
        <f t="shared" si="17"/>
        <v>3.968E-6</v>
      </c>
      <c r="O29" s="23">
        <f t="shared" si="17"/>
        <v>3.968E-6</v>
      </c>
      <c r="P29" s="23">
        <f t="shared" si="17"/>
        <v>3.968E-6</v>
      </c>
      <c r="Q29" s="23">
        <f>Q28/1000000</f>
        <v>3.968E-6</v>
      </c>
      <c r="R29" s="23">
        <f>R28/1000000</f>
        <v>3.968E-6</v>
      </c>
      <c r="S29" s="23">
        <f>S28/1000000</f>
        <v>3.968E-6</v>
      </c>
      <c r="T29" s="23">
        <f t="shared" ref="T29:Z29" si="18">T28/1000000</f>
        <v>3.968E-6</v>
      </c>
      <c r="U29" s="23">
        <f t="shared" si="18"/>
        <v>3.968E-6</v>
      </c>
      <c r="V29" s="23">
        <f t="shared" si="18"/>
        <v>3.968E-6</v>
      </c>
      <c r="W29" s="23">
        <f t="shared" si="18"/>
        <v>3.968E-6</v>
      </c>
      <c r="X29" s="23">
        <f t="shared" si="18"/>
        <v>3.968E-6</v>
      </c>
      <c r="Y29" s="23">
        <f t="shared" si="18"/>
        <v>3.968E-6</v>
      </c>
      <c r="Z29" s="23">
        <f t="shared" si="18"/>
        <v>3.968E-6</v>
      </c>
    </row>
    <row r="30" spans="1:30" s="58" customFormat="1">
      <c r="A30" s="57" t="s">
        <v>11</v>
      </c>
      <c r="B30" s="57">
        <f>Assumption!$D$46</f>
        <v>9395</v>
      </c>
      <c r="C30" s="57">
        <f>Assumption!$D$46</f>
        <v>9395</v>
      </c>
      <c r="D30" s="57">
        <f>Assumption!$D$46</f>
        <v>9395</v>
      </c>
      <c r="E30" s="57">
        <f>Assumption!$D$46</f>
        <v>9395</v>
      </c>
      <c r="F30" s="57">
        <f>Assumption!$D$46</f>
        <v>9395</v>
      </c>
      <c r="G30" s="57">
        <f>Assumption!$D$46</f>
        <v>9395</v>
      </c>
      <c r="H30" s="57">
        <f>Assumption!$D$46</f>
        <v>9395</v>
      </c>
      <c r="I30" s="57">
        <f>Assumption!$D$46</f>
        <v>9395</v>
      </c>
      <c r="J30" s="57">
        <f>Assumption!$D$46</f>
        <v>9395</v>
      </c>
      <c r="K30" s="57">
        <f>Assumption!$D$46</f>
        <v>9395</v>
      </c>
      <c r="L30" s="57">
        <f>Assumption!$D$46</f>
        <v>9395</v>
      </c>
      <c r="M30" s="57">
        <f>Assumption!$D$46</f>
        <v>9395</v>
      </c>
      <c r="N30" s="57">
        <f>Assumption!$D$46</f>
        <v>9395</v>
      </c>
      <c r="O30" s="57">
        <f>Assumption!$D$46</f>
        <v>9395</v>
      </c>
      <c r="P30" s="57">
        <f>Assumption!$D$46</f>
        <v>9395</v>
      </c>
      <c r="Q30" s="57">
        <f>Assumption!$D$46</f>
        <v>9395</v>
      </c>
      <c r="R30" s="57">
        <f>Assumption!$D$46</f>
        <v>9395</v>
      </c>
      <c r="S30" s="57">
        <f>Assumption!$D$46</f>
        <v>9395</v>
      </c>
      <c r="T30" s="57">
        <f>Assumption!$D$46</f>
        <v>9395</v>
      </c>
      <c r="U30" s="57">
        <f>Assumption!$D$46</f>
        <v>9395</v>
      </c>
      <c r="V30" s="57">
        <f>Assumption!$D$46</f>
        <v>9395</v>
      </c>
      <c r="W30" s="57">
        <f>Assumption!$D$46</f>
        <v>9395</v>
      </c>
      <c r="X30" s="57">
        <f>Assumption!$D$46</f>
        <v>9395</v>
      </c>
      <c r="Y30" s="57">
        <f>Assumption!$D$46</f>
        <v>9395</v>
      </c>
      <c r="Z30" s="57">
        <f>Assumption!$D$46</f>
        <v>9395</v>
      </c>
    </row>
    <row r="32" spans="1:30">
      <c r="A32" s="22" t="s">
        <v>12</v>
      </c>
    </row>
    <row r="34" spans="1:26">
      <c r="A34" s="22" t="s">
        <v>24</v>
      </c>
    </row>
    <row r="35" spans="1:26">
      <c r="A35" s="23" t="s">
        <v>182</v>
      </c>
      <c r="B35" s="23">
        <f>Assumption!D4</f>
        <v>382.5</v>
      </c>
      <c r="C35" s="31">
        <f>B35</f>
        <v>382.5</v>
      </c>
      <c r="D35" s="31">
        <f>C35</f>
        <v>382.5</v>
      </c>
      <c r="E35" s="31">
        <f t="shared" ref="E35:P35" si="19">D35</f>
        <v>382.5</v>
      </c>
      <c r="F35" s="31">
        <f t="shared" si="19"/>
        <v>382.5</v>
      </c>
      <c r="G35" s="31">
        <f t="shared" si="19"/>
        <v>382.5</v>
      </c>
      <c r="H35" s="31">
        <f t="shared" si="19"/>
        <v>382.5</v>
      </c>
      <c r="I35" s="31">
        <f t="shared" si="19"/>
        <v>382.5</v>
      </c>
      <c r="J35" s="31">
        <f t="shared" si="19"/>
        <v>382.5</v>
      </c>
      <c r="K35" s="31">
        <f t="shared" si="19"/>
        <v>382.5</v>
      </c>
      <c r="L35" s="31">
        <f t="shared" si="19"/>
        <v>382.5</v>
      </c>
      <c r="M35" s="31">
        <f t="shared" si="19"/>
        <v>382.5</v>
      </c>
      <c r="N35" s="31">
        <f t="shared" si="19"/>
        <v>382.5</v>
      </c>
      <c r="O35" s="31">
        <f t="shared" si="19"/>
        <v>382.5</v>
      </c>
      <c r="P35" s="31">
        <f t="shared" si="19"/>
        <v>382.5</v>
      </c>
      <c r="Q35" s="31">
        <f t="shared" ref="Q35:Z35" si="20">P35</f>
        <v>382.5</v>
      </c>
      <c r="R35" s="31">
        <f t="shared" si="20"/>
        <v>382.5</v>
      </c>
      <c r="S35" s="31">
        <f t="shared" si="20"/>
        <v>382.5</v>
      </c>
      <c r="T35" s="31">
        <f t="shared" si="20"/>
        <v>382.5</v>
      </c>
      <c r="U35" s="31">
        <f t="shared" si="20"/>
        <v>382.5</v>
      </c>
      <c r="V35" s="31">
        <f t="shared" si="20"/>
        <v>382.5</v>
      </c>
      <c r="W35" s="31">
        <f t="shared" si="20"/>
        <v>382.5</v>
      </c>
      <c r="X35" s="31">
        <f t="shared" si="20"/>
        <v>382.5</v>
      </c>
      <c r="Y35" s="31">
        <f t="shared" si="20"/>
        <v>382.5</v>
      </c>
      <c r="Z35" s="31">
        <f t="shared" si="20"/>
        <v>382.5</v>
      </c>
    </row>
    <row r="36" spans="1:26">
      <c r="A36" s="23" t="s">
        <v>63</v>
      </c>
      <c r="B36" s="23">
        <f t="shared" ref="B36:P36" si="21">SUM(B35:B35)</f>
        <v>382.5</v>
      </c>
      <c r="C36" s="32">
        <f t="shared" si="21"/>
        <v>382.5</v>
      </c>
      <c r="D36" s="32">
        <f t="shared" si="21"/>
        <v>382.5</v>
      </c>
      <c r="E36" s="32">
        <f t="shared" si="21"/>
        <v>382.5</v>
      </c>
      <c r="F36" s="32">
        <f t="shared" si="21"/>
        <v>382.5</v>
      </c>
      <c r="G36" s="32">
        <f t="shared" si="21"/>
        <v>382.5</v>
      </c>
      <c r="H36" s="32">
        <f t="shared" si="21"/>
        <v>382.5</v>
      </c>
      <c r="I36" s="32">
        <f t="shared" si="21"/>
        <v>382.5</v>
      </c>
      <c r="J36" s="32">
        <f t="shared" si="21"/>
        <v>382.5</v>
      </c>
      <c r="K36" s="32">
        <f t="shared" si="21"/>
        <v>382.5</v>
      </c>
      <c r="L36" s="32">
        <f t="shared" si="21"/>
        <v>382.5</v>
      </c>
      <c r="M36" s="32">
        <f t="shared" si="21"/>
        <v>382.5</v>
      </c>
      <c r="N36" s="32">
        <f t="shared" si="21"/>
        <v>382.5</v>
      </c>
      <c r="O36" s="32">
        <f t="shared" si="21"/>
        <v>382.5</v>
      </c>
      <c r="P36" s="32">
        <f t="shared" si="21"/>
        <v>382.5</v>
      </c>
      <c r="Q36" s="32">
        <f t="shared" ref="Q36:Z36" si="22">SUM(Q35:Q35)</f>
        <v>382.5</v>
      </c>
      <c r="R36" s="32">
        <f t="shared" si="22"/>
        <v>382.5</v>
      </c>
      <c r="S36" s="32">
        <f t="shared" si="22"/>
        <v>382.5</v>
      </c>
      <c r="T36" s="32">
        <f t="shared" si="22"/>
        <v>382.5</v>
      </c>
      <c r="U36" s="32">
        <f t="shared" si="22"/>
        <v>382.5</v>
      </c>
      <c r="V36" s="32">
        <f t="shared" si="22"/>
        <v>382.5</v>
      </c>
      <c r="W36" s="32">
        <f t="shared" si="22"/>
        <v>382.5</v>
      </c>
      <c r="X36" s="32">
        <f t="shared" si="22"/>
        <v>382.5</v>
      </c>
      <c r="Y36" s="32">
        <f t="shared" si="22"/>
        <v>382.5</v>
      </c>
      <c r="Z36" s="32">
        <f t="shared" si="22"/>
        <v>382.5</v>
      </c>
    </row>
    <row r="38" spans="1:26">
      <c r="A38" s="22" t="s">
        <v>101</v>
      </c>
    </row>
    <row r="39" spans="1:26">
      <c r="A39" s="23" t="s">
        <v>102</v>
      </c>
      <c r="B39" s="49">
        <f>Assumption!D50</f>
        <v>0.85</v>
      </c>
      <c r="C39" s="49">
        <f>B39</f>
        <v>0.85</v>
      </c>
      <c r="D39" s="49">
        <f t="shared" ref="D39:P39" si="23">C39</f>
        <v>0.85</v>
      </c>
      <c r="E39" s="49">
        <f t="shared" si="23"/>
        <v>0.85</v>
      </c>
      <c r="F39" s="49">
        <f t="shared" si="23"/>
        <v>0.85</v>
      </c>
      <c r="G39" s="49">
        <f t="shared" si="23"/>
        <v>0.85</v>
      </c>
      <c r="H39" s="49">
        <f t="shared" si="23"/>
        <v>0.85</v>
      </c>
      <c r="I39" s="49">
        <f t="shared" si="23"/>
        <v>0.85</v>
      </c>
      <c r="J39" s="49">
        <f t="shared" si="23"/>
        <v>0.85</v>
      </c>
      <c r="K39" s="49">
        <f t="shared" si="23"/>
        <v>0.85</v>
      </c>
      <c r="L39" s="49">
        <f t="shared" si="23"/>
        <v>0.85</v>
      </c>
      <c r="M39" s="49">
        <f t="shared" si="23"/>
        <v>0.85</v>
      </c>
      <c r="N39" s="49">
        <f t="shared" si="23"/>
        <v>0.85</v>
      </c>
      <c r="O39" s="49">
        <f t="shared" si="23"/>
        <v>0.85</v>
      </c>
      <c r="P39" s="49">
        <f t="shared" si="23"/>
        <v>0.85</v>
      </c>
      <c r="Q39" s="49">
        <f t="shared" ref="Q39:Z39" si="24">P39</f>
        <v>0.85</v>
      </c>
      <c r="R39" s="49">
        <f t="shared" si="24"/>
        <v>0.85</v>
      </c>
      <c r="S39" s="49">
        <f t="shared" si="24"/>
        <v>0.85</v>
      </c>
      <c r="T39" s="49">
        <f t="shared" si="24"/>
        <v>0.85</v>
      </c>
      <c r="U39" s="49">
        <f t="shared" si="24"/>
        <v>0.85</v>
      </c>
      <c r="V39" s="49">
        <f t="shared" si="24"/>
        <v>0.85</v>
      </c>
      <c r="W39" s="49">
        <f t="shared" si="24"/>
        <v>0.85</v>
      </c>
      <c r="X39" s="49">
        <f t="shared" si="24"/>
        <v>0.85</v>
      </c>
      <c r="Y39" s="49">
        <f t="shared" si="24"/>
        <v>0.85</v>
      </c>
      <c r="Z39" s="49">
        <f t="shared" si="24"/>
        <v>0.85</v>
      </c>
    </row>
    <row r="40" spans="1:26">
      <c r="A40" s="23" t="s">
        <v>103</v>
      </c>
      <c r="B40" s="39">
        <f>Assumption!D57</f>
        <v>1746.8955000000001</v>
      </c>
      <c r="C40" s="23">
        <f>B40</f>
        <v>1746.8955000000001</v>
      </c>
      <c r="D40" s="23">
        <f t="shared" ref="D40:P40" si="25">C40</f>
        <v>1746.8955000000001</v>
      </c>
      <c r="E40" s="23">
        <f t="shared" si="25"/>
        <v>1746.8955000000001</v>
      </c>
      <c r="F40" s="23">
        <f t="shared" si="25"/>
        <v>1746.8955000000001</v>
      </c>
      <c r="G40" s="23">
        <f t="shared" si="25"/>
        <v>1746.8955000000001</v>
      </c>
      <c r="H40" s="23">
        <f t="shared" si="25"/>
        <v>1746.8955000000001</v>
      </c>
      <c r="I40" s="23">
        <f t="shared" si="25"/>
        <v>1746.8955000000001</v>
      </c>
      <c r="J40" s="23">
        <f t="shared" si="25"/>
        <v>1746.8955000000001</v>
      </c>
      <c r="K40" s="23">
        <f t="shared" si="25"/>
        <v>1746.8955000000001</v>
      </c>
      <c r="L40" s="23">
        <f t="shared" si="25"/>
        <v>1746.8955000000001</v>
      </c>
      <c r="M40" s="23">
        <f t="shared" si="25"/>
        <v>1746.8955000000001</v>
      </c>
      <c r="N40" s="23">
        <f t="shared" si="25"/>
        <v>1746.8955000000001</v>
      </c>
      <c r="O40" s="23">
        <f t="shared" si="25"/>
        <v>1746.8955000000001</v>
      </c>
      <c r="P40" s="23">
        <f t="shared" si="25"/>
        <v>1746.8955000000001</v>
      </c>
      <c r="Q40" s="23">
        <f t="shared" ref="Q40:Z40" si="26">P40</f>
        <v>1746.8955000000001</v>
      </c>
      <c r="R40" s="23">
        <f t="shared" si="26"/>
        <v>1746.8955000000001</v>
      </c>
      <c r="S40" s="23">
        <f t="shared" si="26"/>
        <v>1746.8955000000001</v>
      </c>
      <c r="T40" s="23">
        <f t="shared" si="26"/>
        <v>1746.8955000000001</v>
      </c>
      <c r="U40" s="23">
        <f t="shared" si="26"/>
        <v>1746.8955000000001</v>
      </c>
      <c r="V40" s="23">
        <f t="shared" si="26"/>
        <v>1746.8955000000001</v>
      </c>
      <c r="W40" s="23">
        <f t="shared" si="26"/>
        <v>1746.8955000000001</v>
      </c>
      <c r="X40" s="23">
        <f t="shared" si="26"/>
        <v>1746.8955000000001</v>
      </c>
      <c r="Y40" s="23">
        <f t="shared" si="26"/>
        <v>1746.8955000000001</v>
      </c>
      <c r="Z40" s="23">
        <f t="shared" si="26"/>
        <v>1746.8955000000001</v>
      </c>
    </row>
    <row r="42" spans="1:26">
      <c r="A42" s="22" t="s">
        <v>104</v>
      </c>
    </row>
    <row r="43" spans="1:26">
      <c r="A43" s="23" t="s">
        <v>183</v>
      </c>
      <c r="B43" s="59">
        <f t="shared" ref="B43:Z43" si="27">B35*24*B39*B4/1000</f>
        <v>2840.2919999999999</v>
      </c>
      <c r="C43" s="59">
        <f t="shared" si="27"/>
        <v>2848.0949999999998</v>
      </c>
      <c r="D43" s="59">
        <f t="shared" si="27"/>
        <v>2855.8980000000001</v>
      </c>
      <c r="E43" s="59">
        <f t="shared" si="27"/>
        <v>2848.0949999999998</v>
      </c>
      <c r="F43" s="59">
        <f t="shared" si="27"/>
        <v>2848.0949999999998</v>
      </c>
      <c r="G43" s="59">
        <f t="shared" si="27"/>
        <v>2848.0949999999998</v>
      </c>
      <c r="H43" s="59">
        <f t="shared" si="27"/>
        <v>2855.8980000000001</v>
      </c>
      <c r="I43" s="59">
        <f t="shared" si="27"/>
        <v>2848.0949999999998</v>
      </c>
      <c r="J43" s="59">
        <f t="shared" si="27"/>
        <v>2848.0949999999998</v>
      </c>
      <c r="K43" s="59">
        <f t="shared" si="27"/>
        <v>2848.0949999999998</v>
      </c>
      <c r="L43" s="59">
        <f t="shared" si="27"/>
        <v>2855.8980000000001</v>
      </c>
      <c r="M43" s="59">
        <f t="shared" si="27"/>
        <v>2848.0949999999998</v>
      </c>
      <c r="N43" s="59">
        <f t="shared" si="27"/>
        <v>2848.0949999999998</v>
      </c>
      <c r="O43" s="59">
        <f t="shared" si="27"/>
        <v>2848.0949999999998</v>
      </c>
      <c r="P43" s="59">
        <f t="shared" si="27"/>
        <v>2855.8980000000001</v>
      </c>
      <c r="Q43" s="59">
        <f t="shared" si="27"/>
        <v>2848.0949999999998</v>
      </c>
      <c r="R43" s="59">
        <f t="shared" si="27"/>
        <v>2848.0949999999998</v>
      </c>
      <c r="S43" s="59">
        <f t="shared" si="27"/>
        <v>2848.0949999999998</v>
      </c>
      <c r="T43" s="59">
        <f t="shared" si="27"/>
        <v>2855.8980000000001</v>
      </c>
      <c r="U43" s="59">
        <f t="shared" si="27"/>
        <v>2848.0949999999998</v>
      </c>
      <c r="V43" s="59">
        <f t="shared" si="27"/>
        <v>2848.0949999999998</v>
      </c>
      <c r="W43" s="59">
        <f t="shared" si="27"/>
        <v>2848.0949999999998</v>
      </c>
      <c r="X43" s="59">
        <f t="shared" si="27"/>
        <v>2855.8980000000001</v>
      </c>
      <c r="Y43" s="59">
        <f t="shared" si="27"/>
        <v>2848.0949999999998</v>
      </c>
      <c r="Z43" s="59">
        <f t="shared" si="27"/>
        <v>2848.0949999999998</v>
      </c>
    </row>
    <row r="44" spans="1:26">
      <c r="A44" s="23" t="s">
        <v>65</v>
      </c>
      <c r="B44" s="59">
        <f t="shared" ref="B44:P44" si="28">SUM(B43:B43)</f>
        <v>2840.2919999999999</v>
      </c>
      <c r="C44" s="59">
        <f t="shared" si="28"/>
        <v>2848.0949999999998</v>
      </c>
      <c r="D44" s="59">
        <f t="shared" si="28"/>
        <v>2855.8980000000001</v>
      </c>
      <c r="E44" s="59">
        <f t="shared" si="28"/>
        <v>2848.0949999999998</v>
      </c>
      <c r="F44" s="59">
        <f t="shared" si="28"/>
        <v>2848.0949999999998</v>
      </c>
      <c r="G44" s="59">
        <f t="shared" si="28"/>
        <v>2848.0949999999998</v>
      </c>
      <c r="H44" s="59">
        <f t="shared" si="28"/>
        <v>2855.8980000000001</v>
      </c>
      <c r="I44" s="59">
        <f t="shared" si="28"/>
        <v>2848.0949999999998</v>
      </c>
      <c r="J44" s="59">
        <f t="shared" si="28"/>
        <v>2848.0949999999998</v>
      </c>
      <c r="K44" s="59">
        <f t="shared" si="28"/>
        <v>2848.0949999999998</v>
      </c>
      <c r="L44" s="59">
        <f t="shared" si="28"/>
        <v>2855.8980000000001</v>
      </c>
      <c r="M44" s="59">
        <f t="shared" si="28"/>
        <v>2848.0949999999998</v>
      </c>
      <c r="N44" s="59">
        <f t="shared" si="28"/>
        <v>2848.0949999999998</v>
      </c>
      <c r="O44" s="59">
        <f t="shared" si="28"/>
        <v>2848.0949999999998</v>
      </c>
      <c r="P44" s="59">
        <f t="shared" si="28"/>
        <v>2855.8980000000001</v>
      </c>
      <c r="Q44" s="59">
        <f t="shared" ref="Q44:Z44" si="29">SUM(Q43:Q43)</f>
        <v>2848.0949999999998</v>
      </c>
      <c r="R44" s="59">
        <f t="shared" si="29"/>
        <v>2848.0949999999998</v>
      </c>
      <c r="S44" s="59">
        <f t="shared" si="29"/>
        <v>2848.0949999999998</v>
      </c>
      <c r="T44" s="59">
        <f t="shared" si="29"/>
        <v>2855.8980000000001</v>
      </c>
      <c r="U44" s="59">
        <f t="shared" si="29"/>
        <v>2848.0949999999998</v>
      </c>
      <c r="V44" s="59">
        <f t="shared" si="29"/>
        <v>2848.0949999999998</v>
      </c>
      <c r="W44" s="59">
        <f t="shared" si="29"/>
        <v>2848.0949999999998</v>
      </c>
      <c r="X44" s="59">
        <f t="shared" si="29"/>
        <v>2855.8980000000001</v>
      </c>
      <c r="Y44" s="59">
        <f t="shared" si="29"/>
        <v>2848.0949999999998</v>
      </c>
      <c r="Z44" s="59">
        <f t="shared" si="29"/>
        <v>2848.0949999999998</v>
      </c>
    </row>
    <row r="45" spans="1:26">
      <c r="A45" s="35"/>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c r="A46" s="22" t="s">
        <v>64</v>
      </c>
    </row>
    <row r="47" spans="1:26">
      <c r="A47" s="23" t="s">
        <v>183</v>
      </c>
      <c r="B47" s="32">
        <f>B43*Assumption!D54</f>
        <v>85.208759999999998</v>
      </c>
      <c r="C47" s="32">
        <f>C43*Assumption!$D$54</f>
        <v>85.442849999999993</v>
      </c>
      <c r="D47" s="32">
        <f>D43*Assumption!$D$54</f>
        <v>85.676940000000002</v>
      </c>
      <c r="E47" s="32">
        <f>E43*Assumption!$D$54</f>
        <v>85.442849999999993</v>
      </c>
      <c r="F47" s="32">
        <f>F43*Assumption!$D$54</f>
        <v>85.442849999999993</v>
      </c>
      <c r="G47" s="32">
        <f>G43*Assumption!$D$54</f>
        <v>85.442849999999993</v>
      </c>
      <c r="H47" s="32">
        <f>H43*Assumption!$D$54</f>
        <v>85.676940000000002</v>
      </c>
      <c r="I47" s="32">
        <f>I43*Assumption!$D$54</f>
        <v>85.442849999999993</v>
      </c>
      <c r="J47" s="32">
        <f>J43*Assumption!$D$54</f>
        <v>85.442849999999993</v>
      </c>
      <c r="K47" s="32">
        <f>K43*Assumption!$D$54</f>
        <v>85.442849999999993</v>
      </c>
      <c r="L47" s="32">
        <f>L43*Assumption!$D$54</f>
        <v>85.676940000000002</v>
      </c>
      <c r="M47" s="32">
        <f>M43*Assumption!$D$54</f>
        <v>85.442849999999993</v>
      </c>
      <c r="N47" s="32">
        <f>N43*Assumption!$D$54</f>
        <v>85.442849999999993</v>
      </c>
      <c r="O47" s="32">
        <f>O43*Assumption!$D$54</f>
        <v>85.442849999999993</v>
      </c>
      <c r="P47" s="32">
        <f>P43*Assumption!$D$54</f>
        <v>85.676940000000002</v>
      </c>
      <c r="Q47" s="32">
        <f>Q43*Assumption!$D$54</f>
        <v>85.442849999999993</v>
      </c>
      <c r="R47" s="32">
        <f>R43*Assumption!$D$54</f>
        <v>85.442849999999993</v>
      </c>
      <c r="S47" s="32">
        <f>S43*Assumption!$D$54</f>
        <v>85.442849999999993</v>
      </c>
      <c r="T47" s="32">
        <f>T43*Assumption!$D$54</f>
        <v>85.676940000000002</v>
      </c>
      <c r="U47" s="32">
        <f>U43*Assumption!$D$54</f>
        <v>85.442849999999993</v>
      </c>
      <c r="V47" s="32">
        <f>V43*Assumption!$D$54</f>
        <v>85.442849999999993</v>
      </c>
      <c r="W47" s="32">
        <f>W43*Assumption!$D$54</f>
        <v>85.442849999999993</v>
      </c>
      <c r="X47" s="32">
        <f>X43*Assumption!$D$54</f>
        <v>85.676940000000002</v>
      </c>
      <c r="Y47" s="32">
        <f>Y43*Assumption!$D$54</f>
        <v>85.442849999999993</v>
      </c>
      <c r="Z47" s="32">
        <f>Z43*Assumption!$D$54</f>
        <v>85.442849999999993</v>
      </c>
    </row>
    <row r="48" spans="1:26">
      <c r="A48" s="23" t="s">
        <v>65</v>
      </c>
      <c r="B48" s="32">
        <f t="shared" ref="B48:P48" si="30">SUM(B47:B47)</f>
        <v>85.208759999999998</v>
      </c>
      <c r="C48" s="32">
        <f t="shared" si="30"/>
        <v>85.442849999999993</v>
      </c>
      <c r="D48" s="32">
        <f t="shared" si="30"/>
        <v>85.676940000000002</v>
      </c>
      <c r="E48" s="32">
        <f t="shared" si="30"/>
        <v>85.442849999999993</v>
      </c>
      <c r="F48" s="32">
        <f t="shared" si="30"/>
        <v>85.442849999999993</v>
      </c>
      <c r="G48" s="32">
        <f t="shared" si="30"/>
        <v>85.442849999999993</v>
      </c>
      <c r="H48" s="32">
        <f t="shared" si="30"/>
        <v>85.676940000000002</v>
      </c>
      <c r="I48" s="32">
        <f t="shared" si="30"/>
        <v>85.442849999999993</v>
      </c>
      <c r="J48" s="32">
        <f t="shared" si="30"/>
        <v>85.442849999999993</v>
      </c>
      <c r="K48" s="32">
        <f t="shared" si="30"/>
        <v>85.442849999999993</v>
      </c>
      <c r="L48" s="32">
        <f t="shared" si="30"/>
        <v>85.676940000000002</v>
      </c>
      <c r="M48" s="32">
        <f t="shared" si="30"/>
        <v>85.442849999999993</v>
      </c>
      <c r="N48" s="32">
        <f t="shared" si="30"/>
        <v>85.442849999999993</v>
      </c>
      <c r="O48" s="32">
        <f t="shared" si="30"/>
        <v>85.442849999999993</v>
      </c>
      <c r="P48" s="32">
        <f t="shared" si="30"/>
        <v>85.676940000000002</v>
      </c>
      <c r="Q48" s="32">
        <f t="shared" ref="Q48:Z48" si="31">SUM(Q47:Q47)</f>
        <v>85.442849999999993</v>
      </c>
      <c r="R48" s="32">
        <f t="shared" si="31"/>
        <v>85.442849999999993</v>
      </c>
      <c r="S48" s="32">
        <f t="shared" si="31"/>
        <v>85.442849999999993</v>
      </c>
      <c r="T48" s="32">
        <f t="shared" si="31"/>
        <v>85.676940000000002</v>
      </c>
      <c r="U48" s="32">
        <f t="shared" si="31"/>
        <v>85.442849999999993</v>
      </c>
      <c r="V48" s="32">
        <f t="shared" si="31"/>
        <v>85.442849999999993</v>
      </c>
      <c r="W48" s="32">
        <f t="shared" si="31"/>
        <v>85.442849999999993</v>
      </c>
      <c r="X48" s="32">
        <f t="shared" si="31"/>
        <v>85.676940000000002</v>
      </c>
      <c r="Y48" s="32">
        <f t="shared" si="31"/>
        <v>85.442849999999993</v>
      </c>
      <c r="Z48" s="32">
        <f t="shared" si="31"/>
        <v>85.442849999999993</v>
      </c>
    </row>
    <row r="49" spans="1:26">
      <c r="A49" s="35"/>
      <c r="B49" s="75"/>
      <c r="C49" s="75"/>
      <c r="D49" s="75"/>
      <c r="E49" s="75"/>
      <c r="F49" s="75"/>
      <c r="G49" s="75"/>
      <c r="H49" s="75"/>
      <c r="I49" s="75"/>
      <c r="J49" s="75"/>
      <c r="K49" s="75"/>
      <c r="L49" s="75"/>
      <c r="M49" s="75"/>
      <c r="N49" s="75"/>
      <c r="O49" s="75"/>
      <c r="P49" s="75"/>
      <c r="Q49" s="75"/>
      <c r="R49" s="75"/>
      <c r="S49" s="75"/>
      <c r="T49" s="75"/>
      <c r="U49" s="75"/>
      <c r="V49" s="75"/>
      <c r="W49" s="75"/>
      <c r="X49" s="75"/>
      <c r="Y49" s="75"/>
      <c r="Z49" s="75"/>
    </row>
    <row r="50" spans="1:26">
      <c r="A50" s="22" t="s">
        <v>13</v>
      </c>
    </row>
    <row r="51" spans="1:26">
      <c r="A51" s="23" t="s">
        <v>183</v>
      </c>
      <c r="B51" s="28">
        <f t="shared" ref="B51:P51" si="32">B43-B47</f>
        <v>2755.0832399999999</v>
      </c>
      <c r="C51" s="28">
        <f t="shared" si="32"/>
        <v>2762.6521499999999</v>
      </c>
      <c r="D51" s="28">
        <f t="shared" si="32"/>
        <v>2770.2210600000003</v>
      </c>
      <c r="E51" s="28">
        <f t="shared" si="32"/>
        <v>2762.6521499999999</v>
      </c>
      <c r="F51" s="28">
        <f t="shared" si="32"/>
        <v>2762.6521499999999</v>
      </c>
      <c r="G51" s="28">
        <f t="shared" si="32"/>
        <v>2762.6521499999999</v>
      </c>
      <c r="H51" s="28">
        <f t="shared" si="32"/>
        <v>2770.2210600000003</v>
      </c>
      <c r="I51" s="28">
        <f t="shared" si="32"/>
        <v>2762.6521499999999</v>
      </c>
      <c r="J51" s="28">
        <f t="shared" si="32"/>
        <v>2762.6521499999999</v>
      </c>
      <c r="K51" s="28">
        <f t="shared" si="32"/>
        <v>2762.6521499999999</v>
      </c>
      <c r="L51" s="28">
        <f t="shared" si="32"/>
        <v>2770.2210600000003</v>
      </c>
      <c r="M51" s="28">
        <f t="shared" si="32"/>
        <v>2762.6521499999999</v>
      </c>
      <c r="N51" s="28">
        <f t="shared" si="32"/>
        <v>2762.6521499999999</v>
      </c>
      <c r="O51" s="28">
        <f t="shared" si="32"/>
        <v>2762.6521499999999</v>
      </c>
      <c r="P51" s="28">
        <f t="shared" si="32"/>
        <v>2770.2210600000003</v>
      </c>
      <c r="Q51" s="28">
        <f t="shared" ref="Q51:Z51" si="33">Q43-Q47</f>
        <v>2762.6521499999999</v>
      </c>
      <c r="R51" s="28">
        <f t="shared" si="33"/>
        <v>2762.6521499999999</v>
      </c>
      <c r="S51" s="28">
        <f t="shared" si="33"/>
        <v>2762.6521499999999</v>
      </c>
      <c r="T51" s="28">
        <f t="shared" si="33"/>
        <v>2770.2210600000003</v>
      </c>
      <c r="U51" s="28">
        <f t="shared" si="33"/>
        <v>2762.6521499999999</v>
      </c>
      <c r="V51" s="28">
        <f t="shared" si="33"/>
        <v>2762.6521499999999</v>
      </c>
      <c r="W51" s="28">
        <f t="shared" si="33"/>
        <v>2762.6521499999999</v>
      </c>
      <c r="X51" s="28">
        <f t="shared" si="33"/>
        <v>2770.2210600000003</v>
      </c>
      <c r="Y51" s="28">
        <f t="shared" si="33"/>
        <v>2762.6521499999999</v>
      </c>
      <c r="Z51" s="28">
        <f t="shared" si="33"/>
        <v>2762.6521499999999</v>
      </c>
    </row>
    <row r="52" spans="1:26">
      <c r="A52" s="23" t="s">
        <v>65</v>
      </c>
      <c r="B52" s="28">
        <f t="shared" ref="B52:P52" si="34">SUM(B51:B51)</f>
        <v>2755.0832399999999</v>
      </c>
      <c r="C52" s="28">
        <f t="shared" si="34"/>
        <v>2762.6521499999999</v>
      </c>
      <c r="D52" s="28">
        <f t="shared" si="34"/>
        <v>2770.2210600000003</v>
      </c>
      <c r="E52" s="28">
        <f t="shared" si="34"/>
        <v>2762.6521499999999</v>
      </c>
      <c r="F52" s="28">
        <f t="shared" si="34"/>
        <v>2762.6521499999999</v>
      </c>
      <c r="G52" s="28">
        <f t="shared" si="34"/>
        <v>2762.6521499999999</v>
      </c>
      <c r="H52" s="28">
        <f t="shared" si="34"/>
        <v>2770.2210600000003</v>
      </c>
      <c r="I52" s="28">
        <f t="shared" si="34"/>
        <v>2762.6521499999999</v>
      </c>
      <c r="J52" s="28">
        <f t="shared" si="34"/>
        <v>2762.6521499999999</v>
      </c>
      <c r="K52" s="28">
        <f t="shared" si="34"/>
        <v>2762.6521499999999</v>
      </c>
      <c r="L52" s="28">
        <f t="shared" si="34"/>
        <v>2770.2210600000003</v>
      </c>
      <c r="M52" s="28">
        <f t="shared" si="34"/>
        <v>2762.6521499999999</v>
      </c>
      <c r="N52" s="28">
        <f t="shared" si="34"/>
        <v>2762.6521499999999</v>
      </c>
      <c r="O52" s="28">
        <f t="shared" si="34"/>
        <v>2762.6521499999999</v>
      </c>
      <c r="P52" s="28">
        <f t="shared" si="34"/>
        <v>2770.2210600000003</v>
      </c>
      <c r="Q52" s="28">
        <f t="shared" ref="Q52:Z52" si="35">SUM(Q51:Q51)</f>
        <v>2762.6521499999999</v>
      </c>
      <c r="R52" s="28">
        <f t="shared" si="35"/>
        <v>2762.6521499999999</v>
      </c>
      <c r="S52" s="28">
        <f t="shared" si="35"/>
        <v>2762.6521499999999</v>
      </c>
      <c r="T52" s="28">
        <f t="shared" si="35"/>
        <v>2770.2210600000003</v>
      </c>
      <c r="U52" s="28">
        <f t="shared" si="35"/>
        <v>2762.6521499999999</v>
      </c>
      <c r="V52" s="28">
        <f t="shared" si="35"/>
        <v>2762.6521499999999</v>
      </c>
      <c r="W52" s="28">
        <f t="shared" si="35"/>
        <v>2762.6521499999999</v>
      </c>
      <c r="X52" s="28">
        <f t="shared" si="35"/>
        <v>2770.2210600000003</v>
      </c>
      <c r="Y52" s="28">
        <f t="shared" si="35"/>
        <v>2762.6521499999999</v>
      </c>
      <c r="Z52" s="28">
        <f t="shared" si="35"/>
        <v>2762.6521499999999</v>
      </c>
    </row>
    <row r="53" spans="1:26">
      <c r="A53" s="35"/>
      <c r="B53" s="76"/>
      <c r="C53" s="76"/>
      <c r="D53" s="76"/>
      <c r="E53" s="76"/>
      <c r="F53" s="76"/>
      <c r="G53" s="76"/>
      <c r="H53" s="76"/>
      <c r="I53" s="76"/>
      <c r="J53" s="76"/>
      <c r="K53" s="76"/>
      <c r="L53" s="76"/>
      <c r="M53" s="76"/>
      <c r="N53" s="76"/>
      <c r="O53" s="76"/>
      <c r="P53" s="76"/>
      <c r="Q53" s="76"/>
      <c r="R53" s="76"/>
      <c r="S53" s="76"/>
      <c r="T53" s="76"/>
      <c r="U53" s="76"/>
      <c r="V53" s="76"/>
      <c r="W53" s="76"/>
      <c r="X53" s="76"/>
      <c r="Y53" s="76"/>
      <c r="Z53" s="76"/>
    </row>
  </sheetData>
  <customSheetViews>
    <customSheetView guid="{6D27EB6A-3939-4201-8E4B-897AA8118F21}" scale="80" showPageBreaks="1" printArea="1" view="pageBreakPreview" topLeftCell="A64">
      <selection activeCell="B50" sqref="B50 B54"/>
      <rowBreaks count="1" manualBreakCount="1">
        <brk id="41" max="29" man="1"/>
      </rowBreaks>
      <colBreaks count="2" manualBreakCount="2">
        <brk id="9" max="78" man="1"/>
        <brk id="20" max="78" man="1"/>
      </colBreaks>
      <pageMargins left="0.75" right="0.75" top="1" bottom="1" header="0.5" footer="0.5"/>
      <pageSetup paperSize="9" scale="54" orientation="landscape" r:id="rId1"/>
      <headerFooter alignWithMargins="0"/>
    </customSheetView>
  </customSheetViews>
  <phoneticPr fontId="6" type="noConversion"/>
  <pageMargins left="0.75" right="0.75" top="1" bottom="1" header="0.5" footer="0.5"/>
  <pageSetup paperSize="9" scale="54" orientation="landscape" r:id="rId2"/>
  <headerFooter alignWithMargins="0"/>
  <rowBreaks count="1" manualBreakCount="1">
    <brk id="31" max="29" man="1"/>
  </rowBreaks>
  <colBreaks count="2" manualBreakCount="2">
    <brk id="9" max="78" man="1"/>
    <brk id="20" max="78" man="1"/>
  </colBreaks>
</worksheet>
</file>

<file path=xl/worksheets/sheet7.xml><?xml version="1.0" encoding="utf-8"?>
<worksheet xmlns="http://schemas.openxmlformats.org/spreadsheetml/2006/main" xmlns:r="http://schemas.openxmlformats.org/officeDocument/2006/relationships">
  <sheetPr codeName="Sheet5"/>
  <dimension ref="A1:IP43"/>
  <sheetViews>
    <sheetView view="pageBreakPreview" topLeftCell="A28" zoomScaleSheetLayoutView="100" workbookViewId="0">
      <selection activeCell="A45" sqref="A45"/>
    </sheetView>
  </sheetViews>
  <sheetFormatPr defaultColWidth="11" defaultRowHeight="15"/>
  <cols>
    <col min="1" max="1" width="41.28515625" style="22" customWidth="1"/>
    <col min="2" max="26" width="19" style="22" customWidth="1"/>
    <col min="27" max="16384" width="11" style="22"/>
  </cols>
  <sheetData>
    <row r="1" spans="1:250">
      <c r="A1" s="22" t="s">
        <v>51</v>
      </c>
    </row>
    <row r="3" spans="1:250">
      <c r="A3" s="23" t="s">
        <v>3</v>
      </c>
      <c r="B3" s="27">
        <f>fuel!B16</f>
        <v>41729</v>
      </c>
      <c r="C3" s="27">
        <f>fuel!C16</f>
        <v>42094</v>
      </c>
      <c r="D3" s="27">
        <f>fuel!D16</f>
        <v>42460</v>
      </c>
      <c r="E3" s="27">
        <f>fuel!E16</f>
        <v>42825</v>
      </c>
      <c r="F3" s="27">
        <f>fuel!F16</f>
        <v>43190</v>
      </c>
      <c r="G3" s="27">
        <f>fuel!G16</f>
        <v>43555</v>
      </c>
      <c r="H3" s="27">
        <f>fuel!H16</f>
        <v>43921</v>
      </c>
      <c r="I3" s="27">
        <f>fuel!I16</f>
        <v>44286</v>
      </c>
      <c r="J3" s="27">
        <f>fuel!J16</f>
        <v>44651</v>
      </c>
      <c r="K3" s="27">
        <f>fuel!K16</f>
        <v>45016</v>
      </c>
      <c r="L3" s="27">
        <f>fuel!L16</f>
        <v>45382</v>
      </c>
      <c r="M3" s="27">
        <f>fuel!M16</f>
        <v>45747</v>
      </c>
      <c r="N3" s="27">
        <f>fuel!N16</f>
        <v>46112</v>
      </c>
      <c r="O3" s="27">
        <f>fuel!O16</f>
        <v>46477</v>
      </c>
      <c r="P3" s="27">
        <f>fuel!P16</f>
        <v>46843</v>
      </c>
      <c r="Q3" s="27">
        <f>fuel!Q16</f>
        <v>47208</v>
      </c>
      <c r="R3" s="27">
        <f>fuel!R16</f>
        <v>47573</v>
      </c>
      <c r="S3" s="27">
        <f>fuel!S16</f>
        <v>47938</v>
      </c>
      <c r="T3" s="27">
        <f>fuel!T16</f>
        <v>48304</v>
      </c>
      <c r="U3" s="27">
        <f>fuel!U16</f>
        <v>48669</v>
      </c>
      <c r="V3" s="27">
        <f>fuel!V16</f>
        <v>49034</v>
      </c>
      <c r="W3" s="27">
        <f>fuel!W16</f>
        <v>49399</v>
      </c>
      <c r="X3" s="27">
        <f>fuel!X16</f>
        <v>49765</v>
      </c>
      <c r="Y3" s="27">
        <f>fuel!Y16</f>
        <v>50130</v>
      </c>
      <c r="Z3" s="27">
        <f>fuel!Z16</f>
        <v>50495</v>
      </c>
    </row>
    <row r="4" spans="1:250">
      <c r="A4" s="23" t="s">
        <v>14</v>
      </c>
      <c r="B4" s="23"/>
      <c r="C4" s="23"/>
      <c r="D4" s="23"/>
      <c r="E4" s="23"/>
      <c r="F4" s="23"/>
      <c r="G4" s="23"/>
      <c r="H4" s="23"/>
      <c r="I4" s="23"/>
      <c r="J4" s="23"/>
      <c r="K4" s="23"/>
      <c r="L4" s="23"/>
      <c r="M4" s="23"/>
      <c r="N4" s="23"/>
      <c r="O4" s="23"/>
      <c r="P4" s="23"/>
      <c r="Q4" s="23"/>
      <c r="R4" s="23"/>
      <c r="S4" s="23"/>
      <c r="T4" s="23"/>
      <c r="U4" s="23"/>
      <c r="V4" s="23"/>
      <c r="W4" s="23"/>
      <c r="X4" s="23"/>
      <c r="Y4" s="23"/>
      <c r="Z4" s="23"/>
    </row>
    <row r="5" spans="1:250">
      <c r="A5" s="23" t="s">
        <v>271</v>
      </c>
      <c r="B5" s="31">
        <f>fuel!B23</f>
        <v>5938.5780774265531</v>
      </c>
      <c r="C5" s="31">
        <f>fuel!C23</f>
        <v>5996.5771023310872</v>
      </c>
      <c r="D5" s="31">
        <f>fuel!D23</f>
        <v>6055.0971232584943</v>
      </c>
      <c r="E5" s="31">
        <f>fuel!E23</f>
        <v>6080.8230140417354</v>
      </c>
      <c r="F5" s="31">
        <f>fuel!F23</f>
        <v>6123.3887751400262</v>
      </c>
      <c r="G5" s="31">
        <f>fuel!G23</f>
        <v>6166.2524965660077</v>
      </c>
      <c r="H5" s="31">
        <f>fuel!H23</f>
        <v>6226.4283633955083</v>
      </c>
      <c r="I5" s="31">
        <f>fuel!I23</f>
        <v>6252.882177890262</v>
      </c>
      <c r="J5" s="31">
        <f>fuel!J23</f>
        <v>6296.6523531354942</v>
      </c>
      <c r="K5" s="31">
        <f>fuel!K23</f>
        <v>6340.7289196074407</v>
      </c>
      <c r="L5" s="31">
        <f>fuel!L23</f>
        <v>6402.6074851187886</v>
      </c>
      <c r="M5" s="31">
        <f>fuel!M23</f>
        <v>6429.8098201990051</v>
      </c>
      <c r="N5" s="31">
        <f>fuel!N23</f>
        <v>6474.8184889403974</v>
      </c>
      <c r="O5" s="31">
        <f>fuel!O23</f>
        <v>6520.1422183629802</v>
      </c>
      <c r="P5" s="31">
        <f>fuel!P23</f>
        <v>6583.771661052866</v>
      </c>
      <c r="Q5" s="31">
        <f>fuel!Q23</f>
        <v>6611.7436963887594</v>
      </c>
      <c r="R5" s="31">
        <f>fuel!R23</f>
        <v>6658.0259022634809</v>
      </c>
      <c r="S5" s="31">
        <f>fuel!S23</f>
        <v>6704.632083579324</v>
      </c>
      <c r="T5" s="31">
        <f>fuel!T23</f>
        <v>6770.061945173049</v>
      </c>
      <c r="U5" s="31">
        <f>fuel!U23</f>
        <v>6798.8254597215273</v>
      </c>
      <c r="V5" s="31">
        <f>fuel!V23</f>
        <v>6846.4172379395786</v>
      </c>
      <c r="W5" s="31">
        <f>fuel!W23</f>
        <v>6894.3421586051527</v>
      </c>
      <c r="X5" s="31">
        <f>fuel!X23</f>
        <v>6961.6233826296784</v>
      </c>
      <c r="Y5" s="31">
        <f>fuel!Y23</f>
        <v>6991.200771591396</v>
      </c>
      <c r="Z5" s="31">
        <f>fuel!Z23</f>
        <v>7040.1391769925349</v>
      </c>
    </row>
    <row r="6" spans="1:250">
      <c r="A6" s="23" t="s">
        <v>67</v>
      </c>
      <c r="B6" s="31">
        <f>(B5/fuel!B52)</f>
        <v>2.1554986038921107</v>
      </c>
      <c r="C6" s="31">
        <f>(C5/fuel!C52)</f>
        <v>2.1705870941193548</v>
      </c>
      <c r="D6" s="31">
        <f>(D5/fuel!D52)</f>
        <v>2.1857812037781899</v>
      </c>
      <c r="E6" s="31">
        <f>(E5/fuel!E52)</f>
        <v>2.2010816722046371</v>
      </c>
      <c r="F6" s="31">
        <f>(F5/fuel!F52)</f>
        <v>2.2164892439100687</v>
      </c>
      <c r="G6" s="31">
        <f>(G5/fuel!G52)</f>
        <v>2.23200466861744</v>
      </c>
      <c r="H6" s="31">
        <f>(H5/fuel!H52)</f>
        <v>2.2476287012977614</v>
      </c>
      <c r="I6" s="31">
        <f>(I5/fuel!I52)</f>
        <v>2.263362102206846</v>
      </c>
      <c r="J6" s="31">
        <f>(J5/fuel!J52)</f>
        <v>2.2792056369222937</v>
      </c>
      <c r="K6" s="31">
        <f>(K5/fuel!K52)</f>
        <v>2.2951600763807494</v>
      </c>
      <c r="L6" s="31">
        <f>(L5/fuel!L52)</f>
        <v>2.3112261969154142</v>
      </c>
      <c r="M6" s="31">
        <f>(M5/fuel!M52)</f>
        <v>2.327404780293822</v>
      </c>
      <c r="N6" s="31">
        <f>(N5/fuel!N52)</f>
        <v>2.3436966137558786</v>
      </c>
      <c r="O6" s="31">
        <f>(O5/fuel!O52)</f>
        <v>2.3601024900521699</v>
      </c>
      <c r="P6" s="31">
        <f>(P5/fuel!P52)</f>
        <v>2.3766232074825342</v>
      </c>
      <c r="Q6" s="31">
        <f>(Q5/fuel!Q52)</f>
        <v>2.3932595699349117</v>
      </c>
      <c r="R6" s="31">
        <f>(R5/fuel!R52)</f>
        <v>2.4100123869244565</v>
      </c>
      <c r="S6" s="31">
        <f>(S5/fuel!S52)</f>
        <v>2.4268824736329271</v>
      </c>
      <c r="T6" s="31">
        <f>(T5/fuel!T52)</f>
        <v>2.4438706509483574</v>
      </c>
      <c r="U6" s="31">
        <f>(U5/fuel!U52)</f>
        <v>2.4609777455049953</v>
      </c>
      <c r="V6" s="31">
        <f>(V5/fuel!V52)</f>
        <v>2.4782045897235303</v>
      </c>
      <c r="W6" s="31">
        <f>(W5/fuel!W52)</f>
        <v>2.4955520218515939</v>
      </c>
      <c r="X6" s="31">
        <f>(X5/fuel!X52)</f>
        <v>2.5130208860045551</v>
      </c>
      <c r="Y6" s="31">
        <f>(Y5/fuel!Y52)</f>
        <v>2.5306120322065868</v>
      </c>
      <c r="Z6" s="31">
        <f>(Z5/fuel!Z52)</f>
        <v>2.5483263164320324</v>
      </c>
      <c r="IP6" s="48"/>
    </row>
    <row r="8" spans="1:250">
      <c r="A8" s="22" t="s">
        <v>272</v>
      </c>
    </row>
    <row r="9" spans="1:250">
      <c r="A9" s="23" t="s">
        <v>16</v>
      </c>
      <c r="B9" s="31">
        <f>'term loan '!E4</f>
        <v>1444.3703290812166</v>
      </c>
      <c r="C9" s="31">
        <f>'term loan '!E5</f>
        <v>1334.9783575916711</v>
      </c>
      <c r="D9" s="31">
        <f>'term loan '!E6</f>
        <v>1224.8093085523058</v>
      </c>
      <c r="E9" s="28">
        <f>'term loan '!E7</f>
        <v>1107.9473124716712</v>
      </c>
      <c r="F9" s="28">
        <f>'term loan '!E8</f>
        <v>994.43178991167122</v>
      </c>
      <c r="G9" s="28">
        <f>'term loan '!E9</f>
        <v>880.91626735167131</v>
      </c>
      <c r="H9" s="28">
        <f>'term loan '!E10</f>
        <v>769.5032125856211</v>
      </c>
      <c r="I9" s="28">
        <f>'term loan '!E11</f>
        <v>653.88522223167138</v>
      </c>
      <c r="J9" s="28">
        <f>'term loan '!E12</f>
        <v>540.36969967167147</v>
      </c>
      <c r="K9" s="28">
        <f>'term loan '!E13</f>
        <v>426.85417711167139</v>
      </c>
      <c r="L9" s="28">
        <f>'term loan '!E14</f>
        <v>314.19711661893632</v>
      </c>
      <c r="M9" s="28">
        <f>'term loan '!E15</f>
        <v>199.82313199167143</v>
      </c>
      <c r="N9" s="28">
        <f>'term loan '!E16</f>
        <v>121.02504722276097</v>
      </c>
      <c r="O9" s="28">
        <f>'term loan '!E17</f>
        <v>76.944400244940084</v>
      </c>
      <c r="P9" s="28">
        <f>'term loan '!E18</f>
        <v>32.953790947303098</v>
      </c>
      <c r="Q9" s="28">
        <f>'term loan '!E19</f>
        <v>5.4117148891043838</v>
      </c>
      <c r="R9" s="28">
        <f>'term loan '!E20</f>
        <v>0</v>
      </c>
      <c r="S9" s="28">
        <f>'term loan '!E21</f>
        <v>0</v>
      </c>
      <c r="T9" s="42">
        <v>0</v>
      </c>
      <c r="U9" s="42">
        <v>0</v>
      </c>
      <c r="V9" s="42">
        <v>0</v>
      </c>
      <c r="W9" s="42">
        <v>0</v>
      </c>
      <c r="X9" s="42">
        <v>0</v>
      </c>
      <c r="Y9" s="42">
        <v>0</v>
      </c>
      <c r="Z9" s="42">
        <v>0</v>
      </c>
    </row>
    <row r="10" spans="1:250">
      <c r="A10" s="23" t="s">
        <v>4</v>
      </c>
      <c r="B10" s="31">
        <f>depre!B8</f>
        <v>943.37100940273967</v>
      </c>
      <c r="C10" s="31">
        <f>depre!C8</f>
        <v>945.96268799999996</v>
      </c>
      <c r="D10" s="31">
        <f>depre!D8</f>
        <v>945.96268799999996</v>
      </c>
      <c r="E10" s="31">
        <f>depre!E8</f>
        <v>945.96268799999996</v>
      </c>
      <c r="F10" s="31">
        <f>depre!F8</f>
        <v>945.96268799999996</v>
      </c>
      <c r="G10" s="31">
        <f>depre!G8</f>
        <v>945.96268799999996</v>
      </c>
      <c r="H10" s="31">
        <f>depre!H8</f>
        <v>945.96268799999996</v>
      </c>
      <c r="I10" s="31">
        <f>depre!I8</f>
        <v>945.96268799999996</v>
      </c>
      <c r="J10" s="31">
        <f>depre!J8</f>
        <v>945.96268799999996</v>
      </c>
      <c r="K10" s="31">
        <f>depre!K8</f>
        <v>945.96268799999996</v>
      </c>
      <c r="L10" s="31">
        <f>depre!L8</f>
        <v>945.96268799999996</v>
      </c>
      <c r="M10" s="31">
        <f>depre!M8</f>
        <v>945.96268799999996</v>
      </c>
      <c r="N10" s="31">
        <f>depre!N8</f>
        <v>367.33872481517403</v>
      </c>
      <c r="O10" s="31">
        <f>depre!O8</f>
        <v>367.33872481517403</v>
      </c>
      <c r="P10" s="31">
        <f>depre!P8</f>
        <v>367.33872481517403</v>
      </c>
      <c r="Q10" s="31">
        <f>depre!Q8</f>
        <v>367.33872481517403</v>
      </c>
      <c r="R10" s="31">
        <f>depre!R8</f>
        <v>367.33872481517403</v>
      </c>
      <c r="S10" s="31">
        <f>depre!S8</f>
        <v>367.33872481517403</v>
      </c>
      <c r="T10" s="31">
        <f>depre!T8</f>
        <v>367.33872481517403</v>
      </c>
      <c r="U10" s="31">
        <f>depre!U8</f>
        <v>367.33872481517403</v>
      </c>
      <c r="V10" s="31">
        <f>depre!V8</f>
        <v>367.33872481517403</v>
      </c>
      <c r="W10" s="31">
        <f>depre!W8</f>
        <v>367.33872481517403</v>
      </c>
      <c r="X10" s="31">
        <f>depre!X8</f>
        <v>367.33872481517403</v>
      </c>
      <c r="Y10" s="31">
        <f>depre!Y8</f>
        <v>367.33872481517403</v>
      </c>
      <c r="Z10" s="31">
        <f>depre!Z8</f>
        <v>367.33872481517403</v>
      </c>
    </row>
    <row r="11" spans="1:250">
      <c r="A11" s="23" t="s">
        <v>17</v>
      </c>
      <c r="B11" s="31">
        <f>fuel!B6*Assumption!$D$6*depre!B4/depre!B3</f>
        <v>705.30484931506851</v>
      </c>
      <c r="C11" s="31">
        <f>fuel!C6*Assumption!$D$6*depre!C4/depre!C3</f>
        <v>747.69677100000001</v>
      </c>
      <c r="D11" s="31">
        <f>fuel!D6*Assumption!$D$6*depre!D4/depre!D3</f>
        <v>790.46502630119994</v>
      </c>
      <c r="E11" s="31">
        <f>fuel!E6*Assumption!$D$6*depre!E4/depre!E3</f>
        <v>835.67962580562846</v>
      </c>
      <c r="F11" s="31">
        <f>fuel!F6*Assumption!$D$6*depre!F4/depre!F3</f>
        <v>883.48050040171017</v>
      </c>
      <c r="G11" s="31">
        <f>fuel!G6*Assumption!$D$6*depre!G4/depre!G3</f>
        <v>934.01558502468799</v>
      </c>
      <c r="H11" s="31">
        <f>fuel!H6*Assumption!$D$6*depre!H4/depre!H3</f>
        <v>987.44127648810013</v>
      </c>
      <c r="I11" s="31">
        <f>fuel!I6*Assumption!$D$6*depre!I4/depre!I3</f>
        <v>1043.9229175032194</v>
      </c>
      <c r="J11" s="31">
        <f>fuel!J6*Assumption!$D$6*depre!J4/depre!J3</f>
        <v>1103.6353083844035</v>
      </c>
      <c r="K11" s="31">
        <f>fuel!K6*Assumption!$D$6*depre!K4/depre!K3</f>
        <v>1166.7632480239913</v>
      </c>
      <c r="L11" s="31">
        <f>fuel!L6*Assumption!$D$6*depre!L4/depre!L3</f>
        <v>1233.5021058109635</v>
      </c>
      <c r="M11" s="31">
        <f>fuel!M6*Assumption!$D$6*depre!M4/depre!M3</f>
        <v>1304.0584262633506</v>
      </c>
      <c r="N11" s="31">
        <f>fuel!N6*Assumption!$D$6*depre!N4/depre!N3</f>
        <v>1378.6505682456143</v>
      </c>
      <c r="O11" s="31">
        <f>fuel!O6*Assumption!$D$6*depre!O4/depre!O3</f>
        <v>1457.5093807492631</v>
      </c>
      <c r="P11" s="31">
        <f>fuel!P6*Assumption!$D$6*depre!P4/depre!P3</f>
        <v>1540.8789173281211</v>
      </c>
      <c r="Q11" s="31">
        <f>fuel!Q6*Assumption!$D$6*depre!Q4/depre!Q3</f>
        <v>1629.0171913992895</v>
      </c>
      <c r="R11" s="31">
        <f>fuel!R6*Assumption!$D$6*depre!R4/depre!R3</f>
        <v>1722.1969747473288</v>
      </c>
      <c r="S11" s="31">
        <f>fuel!S6*Assumption!$D$6*depre!S4/depre!S3</f>
        <v>1820.7066417028761</v>
      </c>
      <c r="T11" s="31">
        <f>fuel!T6*Assumption!$D$6*depre!T4/depre!T3</f>
        <v>1924.8510616082804</v>
      </c>
      <c r="U11" s="31">
        <f>fuel!U6*Assumption!$D$6*depre!U4/depre!U3</f>
        <v>2034.9525423322737</v>
      </c>
      <c r="V11" s="31">
        <f>fuel!V6*Assumption!$D$6*depre!V4/depre!V3</f>
        <v>2151.35182775368</v>
      </c>
      <c r="W11" s="31">
        <f>fuel!W6*Assumption!$D$6*depre!W4/depre!W3</f>
        <v>2274.4091523011903</v>
      </c>
      <c r="X11" s="31">
        <f>fuel!X6*Assumption!$D$6*depre!X4/depre!X3</f>
        <v>2404.5053558128184</v>
      </c>
      <c r="Y11" s="31">
        <f>fuel!Y6*Assumption!$D$6*depre!Y4/depre!Y3</f>
        <v>2542.0430621653113</v>
      </c>
      <c r="Z11" s="31">
        <f>fuel!Z6*Assumption!$D$6*depre!Z4/depre!Z3</f>
        <v>2687.4479253211666</v>
      </c>
    </row>
    <row r="12" spans="1:250">
      <c r="A12" s="23" t="s">
        <v>19</v>
      </c>
      <c r="B12" s="31">
        <f ca="1">'term loan '!$C$27*Tax!B45*depre!B4/depre!B3</f>
        <v>1000.915240986473</v>
      </c>
      <c r="C12" s="31">
        <f ca="1">'term loan '!$C$27*Tax!C45*depre!C4/depre!C3</f>
        <v>1003.6650081320402</v>
      </c>
      <c r="D12" s="31">
        <f ca="1">'term loan '!$C$27*Tax!D45*depre!D4/depre!D3</f>
        <v>1003.6650081320402</v>
      </c>
      <c r="E12" s="31">
        <f ca="1">'term loan '!$C$27*Tax!E45*depre!E4/depre!E3</f>
        <v>1003.6650081320402</v>
      </c>
      <c r="F12" s="31">
        <f ca="1">'term loan '!$C$27*Tax!F45*depre!F4/depre!F3</f>
        <v>1003.6650081320402</v>
      </c>
      <c r="G12" s="31">
        <f ca="1">'term loan '!$C$27*Tax!G45*depre!G4/depre!G3</f>
        <v>1003.6650081320402</v>
      </c>
      <c r="H12" s="31">
        <f ca="1">'term loan '!$C$27*Tax!H45*depre!H4/depre!H3</f>
        <v>1003.6650081320402</v>
      </c>
      <c r="I12" s="31">
        <f ca="1">'term loan '!$C$27*Tax!I45*depre!I4/depre!I3</f>
        <v>1003.6650081320402</v>
      </c>
      <c r="J12" s="31">
        <f ca="1">'term loan '!$C$27*Tax!J45*depre!J4/depre!J3</f>
        <v>1003.6650081320402</v>
      </c>
      <c r="K12" s="31">
        <f ca="1">'term loan '!$C$27*Tax!K45*depre!K4/depre!K3</f>
        <v>1003.6650081320402</v>
      </c>
      <c r="L12" s="31">
        <f ca="1">'term loan '!$C$27*Tax!L45*depre!L4/depre!L3</f>
        <v>1003.6650081320402</v>
      </c>
      <c r="M12" s="31">
        <f ca="1">'term loan '!$C$27*Tax!M45*depre!M4/depre!M3</f>
        <v>1003.6650081320402</v>
      </c>
      <c r="N12" s="31">
        <f ca="1">'term loan '!$C$27*Tax!N45*depre!N4/depre!N3</f>
        <v>1003.6650081320402</v>
      </c>
      <c r="O12" s="31">
        <f ca="1">'term loan '!$C$27*Tax!O45*depre!O4/depre!O3</f>
        <v>1003.6650081320402</v>
      </c>
      <c r="P12" s="31">
        <f ca="1">'term loan '!$C$27*Tax!P45*depre!P4/depre!P3</f>
        <v>1003.6650081320402</v>
      </c>
      <c r="Q12" s="31">
        <f ca="1">'term loan '!$C$27*Tax!Q45*depre!Q4/depre!Q3</f>
        <v>1003.6650081320402</v>
      </c>
      <c r="R12" s="31">
        <f ca="1">'term loan '!$C$27*Tax!R45*depre!R4/depre!R3</f>
        <v>1003.6650081320402</v>
      </c>
      <c r="S12" s="31">
        <f ca="1">'term loan '!$C$27*Tax!S45*depre!S4/depre!S3</f>
        <v>1262.069595515831</v>
      </c>
      <c r="T12" s="31">
        <f ca="1">'term loan '!$C$27*Tax!T45*depre!T4/depre!T3</f>
        <v>1262.069595515831</v>
      </c>
      <c r="U12" s="31">
        <f ca="1">'term loan '!$C$27*Tax!U45*depre!U4/depre!U3</f>
        <v>1262.069595515831</v>
      </c>
      <c r="V12" s="31">
        <f ca="1">'term loan '!$C$27*Tax!V45*depre!V4/depre!V3</f>
        <v>1262.069595515831</v>
      </c>
      <c r="W12" s="31">
        <f ca="1">'term loan '!$C$27*Tax!W45*depre!W4/depre!W3</f>
        <v>1262.069595515831</v>
      </c>
      <c r="X12" s="31">
        <f ca="1">'term loan '!$C$27*Tax!X45*depre!X4/depre!X3</f>
        <v>1262.069595515831</v>
      </c>
      <c r="Y12" s="31">
        <f ca="1">'term loan '!$C$27*Tax!Y45*depre!Y4/depre!Y3</f>
        <v>1262.069595515831</v>
      </c>
      <c r="Z12" s="31">
        <f ca="1">'term loan '!$C$27*Tax!Z45*depre!Z4/depre!Z3</f>
        <v>1262.069595515831</v>
      </c>
    </row>
    <row r="13" spans="1:250">
      <c r="A13" s="23" t="s">
        <v>213</v>
      </c>
      <c r="B13" s="42">
        <f>0</f>
        <v>0</v>
      </c>
      <c r="C13" s="42">
        <f>0</f>
        <v>0</v>
      </c>
      <c r="D13" s="42">
        <f>0</f>
        <v>0</v>
      </c>
      <c r="E13" s="42">
        <f>0</f>
        <v>0</v>
      </c>
      <c r="F13" s="42">
        <f>0</f>
        <v>0</v>
      </c>
      <c r="G13" s="42">
        <f>0</f>
        <v>0</v>
      </c>
      <c r="H13" s="42">
        <f>0</f>
        <v>0</v>
      </c>
      <c r="I13" s="42">
        <f>0</f>
        <v>0</v>
      </c>
      <c r="J13" s="42">
        <f>0</f>
        <v>0</v>
      </c>
      <c r="K13" s="42">
        <f>0</f>
        <v>0</v>
      </c>
      <c r="L13" s="42">
        <f>0</f>
        <v>0</v>
      </c>
      <c r="M13" s="42">
        <f>0</f>
        <v>0</v>
      </c>
      <c r="N13" s="42">
        <f>0</f>
        <v>0</v>
      </c>
      <c r="O13" s="42">
        <f>0</f>
        <v>0</v>
      </c>
      <c r="P13" s="42">
        <f>0</f>
        <v>0</v>
      </c>
      <c r="Q13" s="42">
        <f>0</f>
        <v>0</v>
      </c>
      <c r="R13" s="42">
        <f>0</f>
        <v>0</v>
      </c>
      <c r="S13" s="42">
        <f>0</f>
        <v>0</v>
      </c>
      <c r="T13" s="42">
        <f>0</f>
        <v>0</v>
      </c>
      <c r="U13" s="42">
        <f>0</f>
        <v>0</v>
      </c>
      <c r="V13" s="42">
        <f>0</f>
        <v>0</v>
      </c>
      <c r="W13" s="42">
        <f>0</f>
        <v>0</v>
      </c>
      <c r="X13" s="42">
        <f>0</f>
        <v>0</v>
      </c>
      <c r="Y13" s="42">
        <f>0</f>
        <v>0</v>
      </c>
      <c r="Z13" s="31">
        <f>-Assumption!$D$36*Assumption!$D$10</f>
        <v>-1791.596</v>
      </c>
    </row>
    <row r="14" spans="1:250">
      <c r="A14" s="23" t="s">
        <v>68</v>
      </c>
      <c r="B14" s="31">
        <f t="shared" ref="B14:Z14" ca="1" si="0">B43</f>
        <v>291.29145466411558</v>
      </c>
      <c r="C14" s="31">
        <f t="shared" ca="1" si="0"/>
        <v>294.56138521948833</v>
      </c>
      <c r="D14" s="31">
        <f t="shared" ca="1" si="0"/>
        <v>297.76309258760352</v>
      </c>
      <c r="E14" s="31">
        <f t="shared" ca="1" si="0"/>
        <v>298.35017333479379</v>
      </c>
      <c r="F14" s="31">
        <f t="shared" ca="1" si="0"/>
        <v>300.50893757064659</v>
      </c>
      <c r="G14" s="31">
        <f t="shared" ca="1" si="0"/>
        <v>302.85685700338587</v>
      </c>
      <c r="H14" s="31">
        <f t="shared" ca="1" si="0"/>
        <v>306.81103695903454</v>
      </c>
      <c r="I14" s="31">
        <f t="shared" ca="1" si="0"/>
        <v>308.16223765792915</v>
      </c>
      <c r="J14" s="31">
        <f t="shared" ca="1" si="0"/>
        <v>311.14224599628034</v>
      </c>
      <c r="K14" s="31">
        <f t="shared" ca="1" si="0"/>
        <v>314.35657315907355</v>
      </c>
      <c r="L14" s="31">
        <f t="shared" ca="1" si="0"/>
        <v>319.24913193462379</v>
      </c>
      <c r="M14" s="31">
        <f t="shared" ca="1" si="0"/>
        <v>321.54068982545255</v>
      </c>
      <c r="N14" s="31">
        <f t="shared" ca="1" si="0"/>
        <v>314.6743558322064</v>
      </c>
      <c r="O14" s="31">
        <f t="shared" ca="1" si="0"/>
        <v>320.34989103647769</v>
      </c>
      <c r="P14" s="31">
        <f t="shared" ca="1" si="0"/>
        <v>327.78650467814214</v>
      </c>
      <c r="Q14" s="31">
        <f t="shared" ca="1" si="0"/>
        <v>332.97068552050325</v>
      </c>
      <c r="R14" s="31">
        <f t="shared" ca="1" si="0"/>
        <v>340.39130997692359</v>
      </c>
      <c r="S14" s="31">
        <f t="shared" ca="1" si="0"/>
        <v>353.44256399320687</v>
      </c>
      <c r="T14" s="31">
        <f t="shared" ca="1" si="0"/>
        <v>363.28012008822424</v>
      </c>
      <c r="U14" s="31">
        <f t="shared" ca="1" si="0"/>
        <v>370.38696357061644</v>
      </c>
      <c r="V14" s="31">
        <f t="shared" ca="1" si="0"/>
        <v>379.48545465996312</v>
      </c>
      <c r="W14" s="31">
        <f t="shared" ca="1" si="0"/>
        <v>389.03279760269231</v>
      </c>
      <c r="X14" s="31">
        <f t="shared" ca="1" si="0"/>
        <v>400.74085384410699</v>
      </c>
      <c r="Y14" s="31">
        <f t="shared" ca="1" si="0"/>
        <v>409.57616846348935</v>
      </c>
      <c r="Z14" s="31">
        <f t="shared" ca="1" si="0"/>
        <v>384.84069878913891</v>
      </c>
    </row>
    <row r="15" spans="1:250">
      <c r="A15" s="23" t="s">
        <v>22</v>
      </c>
      <c r="B15" s="31">
        <f t="shared" ref="B15:P15" ca="1" si="1">SUM(B9:B14)</f>
        <v>4385.2528834496143</v>
      </c>
      <c r="C15" s="31">
        <f t="shared" ca="1" si="1"/>
        <v>4326.8642099431991</v>
      </c>
      <c r="D15" s="32">
        <f t="shared" ca="1" si="1"/>
        <v>4262.6651235731497</v>
      </c>
      <c r="E15" s="32">
        <f t="shared" ca="1" si="1"/>
        <v>4191.6048077441337</v>
      </c>
      <c r="F15" s="32">
        <f t="shared" ca="1" si="1"/>
        <v>4128.0489240160678</v>
      </c>
      <c r="G15" s="32">
        <f t="shared" ca="1" si="1"/>
        <v>4067.4164055117853</v>
      </c>
      <c r="H15" s="32">
        <f t="shared" ca="1" si="1"/>
        <v>4013.3832221647958</v>
      </c>
      <c r="I15" s="32">
        <f t="shared" ca="1" si="1"/>
        <v>3955.5980735248604</v>
      </c>
      <c r="J15" s="32">
        <f t="shared" ca="1" si="1"/>
        <v>3904.7749501843955</v>
      </c>
      <c r="K15" s="32">
        <f t="shared" ca="1" si="1"/>
        <v>3857.6016944267767</v>
      </c>
      <c r="L15" s="32">
        <f t="shared" ca="1" si="1"/>
        <v>3816.5760504965638</v>
      </c>
      <c r="M15" s="32">
        <f t="shared" ca="1" si="1"/>
        <v>3775.0499442125147</v>
      </c>
      <c r="N15" s="32">
        <f t="shared" ca="1" si="1"/>
        <v>3185.353704247796</v>
      </c>
      <c r="O15" s="32">
        <f t="shared" ca="1" si="1"/>
        <v>3225.8074049778952</v>
      </c>
      <c r="P15" s="31">
        <f t="shared" ca="1" si="1"/>
        <v>3272.6229459007805</v>
      </c>
      <c r="Q15" s="31">
        <f t="shared" ref="Q15:Z15" ca="1" si="2">SUM(Q9:Q14)</f>
        <v>3338.403324756111</v>
      </c>
      <c r="R15" s="31">
        <f t="shared" ca="1" si="2"/>
        <v>3433.5920176714662</v>
      </c>
      <c r="S15" s="31">
        <f t="shared" ca="1" si="2"/>
        <v>3803.557526027088</v>
      </c>
      <c r="T15" s="31">
        <f t="shared" ca="1" si="2"/>
        <v>3917.5395020275091</v>
      </c>
      <c r="U15" s="31">
        <f t="shared" ca="1" si="2"/>
        <v>4034.747826233895</v>
      </c>
      <c r="V15" s="31">
        <f t="shared" ca="1" si="2"/>
        <v>4160.2456027446478</v>
      </c>
      <c r="W15" s="31">
        <f t="shared" ca="1" si="2"/>
        <v>4292.8502702348869</v>
      </c>
      <c r="X15" s="31">
        <f t="shared" ca="1" si="2"/>
        <v>4434.6545299879299</v>
      </c>
      <c r="Y15" s="31">
        <f t="shared" ca="1" si="2"/>
        <v>4581.027550959805</v>
      </c>
      <c r="Z15" s="31">
        <f t="shared" ca="1" si="2"/>
        <v>2910.1009444413103</v>
      </c>
    </row>
    <row r="16" spans="1:250">
      <c r="B16" s="48"/>
      <c r="C16" s="48"/>
      <c r="D16" s="71"/>
      <c r="E16" s="71"/>
      <c r="F16" s="71"/>
      <c r="G16" s="71"/>
      <c r="H16" s="71"/>
      <c r="I16" s="71"/>
      <c r="J16" s="71"/>
      <c r="K16" s="71"/>
      <c r="L16" s="71"/>
      <c r="M16" s="71"/>
      <c r="N16" s="71"/>
      <c r="O16" s="71"/>
    </row>
    <row r="17" spans="1:26">
      <c r="A17" s="23" t="s">
        <v>99</v>
      </c>
      <c r="B17" s="49">
        <f>Assumption!$D$50</f>
        <v>0.85</v>
      </c>
      <c r="C17" s="49">
        <f>Assumption!$D$50</f>
        <v>0.85</v>
      </c>
      <c r="D17" s="49">
        <f>Assumption!$D$50</f>
        <v>0.85</v>
      </c>
      <c r="E17" s="49">
        <f>Assumption!$D$50</f>
        <v>0.85</v>
      </c>
      <c r="F17" s="49">
        <f>Assumption!$D$50</f>
        <v>0.85</v>
      </c>
      <c r="G17" s="49">
        <f>Assumption!$D$50</f>
        <v>0.85</v>
      </c>
      <c r="H17" s="49">
        <f>Assumption!$D$50</f>
        <v>0.85</v>
      </c>
      <c r="I17" s="49">
        <f>Assumption!$D$50</f>
        <v>0.85</v>
      </c>
      <c r="J17" s="49">
        <f>Assumption!$D$50</f>
        <v>0.85</v>
      </c>
      <c r="K17" s="49">
        <f>Assumption!$D$50</f>
        <v>0.85</v>
      </c>
      <c r="L17" s="49">
        <f>Assumption!$D$50</f>
        <v>0.85</v>
      </c>
      <c r="M17" s="49">
        <f>Assumption!$D$50</f>
        <v>0.85</v>
      </c>
      <c r="N17" s="49">
        <f>Assumption!$D$50</f>
        <v>0.85</v>
      </c>
      <c r="O17" s="49">
        <f>Assumption!$D$50</f>
        <v>0.85</v>
      </c>
      <c r="P17" s="49">
        <f>Assumption!$D$50</f>
        <v>0.85</v>
      </c>
      <c r="Q17" s="49">
        <f>Assumption!$D$50</f>
        <v>0.85</v>
      </c>
      <c r="R17" s="49">
        <f>Assumption!$D$50</f>
        <v>0.85</v>
      </c>
      <c r="S17" s="49">
        <f>Assumption!$D$50</f>
        <v>0.85</v>
      </c>
      <c r="T17" s="49">
        <f>Assumption!$D$50</f>
        <v>0.85</v>
      </c>
      <c r="U17" s="49">
        <f>Assumption!$D$50</f>
        <v>0.85</v>
      </c>
      <c r="V17" s="49">
        <f>Assumption!$D$50</f>
        <v>0.85</v>
      </c>
      <c r="W17" s="49">
        <f>Assumption!$D$50</f>
        <v>0.85</v>
      </c>
      <c r="X17" s="49">
        <f>Assumption!$D$50</f>
        <v>0.85</v>
      </c>
      <c r="Y17" s="49">
        <f>Assumption!$D$50</f>
        <v>0.85</v>
      </c>
      <c r="Z17" s="49">
        <f>Assumption!$D$50</f>
        <v>0.85</v>
      </c>
    </row>
    <row r="19" spans="1:26">
      <c r="A19" s="23" t="s">
        <v>52</v>
      </c>
      <c r="B19" s="31">
        <f ca="1">B15</f>
        <v>4385.2528834496143</v>
      </c>
      <c r="C19" s="31">
        <f t="shared" ref="C19:P19" ca="1" si="3">C15</f>
        <v>4326.8642099431991</v>
      </c>
      <c r="D19" s="31">
        <f t="shared" ca="1" si="3"/>
        <v>4262.6651235731497</v>
      </c>
      <c r="E19" s="31">
        <f t="shared" ca="1" si="3"/>
        <v>4191.6048077441337</v>
      </c>
      <c r="F19" s="31">
        <f t="shared" ca="1" si="3"/>
        <v>4128.0489240160678</v>
      </c>
      <c r="G19" s="31">
        <f t="shared" ca="1" si="3"/>
        <v>4067.4164055117853</v>
      </c>
      <c r="H19" s="31">
        <f t="shared" ca="1" si="3"/>
        <v>4013.3832221647958</v>
      </c>
      <c r="I19" s="31">
        <f t="shared" ca="1" si="3"/>
        <v>3955.5980735248604</v>
      </c>
      <c r="J19" s="31">
        <f t="shared" ca="1" si="3"/>
        <v>3904.7749501843955</v>
      </c>
      <c r="K19" s="31">
        <f t="shared" ca="1" si="3"/>
        <v>3857.6016944267767</v>
      </c>
      <c r="L19" s="31">
        <f t="shared" ca="1" si="3"/>
        <v>3816.5760504965638</v>
      </c>
      <c r="M19" s="31">
        <f t="shared" ca="1" si="3"/>
        <v>3775.0499442125147</v>
      </c>
      <c r="N19" s="31">
        <f t="shared" ca="1" si="3"/>
        <v>3185.353704247796</v>
      </c>
      <c r="O19" s="31">
        <f t="shared" ca="1" si="3"/>
        <v>3225.8074049778952</v>
      </c>
      <c r="P19" s="31">
        <f t="shared" ca="1" si="3"/>
        <v>3272.6229459007805</v>
      </c>
      <c r="Q19" s="31">
        <f t="shared" ref="Q19:Z19" ca="1" si="4">Q15</f>
        <v>3338.403324756111</v>
      </c>
      <c r="R19" s="31">
        <f t="shared" ca="1" si="4"/>
        <v>3433.5920176714662</v>
      </c>
      <c r="S19" s="31">
        <f t="shared" ca="1" si="4"/>
        <v>3803.557526027088</v>
      </c>
      <c r="T19" s="31">
        <f t="shared" ca="1" si="4"/>
        <v>3917.5395020275091</v>
      </c>
      <c r="U19" s="31">
        <f t="shared" ca="1" si="4"/>
        <v>4034.747826233895</v>
      </c>
      <c r="V19" s="31">
        <f t="shared" ca="1" si="4"/>
        <v>4160.2456027446478</v>
      </c>
      <c r="W19" s="31">
        <f t="shared" ca="1" si="4"/>
        <v>4292.8502702348869</v>
      </c>
      <c r="X19" s="31">
        <f t="shared" ca="1" si="4"/>
        <v>4434.6545299879299</v>
      </c>
      <c r="Y19" s="31">
        <f t="shared" ca="1" si="4"/>
        <v>4581.027550959805</v>
      </c>
      <c r="Z19" s="31">
        <f t="shared" ca="1" si="4"/>
        <v>2910.1009444413103</v>
      </c>
    </row>
    <row r="20" spans="1:26" s="45" customFormat="1">
      <c r="A20" s="42" t="s">
        <v>71</v>
      </c>
      <c r="B20" s="42">
        <f ca="1">B19/fuel!B52</f>
        <v>1.591695241647078</v>
      </c>
      <c r="C20" s="42">
        <f ca="1">C19/fuel!C52</f>
        <v>1.5661994254119902</v>
      </c>
      <c r="D20" s="42">
        <f ca="1">D19/fuel!D52</f>
        <v>1.5387454759921395</v>
      </c>
      <c r="E20" s="42">
        <f ca="1">E19/fuel!E52</f>
        <v>1.5172394424481324</v>
      </c>
      <c r="F20" s="42">
        <f ca="1">F19/fuel!F52</f>
        <v>1.4942340547709083</v>
      </c>
      <c r="G20" s="42">
        <f ca="1">G19/fuel!G52</f>
        <v>1.4722868405679612</v>
      </c>
      <c r="H20" s="42">
        <f ca="1">H19/fuel!H52</f>
        <v>1.448759191140073</v>
      </c>
      <c r="I20" s="42">
        <f ca="1">I19/fuel!I52</f>
        <v>1.4318118455574875</v>
      </c>
      <c r="J20" s="42">
        <f ca="1">J19/fuel!J52</f>
        <v>1.4134153480684839</v>
      </c>
      <c r="K20" s="42">
        <f ca="1">K19/fuel!K52</f>
        <v>1.3963399968493235</v>
      </c>
      <c r="L20" s="42">
        <f ca="1">L19/fuel!L52</f>
        <v>1.3777153403405875</v>
      </c>
      <c r="M20" s="42">
        <f ca="1">M19/fuel!M52</f>
        <v>1.3664586561187282</v>
      </c>
      <c r="N20" s="42">
        <f ca="1">N19/fuel!N52</f>
        <v>1.1530057102005391</v>
      </c>
      <c r="O20" s="42">
        <f ca="1">O19/fuel!O52</f>
        <v>1.1676487772729169</v>
      </c>
      <c r="P20" s="42">
        <f ca="1">P19/fuel!P52</f>
        <v>1.1813580486969442</v>
      </c>
      <c r="Q20" s="42">
        <f ca="1">Q19/fuel!Q52</f>
        <v>1.2084052365246603</v>
      </c>
      <c r="R20" s="42">
        <f ca="1">R19/fuel!R52</f>
        <v>1.2428607842183339</v>
      </c>
      <c r="S20" s="42">
        <f ca="1">S19/fuel!S52</f>
        <v>1.3767775744141686</v>
      </c>
      <c r="T20" s="42">
        <f ca="1">T19/fuel!T52</f>
        <v>1.414161331235966</v>
      </c>
      <c r="U20" s="42">
        <f ca="1">U19/fuel!U52</f>
        <v>1.4604617618015701</v>
      </c>
      <c r="V20" s="42">
        <f ca="1">V19/fuel!V52</f>
        <v>1.5058883192169699</v>
      </c>
      <c r="W20" s="42">
        <f ca="1">W19/fuel!W52</f>
        <v>1.5538873651664351</v>
      </c>
      <c r="X20" s="42">
        <f ca="1">X19/fuel!X52</f>
        <v>1.6008305597055599</v>
      </c>
      <c r="Y20" s="42">
        <f ca="1">Y19/fuel!Y52</f>
        <v>1.6581991876754389</v>
      </c>
      <c r="Z20" s="42">
        <f ca="1">Z19/fuel!Z52</f>
        <v>1.0533721896335413</v>
      </c>
    </row>
    <row r="21" spans="1:26">
      <c r="B21" s="50"/>
      <c r="C21" s="50"/>
      <c r="D21" s="50"/>
      <c r="E21" s="50"/>
      <c r="F21" s="50"/>
      <c r="G21" s="50"/>
      <c r="H21" s="50"/>
      <c r="I21" s="50"/>
      <c r="J21" s="50"/>
      <c r="K21" s="50"/>
      <c r="L21" s="50"/>
      <c r="M21" s="50"/>
      <c r="N21" s="50"/>
      <c r="O21" s="50"/>
      <c r="P21" s="50"/>
    </row>
    <row r="22" spans="1:26">
      <c r="B22" s="50"/>
      <c r="C22" s="50"/>
      <c r="D22" s="50"/>
      <c r="E22" s="50"/>
      <c r="F22" s="50"/>
      <c r="G22" s="50"/>
      <c r="H22" s="50"/>
      <c r="I22" s="50"/>
      <c r="J22" s="50"/>
      <c r="K22" s="50"/>
      <c r="L22" s="50"/>
      <c r="M22" s="50"/>
      <c r="N22" s="50"/>
      <c r="O22" s="50"/>
      <c r="P22" s="50"/>
    </row>
    <row r="23" spans="1:26">
      <c r="A23" s="23" t="s">
        <v>273</v>
      </c>
      <c r="B23" s="31">
        <f t="shared" ref="B23:Z23" ca="1" si="5">B20+B6</f>
        <v>3.7471938455391887</v>
      </c>
      <c r="C23" s="31">
        <f t="shared" ca="1" si="5"/>
        <v>3.736786519531345</v>
      </c>
      <c r="D23" s="31">
        <f t="shared" ca="1" si="5"/>
        <v>3.7245266797703294</v>
      </c>
      <c r="E23" s="31">
        <f t="shared" ca="1" si="5"/>
        <v>3.7183211146527695</v>
      </c>
      <c r="F23" s="31">
        <f t="shared" ca="1" si="5"/>
        <v>3.7107232986809771</v>
      </c>
      <c r="G23" s="31">
        <f t="shared" ca="1" si="5"/>
        <v>3.704291509185401</v>
      </c>
      <c r="H23" s="31">
        <f t="shared" ca="1" si="5"/>
        <v>3.6963878924378344</v>
      </c>
      <c r="I23" s="31">
        <f t="shared" ca="1" si="5"/>
        <v>3.6951739477643333</v>
      </c>
      <c r="J23" s="31">
        <f t="shared" ca="1" si="5"/>
        <v>3.6926209849907776</v>
      </c>
      <c r="K23" s="31">
        <f t="shared" ca="1" si="5"/>
        <v>3.6915000732300731</v>
      </c>
      <c r="L23" s="31">
        <f t="shared" ca="1" si="5"/>
        <v>3.6889415372560017</v>
      </c>
      <c r="M23" s="31">
        <f t="shared" ca="1" si="5"/>
        <v>3.69386343641255</v>
      </c>
      <c r="N23" s="31">
        <f t="shared" ca="1" si="5"/>
        <v>3.4967023239564177</v>
      </c>
      <c r="O23" s="31">
        <f t="shared" ca="1" si="5"/>
        <v>3.5277512673250868</v>
      </c>
      <c r="P23" s="31">
        <f t="shared" ca="1" si="5"/>
        <v>3.5579812561794784</v>
      </c>
      <c r="Q23" s="31">
        <f t="shared" ca="1" si="5"/>
        <v>3.601664806459572</v>
      </c>
      <c r="R23" s="31">
        <f t="shared" ca="1" si="5"/>
        <v>3.6528731711427902</v>
      </c>
      <c r="S23" s="31">
        <f t="shared" ca="1" si="5"/>
        <v>3.8036600480470959</v>
      </c>
      <c r="T23" s="31">
        <f t="shared" ca="1" si="5"/>
        <v>3.8580319821843236</v>
      </c>
      <c r="U23" s="31">
        <f t="shared" ca="1" si="5"/>
        <v>3.9214395073065651</v>
      </c>
      <c r="V23" s="31">
        <f t="shared" ca="1" si="5"/>
        <v>3.9840929089405002</v>
      </c>
      <c r="W23" s="31">
        <f t="shared" ca="1" si="5"/>
        <v>4.0494393870180287</v>
      </c>
      <c r="X23" s="31">
        <f t="shared" ca="1" si="5"/>
        <v>4.1138514457101145</v>
      </c>
      <c r="Y23" s="31">
        <f t="shared" ca="1" si="5"/>
        <v>4.1888112198820258</v>
      </c>
      <c r="Z23" s="31">
        <f t="shared" ca="1" si="5"/>
        <v>3.6016985060655737</v>
      </c>
    </row>
    <row r="24" spans="1:26">
      <c r="B24" s="50"/>
      <c r="C24" s="50"/>
      <c r="D24" s="50"/>
      <c r="E24" s="50"/>
      <c r="F24" s="50"/>
      <c r="G24" s="50"/>
      <c r="H24" s="50"/>
      <c r="I24" s="50"/>
      <c r="J24" s="50"/>
      <c r="K24" s="50"/>
      <c r="L24" s="50"/>
      <c r="M24" s="50"/>
      <c r="N24" s="50"/>
      <c r="O24" s="50"/>
      <c r="P24" s="50"/>
    </row>
    <row r="25" spans="1:26">
      <c r="A25" s="22" t="s">
        <v>53</v>
      </c>
      <c r="B25" s="50"/>
      <c r="C25" s="50"/>
      <c r="D25" s="50"/>
      <c r="E25" s="50"/>
      <c r="F25" s="50"/>
      <c r="G25" s="50"/>
      <c r="H25" s="50"/>
      <c r="I25" s="50"/>
      <c r="J25" s="50"/>
      <c r="K25" s="50"/>
      <c r="L25" s="50"/>
      <c r="M25" s="50"/>
      <c r="N25" s="50"/>
      <c r="O25" s="50"/>
      <c r="P25" s="50"/>
    </row>
    <row r="26" spans="1:26">
      <c r="A26" s="22" t="s">
        <v>15</v>
      </c>
      <c r="B26" s="50"/>
      <c r="C26" s="50"/>
      <c r="D26" s="50"/>
      <c r="E26" s="50"/>
      <c r="F26" s="50"/>
      <c r="G26" s="50"/>
      <c r="H26" s="50"/>
      <c r="I26" s="50"/>
      <c r="J26" s="50"/>
      <c r="K26" s="50"/>
      <c r="L26" s="50"/>
      <c r="M26" s="50"/>
      <c r="N26" s="50"/>
      <c r="O26" s="50"/>
      <c r="P26" s="50"/>
    </row>
    <row r="27" spans="1:26" s="45" customFormat="1">
      <c r="A27" s="42" t="s">
        <v>48</v>
      </c>
      <c r="B27" s="42">
        <v>1</v>
      </c>
      <c r="C27" s="42">
        <f>B27/Assumption!$D$63</f>
        <v>0.90752336872674466</v>
      </c>
      <c r="D27" s="42">
        <f>C27/Assumption!$D$63</f>
        <v>0.82359866478513888</v>
      </c>
      <c r="E27" s="42">
        <f>D27/Assumption!$D$63</f>
        <v>0.74743503474465811</v>
      </c>
      <c r="F27" s="42">
        <f>E27/Assumption!$D$63</f>
        <v>0.6783147606358636</v>
      </c>
      <c r="G27" s="42">
        <f>F27/Assumption!$D$63</f>
        <v>0.6155864966293344</v>
      </c>
      <c r="H27" s="42">
        <f>G27/Assumption!$D$63</f>
        <v>0.55865913116374843</v>
      </c>
      <c r="I27" s="42">
        <f>H27/Assumption!$D$63</f>
        <v>0.50699621668368122</v>
      </c>
      <c r="J27" s="42">
        <f>I27/Assumption!$D$63</f>
        <v>0.46011091449648894</v>
      </c>
      <c r="K27" s="42">
        <f>J27/Assumption!$D$63</f>
        <v>0.41756140711179679</v>
      </c>
      <c r="L27" s="42">
        <f>K27/Assumption!$D$63</f>
        <v>0.37894673483237751</v>
      </c>
      <c r="M27" s="42">
        <f>L27/Assumption!$D$63</f>
        <v>0.34390301736307965</v>
      </c>
      <c r="N27" s="42">
        <f>M27/Assumption!$D$63</f>
        <v>0.31210002483263422</v>
      </c>
      <c r="O27" s="42">
        <f>N27/Assumption!$D$63</f>
        <v>0.28323806591581285</v>
      </c>
      <c r="P27" s="42">
        <f>O27/Assumption!$D$63</f>
        <v>0.25704516373156622</v>
      </c>
      <c r="Q27" s="42">
        <f>P27/Assumption!$D$63</f>
        <v>0.23327449290458863</v>
      </c>
      <c r="R27" s="42">
        <f>Q27/Assumption!$D$63</f>
        <v>0.21170205363879535</v>
      </c>
      <c r="S27" s="42">
        <f>R27/Assumption!$D$63</f>
        <v>0.19212456088464955</v>
      </c>
      <c r="T27" s="42">
        <f>S27/Assumption!$D$63</f>
        <v>0.17435752870918372</v>
      </c>
      <c r="U27" s="42">
        <f>T27/Assumption!$D$63</f>
        <v>0.15823353181702851</v>
      </c>
      <c r="V27" s="42">
        <f>U27/Assumption!$D$63</f>
        <v>0.14360062784012023</v>
      </c>
      <c r="W27" s="42">
        <f>V27/Assumption!$D$63</f>
        <v>0.13032092552874147</v>
      </c>
      <c r="X27" s="42">
        <f>W27/Assumption!$D$63</f>
        <v>0.11826928535143068</v>
      </c>
      <c r="Y27" s="42">
        <f>X27/Assumption!$D$63</f>
        <v>0.10733214025903499</v>
      </c>
      <c r="Z27" s="42">
        <f>Y27/Assumption!$D$63</f>
        <v>9.7406425500530885E-2</v>
      </c>
    </row>
    <row r="28" spans="1:26" s="45" customFormat="1">
      <c r="A28" s="42" t="s">
        <v>39</v>
      </c>
      <c r="B28" s="42">
        <f t="shared" ref="B28:P28" ca="1" si="6">B20*B27</f>
        <v>1.591695241647078</v>
      </c>
      <c r="C28" s="42">
        <f t="shared" ca="1" si="6"/>
        <v>1.4213625786477813</v>
      </c>
      <c r="D28" s="42">
        <f t="shared" ca="1" si="6"/>
        <v>1.2673087194712991</v>
      </c>
      <c r="E28" s="42">
        <f t="shared" ca="1" si="6"/>
        <v>1.1340379153821856</v>
      </c>
      <c r="F28" s="42">
        <f t="shared" ca="1" si="6"/>
        <v>1.0135610151958845</v>
      </c>
      <c r="G28" s="42">
        <f t="shared" ca="1" si="6"/>
        <v>0.90631989821870262</v>
      </c>
      <c r="H28" s="42">
        <f t="shared" ca="1" si="6"/>
        <v>0.80936255098780818</v>
      </c>
      <c r="I28" s="42">
        <f t="shared" ca="1" si="6"/>
        <v>0.72592318870052541</v>
      </c>
      <c r="J28" s="42">
        <f t="shared" ca="1" si="6"/>
        <v>0.65032782836316338</v>
      </c>
      <c r="K28" s="42">
        <f t="shared" ca="1" si="6"/>
        <v>0.58305769389088546</v>
      </c>
      <c r="L28" s="42">
        <f t="shared" ca="1" si="6"/>
        <v>0.52208072975054332</v>
      </c>
      <c r="M28" s="42">
        <f t="shared" ca="1" si="6"/>
        <v>0.46992925494112947</v>
      </c>
      <c r="N28" s="42">
        <f t="shared" ca="1" si="6"/>
        <v>0.35985311078575732</v>
      </c>
      <c r="O28" s="42">
        <f t="shared" ca="1" si="6"/>
        <v>0.33072258134374471</v>
      </c>
      <c r="P28" s="42">
        <f t="shared" ca="1" si="6"/>
        <v>0.30366237305290961</v>
      </c>
      <c r="Q28" s="42">
        <f t="shared" ref="Q28:Z28" ca="1" si="7">Q20*Q27</f>
        <v>0.28189011877353959</v>
      </c>
      <c r="R28" s="42">
        <f t="shared" ca="1" si="7"/>
        <v>0.26311618040614498</v>
      </c>
      <c r="S28" s="42">
        <f t="shared" ca="1" si="7"/>
        <v>0.26451278692015506</v>
      </c>
      <c r="T28" s="42">
        <f t="shared" ca="1" si="7"/>
        <v>0.24656967491039242</v>
      </c>
      <c r="U28" s="42">
        <f t="shared" ca="1" si="7"/>
        <v>0.23109402265358225</v>
      </c>
      <c r="V28" s="42">
        <f t="shared" ca="1" si="7"/>
        <v>0.21624650809666027</v>
      </c>
      <c r="W28" s="42">
        <f t="shared" ca="1" si="7"/>
        <v>0.20250403959590729</v>
      </c>
      <c r="X28" s="42">
        <f t="shared" ca="1" si="7"/>
        <v>0.18932908626510733</v>
      </c>
      <c r="Y28" s="42">
        <f t="shared" ca="1" si="7"/>
        <v>0.17797806778899811</v>
      </c>
      <c r="Z28" s="42">
        <f t="shared" ca="1" si="7"/>
        <v>0.10260521971387063</v>
      </c>
    </row>
    <row r="29" spans="1:26">
      <c r="A29" s="23" t="s">
        <v>73</v>
      </c>
      <c r="B29" s="31">
        <f ca="1">SUM(B28:Z28)/SUM(B27:Z27)</f>
        <v>1.4471059558615453</v>
      </c>
      <c r="C29" s="192" t="s">
        <v>72</v>
      </c>
      <c r="D29" s="192"/>
      <c r="E29" s="50"/>
      <c r="F29" s="50"/>
      <c r="G29" s="50"/>
      <c r="H29" s="50"/>
      <c r="I29" s="50"/>
      <c r="J29" s="50"/>
      <c r="K29" s="50"/>
      <c r="L29" s="50"/>
      <c r="M29" s="50"/>
      <c r="N29" s="50"/>
      <c r="O29" s="50"/>
      <c r="P29" s="50"/>
    </row>
    <row r="30" spans="1:26">
      <c r="C30" s="50"/>
      <c r="D30" s="50"/>
      <c r="E30" s="50"/>
      <c r="F30" s="50"/>
      <c r="G30" s="50"/>
      <c r="H30" s="50"/>
      <c r="I30" s="50"/>
      <c r="J30" s="50"/>
      <c r="K30" s="50"/>
      <c r="L30" s="50"/>
      <c r="M30" s="50"/>
      <c r="N30" s="50"/>
      <c r="O30" s="50"/>
      <c r="P30" s="50"/>
    </row>
    <row r="31" spans="1:26">
      <c r="A31" s="22" t="s">
        <v>42</v>
      </c>
      <c r="C31" s="50"/>
      <c r="D31" s="50"/>
      <c r="E31" s="50"/>
      <c r="F31" s="50"/>
      <c r="G31" s="50"/>
      <c r="H31" s="50"/>
      <c r="I31" s="50"/>
      <c r="J31" s="50"/>
      <c r="K31" s="50"/>
      <c r="L31" s="50"/>
      <c r="M31" s="50"/>
      <c r="N31" s="50"/>
      <c r="O31" s="50"/>
      <c r="P31" s="50"/>
    </row>
    <row r="32" spans="1:26" s="45" customFormat="1">
      <c r="A32" s="42" t="s">
        <v>48</v>
      </c>
      <c r="B32" s="42">
        <v>1</v>
      </c>
      <c r="C32" s="42">
        <f>B32/Assumption!$D$63</f>
        <v>0.90752336872674466</v>
      </c>
      <c r="D32" s="42">
        <f>C32/Assumption!$D$63</f>
        <v>0.82359866478513888</v>
      </c>
      <c r="E32" s="42">
        <f>D32/Assumption!$D$63</f>
        <v>0.74743503474465811</v>
      </c>
      <c r="F32" s="42">
        <f>E32/Assumption!$D$63</f>
        <v>0.6783147606358636</v>
      </c>
      <c r="G32" s="42">
        <f>F32/Assumption!$D$63</f>
        <v>0.6155864966293344</v>
      </c>
      <c r="H32" s="42">
        <f>G32/Assumption!$D$63</f>
        <v>0.55865913116374843</v>
      </c>
      <c r="I32" s="42">
        <f>H32/Assumption!$D$63</f>
        <v>0.50699621668368122</v>
      </c>
      <c r="J32" s="42">
        <f>I32/Assumption!$D$63</f>
        <v>0.46011091449648894</v>
      </c>
      <c r="K32" s="42">
        <f>J32/Assumption!$D$63</f>
        <v>0.41756140711179679</v>
      </c>
      <c r="L32" s="42">
        <f>K32/Assumption!$D$63</f>
        <v>0.37894673483237751</v>
      </c>
      <c r="M32" s="42">
        <f>L32/Assumption!$D$63</f>
        <v>0.34390301736307965</v>
      </c>
      <c r="N32" s="42">
        <f>M32/Assumption!$D$63</f>
        <v>0.31210002483263422</v>
      </c>
      <c r="O32" s="42">
        <f>N32/Assumption!$D$63</f>
        <v>0.28323806591581285</v>
      </c>
      <c r="P32" s="42">
        <f>O32/Assumption!$D$63</f>
        <v>0.25704516373156622</v>
      </c>
      <c r="Q32" s="42">
        <f>P32/Assumption!$D$63</f>
        <v>0.23327449290458863</v>
      </c>
      <c r="R32" s="42">
        <f>Q32/Assumption!$D$63</f>
        <v>0.21170205363879535</v>
      </c>
      <c r="S32" s="42">
        <f>R32/Assumption!$D$63</f>
        <v>0.19212456088464955</v>
      </c>
      <c r="T32" s="42">
        <f>S32/Assumption!$D$63</f>
        <v>0.17435752870918372</v>
      </c>
      <c r="U32" s="42">
        <f>T32/Assumption!$D$63</f>
        <v>0.15823353181702851</v>
      </c>
      <c r="V32" s="42">
        <f>U32/Assumption!$D$63</f>
        <v>0.14360062784012023</v>
      </c>
      <c r="W32" s="42">
        <f>V32/Assumption!$D$63</f>
        <v>0.13032092552874147</v>
      </c>
      <c r="X32" s="42">
        <f>W32/Assumption!$D$63</f>
        <v>0.11826928535143068</v>
      </c>
      <c r="Y32" s="42">
        <f>X32/Assumption!$D$63</f>
        <v>0.10733214025903499</v>
      </c>
      <c r="Z32" s="42">
        <f>Y32/Assumption!$D$63</f>
        <v>9.7406425500530885E-2</v>
      </c>
    </row>
    <row r="33" spans="1:26" s="45" customFormat="1">
      <c r="A33" s="42" t="s">
        <v>39</v>
      </c>
      <c r="B33" s="42">
        <f t="shared" ref="B33:Z33" si="8">B32*B6</f>
        <v>2.1554986038921107</v>
      </c>
      <c r="C33" s="42">
        <f t="shared" si="8"/>
        <v>1.9698585117699925</v>
      </c>
      <c r="D33" s="42">
        <f t="shared" si="8"/>
        <v>1.8002064809441707</v>
      </c>
      <c r="E33" s="42">
        <f t="shared" si="8"/>
        <v>1.6451655561401031</v>
      </c>
      <c r="F33" s="42">
        <f t="shared" si="8"/>
        <v>1.5034773709348246</v>
      </c>
      <c r="G33" s="42">
        <f t="shared" si="8"/>
        <v>1.3739919344145284</v>
      </c>
      <c r="H33" s="42">
        <f t="shared" si="8"/>
        <v>1.2556582974457116</v>
      </c>
      <c r="I33" s="42">
        <f t="shared" si="8"/>
        <v>1.1475160228040944</v>
      </c>
      <c r="J33" s="42">
        <f t="shared" si="8"/>
        <v>1.0486873899298692</v>
      </c>
      <c r="K33" s="42">
        <f t="shared" si="8"/>
        <v>0.95837027104036465</v>
      </c>
      <c r="L33" s="42">
        <f t="shared" si="8"/>
        <v>0.87583162078014976</v>
      </c>
      <c r="M33" s="42">
        <f t="shared" si="8"/>
        <v>0.80040152656830088</v>
      </c>
      <c r="N33" s="42">
        <f t="shared" si="8"/>
        <v>0.73146777135337038</v>
      </c>
      <c r="O33" s="42">
        <f t="shared" si="8"/>
        <v>0.66847086464547056</v>
      </c>
      <c r="P33" s="42">
        <f t="shared" si="8"/>
        <v>0.61089950149558803</v>
      </c>
      <c r="Q33" s="42">
        <f t="shared" si="8"/>
        <v>0.55828641256562039</v>
      </c>
      <c r="R33" s="42">
        <f t="shared" si="8"/>
        <v>0.51020457160684252</v>
      </c>
      <c r="S33" s="42">
        <f t="shared" si="8"/>
        <v>0.4662637295653782</v>
      </c>
      <c r="T33" s="42">
        <f t="shared" si="8"/>
        <v>0.42610724718425974</v>
      </c>
      <c r="U33" s="42">
        <f t="shared" si="8"/>
        <v>0.38940920039436377</v>
      </c>
      <c r="V33" s="42">
        <f t="shared" si="8"/>
        <v>0.35587173500056651</v>
      </c>
      <c r="W33" s="42">
        <f t="shared" si="8"/>
        <v>0.32522264919282179</v>
      </c>
      <c r="X33" s="42">
        <f t="shared" si="8"/>
        <v>0.29721318426097787</v>
      </c>
      <c r="Y33" s="42">
        <f t="shared" si="8"/>
        <v>0.27161600558199894</v>
      </c>
      <c r="Z33" s="42">
        <f t="shared" si="8"/>
        <v>0.24822335749257907</v>
      </c>
    </row>
    <row r="34" spans="1:26">
      <c r="A34" s="42" t="s">
        <v>74</v>
      </c>
      <c r="B34" s="51">
        <f>SUM(B33:Z33)/SUM(B32:Z32)</f>
        <v>2.2717322313283965</v>
      </c>
      <c r="C34" s="52" t="s">
        <v>72</v>
      </c>
      <c r="D34" s="53"/>
    </row>
    <row r="35" spans="1:26">
      <c r="C35" s="50"/>
      <c r="D35" s="50"/>
      <c r="E35" s="50"/>
      <c r="F35" s="50"/>
      <c r="G35" s="50"/>
      <c r="H35" s="50"/>
      <c r="I35" s="50"/>
      <c r="J35" s="50"/>
      <c r="K35" s="50"/>
      <c r="L35" s="50"/>
      <c r="M35" s="50"/>
      <c r="N35" s="50"/>
      <c r="O35" s="50"/>
      <c r="P35" s="50"/>
    </row>
    <row r="37" spans="1:26">
      <c r="A37" s="22" t="s">
        <v>274</v>
      </c>
    </row>
    <row r="38" spans="1:26">
      <c r="A38" s="23" t="s">
        <v>175</v>
      </c>
      <c r="B38" s="31">
        <f>B11/12*Assumption!$D$73</f>
        <v>58.77540410958904</v>
      </c>
      <c r="C38" s="31">
        <f>C11/12*Assumption!$D$73</f>
        <v>62.308064250000001</v>
      </c>
      <c r="D38" s="31">
        <f>D11/12*Assumption!$D$73</f>
        <v>65.87208552509999</v>
      </c>
      <c r="E38" s="31">
        <f>E11/12*Assumption!$D$73</f>
        <v>69.63996881713571</v>
      </c>
      <c r="F38" s="31">
        <f>F11/12*Assumption!$D$73</f>
        <v>73.623375033475853</v>
      </c>
      <c r="G38" s="31">
        <f>G11/12*Assumption!$D$73</f>
        <v>77.834632085390666</v>
      </c>
      <c r="H38" s="31">
        <f>H11/12*Assumption!$D$73</f>
        <v>82.286773040675016</v>
      </c>
      <c r="I38" s="31">
        <f>I11/12*Assumption!$D$73</f>
        <v>86.993576458601623</v>
      </c>
      <c r="J38" s="31">
        <f>J11/12*Assumption!$D$73</f>
        <v>91.969609032033631</v>
      </c>
      <c r="K38" s="31">
        <f>K11/12*Assumption!$D$73</f>
        <v>97.230270668665938</v>
      </c>
      <c r="L38" s="31">
        <f>L11/12*Assumption!$D$73</f>
        <v>102.79184215091362</v>
      </c>
      <c r="M38" s="31">
        <f>M11/12*Assumption!$D$73</f>
        <v>108.67153552194588</v>
      </c>
      <c r="N38" s="31">
        <f>N11/12*Assumption!$D$73</f>
        <v>114.8875473538012</v>
      </c>
      <c r="O38" s="31">
        <f>O11/12*Assumption!$D$73</f>
        <v>121.45911506243858</v>
      </c>
      <c r="P38" s="31">
        <f>P11/12*Assumption!$D$73</f>
        <v>128.40657644401008</v>
      </c>
      <c r="Q38" s="31">
        <f>Q11/12*Assumption!$D$73</f>
        <v>135.75143261660745</v>
      </c>
      <c r="R38" s="31">
        <f>R11/12*Assumption!$D$73</f>
        <v>143.51641456227739</v>
      </c>
      <c r="S38" s="31">
        <f>S11/12*Assumption!$D$73</f>
        <v>151.72555347523968</v>
      </c>
      <c r="T38" s="31">
        <f>T11/12*Assumption!$D$73</f>
        <v>160.40425513402337</v>
      </c>
      <c r="U38" s="31">
        <f>U11/12*Assumption!$D$73</f>
        <v>169.57937852768947</v>
      </c>
      <c r="V38" s="31">
        <f>V11/12*Assumption!$D$73</f>
        <v>179.27931897947335</v>
      </c>
      <c r="W38" s="31">
        <f>W11/12*Assumption!$D$73</f>
        <v>189.53409602509919</v>
      </c>
      <c r="X38" s="31">
        <f>X11/12*Assumption!$D$73</f>
        <v>200.37544631773486</v>
      </c>
      <c r="Y38" s="31">
        <f>Y11/12*Assumption!$D$73</f>
        <v>211.83692184710927</v>
      </c>
      <c r="Z38" s="31">
        <f>Z11/12*Assumption!$D$73</f>
        <v>223.95399377676389</v>
      </c>
    </row>
    <row r="39" spans="1:26">
      <c r="A39" s="23" t="s">
        <v>20</v>
      </c>
      <c r="B39" s="31">
        <f>fuel!B23*Assumption!$D$72/12</f>
        <v>494.88150645221276</v>
      </c>
      <c r="C39" s="31">
        <f>fuel!C23*Assumption!$D$72/12</f>
        <v>499.71475852759062</v>
      </c>
      <c r="D39" s="31">
        <f>fuel!D23*Assumption!$D$72/12</f>
        <v>504.59142693820786</v>
      </c>
      <c r="E39" s="31">
        <f>fuel!E23*Assumption!$D$72/12</f>
        <v>506.73525117014464</v>
      </c>
      <c r="F39" s="31">
        <f>fuel!F23*Assumption!$D$72/12</f>
        <v>510.28239792833551</v>
      </c>
      <c r="G39" s="31">
        <f>fuel!G23*Assumption!$D$72/12</f>
        <v>513.85437471383398</v>
      </c>
      <c r="H39" s="31">
        <f>fuel!H23*Assumption!$D$72/12</f>
        <v>518.86903028295899</v>
      </c>
      <c r="I39" s="31">
        <f>fuel!I23*Assumption!$D$72/12</f>
        <v>521.07351482418846</v>
      </c>
      <c r="J39" s="31">
        <f>fuel!J23*Assumption!$D$72/12</f>
        <v>524.72102942795789</v>
      </c>
      <c r="K39" s="31">
        <f>fuel!K23*Assumption!$D$72/12</f>
        <v>528.39407663395343</v>
      </c>
      <c r="L39" s="31">
        <f>fuel!L23*Assumption!$D$72/12</f>
        <v>533.55062375989905</v>
      </c>
      <c r="M39" s="31">
        <f>fuel!M23*Assumption!$D$72/12</f>
        <v>535.81748501658376</v>
      </c>
      <c r="N39" s="31">
        <f>fuel!N23*Assumption!$D$72/12</f>
        <v>539.56820741169975</v>
      </c>
      <c r="O39" s="31">
        <f>fuel!O23*Assumption!$D$72/12</f>
        <v>543.34518486358172</v>
      </c>
      <c r="P39" s="31">
        <f>fuel!P23*Assumption!$D$72/12</f>
        <v>548.6476384210722</v>
      </c>
      <c r="Q39" s="31">
        <f>fuel!Q23*Assumption!$D$72/12</f>
        <v>550.97864136572991</v>
      </c>
      <c r="R39" s="31">
        <f>fuel!R23*Assumption!$D$72/12</f>
        <v>554.83549185529012</v>
      </c>
      <c r="S39" s="31">
        <f>fuel!S23*Assumption!$D$72/12</f>
        <v>558.71934029827696</v>
      </c>
      <c r="T39" s="31">
        <f>fuel!T23*Assumption!$D$72/12</f>
        <v>564.17182876442075</v>
      </c>
      <c r="U39" s="31">
        <f>fuel!U23*Assumption!$D$72/12</f>
        <v>566.56878831012727</v>
      </c>
      <c r="V39" s="31">
        <f>fuel!V23*Assumption!$D$72/12</f>
        <v>570.53476982829818</v>
      </c>
      <c r="W39" s="31">
        <f>fuel!W23*Assumption!$D$72/12</f>
        <v>574.52851321709602</v>
      </c>
      <c r="X39" s="31">
        <f>fuel!X23*Assumption!$D$72/12</f>
        <v>580.13528188580653</v>
      </c>
      <c r="Y39" s="31">
        <f>fuel!Y23*Assumption!$D$72/12</f>
        <v>582.60006429928296</v>
      </c>
      <c r="Z39" s="31">
        <f>fuel!Z23*Assumption!$D$72/12</f>
        <v>586.67826474937795</v>
      </c>
    </row>
    <row r="40" spans="1:26">
      <c r="A40" s="23" t="s">
        <v>21</v>
      </c>
      <c r="B40" s="31">
        <f>B11*Assumption!$D$74</f>
        <v>211.59145479452056</v>
      </c>
      <c r="C40" s="31">
        <f>C11*Assumption!$D$74</f>
        <v>224.30903129999999</v>
      </c>
      <c r="D40" s="31">
        <f>D11*Assumption!$D$74</f>
        <v>237.13950789035997</v>
      </c>
      <c r="E40" s="31">
        <f>E11*Assumption!$D$74</f>
        <v>250.70388774168853</v>
      </c>
      <c r="F40" s="31">
        <f>F11*Assumption!$D$74</f>
        <v>265.04415012051305</v>
      </c>
      <c r="G40" s="31">
        <f>G11*Assumption!$D$74</f>
        <v>280.20467550740636</v>
      </c>
      <c r="H40" s="31">
        <f>H11*Assumption!$D$74</f>
        <v>296.23238294643005</v>
      </c>
      <c r="I40" s="31">
        <f>I11*Assumption!$D$74</f>
        <v>313.17687525096579</v>
      </c>
      <c r="J40" s="31">
        <f>J11*Assumption!$D$74</f>
        <v>331.09059251532102</v>
      </c>
      <c r="K40" s="31">
        <f>K11*Assumption!$D$74</f>
        <v>350.02897440719738</v>
      </c>
      <c r="L40" s="31">
        <f>L11*Assumption!$D$74</f>
        <v>370.05063174328905</v>
      </c>
      <c r="M40" s="31">
        <f>M11*Assumption!$D$74</f>
        <v>391.21752787900516</v>
      </c>
      <c r="N40" s="31">
        <f>N11*Assumption!$D$74</f>
        <v>413.59517047368428</v>
      </c>
      <c r="O40" s="31">
        <f>O11*Assumption!$D$74</f>
        <v>437.25281422477889</v>
      </c>
      <c r="P40" s="31">
        <f>P11*Assumption!$D$74</f>
        <v>462.26367519843632</v>
      </c>
      <c r="Q40" s="31">
        <f>Q11*Assumption!$D$74</f>
        <v>488.70515741978681</v>
      </c>
      <c r="R40" s="31">
        <f>R11*Assumption!$D$74</f>
        <v>516.65909242419866</v>
      </c>
      <c r="S40" s="31">
        <f>S11*Assumption!$D$74</f>
        <v>546.21199251086284</v>
      </c>
      <c r="T40" s="31">
        <f>T11*Assumption!$D$74</f>
        <v>577.45531848248413</v>
      </c>
      <c r="U40" s="31">
        <f>U11*Assumption!$D$74</f>
        <v>610.48576269968203</v>
      </c>
      <c r="V40" s="31">
        <f>V11*Assumption!$D$74</f>
        <v>645.40554832610394</v>
      </c>
      <c r="W40" s="31">
        <f>W11*Assumption!$D$74</f>
        <v>682.32274569035701</v>
      </c>
      <c r="X40" s="31">
        <f>X11*Assumption!$D$74</f>
        <v>721.35160674384554</v>
      </c>
      <c r="Y40" s="31">
        <f>Y11*Assumption!$D$74</f>
        <v>762.61291864959333</v>
      </c>
      <c r="Z40" s="31">
        <f>Z11*Assumption!$D$74</f>
        <v>806.23437759634999</v>
      </c>
    </row>
    <row r="41" spans="1:26">
      <c r="A41" s="23" t="s">
        <v>70</v>
      </c>
      <c r="B41" s="31">
        <f ca="1">(B5+B15)*Assumption!$D$71/12</f>
        <v>1720.6384934793612</v>
      </c>
      <c r="C41" s="31">
        <f ca="1">(C15+C5)*Assumption!$D$71/12</f>
        <v>1720.5735520457145</v>
      </c>
      <c r="D41" s="31">
        <f ca="1">(D15+D5)*Assumption!$D$71/12</f>
        <v>1719.6270411386074</v>
      </c>
      <c r="E41" s="31">
        <f ca="1">(E15+E5)*Assumption!$D$71/12</f>
        <v>1712.0713036309783</v>
      </c>
      <c r="F41" s="31">
        <f ca="1">(F15+F5)*Assumption!$D$71/12</f>
        <v>1708.5729498593489</v>
      </c>
      <c r="G41" s="31">
        <f ca="1">(G15+G5)*Assumption!$D$71/12</f>
        <v>1705.6114836796321</v>
      </c>
      <c r="H41" s="31">
        <f ca="1">(H15+H5)*Assumption!$D$71/12</f>
        <v>1706.6352642600507</v>
      </c>
      <c r="I41" s="31">
        <f ca="1">(I15+I5)*Assumption!$D$71/12</f>
        <v>1701.4133752358539</v>
      </c>
      <c r="J41" s="31">
        <f ca="1">(J15+J5)*Assumption!$D$71/12</f>
        <v>1700.2378838866482</v>
      </c>
      <c r="K41" s="31">
        <f ca="1">(K15+K5)*Assumption!$D$71/12</f>
        <v>1699.721769005703</v>
      </c>
      <c r="L41" s="31">
        <f ca="1">(L15+L5)*Assumption!$D$71/12</f>
        <v>1703.1972559358921</v>
      </c>
      <c r="M41" s="31">
        <f ca="1">(M15+M5)*Assumption!$D$71/12</f>
        <v>1700.8099607352533</v>
      </c>
      <c r="N41" s="31">
        <f ca="1">(N15+N5)*Assumption!$D$71/12</f>
        <v>1610.0286988646988</v>
      </c>
      <c r="O41" s="31">
        <f ca="1">(O15+O5)*Assumption!$D$71/12</f>
        <v>1624.3249372234793</v>
      </c>
      <c r="P41" s="31">
        <f ca="1">(P15+P5)*Assumption!$D$71/12</f>
        <v>1642.7324344922745</v>
      </c>
      <c r="Q41" s="31">
        <f ca="1">(Q15+Q5)*Assumption!$D$71/12</f>
        <v>1658.3578368574783</v>
      </c>
      <c r="R41" s="31">
        <f ca="1">(R15+R5)*Assumption!$D$71/12</f>
        <v>1681.9363199891577</v>
      </c>
      <c r="S41" s="31">
        <f ca="1">(S15+S5)*Assumption!$D$71/12</f>
        <v>1751.3649349344021</v>
      </c>
      <c r="T41" s="31">
        <f ca="1">(T15+T5)*Assumption!$D$71/12</f>
        <v>1781.2669078667598</v>
      </c>
      <c r="U41" s="31">
        <f ca="1">(U15+U5)*Assumption!$D$71/12</f>
        <v>1805.5955476592371</v>
      </c>
      <c r="V41" s="31">
        <f ca="1">(V15+V5)*Assumption!$D$71/12</f>
        <v>1834.4438067807043</v>
      </c>
      <c r="W41" s="31">
        <f ca="1">(W15+W5)*Assumption!$D$71/12</f>
        <v>1864.53207147334</v>
      </c>
      <c r="X41" s="31">
        <f ca="1">(X15+X5)*Assumption!$D$71/12</f>
        <v>1899.3796521029346</v>
      </c>
      <c r="Y41" s="31">
        <f ca="1">(Y15+Y5)*Assumption!$D$71/12</f>
        <v>1928.7047204252001</v>
      </c>
      <c r="Z41" s="31">
        <f ca="1">(Z15+Z5)*Assumption!$D$71/12</f>
        <v>1658.3733535723077</v>
      </c>
    </row>
    <row r="42" spans="1:26">
      <c r="A42" s="23" t="s">
        <v>22</v>
      </c>
      <c r="B42" s="31">
        <f ca="1">SUM(B38:B41)</f>
        <v>2485.8868588356836</v>
      </c>
      <c r="C42" s="31">
        <f t="shared" ref="C42:Z42" ca="1" si="9">SUM(C38:C41)</f>
        <v>2506.9054061233051</v>
      </c>
      <c r="D42" s="31">
        <f t="shared" ca="1" si="9"/>
        <v>2527.2300614922751</v>
      </c>
      <c r="E42" s="31">
        <f t="shared" ca="1" si="9"/>
        <v>2539.1504113599472</v>
      </c>
      <c r="F42" s="31">
        <f t="shared" ca="1" si="9"/>
        <v>2557.5228729416731</v>
      </c>
      <c r="G42" s="31">
        <f t="shared" ca="1" si="9"/>
        <v>2577.5051659862629</v>
      </c>
      <c r="H42" s="31">
        <f t="shared" ca="1" si="9"/>
        <v>2604.023450530115</v>
      </c>
      <c r="I42" s="31">
        <f t="shared" ca="1" si="9"/>
        <v>2622.65734176961</v>
      </c>
      <c r="J42" s="31">
        <f t="shared" ca="1" si="9"/>
        <v>2648.0191148619606</v>
      </c>
      <c r="K42" s="31">
        <f t="shared" ca="1" si="9"/>
        <v>2675.3750907155199</v>
      </c>
      <c r="L42" s="31">
        <f t="shared" ca="1" si="9"/>
        <v>2709.5903535899938</v>
      </c>
      <c r="M42" s="31">
        <f t="shared" ca="1" si="9"/>
        <v>2736.5165091527879</v>
      </c>
      <c r="N42" s="31">
        <f t="shared" ca="1" si="9"/>
        <v>2678.0796241038843</v>
      </c>
      <c r="O42" s="31">
        <f t="shared" ca="1" si="9"/>
        <v>2726.3820513742785</v>
      </c>
      <c r="P42" s="31">
        <f t="shared" ca="1" si="9"/>
        <v>2782.0503245557929</v>
      </c>
      <c r="Q42" s="31">
        <f t="shared" ca="1" si="9"/>
        <v>2833.7930682596025</v>
      </c>
      <c r="R42" s="31">
        <f t="shared" ca="1" si="9"/>
        <v>2896.9473188309239</v>
      </c>
      <c r="S42" s="31">
        <f t="shared" ca="1" si="9"/>
        <v>3008.021821218782</v>
      </c>
      <c r="T42" s="31">
        <f t="shared" ca="1" si="9"/>
        <v>3083.2983102476883</v>
      </c>
      <c r="U42" s="31">
        <f t="shared" ca="1" si="9"/>
        <v>3152.2294771967358</v>
      </c>
      <c r="V42" s="31">
        <f t="shared" ca="1" si="9"/>
        <v>3229.6634439145801</v>
      </c>
      <c r="W42" s="31">
        <f t="shared" ca="1" si="9"/>
        <v>3310.917426405892</v>
      </c>
      <c r="X42" s="31">
        <f t="shared" ca="1" si="9"/>
        <v>3401.2419870503218</v>
      </c>
      <c r="Y42" s="31">
        <f t="shared" ca="1" si="9"/>
        <v>3485.754625221186</v>
      </c>
      <c r="Z42" s="31">
        <f t="shared" ca="1" si="9"/>
        <v>3275.2399896947995</v>
      </c>
    </row>
    <row r="43" spans="1:26">
      <c r="A43" s="23" t="s">
        <v>23</v>
      </c>
      <c r="B43" s="31">
        <f ca="1">B42*Assumption!$D$75*depre!B4/365</f>
        <v>291.29145466411558</v>
      </c>
      <c r="C43" s="31">
        <f ca="1">C42*Assumption!$D$75*depre!C4/365</f>
        <v>294.56138521948833</v>
      </c>
      <c r="D43" s="31">
        <f ca="1">D42*Assumption!$D$75*depre!D4/365</f>
        <v>297.76309258760352</v>
      </c>
      <c r="E43" s="31">
        <f ca="1">E42*Assumption!$D$75*depre!E4/365</f>
        <v>298.35017333479379</v>
      </c>
      <c r="F43" s="31">
        <f ca="1">F42*Assumption!$D$75*depre!F4/365</f>
        <v>300.50893757064659</v>
      </c>
      <c r="G43" s="31">
        <f ca="1">G42*Assumption!$D$75*depre!G4/365</f>
        <v>302.85685700338587</v>
      </c>
      <c r="H43" s="31">
        <f ca="1">H42*Assumption!$D$75*depre!H4/365</f>
        <v>306.81103695903454</v>
      </c>
      <c r="I43" s="31">
        <f ca="1">I42*Assumption!$D$75*depre!I4/365</f>
        <v>308.16223765792915</v>
      </c>
      <c r="J43" s="31">
        <f ca="1">J42*Assumption!$D$75*depre!J4/365</f>
        <v>311.14224599628034</v>
      </c>
      <c r="K43" s="31">
        <f ca="1">K42*Assumption!$D$75*depre!K4/365</f>
        <v>314.35657315907355</v>
      </c>
      <c r="L43" s="31">
        <f ca="1">L42*Assumption!$D$75*depre!L4/365</f>
        <v>319.24913193462379</v>
      </c>
      <c r="M43" s="31">
        <f ca="1">M42*Assumption!$D$75*depre!M4/365</f>
        <v>321.54068982545255</v>
      </c>
      <c r="N43" s="31">
        <f ca="1">N42*Assumption!$D$75*depre!N4/365</f>
        <v>314.6743558322064</v>
      </c>
      <c r="O43" s="31">
        <f ca="1">O42*Assumption!$D$75*depre!O4/365</f>
        <v>320.34989103647769</v>
      </c>
      <c r="P43" s="31">
        <f ca="1">P42*Assumption!$D$75*depre!P4/365</f>
        <v>327.78650467814214</v>
      </c>
      <c r="Q43" s="31">
        <f ca="1">Q42*Assumption!$D$75*depre!Q4/365</f>
        <v>332.97068552050325</v>
      </c>
      <c r="R43" s="31">
        <f ca="1">R42*Assumption!$D$75*depre!R4/365</f>
        <v>340.39130996263356</v>
      </c>
      <c r="S43" s="31">
        <f ca="1">S42*Assumption!$D$75*depre!S4/365</f>
        <v>353.44256399320687</v>
      </c>
      <c r="T43" s="31">
        <f ca="1">T42*Assumption!$D$75*depre!T4/365</f>
        <v>363.28012008822424</v>
      </c>
      <c r="U43" s="31">
        <f ca="1">U42*Assumption!$D$75*depre!U4/365</f>
        <v>370.38696357061644</v>
      </c>
      <c r="V43" s="31">
        <f ca="1">V42*Assumption!$D$75*depre!V4/365</f>
        <v>379.48545465996312</v>
      </c>
      <c r="W43" s="31">
        <f ca="1">W42*Assumption!$D$75*depre!W4/365</f>
        <v>389.03279760269231</v>
      </c>
      <c r="X43" s="31">
        <f ca="1">X42*Assumption!$D$75*depre!X4/365</f>
        <v>400.74085384410699</v>
      </c>
      <c r="Y43" s="31">
        <f ca="1">Y42*Assumption!$D$75*depre!Y4/365</f>
        <v>409.57616846348935</v>
      </c>
      <c r="Z43" s="31">
        <f ca="1">Z42*Assumption!$D$75*depre!Z4/365</f>
        <v>384.84069878913891</v>
      </c>
    </row>
  </sheetData>
  <customSheetViews>
    <customSheetView guid="{6D27EB6A-3939-4201-8E4B-897AA8118F21}" scale="85" showPageBreaks="1" printArea="1" view="pageBreakPreview">
      <selection activeCell="A9" sqref="A9"/>
      <rowBreaks count="1" manualBreakCount="1">
        <brk id="25" max="25" man="1"/>
      </rowBreaks>
      <pageMargins left="0.75" right="0.75" top="1" bottom="1" header="0.5" footer="0.5"/>
      <pageSetup scale="58" orientation="landscape" r:id="rId1"/>
      <headerFooter alignWithMargins="0"/>
    </customSheetView>
  </customSheetViews>
  <mergeCells count="1">
    <mergeCell ref="C29:D29"/>
  </mergeCells>
  <phoneticPr fontId="6" type="noConversion"/>
  <pageMargins left="0.75" right="0.75" top="1" bottom="1" header="0.5" footer="0.5"/>
  <pageSetup scale="58" orientation="landscape" r:id="rId2"/>
  <headerFooter alignWithMargins="0"/>
  <rowBreaks count="1" manualBreakCount="1">
    <brk id="24" max="25" man="1"/>
  </rowBreaks>
</worksheet>
</file>

<file path=xl/worksheets/sheet8.xml><?xml version="1.0" encoding="utf-8"?>
<worksheet xmlns="http://schemas.openxmlformats.org/spreadsheetml/2006/main" xmlns:r="http://schemas.openxmlformats.org/officeDocument/2006/relationships">
  <sheetPr codeName="Sheet6"/>
  <dimension ref="A1:E3"/>
  <sheetViews>
    <sheetView workbookViewId="0">
      <selection activeCell="A3" sqref="A3"/>
    </sheetView>
  </sheetViews>
  <sheetFormatPr defaultRowHeight="12.75"/>
  <cols>
    <col min="1" max="1" width="14.140625" style="1" bestFit="1" customWidth="1"/>
    <col min="2" max="2" width="2.42578125" style="2" customWidth="1"/>
    <col min="3" max="3" width="12.85546875" style="1" bestFit="1" customWidth="1"/>
    <col min="4" max="4" width="2.28515625" style="2" customWidth="1"/>
    <col min="5" max="5" width="12.7109375" style="1" bestFit="1" customWidth="1"/>
    <col min="6" max="16384" width="9.140625" style="1"/>
  </cols>
  <sheetData>
    <row r="1" spans="1:5">
      <c r="A1" s="1" t="s">
        <v>75</v>
      </c>
    </row>
    <row r="2" spans="1:5">
      <c r="A2" s="1" t="s">
        <v>76</v>
      </c>
      <c r="B2" s="2" t="s">
        <v>77</v>
      </c>
      <c r="C2" s="1" t="s">
        <v>78</v>
      </c>
      <c r="D2" s="2" t="s">
        <v>79</v>
      </c>
      <c r="E2" s="1" t="s">
        <v>80</v>
      </c>
    </row>
    <row r="3" spans="1:5">
      <c r="B3" s="3" t="s">
        <v>77</v>
      </c>
      <c r="C3" s="1">
        <f>('fixed cost'!B5)*Assumption!$D$75*depre!B4/depre!$C$4</f>
        <v>695.87119005899626</v>
      </c>
      <c r="D3" s="2" t="s">
        <v>79</v>
      </c>
    </row>
  </sheetData>
  <customSheetViews>
    <customSheetView guid="{6D27EB6A-3939-4201-8E4B-897AA8118F21}">
      <selection activeCell="A3" sqref="A3"/>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7"/>
  <dimension ref="A1:Z55"/>
  <sheetViews>
    <sheetView view="pageBreakPreview" topLeftCell="A25" zoomScaleSheetLayoutView="100" workbookViewId="0">
      <selection activeCell="B3" sqref="B3"/>
    </sheetView>
  </sheetViews>
  <sheetFormatPr defaultRowHeight="15"/>
  <cols>
    <col min="1" max="1" width="31.85546875" style="22" bestFit="1" customWidth="1"/>
    <col min="2" max="9" width="12.5703125" style="22" customWidth="1"/>
    <col min="10" max="10" width="13.140625" style="22" customWidth="1"/>
    <col min="11" max="26" width="12.5703125" style="22" customWidth="1"/>
    <col min="27" max="16384" width="9.140625" style="22"/>
  </cols>
  <sheetData>
    <row r="1" spans="1:26">
      <c r="A1" s="38" t="str">
        <f>'fixed cost'!A3</f>
        <v>Year</v>
      </c>
      <c r="B1" s="27">
        <f>'fixed cost'!B3</f>
        <v>41729</v>
      </c>
      <c r="C1" s="27">
        <f>'fixed cost'!C3</f>
        <v>42094</v>
      </c>
      <c r="D1" s="27">
        <f>'fixed cost'!D3</f>
        <v>42460</v>
      </c>
      <c r="E1" s="27">
        <f>'fixed cost'!E3</f>
        <v>42825</v>
      </c>
      <c r="F1" s="27">
        <f>'fixed cost'!F3</f>
        <v>43190</v>
      </c>
      <c r="G1" s="27">
        <f>'fixed cost'!G3</f>
        <v>43555</v>
      </c>
      <c r="H1" s="27">
        <f>'fixed cost'!H3</f>
        <v>43921</v>
      </c>
      <c r="I1" s="27">
        <f>'fixed cost'!I3</f>
        <v>44286</v>
      </c>
      <c r="J1" s="27">
        <f>'fixed cost'!J3</f>
        <v>44651</v>
      </c>
      <c r="K1" s="27">
        <f>'fixed cost'!K3</f>
        <v>45016</v>
      </c>
      <c r="L1" s="27">
        <f>'fixed cost'!L3</f>
        <v>45382</v>
      </c>
      <c r="M1" s="27">
        <f>'fixed cost'!M3</f>
        <v>45747</v>
      </c>
      <c r="N1" s="27">
        <f>'fixed cost'!N3</f>
        <v>46112</v>
      </c>
      <c r="O1" s="27">
        <f>'fixed cost'!O3</f>
        <v>46477</v>
      </c>
      <c r="P1" s="27">
        <f>'fixed cost'!P3</f>
        <v>46843</v>
      </c>
      <c r="Q1" s="27">
        <f>'fixed cost'!Q3</f>
        <v>47208</v>
      </c>
      <c r="R1" s="27">
        <f>'fixed cost'!R3</f>
        <v>47573</v>
      </c>
      <c r="S1" s="27">
        <f>'fixed cost'!S3</f>
        <v>47938</v>
      </c>
      <c r="T1" s="27">
        <f>'fixed cost'!T3</f>
        <v>48304</v>
      </c>
      <c r="U1" s="27">
        <f>'fixed cost'!U3</f>
        <v>48669</v>
      </c>
      <c r="V1" s="27">
        <f>'fixed cost'!V3</f>
        <v>49034</v>
      </c>
      <c r="W1" s="27">
        <f>'fixed cost'!W3</f>
        <v>49399</v>
      </c>
      <c r="X1" s="27">
        <f>'fixed cost'!X3</f>
        <v>49765</v>
      </c>
      <c r="Y1" s="27">
        <f>'fixed cost'!Y3</f>
        <v>50130</v>
      </c>
      <c r="Z1" s="27">
        <f>'fixed cost'!Z3</f>
        <v>50495</v>
      </c>
    </row>
    <row r="2" spans="1:26">
      <c r="A2" s="39" t="str">
        <f>PL!A29</f>
        <v>Operating profit (PBT)</v>
      </c>
      <c r="B2" s="39">
        <f ca="1">PL!C29</f>
        <v>944.4680551087863</v>
      </c>
      <c r="C2" s="39">
        <f ca="1">PL!D29</f>
        <v>902.10911845098337</v>
      </c>
      <c r="D2" s="39">
        <f ca="1">PL!E29</f>
        <v>925.19197414885446</v>
      </c>
      <c r="E2" s="39">
        <f ca="1">PL!F29</f>
        <v>948.70364424007641</v>
      </c>
      <c r="F2" s="39">
        <f ca="1">PL!G29</f>
        <v>972.00090713461998</v>
      </c>
      <c r="G2" s="39">
        <f ca="1">PL!H29</f>
        <v>995.29817002916536</v>
      </c>
      <c r="H2" s="39">
        <f ca="1">PL!I29</f>
        <v>1018.6363381971147</v>
      </c>
      <c r="I2" s="39">
        <f ca="1">PL!J29</f>
        <v>1041.8926958182587</v>
      </c>
      <c r="J2" s="39">
        <f ca="1">PL!K29</f>
        <v>1065.1899587128037</v>
      </c>
      <c r="K2" s="39">
        <f ca="1">PL!L29</f>
        <v>1088.4872216073513</v>
      </c>
      <c r="L2" s="39">
        <f ca="1">PL!M29</f>
        <v>1112.0807022453728</v>
      </c>
      <c r="M2" s="39">
        <f ca="1">PL!N29</f>
        <v>1135.0817473964394</v>
      </c>
      <c r="N2" s="39">
        <f ca="1">PL!O29</f>
        <v>546.0660921699747</v>
      </c>
      <c r="O2" s="39">
        <f ca="1">PL!P29</f>
        <v>501.98544519215454</v>
      </c>
      <c r="P2" s="39">
        <f ca="1">PL!Q29</f>
        <v>457.99483589451768</v>
      </c>
      <c r="Q2" s="39">
        <f ca="1">PL!R29</f>
        <v>430.45275983631893</v>
      </c>
      <c r="R2" s="39">
        <f ca="1">PL!S29</f>
        <v>425.0410449472123</v>
      </c>
      <c r="S2" s="39">
        <f ca="1">PL!T29</f>
        <v>683.44563233100564</v>
      </c>
      <c r="T2" s="39">
        <f ca="1">PL!U29</f>
        <v>738.18502573374076</v>
      </c>
      <c r="U2" s="39">
        <f ca="1">PL!V29</f>
        <v>1629.4083203310051</v>
      </c>
      <c r="V2" s="39">
        <f ca="1">PL!W29</f>
        <v>1629.4083203310042</v>
      </c>
      <c r="W2" s="39">
        <f ca="1">PL!X29</f>
        <v>1629.4083203310024</v>
      </c>
      <c r="X2" s="39">
        <f ca="1">PL!Y29</f>
        <v>1629.4083203310017</v>
      </c>
      <c r="Y2" s="39">
        <f ca="1">PL!Z29</f>
        <v>1629.4083203310033</v>
      </c>
      <c r="Z2" s="39">
        <f ca="1">PL!AA29</f>
        <v>1629.4083203310045</v>
      </c>
    </row>
    <row r="3" spans="1:26">
      <c r="A3" s="39" t="str">
        <f>PL!A27</f>
        <v xml:space="preserve">Book Depreciation </v>
      </c>
      <c r="B3" s="39">
        <f>PL!C27</f>
        <v>943.37100940273967</v>
      </c>
      <c r="C3" s="39">
        <f>PL!D27</f>
        <v>945.96268799999996</v>
      </c>
      <c r="D3" s="39">
        <f>PL!E27</f>
        <v>945.96268799999996</v>
      </c>
      <c r="E3" s="39">
        <f>PL!F27</f>
        <v>945.96268799999996</v>
      </c>
      <c r="F3" s="39">
        <f>PL!G27</f>
        <v>945.96268799999996</v>
      </c>
      <c r="G3" s="39">
        <f>PL!H27</f>
        <v>945.96268799999996</v>
      </c>
      <c r="H3" s="39">
        <f>PL!I27</f>
        <v>945.96268799999996</v>
      </c>
      <c r="I3" s="39">
        <f>PL!J27</f>
        <v>945.96268799999996</v>
      </c>
      <c r="J3" s="39">
        <f>PL!K27</f>
        <v>945.96268799999996</v>
      </c>
      <c r="K3" s="39">
        <f>PL!L27</f>
        <v>945.96268799999996</v>
      </c>
      <c r="L3" s="39">
        <f>PL!M27</f>
        <v>945.96268799999996</v>
      </c>
      <c r="M3" s="39">
        <f>PL!N27</f>
        <v>945.96268799999996</v>
      </c>
      <c r="N3" s="39">
        <f>PL!O27</f>
        <v>945.96268799999996</v>
      </c>
      <c r="O3" s="39">
        <f>PL!P27</f>
        <v>945.96268799999996</v>
      </c>
      <c r="P3" s="39">
        <f>PL!Q27</f>
        <v>945.96268799999996</v>
      </c>
      <c r="Q3" s="39">
        <f>PL!R27</f>
        <v>945.96268799999996</v>
      </c>
      <c r="R3" s="39">
        <f>PL!S27</f>
        <v>945.96268799999996</v>
      </c>
      <c r="S3" s="39">
        <f>PL!T27</f>
        <v>945.96268799999996</v>
      </c>
      <c r="T3" s="39">
        <f>PL!U27</f>
        <v>891.22329459726461</v>
      </c>
      <c r="U3" s="39">
        <f>PL!V27</f>
        <v>0</v>
      </c>
      <c r="V3" s="39">
        <f>PL!W27</f>
        <v>0</v>
      </c>
      <c r="W3" s="39">
        <f>PL!X27</f>
        <v>0</v>
      </c>
      <c r="X3" s="39">
        <f>PL!Y27</f>
        <v>0</v>
      </c>
      <c r="Y3" s="39">
        <f>PL!Z27</f>
        <v>0</v>
      </c>
      <c r="Z3" s="39">
        <f>PL!AA27</f>
        <v>0</v>
      </c>
    </row>
    <row r="4" spans="1:26">
      <c r="A4" s="39" t="str">
        <f>depre!A11</f>
        <v>Tax Depreciation</v>
      </c>
      <c r="B4" s="39">
        <f>depre!B13</f>
        <v>2687.3939999999998</v>
      </c>
      <c r="C4" s="39">
        <f>depre!C13</f>
        <v>2284.2848999999997</v>
      </c>
      <c r="D4" s="39">
        <f>depre!D13</f>
        <v>1941.642165</v>
      </c>
      <c r="E4" s="39">
        <f>depre!E13</f>
        <v>1650.39584025</v>
      </c>
      <c r="F4" s="39">
        <f>depre!F13</f>
        <v>1402.8364642125002</v>
      </c>
      <c r="G4" s="39">
        <f>depre!G13</f>
        <v>1192.4109945806251</v>
      </c>
      <c r="H4" s="39">
        <f>depre!H13</f>
        <v>1013.5493453935314</v>
      </c>
      <c r="I4" s="39">
        <f>depre!I13</f>
        <v>861.51694358450175</v>
      </c>
      <c r="J4" s="39">
        <f>depre!J13</f>
        <v>732.28940204682647</v>
      </c>
      <c r="K4" s="39">
        <f>depre!K13</f>
        <v>622.44599173980248</v>
      </c>
      <c r="L4" s="39">
        <f>depre!L13</f>
        <v>529.07909297883214</v>
      </c>
      <c r="M4" s="39">
        <f>depre!M13</f>
        <v>449.71722903200731</v>
      </c>
      <c r="N4" s="39">
        <f>depre!N13</f>
        <v>382.25964467720621</v>
      </c>
      <c r="O4" s="39">
        <f>depre!O13</f>
        <v>324.92069797562527</v>
      </c>
      <c r="P4" s="39">
        <f>depre!P13</f>
        <v>276.18259327928149</v>
      </c>
      <c r="Q4" s="39">
        <f>depre!Q13</f>
        <v>234.75520428738926</v>
      </c>
      <c r="R4" s="39">
        <f>depre!R13</f>
        <v>199.5419236442809</v>
      </c>
      <c r="S4" s="39">
        <f>depre!S13</f>
        <v>169.61063509763878</v>
      </c>
      <c r="T4" s="39">
        <f>depre!T13</f>
        <v>144.16903983299295</v>
      </c>
      <c r="U4" s="39">
        <f>depre!U13</f>
        <v>122.54368385804401</v>
      </c>
      <c r="V4" s="39">
        <f>depre!V13</f>
        <v>104.16213127933742</v>
      </c>
      <c r="W4" s="39">
        <f>depre!W13</f>
        <v>88.537811587436792</v>
      </c>
      <c r="X4" s="39">
        <f>depre!X13</f>
        <v>75.257139849321277</v>
      </c>
      <c r="Y4" s="39">
        <f>depre!Y13</f>
        <v>63.968568871923082</v>
      </c>
      <c r="Z4" s="39">
        <f>depre!Z13</f>
        <v>54.373283541134619</v>
      </c>
    </row>
    <row r="5" spans="1:26">
      <c r="A5" s="39" t="s">
        <v>92</v>
      </c>
      <c r="B5" s="39"/>
      <c r="C5" s="39"/>
      <c r="D5" s="39"/>
      <c r="E5" s="39"/>
      <c r="F5" s="39"/>
      <c r="G5" s="39"/>
      <c r="H5" s="39"/>
      <c r="I5" s="39"/>
      <c r="J5" s="39"/>
      <c r="K5" s="39"/>
      <c r="L5" s="39"/>
      <c r="M5" s="39"/>
      <c r="N5" s="39"/>
      <c r="O5" s="39"/>
      <c r="P5" s="39"/>
      <c r="Q5" s="39"/>
      <c r="R5" s="39"/>
      <c r="S5" s="39"/>
      <c r="T5" s="39"/>
      <c r="U5" s="39"/>
      <c r="V5" s="39"/>
      <c r="W5" s="39"/>
      <c r="X5" s="39"/>
      <c r="Y5" s="39"/>
      <c r="Z5" s="39"/>
    </row>
    <row r="6" spans="1:26">
      <c r="A6" s="39" t="s">
        <v>93</v>
      </c>
      <c r="B6" s="39">
        <f t="shared" ref="B6:Z6" ca="1" si="0">B2+B3-B4</f>
        <v>-799.5549354884738</v>
      </c>
      <c r="C6" s="39">
        <f t="shared" ca="1" si="0"/>
        <v>-436.21309354901632</v>
      </c>
      <c r="D6" s="39">
        <f t="shared" ca="1" si="0"/>
        <v>-70.487502851145564</v>
      </c>
      <c r="E6" s="39">
        <f t="shared" ca="1" si="0"/>
        <v>244.27049199007638</v>
      </c>
      <c r="F6" s="39">
        <f t="shared" ca="1" si="0"/>
        <v>515.1271309221197</v>
      </c>
      <c r="G6" s="39">
        <f t="shared" ca="1" si="0"/>
        <v>748.84986344854019</v>
      </c>
      <c r="H6" s="39">
        <f t="shared" ca="1" si="0"/>
        <v>951.04968080358321</v>
      </c>
      <c r="I6" s="39">
        <f t="shared" ca="1" si="0"/>
        <v>1126.338440233757</v>
      </c>
      <c r="J6" s="39">
        <f t="shared" ca="1" si="0"/>
        <v>1278.8632446659772</v>
      </c>
      <c r="K6" s="39">
        <f t="shared" ca="1" si="0"/>
        <v>1412.0039178675488</v>
      </c>
      <c r="L6" s="39">
        <f t="shared" ca="1" si="0"/>
        <v>1528.9642972665406</v>
      </c>
      <c r="M6" s="39">
        <f t="shared" ca="1" si="0"/>
        <v>1631.3272063644322</v>
      </c>
      <c r="N6" s="39">
        <f t="shared" ca="1" si="0"/>
        <v>1109.7691354927683</v>
      </c>
      <c r="O6" s="39">
        <f t="shared" ca="1" si="0"/>
        <v>1123.0274352165293</v>
      </c>
      <c r="P6" s="39">
        <f t="shared" ca="1" si="0"/>
        <v>1127.7749306152361</v>
      </c>
      <c r="Q6" s="39">
        <f t="shared" ca="1" si="0"/>
        <v>1141.6602435489297</v>
      </c>
      <c r="R6" s="39">
        <f t="shared" ca="1" si="0"/>
        <v>1171.4618093029314</v>
      </c>
      <c r="S6" s="39">
        <f t="shared" ca="1" si="0"/>
        <v>1459.7976852333668</v>
      </c>
      <c r="T6" s="39">
        <f t="shared" ca="1" si="0"/>
        <v>1485.2392804980125</v>
      </c>
      <c r="U6" s="39">
        <f t="shared" ca="1" si="0"/>
        <v>1506.8646364729611</v>
      </c>
      <c r="V6" s="39">
        <f t="shared" ca="1" si="0"/>
        <v>1525.2461890516668</v>
      </c>
      <c r="W6" s="39">
        <f t="shared" ca="1" si="0"/>
        <v>1540.8705087435656</v>
      </c>
      <c r="X6" s="39">
        <f t="shared" ca="1" si="0"/>
        <v>1554.1511804816805</v>
      </c>
      <c r="Y6" s="39">
        <f t="shared" ca="1" si="0"/>
        <v>1565.4397514590803</v>
      </c>
      <c r="Z6" s="39">
        <f t="shared" ca="1" si="0"/>
        <v>1575.0350367898698</v>
      </c>
    </row>
    <row r="7" spans="1:26">
      <c r="A7" s="39" t="s">
        <v>87</v>
      </c>
      <c r="B7" s="39">
        <f>B37</f>
        <v>0</v>
      </c>
      <c r="C7" s="39">
        <f t="shared" ref="C7:Z7" ca="1" si="1">C37</f>
        <v>-799.5549354884738</v>
      </c>
      <c r="D7" s="39">
        <f t="shared" ca="1" si="1"/>
        <v>-1235.7680290374901</v>
      </c>
      <c r="E7" s="39">
        <f t="shared" ca="1" si="1"/>
        <v>-1306.2555318886357</v>
      </c>
      <c r="F7" s="39">
        <f t="shared" ca="1" si="1"/>
        <v>-1061.9850398985593</v>
      </c>
      <c r="G7" s="39">
        <f t="shared" ca="1" si="1"/>
        <v>-546.8579089764396</v>
      </c>
      <c r="H7" s="39">
        <f t="shared" ca="1" si="1"/>
        <v>0</v>
      </c>
      <c r="I7" s="39">
        <f t="shared" ca="1" si="1"/>
        <v>0</v>
      </c>
      <c r="J7" s="39">
        <f t="shared" ca="1" si="1"/>
        <v>0</v>
      </c>
      <c r="K7" s="39">
        <f t="shared" ca="1" si="1"/>
        <v>0</v>
      </c>
      <c r="L7" s="39">
        <f t="shared" ca="1" si="1"/>
        <v>0</v>
      </c>
      <c r="M7" s="39">
        <f t="shared" ca="1" si="1"/>
        <v>0</v>
      </c>
      <c r="N7" s="39">
        <f t="shared" ca="1" si="1"/>
        <v>0</v>
      </c>
      <c r="O7" s="39">
        <f t="shared" ca="1" si="1"/>
        <v>0</v>
      </c>
      <c r="P7" s="39">
        <f t="shared" ca="1" si="1"/>
        <v>0</v>
      </c>
      <c r="Q7" s="39">
        <f t="shared" ca="1" si="1"/>
        <v>0</v>
      </c>
      <c r="R7" s="39">
        <f t="shared" ca="1" si="1"/>
        <v>0</v>
      </c>
      <c r="S7" s="39">
        <f t="shared" ca="1" si="1"/>
        <v>0</v>
      </c>
      <c r="T7" s="39">
        <f t="shared" ca="1" si="1"/>
        <v>0</v>
      </c>
      <c r="U7" s="39">
        <f t="shared" ca="1" si="1"/>
        <v>0</v>
      </c>
      <c r="V7" s="39">
        <f t="shared" ca="1" si="1"/>
        <v>0</v>
      </c>
      <c r="W7" s="39">
        <f t="shared" ca="1" si="1"/>
        <v>0</v>
      </c>
      <c r="X7" s="39">
        <f t="shared" ca="1" si="1"/>
        <v>0</v>
      </c>
      <c r="Y7" s="39">
        <f t="shared" ca="1" si="1"/>
        <v>0</v>
      </c>
      <c r="Z7" s="39">
        <f t="shared" ca="1" si="1"/>
        <v>0</v>
      </c>
    </row>
    <row r="8" spans="1:26">
      <c r="A8" s="39" t="s">
        <v>86</v>
      </c>
      <c r="B8" s="39">
        <f t="shared" ref="B8:Z8" ca="1" si="2">IF(B6&lt;0,B6,0)</f>
        <v>-799.5549354884738</v>
      </c>
      <c r="C8" s="39">
        <f t="shared" ca="1" si="2"/>
        <v>-436.21309354901632</v>
      </c>
      <c r="D8" s="39">
        <f t="shared" ca="1" si="2"/>
        <v>-70.487502851145564</v>
      </c>
      <c r="E8" s="39">
        <f t="shared" ca="1" si="2"/>
        <v>0</v>
      </c>
      <c r="F8" s="39">
        <f t="shared" ca="1" si="2"/>
        <v>0</v>
      </c>
      <c r="G8" s="39">
        <f t="shared" ca="1" si="2"/>
        <v>0</v>
      </c>
      <c r="H8" s="39">
        <f t="shared" ca="1" si="2"/>
        <v>0</v>
      </c>
      <c r="I8" s="39">
        <f t="shared" ca="1" si="2"/>
        <v>0</v>
      </c>
      <c r="J8" s="39">
        <f t="shared" ca="1" si="2"/>
        <v>0</v>
      </c>
      <c r="K8" s="39">
        <f t="shared" ca="1" si="2"/>
        <v>0</v>
      </c>
      <c r="L8" s="39">
        <f t="shared" ca="1" si="2"/>
        <v>0</v>
      </c>
      <c r="M8" s="39">
        <f t="shared" ca="1" si="2"/>
        <v>0</v>
      </c>
      <c r="N8" s="39">
        <f t="shared" ca="1" si="2"/>
        <v>0</v>
      </c>
      <c r="O8" s="39">
        <f t="shared" ca="1" si="2"/>
        <v>0</v>
      </c>
      <c r="P8" s="39">
        <f t="shared" ca="1" si="2"/>
        <v>0</v>
      </c>
      <c r="Q8" s="39">
        <f t="shared" ca="1" si="2"/>
        <v>0</v>
      </c>
      <c r="R8" s="39">
        <f t="shared" ca="1" si="2"/>
        <v>0</v>
      </c>
      <c r="S8" s="39">
        <f t="shared" ca="1" si="2"/>
        <v>0</v>
      </c>
      <c r="T8" s="39">
        <f t="shared" ca="1" si="2"/>
        <v>0</v>
      </c>
      <c r="U8" s="39">
        <f t="shared" ca="1" si="2"/>
        <v>0</v>
      </c>
      <c r="V8" s="39">
        <f t="shared" ca="1" si="2"/>
        <v>0</v>
      </c>
      <c r="W8" s="39">
        <f t="shared" ca="1" si="2"/>
        <v>0</v>
      </c>
      <c r="X8" s="39">
        <f t="shared" ca="1" si="2"/>
        <v>0</v>
      </c>
      <c r="Y8" s="39">
        <f t="shared" ca="1" si="2"/>
        <v>0</v>
      </c>
      <c r="Z8" s="39">
        <f t="shared" ca="1" si="2"/>
        <v>0</v>
      </c>
    </row>
    <row r="9" spans="1:26">
      <c r="A9" s="39" t="s">
        <v>94</v>
      </c>
      <c r="B9" s="39">
        <f t="shared" ref="B9:Z9" ca="1" si="3">IF(B6&gt;0, MIN(B6,ABS(B7)),0)</f>
        <v>0</v>
      </c>
      <c r="C9" s="39">
        <f t="shared" ca="1" si="3"/>
        <v>0</v>
      </c>
      <c r="D9" s="39">
        <f t="shared" ca="1" si="3"/>
        <v>0</v>
      </c>
      <c r="E9" s="39">
        <f t="shared" ca="1" si="3"/>
        <v>244.27049199007638</v>
      </c>
      <c r="F9" s="39">
        <f t="shared" ca="1" si="3"/>
        <v>515.1271309221197</v>
      </c>
      <c r="G9" s="39">
        <f t="shared" ca="1" si="3"/>
        <v>546.8579089764396</v>
      </c>
      <c r="H9" s="39">
        <f t="shared" ca="1" si="3"/>
        <v>0</v>
      </c>
      <c r="I9" s="39">
        <f t="shared" ca="1" si="3"/>
        <v>0</v>
      </c>
      <c r="J9" s="39">
        <f t="shared" ca="1" si="3"/>
        <v>0</v>
      </c>
      <c r="K9" s="39">
        <f t="shared" ca="1" si="3"/>
        <v>0</v>
      </c>
      <c r="L9" s="39">
        <f t="shared" ca="1" si="3"/>
        <v>0</v>
      </c>
      <c r="M9" s="39">
        <f t="shared" ca="1" si="3"/>
        <v>0</v>
      </c>
      <c r="N9" s="39">
        <f t="shared" ca="1" si="3"/>
        <v>0</v>
      </c>
      <c r="O9" s="39">
        <f t="shared" ca="1" si="3"/>
        <v>0</v>
      </c>
      <c r="P9" s="39">
        <f t="shared" ca="1" si="3"/>
        <v>0</v>
      </c>
      <c r="Q9" s="39">
        <f t="shared" ca="1" si="3"/>
        <v>0</v>
      </c>
      <c r="R9" s="39">
        <f t="shared" ca="1" si="3"/>
        <v>0</v>
      </c>
      <c r="S9" s="39">
        <f t="shared" ca="1" si="3"/>
        <v>0</v>
      </c>
      <c r="T9" s="39">
        <f t="shared" ca="1" si="3"/>
        <v>0</v>
      </c>
      <c r="U9" s="39">
        <f t="shared" ca="1" si="3"/>
        <v>0</v>
      </c>
      <c r="V9" s="39">
        <f t="shared" ca="1" si="3"/>
        <v>0</v>
      </c>
      <c r="W9" s="39">
        <f t="shared" ca="1" si="3"/>
        <v>0</v>
      </c>
      <c r="X9" s="39">
        <f t="shared" ca="1" si="3"/>
        <v>0</v>
      </c>
      <c r="Y9" s="39">
        <f t="shared" ca="1" si="3"/>
        <v>0</v>
      </c>
      <c r="Z9" s="39">
        <f t="shared" ca="1" si="3"/>
        <v>0</v>
      </c>
    </row>
    <row r="10" spans="1:26">
      <c r="A10" s="39" t="s">
        <v>88</v>
      </c>
      <c r="B10" s="39">
        <f t="shared" ref="B10:Z10" ca="1" si="4">B7+B8+B9</f>
        <v>-799.5549354884738</v>
      </c>
      <c r="C10" s="39">
        <f t="shared" ca="1" si="4"/>
        <v>-1235.7680290374901</v>
      </c>
      <c r="D10" s="39">
        <f t="shared" ca="1" si="4"/>
        <v>-1306.2555318886357</v>
      </c>
      <c r="E10" s="39">
        <f t="shared" ca="1" si="4"/>
        <v>-1061.9850398985593</v>
      </c>
      <c r="F10" s="39">
        <f t="shared" ca="1" si="4"/>
        <v>-546.8579089764396</v>
      </c>
      <c r="G10" s="39">
        <f t="shared" ca="1" si="4"/>
        <v>0</v>
      </c>
      <c r="H10" s="39">
        <f t="shared" ca="1" si="4"/>
        <v>0</v>
      </c>
      <c r="I10" s="39">
        <f t="shared" ca="1" si="4"/>
        <v>0</v>
      </c>
      <c r="J10" s="39">
        <f t="shared" ca="1" si="4"/>
        <v>0</v>
      </c>
      <c r="K10" s="39">
        <f t="shared" ca="1" si="4"/>
        <v>0</v>
      </c>
      <c r="L10" s="39">
        <f t="shared" ca="1" si="4"/>
        <v>0</v>
      </c>
      <c r="M10" s="39">
        <f t="shared" ca="1" si="4"/>
        <v>0</v>
      </c>
      <c r="N10" s="39">
        <f t="shared" ca="1" si="4"/>
        <v>0</v>
      </c>
      <c r="O10" s="39">
        <f t="shared" ca="1" si="4"/>
        <v>0</v>
      </c>
      <c r="P10" s="39">
        <f t="shared" ca="1" si="4"/>
        <v>0</v>
      </c>
      <c r="Q10" s="39">
        <f t="shared" ca="1" si="4"/>
        <v>0</v>
      </c>
      <c r="R10" s="39">
        <f t="shared" ca="1" si="4"/>
        <v>0</v>
      </c>
      <c r="S10" s="39">
        <f t="shared" ca="1" si="4"/>
        <v>0</v>
      </c>
      <c r="T10" s="39">
        <f t="shared" ca="1" si="4"/>
        <v>0</v>
      </c>
      <c r="U10" s="39">
        <f t="shared" ca="1" si="4"/>
        <v>0</v>
      </c>
      <c r="V10" s="39">
        <f t="shared" ca="1" si="4"/>
        <v>0</v>
      </c>
      <c r="W10" s="39">
        <f t="shared" ca="1" si="4"/>
        <v>0</v>
      </c>
      <c r="X10" s="39">
        <f t="shared" ca="1" si="4"/>
        <v>0</v>
      </c>
      <c r="Y10" s="39">
        <f t="shared" ca="1" si="4"/>
        <v>0</v>
      </c>
      <c r="Z10" s="39">
        <f t="shared" ca="1" si="4"/>
        <v>0</v>
      </c>
    </row>
    <row r="11" spans="1:26">
      <c r="A11" s="39" t="s">
        <v>95</v>
      </c>
      <c r="B11" s="39">
        <f t="shared" ref="B11:Z11" ca="1" si="5">B6-B9</f>
        <v>-799.5549354884738</v>
      </c>
      <c r="C11" s="39">
        <f t="shared" ca="1" si="5"/>
        <v>-436.21309354901632</v>
      </c>
      <c r="D11" s="39">
        <f t="shared" ca="1" si="5"/>
        <v>-70.487502851145564</v>
      </c>
      <c r="E11" s="39">
        <f t="shared" ca="1" si="5"/>
        <v>0</v>
      </c>
      <c r="F11" s="39">
        <f t="shared" ca="1" si="5"/>
        <v>0</v>
      </c>
      <c r="G11" s="39">
        <f t="shared" ca="1" si="5"/>
        <v>201.99195447210059</v>
      </c>
      <c r="H11" s="39">
        <f t="shared" ca="1" si="5"/>
        <v>951.04968080358321</v>
      </c>
      <c r="I11" s="39">
        <f t="shared" ca="1" si="5"/>
        <v>1126.338440233757</v>
      </c>
      <c r="J11" s="39">
        <f t="shared" ca="1" si="5"/>
        <v>1278.8632446659772</v>
      </c>
      <c r="K11" s="39">
        <f t="shared" ca="1" si="5"/>
        <v>1412.0039178675488</v>
      </c>
      <c r="L11" s="39">
        <f t="shared" ca="1" si="5"/>
        <v>1528.9642972665406</v>
      </c>
      <c r="M11" s="39">
        <f t="shared" ca="1" si="5"/>
        <v>1631.3272063644322</v>
      </c>
      <c r="N11" s="39">
        <f t="shared" ca="1" si="5"/>
        <v>1109.7691354927683</v>
      </c>
      <c r="O11" s="39">
        <f t="shared" ca="1" si="5"/>
        <v>1123.0274352165293</v>
      </c>
      <c r="P11" s="39">
        <f t="shared" ca="1" si="5"/>
        <v>1127.7749306152361</v>
      </c>
      <c r="Q11" s="39">
        <f t="shared" ca="1" si="5"/>
        <v>1141.6602435489297</v>
      </c>
      <c r="R11" s="39">
        <f t="shared" ca="1" si="5"/>
        <v>1171.4618093029314</v>
      </c>
      <c r="S11" s="39">
        <f t="shared" ca="1" si="5"/>
        <v>1459.7976852333668</v>
      </c>
      <c r="T11" s="39">
        <f t="shared" ca="1" si="5"/>
        <v>1485.2392804980125</v>
      </c>
      <c r="U11" s="39">
        <f t="shared" ca="1" si="5"/>
        <v>1506.8646364729611</v>
      </c>
      <c r="V11" s="39">
        <f t="shared" ca="1" si="5"/>
        <v>1525.2461890516668</v>
      </c>
      <c r="W11" s="39">
        <f t="shared" ca="1" si="5"/>
        <v>1540.8705087435656</v>
      </c>
      <c r="X11" s="39">
        <f t="shared" ca="1" si="5"/>
        <v>1554.1511804816805</v>
      </c>
      <c r="Y11" s="39">
        <f t="shared" ca="1" si="5"/>
        <v>1565.4397514590803</v>
      </c>
      <c r="Z11" s="39">
        <f t="shared" ca="1" si="5"/>
        <v>1575.0350367898698</v>
      </c>
    </row>
    <row r="12" spans="1:26" s="6" customFormat="1">
      <c r="A12" s="40" t="s">
        <v>89</v>
      </c>
      <c r="B12" s="40">
        <f ca="1">IF(B11&lt;=0,0,(B11)*Assumption!$D$66)</f>
        <v>0</v>
      </c>
      <c r="C12" s="40">
        <f ca="1">IF(C11&lt;=0,0,(C11)*Assumption!$D$66)</f>
        <v>0</v>
      </c>
      <c r="D12" s="40">
        <f ca="1">IF(D11&lt;=0,0,(D11)*Assumption!$D$66)</f>
        <v>0</v>
      </c>
      <c r="E12" s="40">
        <f ca="1">IF(E11&lt;=0,0,(E11)*Assumption!$D$66)</f>
        <v>0</v>
      </c>
      <c r="F12" s="40">
        <f ca="1">IF(F11&lt;=0,0,(F11)*Assumption!$D$66)</f>
        <v>0</v>
      </c>
      <c r="G12" s="40">
        <f ca="1">IF(G11&lt;=0,0,(G11)*Assumption!$D$66)</f>
        <v>68.657065325066995</v>
      </c>
      <c r="H12" s="40">
        <f ca="1">IF(H11&lt;=0,0,(H11)*Assumption!$D$66)</f>
        <v>323.26178650513799</v>
      </c>
      <c r="I12" s="40">
        <f ca="1">IF(I11&lt;=0,0,(I11)*Assumption!$D$66)</f>
        <v>382.84243583545401</v>
      </c>
      <c r="J12" s="40">
        <f ca="1">IF(J11&lt;=0,0,(J11)*Assumption!$D$66)</f>
        <v>434.68561686196568</v>
      </c>
      <c r="K12" s="40">
        <f ca="1">IF(K11&lt;=0,0,(K11)*Assumption!$D$66)</f>
        <v>479.94013168317991</v>
      </c>
      <c r="L12" s="40">
        <f ca="1">IF(L11&lt;=0,0,(L11)*Assumption!$D$66)</f>
        <v>519.69496464089718</v>
      </c>
      <c r="M12" s="40">
        <f ca="1">IF(M11&lt;=0,0,(M11)*Assumption!$D$66)</f>
        <v>554.48811744327054</v>
      </c>
      <c r="N12" s="40">
        <f ca="1">IF(N11&lt;=0,0,(N11)*Assumption!$D$66)</f>
        <v>377.21052915399201</v>
      </c>
      <c r="O12" s="40">
        <f ca="1">IF(O11&lt;=0,0,(O11)*Assumption!$D$66)</f>
        <v>381.71702523009833</v>
      </c>
      <c r="P12" s="40">
        <f ca="1">IF(P11&lt;=0,0,(P11)*Assumption!$D$66)</f>
        <v>383.33069891611882</v>
      </c>
      <c r="Q12" s="40">
        <f ca="1">IF(Q11&lt;=0,0,(Q11)*Assumption!$D$66)</f>
        <v>388.05031678228124</v>
      </c>
      <c r="R12" s="40">
        <f ca="1">IF(R11&lt;=0,0,(R11)*Assumption!$D$66)</f>
        <v>398.17986898206647</v>
      </c>
      <c r="S12" s="40">
        <f ca="1">IF(S11&lt;=0,0,(S11)*Assumption!$D$66)</f>
        <v>496.18523321082142</v>
      </c>
      <c r="T12" s="40">
        <f ca="1">IF(T11&lt;=0,0,(T11)*Assumption!$D$66)</f>
        <v>504.83283144127449</v>
      </c>
      <c r="U12" s="40">
        <f ca="1">IF(U11&lt;=0,0,(U11)*Assumption!$D$66)</f>
        <v>512.18328993715954</v>
      </c>
      <c r="V12" s="40">
        <f ca="1">IF(V11&lt;=0,0,(V11)*Assumption!$D$66)</f>
        <v>518.43117965866156</v>
      </c>
      <c r="W12" s="40">
        <f ca="1">IF(W11&lt;=0,0,(W11)*Assumption!$D$66)</f>
        <v>523.74188592193798</v>
      </c>
      <c r="X12" s="40">
        <f ca="1">IF(X11&lt;=0,0,(X11)*Assumption!$D$66)</f>
        <v>528.25598624572331</v>
      </c>
      <c r="Y12" s="40">
        <f ca="1">IF(Y11&lt;=0,0,(Y11)*Assumption!$D$66)</f>
        <v>532.09297152094143</v>
      </c>
      <c r="Z12" s="40">
        <f ca="1">IF(Z11&lt;=0,0,(Z11)*Assumption!$D$66)</f>
        <v>535.35440900487674</v>
      </c>
    </row>
    <row r="13" spans="1:26" s="6" customFormat="1">
      <c r="A13" s="40"/>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s="6" customFormat="1">
      <c r="A14" s="40" t="s">
        <v>203</v>
      </c>
      <c r="B14" s="112" t="str">
        <f t="shared" ref="B14:Z14" ca="1" si="6">IF(OR(B11&lt;=0,B1&gt;$P$1),"N","Y")</f>
        <v>N</v>
      </c>
      <c r="C14" s="112" t="str">
        <f t="shared" ca="1" si="6"/>
        <v>N</v>
      </c>
      <c r="D14" s="112" t="str">
        <f t="shared" ca="1" si="6"/>
        <v>N</v>
      </c>
      <c r="E14" s="112" t="str">
        <f t="shared" ca="1" si="6"/>
        <v>N</v>
      </c>
      <c r="F14" s="112" t="str">
        <f t="shared" ca="1" si="6"/>
        <v>N</v>
      </c>
      <c r="G14" s="112" t="str">
        <f t="shared" ca="1" si="6"/>
        <v>Y</v>
      </c>
      <c r="H14" s="112" t="str">
        <f t="shared" ca="1" si="6"/>
        <v>Y</v>
      </c>
      <c r="I14" s="112" t="str">
        <f t="shared" ca="1" si="6"/>
        <v>Y</v>
      </c>
      <c r="J14" s="112" t="str">
        <f t="shared" ca="1" si="6"/>
        <v>Y</v>
      </c>
      <c r="K14" s="112" t="str">
        <f t="shared" ca="1" si="6"/>
        <v>Y</v>
      </c>
      <c r="L14" s="112" t="str">
        <f t="shared" ca="1" si="6"/>
        <v>Y</v>
      </c>
      <c r="M14" s="112" t="str">
        <f t="shared" ca="1" si="6"/>
        <v>Y</v>
      </c>
      <c r="N14" s="112" t="str">
        <f t="shared" ca="1" si="6"/>
        <v>Y</v>
      </c>
      <c r="O14" s="112" t="str">
        <f t="shared" ca="1" si="6"/>
        <v>Y</v>
      </c>
      <c r="P14" s="112" t="str">
        <f t="shared" ca="1" si="6"/>
        <v>Y</v>
      </c>
      <c r="Q14" s="112" t="str">
        <f t="shared" ca="1" si="6"/>
        <v>N</v>
      </c>
      <c r="R14" s="112" t="str">
        <f t="shared" ca="1" si="6"/>
        <v>N</v>
      </c>
      <c r="S14" s="112" t="str">
        <f t="shared" ca="1" si="6"/>
        <v>N</v>
      </c>
      <c r="T14" s="112" t="str">
        <f t="shared" ca="1" si="6"/>
        <v>N</v>
      </c>
      <c r="U14" s="112" t="str">
        <f t="shared" ca="1" si="6"/>
        <v>N</v>
      </c>
      <c r="V14" s="112" t="str">
        <f t="shared" ca="1" si="6"/>
        <v>N</v>
      </c>
      <c r="W14" s="112" t="str">
        <f t="shared" ca="1" si="6"/>
        <v>N</v>
      </c>
      <c r="X14" s="112" t="str">
        <f t="shared" ca="1" si="6"/>
        <v>N</v>
      </c>
      <c r="Y14" s="112" t="str">
        <f t="shared" ca="1" si="6"/>
        <v>N</v>
      </c>
      <c r="Z14" s="112" t="str">
        <f t="shared" ca="1" si="6"/>
        <v>N</v>
      </c>
    </row>
    <row r="15" spans="1:26" s="6" customFormat="1">
      <c r="A15" s="40" t="s">
        <v>204</v>
      </c>
      <c r="B15" s="40">
        <f ca="1">IF(B14="Y",0,B12)</f>
        <v>0</v>
      </c>
      <c r="C15" s="40">
        <f t="shared" ref="C15:Z15" ca="1" si="7">IF(C14="Y",0,C12)</f>
        <v>0</v>
      </c>
      <c r="D15" s="40">
        <f t="shared" ca="1" si="7"/>
        <v>0</v>
      </c>
      <c r="E15" s="40">
        <f t="shared" ca="1" si="7"/>
        <v>0</v>
      </c>
      <c r="F15" s="40">
        <f t="shared" ca="1" si="7"/>
        <v>0</v>
      </c>
      <c r="G15" s="40">
        <f t="shared" ca="1" si="7"/>
        <v>0</v>
      </c>
      <c r="H15" s="40">
        <f t="shared" ca="1" si="7"/>
        <v>0</v>
      </c>
      <c r="I15" s="40">
        <f t="shared" ca="1" si="7"/>
        <v>0</v>
      </c>
      <c r="J15" s="40">
        <f t="shared" ca="1" si="7"/>
        <v>0</v>
      </c>
      <c r="K15" s="40">
        <f t="shared" ca="1" si="7"/>
        <v>0</v>
      </c>
      <c r="L15" s="40">
        <f t="shared" ca="1" si="7"/>
        <v>0</v>
      </c>
      <c r="M15" s="40">
        <f t="shared" ca="1" si="7"/>
        <v>0</v>
      </c>
      <c r="N15" s="40">
        <f t="shared" ca="1" si="7"/>
        <v>0</v>
      </c>
      <c r="O15" s="40">
        <f t="shared" ca="1" si="7"/>
        <v>0</v>
      </c>
      <c r="P15" s="40">
        <f t="shared" ca="1" si="7"/>
        <v>0</v>
      </c>
      <c r="Q15" s="40">
        <f t="shared" ca="1" si="7"/>
        <v>388.05031678228124</v>
      </c>
      <c r="R15" s="40">
        <f t="shared" ca="1" si="7"/>
        <v>398.17986898206647</v>
      </c>
      <c r="S15" s="40">
        <f t="shared" ca="1" si="7"/>
        <v>496.18523321082142</v>
      </c>
      <c r="T15" s="40">
        <f t="shared" ca="1" si="7"/>
        <v>504.83283144127449</v>
      </c>
      <c r="U15" s="40">
        <f t="shared" ca="1" si="7"/>
        <v>512.18328993715954</v>
      </c>
      <c r="V15" s="40">
        <f t="shared" ca="1" si="7"/>
        <v>518.43117965866156</v>
      </c>
      <c r="W15" s="40">
        <f t="shared" ca="1" si="7"/>
        <v>523.74188592193798</v>
      </c>
      <c r="X15" s="40">
        <f t="shared" ca="1" si="7"/>
        <v>528.25598624572331</v>
      </c>
      <c r="Y15" s="40">
        <f t="shared" ca="1" si="7"/>
        <v>532.09297152094143</v>
      </c>
      <c r="Z15" s="40">
        <f t="shared" ca="1" si="7"/>
        <v>535.35440900487674</v>
      </c>
    </row>
    <row r="16" spans="1:26" s="6" customFormat="1">
      <c r="A16" s="40"/>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c r="A17" s="39" t="s">
        <v>96</v>
      </c>
      <c r="B17" s="39"/>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c r="A18" s="39" t="s">
        <v>81</v>
      </c>
      <c r="B18" s="39">
        <f ca="1">B2</f>
        <v>944.4680551087863</v>
      </c>
      <c r="C18" s="39">
        <f ca="1">C2</f>
        <v>902.10911845098337</v>
      </c>
      <c r="D18" s="39">
        <f ca="1">D2</f>
        <v>925.19197414885446</v>
      </c>
      <c r="E18" s="39">
        <f t="shared" ref="E18:Z18" ca="1" si="8">E2</f>
        <v>948.70364424007641</v>
      </c>
      <c r="F18" s="39">
        <f t="shared" ca="1" si="8"/>
        <v>972.00090713461998</v>
      </c>
      <c r="G18" s="39">
        <f t="shared" ca="1" si="8"/>
        <v>995.29817002916536</v>
      </c>
      <c r="H18" s="39">
        <f t="shared" ca="1" si="8"/>
        <v>1018.6363381971147</v>
      </c>
      <c r="I18" s="39">
        <f t="shared" ca="1" si="8"/>
        <v>1041.8926958182587</v>
      </c>
      <c r="J18" s="39">
        <f t="shared" ca="1" si="8"/>
        <v>1065.1899587128037</v>
      </c>
      <c r="K18" s="39">
        <f t="shared" ca="1" si="8"/>
        <v>1088.4872216073513</v>
      </c>
      <c r="L18" s="39">
        <f t="shared" ca="1" si="8"/>
        <v>1112.0807022453728</v>
      </c>
      <c r="M18" s="39">
        <f t="shared" ca="1" si="8"/>
        <v>1135.0817473964394</v>
      </c>
      <c r="N18" s="39">
        <f t="shared" ca="1" si="8"/>
        <v>546.0660921699747</v>
      </c>
      <c r="O18" s="39">
        <f t="shared" ca="1" si="8"/>
        <v>501.98544519215454</v>
      </c>
      <c r="P18" s="39">
        <f t="shared" ca="1" si="8"/>
        <v>457.99483589451768</v>
      </c>
      <c r="Q18" s="39">
        <f t="shared" ca="1" si="8"/>
        <v>430.45275983631893</v>
      </c>
      <c r="R18" s="39">
        <f t="shared" ca="1" si="8"/>
        <v>425.0410449472123</v>
      </c>
      <c r="S18" s="39">
        <f t="shared" ca="1" si="8"/>
        <v>683.44563233100564</v>
      </c>
      <c r="T18" s="39">
        <f t="shared" ca="1" si="8"/>
        <v>738.18502573374076</v>
      </c>
      <c r="U18" s="39">
        <f t="shared" ca="1" si="8"/>
        <v>1629.4083203310051</v>
      </c>
      <c r="V18" s="39">
        <f t="shared" ca="1" si="8"/>
        <v>1629.4083203310042</v>
      </c>
      <c r="W18" s="39">
        <f t="shared" ca="1" si="8"/>
        <v>1629.4083203310024</v>
      </c>
      <c r="X18" s="39">
        <f t="shared" ca="1" si="8"/>
        <v>1629.4083203310017</v>
      </c>
      <c r="Y18" s="39">
        <f t="shared" ca="1" si="8"/>
        <v>1629.4083203310033</v>
      </c>
      <c r="Z18" s="39">
        <f t="shared" ca="1" si="8"/>
        <v>1629.4083203310045</v>
      </c>
    </row>
    <row r="19" spans="1:26" s="6" customFormat="1">
      <c r="A19" s="40" t="s">
        <v>90</v>
      </c>
      <c r="B19" s="40">
        <f ca="1">B18*Assumption!$D$67</f>
        <v>160.51234596573826</v>
      </c>
      <c r="C19" s="40">
        <f ca="1">C18*Assumption!$D$67</f>
        <v>153.31344468074465</v>
      </c>
      <c r="D19" s="40">
        <f ca="1">D18*Assumption!$D$67</f>
        <v>157.23637600659782</v>
      </c>
      <c r="E19" s="40">
        <f ca="1">E18*Assumption!$D$67</f>
        <v>161.232184338601</v>
      </c>
      <c r="F19" s="40">
        <f ca="1">F18*Assumption!$D$67</f>
        <v>165.19155416752869</v>
      </c>
      <c r="G19" s="40">
        <f ca="1">G18*Assumption!$D$67</f>
        <v>169.15092399645667</v>
      </c>
      <c r="H19" s="40">
        <f ca="1">H18*Assumption!$D$67</f>
        <v>173.11724567659965</v>
      </c>
      <c r="I19" s="40">
        <f ca="1">I18*Assumption!$D$67</f>
        <v>177.0696636543131</v>
      </c>
      <c r="J19" s="40">
        <f ca="1">J18*Assumption!$D$67</f>
        <v>181.02903348324099</v>
      </c>
      <c r="K19" s="40">
        <f ca="1">K18*Assumption!$D$67</f>
        <v>184.98840331216937</v>
      </c>
      <c r="L19" s="40">
        <f ca="1">L18*Assumption!$D$67</f>
        <v>188.99811534660111</v>
      </c>
      <c r="M19" s="40">
        <f ca="1">M18*Assumption!$D$67</f>
        <v>192.90714297002489</v>
      </c>
      <c r="N19" s="40">
        <f ca="1">N18*Assumption!$D$67</f>
        <v>92.803932364287206</v>
      </c>
      <c r="O19" s="40">
        <f ca="1">O18*Assumption!$D$67</f>
        <v>85.312426410406673</v>
      </c>
      <c r="P19" s="40">
        <f ca="1">P18*Assumption!$D$67</f>
        <v>77.836222360273283</v>
      </c>
      <c r="Q19" s="40">
        <f ca="1">Q18*Assumption!$D$67</f>
        <v>73.155446534182417</v>
      </c>
      <c r="R19" s="40">
        <f ca="1">R18*Assumption!$D$67</f>
        <v>72.235725588778735</v>
      </c>
      <c r="S19" s="40">
        <f ca="1">S18*Assumption!$D$67</f>
        <v>116.15158521465442</v>
      </c>
      <c r="T19" s="40">
        <f ca="1">T18*Assumption!$D$67</f>
        <v>125.45454512344925</v>
      </c>
      <c r="U19" s="40">
        <f ca="1">U18*Assumption!$D$67</f>
        <v>276.91794404025433</v>
      </c>
      <c r="V19" s="40">
        <f ca="1">V18*Assumption!$D$67</f>
        <v>276.91794404025421</v>
      </c>
      <c r="W19" s="40">
        <f ca="1">W18*Assumption!$D$67</f>
        <v>276.91794404025387</v>
      </c>
      <c r="X19" s="40">
        <f ca="1">X18*Assumption!$D$67</f>
        <v>276.91794404025376</v>
      </c>
      <c r="Y19" s="40">
        <f ca="1">Y18*Assumption!$D$67</f>
        <v>276.91794404025404</v>
      </c>
      <c r="Z19" s="40">
        <f ca="1">Z18*Assumption!$D$67</f>
        <v>276.91794404025421</v>
      </c>
    </row>
    <row r="20" spans="1:26" s="41" customFormat="1">
      <c r="A20" s="4" t="s">
        <v>97</v>
      </c>
      <c r="B20" s="4">
        <f ca="1">MAX(B19,B15)</f>
        <v>160.51234596573826</v>
      </c>
      <c r="C20" s="4">
        <f t="shared" ref="C20:Z20" ca="1" si="9">MAX(C19,C15)</f>
        <v>153.31344468074465</v>
      </c>
      <c r="D20" s="4">
        <f t="shared" ca="1" si="9"/>
        <v>157.23637600659782</v>
      </c>
      <c r="E20" s="4">
        <f t="shared" ca="1" si="9"/>
        <v>161.232184338601</v>
      </c>
      <c r="F20" s="4">
        <f t="shared" ca="1" si="9"/>
        <v>165.19155416752869</v>
      </c>
      <c r="G20" s="4">
        <f t="shared" ca="1" si="9"/>
        <v>169.15092399645667</v>
      </c>
      <c r="H20" s="4">
        <f t="shared" ca="1" si="9"/>
        <v>173.11724567659965</v>
      </c>
      <c r="I20" s="4">
        <f t="shared" ca="1" si="9"/>
        <v>177.0696636543131</v>
      </c>
      <c r="J20" s="4">
        <f t="shared" ca="1" si="9"/>
        <v>181.02903348324099</v>
      </c>
      <c r="K20" s="4">
        <f t="shared" ca="1" si="9"/>
        <v>184.98840331216937</v>
      </c>
      <c r="L20" s="4">
        <f t="shared" ca="1" si="9"/>
        <v>188.99811534660111</v>
      </c>
      <c r="M20" s="4">
        <f t="shared" ca="1" si="9"/>
        <v>192.90714297002489</v>
      </c>
      <c r="N20" s="4">
        <f t="shared" ca="1" si="9"/>
        <v>92.803932364287206</v>
      </c>
      <c r="O20" s="4">
        <f t="shared" ca="1" si="9"/>
        <v>85.312426410406673</v>
      </c>
      <c r="P20" s="4">
        <f t="shared" ca="1" si="9"/>
        <v>77.836222360273283</v>
      </c>
      <c r="Q20" s="4">
        <f t="shared" ca="1" si="9"/>
        <v>388.05031678228124</v>
      </c>
      <c r="R20" s="4">
        <f t="shared" ca="1" si="9"/>
        <v>398.17986898206647</v>
      </c>
      <c r="S20" s="4">
        <f t="shared" ca="1" si="9"/>
        <v>496.18523321082142</v>
      </c>
      <c r="T20" s="4">
        <f t="shared" ca="1" si="9"/>
        <v>504.83283144127449</v>
      </c>
      <c r="U20" s="4">
        <f t="shared" ca="1" si="9"/>
        <v>512.18328993715954</v>
      </c>
      <c r="V20" s="4">
        <f t="shared" ca="1" si="9"/>
        <v>518.43117965866156</v>
      </c>
      <c r="W20" s="4">
        <f t="shared" ca="1" si="9"/>
        <v>523.74188592193798</v>
      </c>
      <c r="X20" s="4">
        <f t="shared" ca="1" si="9"/>
        <v>528.25598624572331</v>
      </c>
      <c r="Y20" s="4">
        <f t="shared" ca="1" si="9"/>
        <v>532.09297152094143</v>
      </c>
      <c r="Z20" s="4">
        <f t="shared" ca="1" si="9"/>
        <v>535.35440900487674</v>
      </c>
    </row>
    <row r="21" spans="1:26" s="44" customFormat="1">
      <c r="A21" s="42" t="s">
        <v>82</v>
      </c>
      <c r="B21" s="43" t="str">
        <f t="shared" ref="B21:Z21" ca="1" si="10">IF(B20=B19, "MAT", "Normal Tax")</f>
        <v>MAT</v>
      </c>
      <c r="C21" s="43" t="str">
        <f t="shared" ca="1" si="10"/>
        <v>MAT</v>
      </c>
      <c r="D21" s="43" t="str">
        <f t="shared" ca="1" si="10"/>
        <v>MAT</v>
      </c>
      <c r="E21" s="43" t="str">
        <f t="shared" ca="1" si="10"/>
        <v>MAT</v>
      </c>
      <c r="F21" s="43" t="str">
        <f t="shared" ca="1" si="10"/>
        <v>MAT</v>
      </c>
      <c r="G21" s="43" t="str">
        <f t="shared" ca="1" si="10"/>
        <v>MAT</v>
      </c>
      <c r="H21" s="43" t="str">
        <f t="shared" ca="1" si="10"/>
        <v>MAT</v>
      </c>
      <c r="I21" s="43" t="str">
        <f t="shared" ca="1" si="10"/>
        <v>MAT</v>
      </c>
      <c r="J21" s="43" t="str">
        <f t="shared" ca="1" si="10"/>
        <v>MAT</v>
      </c>
      <c r="K21" s="43" t="str">
        <f t="shared" ca="1" si="10"/>
        <v>MAT</v>
      </c>
      <c r="L21" s="43" t="str">
        <f t="shared" ca="1" si="10"/>
        <v>MAT</v>
      </c>
      <c r="M21" s="43" t="str">
        <f t="shared" ca="1" si="10"/>
        <v>MAT</v>
      </c>
      <c r="N21" s="43" t="str">
        <f t="shared" ca="1" si="10"/>
        <v>MAT</v>
      </c>
      <c r="O21" s="43" t="str">
        <f t="shared" ca="1" si="10"/>
        <v>MAT</v>
      </c>
      <c r="P21" s="43" t="str">
        <f t="shared" ca="1" si="10"/>
        <v>MAT</v>
      </c>
      <c r="Q21" s="43" t="str">
        <f t="shared" ca="1" si="10"/>
        <v>Normal Tax</v>
      </c>
      <c r="R21" s="43" t="str">
        <f t="shared" ca="1" si="10"/>
        <v>Normal Tax</v>
      </c>
      <c r="S21" s="43" t="str">
        <f t="shared" ca="1" si="10"/>
        <v>Normal Tax</v>
      </c>
      <c r="T21" s="43" t="str">
        <f t="shared" ca="1" si="10"/>
        <v>Normal Tax</v>
      </c>
      <c r="U21" s="43" t="str">
        <f t="shared" ca="1" si="10"/>
        <v>Normal Tax</v>
      </c>
      <c r="V21" s="43" t="str">
        <f t="shared" ca="1" si="10"/>
        <v>Normal Tax</v>
      </c>
      <c r="W21" s="43" t="str">
        <f t="shared" ca="1" si="10"/>
        <v>Normal Tax</v>
      </c>
      <c r="X21" s="43" t="str">
        <f t="shared" ca="1" si="10"/>
        <v>Normal Tax</v>
      </c>
      <c r="Y21" s="43" t="str">
        <f t="shared" ca="1" si="10"/>
        <v>Normal Tax</v>
      </c>
      <c r="Z21" s="43" t="str">
        <f t="shared" ca="1" si="10"/>
        <v>Normal Tax</v>
      </c>
    </row>
    <row r="22" spans="1:26" s="41" customFormat="1">
      <c r="A22" s="4" t="s">
        <v>184</v>
      </c>
      <c r="B22" s="4">
        <f ca="1">IF(B20=B19,(B19-B15),0)</f>
        <v>160.51234596573826</v>
      </c>
      <c r="C22" s="4">
        <f t="shared" ref="C22:Z22" ca="1" si="11">IF(C20=C19,(C19-C15),0)</f>
        <v>153.31344468074465</v>
      </c>
      <c r="D22" s="4">
        <f t="shared" ca="1" si="11"/>
        <v>157.23637600659782</v>
      </c>
      <c r="E22" s="4">
        <f t="shared" ca="1" si="11"/>
        <v>161.232184338601</v>
      </c>
      <c r="F22" s="4">
        <f t="shared" ca="1" si="11"/>
        <v>165.19155416752869</v>
      </c>
      <c r="G22" s="4">
        <f t="shared" ca="1" si="11"/>
        <v>169.15092399645667</v>
      </c>
      <c r="H22" s="4">
        <f t="shared" ca="1" si="11"/>
        <v>173.11724567659965</v>
      </c>
      <c r="I22" s="4">
        <f t="shared" ca="1" si="11"/>
        <v>177.0696636543131</v>
      </c>
      <c r="J22" s="4">
        <f t="shared" ca="1" si="11"/>
        <v>181.02903348324099</v>
      </c>
      <c r="K22" s="4">
        <f t="shared" ca="1" si="11"/>
        <v>184.98840331216937</v>
      </c>
      <c r="L22" s="4">
        <f t="shared" ca="1" si="11"/>
        <v>188.99811534660111</v>
      </c>
      <c r="M22" s="4">
        <f t="shared" ca="1" si="11"/>
        <v>192.90714297002489</v>
      </c>
      <c r="N22" s="4">
        <f t="shared" ca="1" si="11"/>
        <v>92.803932364287206</v>
      </c>
      <c r="O22" s="4">
        <f t="shared" ca="1" si="11"/>
        <v>85.312426410406673</v>
      </c>
      <c r="P22" s="4">
        <f t="shared" ca="1" si="11"/>
        <v>77.836222360273283</v>
      </c>
      <c r="Q22" s="4">
        <f t="shared" ca="1" si="11"/>
        <v>0</v>
      </c>
      <c r="R22" s="4">
        <f t="shared" ca="1" si="11"/>
        <v>0</v>
      </c>
      <c r="S22" s="4">
        <f t="shared" ca="1" si="11"/>
        <v>0</v>
      </c>
      <c r="T22" s="4">
        <f t="shared" ca="1" si="11"/>
        <v>0</v>
      </c>
      <c r="U22" s="4">
        <f t="shared" ca="1" si="11"/>
        <v>0</v>
      </c>
      <c r="V22" s="4">
        <f t="shared" ca="1" si="11"/>
        <v>0</v>
      </c>
      <c r="W22" s="4">
        <f t="shared" ca="1" si="11"/>
        <v>0</v>
      </c>
      <c r="X22" s="4">
        <f t="shared" ca="1" si="11"/>
        <v>0</v>
      </c>
      <c r="Y22" s="4">
        <f t="shared" ca="1" si="11"/>
        <v>0</v>
      </c>
      <c r="Z22" s="4">
        <f t="shared" ca="1" si="11"/>
        <v>0</v>
      </c>
    </row>
    <row r="23" spans="1:26" s="41" customFormat="1">
      <c r="A23" s="4" t="s">
        <v>83</v>
      </c>
      <c r="B23" s="109">
        <f>DATE(YEAR(B1)+7,MONTH(B1),DAY(B1))</f>
        <v>44286</v>
      </c>
      <c r="C23" s="109">
        <f t="shared" ref="C23:Z23" si="12">DATE(YEAR(C1)+7,MONTH(C1),DAY(C1))</f>
        <v>44651</v>
      </c>
      <c r="D23" s="109">
        <f t="shared" si="12"/>
        <v>45016</v>
      </c>
      <c r="E23" s="109">
        <f t="shared" si="12"/>
        <v>45382</v>
      </c>
      <c r="F23" s="109">
        <f t="shared" si="12"/>
        <v>45747</v>
      </c>
      <c r="G23" s="109">
        <f t="shared" si="12"/>
        <v>46112</v>
      </c>
      <c r="H23" s="109">
        <f t="shared" si="12"/>
        <v>46477</v>
      </c>
      <c r="I23" s="109">
        <f t="shared" si="12"/>
        <v>46843</v>
      </c>
      <c r="J23" s="109">
        <f t="shared" si="12"/>
        <v>47208</v>
      </c>
      <c r="K23" s="109">
        <f t="shared" si="12"/>
        <v>47573</v>
      </c>
      <c r="L23" s="109">
        <f t="shared" si="12"/>
        <v>47938</v>
      </c>
      <c r="M23" s="109">
        <f t="shared" si="12"/>
        <v>48304</v>
      </c>
      <c r="N23" s="109">
        <f t="shared" si="12"/>
        <v>48669</v>
      </c>
      <c r="O23" s="109">
        <f t="shared" si="12"/>
        <v>49034</v>
      </c>
      <c r="P23" s="109">
        <f t="shared" si="12"/>
        <v>49399</v>
      </c>
      <c r="Q23" s="109">
        <f t="shared" si="12"/>
        <v>49765</v>
      </c>
      <c r="R23" s="109">
        <f t="shared" si="12"/>
        <v>50130</v>
      </c>
      <c r="S23" s="109">
        <f t="shared" si="12"/>
        <v>50495</v>
      </c>
      <c r="T23" s="109">
        <f t="shared" si="12"/>
        <v>50860</v>
      </c>
      <c r="U23" s="109">
        <f t="shared" si="12"/>
        <v>51226</v>
      </c>
      <c r="V23" s="109">
        <f t="shared" si="12"/>
        <v>51591</v>
      </c>
      <c r="W23" s="109">
        <f t="shared" si="12"/>
        <v>51956</v>
      </c>
      <c r="X23" s="109">
        <f t="shared" si="12"/>
        <v>52321</v>
      </c>
      <c r="Y23" s="109">
        <f t="shared" si="12"/>
        <v>52687</v>
      </c>
      <c r="Z23" s="109">
        <f t="shared" si="12"/>
        <v>53052</v>
      </c>
    </row>
    <row r="24" spans="1:26" s="111" customFormat="1">
      <c r="A24" s="4" t="s">
        <v>185</v>
      </c>
      <c r="B24" s="110" t="str">
        <f ca="1">IF(B20=B15, "Yes", "No")</f>
        <v>No</v>
      </c>
      <c r="C24" s="110" t="str">
        <f t="shared" ref="C24:Z24" ca="1" si="13">IF(C20=C15, "Yes", "No")</f>
        <v>No</v>
      </c>
      <c r="D24" s="110" t="str">
        <f t="shared" ca="1" si="13"/>
        <v>No</v>
      </c>
      <c r="E24" s="110" t="str">
        <f t="shared" ca="1" si="13"/>
        <v>No</v>
      </c>
      <c r="F24" s="110" t="str">
        <f t="shared" ca="1" si="13"/>
        <v>No</v>
      </c>
      <c r="G24" s="110" t="str">
        <f t="shared" ca="1" si="13"/>
        <v>No</v>
      </c>
      <c r="H24" s="110" t="str">
        <f t="shared" ca="1" si="13"/>
        <v>No</v>
      </c>
      <c r="I24" s="110" t="str">
        <f t="shared" ca="1" si="13"/>
        <v>No</v>
      </c>
      <c r="J24" s="110" t="str">
        <f t="shared" ca="1" si="13"/>
        <v>No</v>
      </c>
      <c r="K24" s="110" t="str">
        <f t="shared" ca="1" si="13"/>
        <v>No</v>
      </c>
      <c r="L24" s="110" t="str">
        <f t="shared" ca="1" si="13"/>
        <v>No</v>
      </c>
      <c r="M24" s="110" t="str">
        <f t="shared" ca="1" si="13"/>
        <v>No</v>
      </c>
      <c r="N24" s="110" t="str">
        <f t="shared" ca="1" si="13"/>
        <v>No</v>
      </c>
      <c r="O24" s="110" t="str">
        <f t="shared" ca="1" si="13"/>
        <v>No</v>
      </c>
      <c r="P24" s="110" t="str">
        <f t="shared" ca="1" si="13"/>
        <v>No</v>
      </c>
      <c r="Q24" s="110" t="str">
        <f t="shared" ca="1" si="13"/>
        <v>Yes</v>
      </c>
      <c r="R24" s="110" t="str">
        <f t="shared" ca="1" si="13"/>
        <v>Yes</v>
      </c>
      <c r="S24" s="110" t="str">
        <f t="shared" ca="1" si="13"/>
        <v>Yes</v>
      </c>
      <c r="T24" s="110" t="str">
        <f t="shared" ca="1" si="13"/>
        <v>Yes</v>
      </c>
      <c r="U24" s="110" t="str">
        <f t="shared" ca="1" si="13"/>
        <v>Yes</v>
      </c>
      <c r="V24" s="110" t="str">
        <f t="shared" ca="1" si="13"/>
        <v>Yes</v>
      </c>
      <c r="W24" s="110" t="str">
        <f t="shared" ca="1" si="13"/>
        <v>Yes</v>
      </c>
      <c r="X24" s="110" t="str">
        <f t="shared" ca="1" si="13"/>
        <v>Yes</v>
      </c>
      <c r="Y24" s="110" t="str">
        <f t="shared" ca="1" si="13"/>
        <v>Yes</v>
      </c>
      <c r="Z24" s="110" t="str">
        <f t="shared" ca="1" si="13"/>
        <v>Yes</v>
      </c>
    </row>
    <row r="25" spans="1:26" s="41" customFormat="1">
      <c r="A25" s="4" t="s">
        <v>84</v>
      </c>
      <c r="B25" s="4">
        <f ca="1">IF(B21="MAT",0,(B15-B19))</f>
        <v>0</v>
      </c>
      <c r="C25" s="4">
        <f t="shared" ref="C25:Z25" ca="1" si="14">IF(C21="MAT",0,(C15-C19))</f>
        <v>0</v>
      </c>
      <c r="D25" s="4">
        <f t="shared" ca="1" si="14"/>
        <v>0</v>
      </c>
      <c r="E25" s="4">
        <f t="shared" ca="1" si="14"/>
        <v>0</v>
      </c>
      <c r="F25" s="4">
        <f t="shared" ca="1" si="14"/>
        <v>0</v>
      </c>
      <c r="G25" s="4">
        <f t="shared" ca="1" si="14"/>
        <v>0</v>
      </c>
      <c r="H25" s="4">
        <f t="shared" ca="1" si="14"/>
        <v>0</v>
      </c>
      <c r="I25" s="4">
        <f t="shared" ca="1" si="14"/>
        <v>0</v>
      </c>
      <c r="J25" s="4">
        <f t="shared" ca="1" si="14"/>
        <v>0</v>
      </c>
      <c r="K25" s="4">
        <f t="shared" ca="1" si="14"/>
        <v>0</v>
      </c>
      <c r="L25" s="4">
        <f t="shared" ca="1" si="14"/>
        <v>0</v>
      </c>
      <c r="M25" s="4">
        <f t="shared" ca="1" si="14"/>
        <v>0</v>
      </c>
      <c r="N25" s="4">
        <f t="shared" ca="1" si="14"/>
        <v>0</v>
      </c>
      <c r="O25" s="4">
        <f t="shared" ca="1" si="14"/>
        <v>0</v>
      </c>
      <c r="P25" s="4">
        <f t="shared" ca="1" si="14"/>
        <v>0</v>
      </c>
      <c r="Q25" s="4">
        <f t="shared" ca="1" si="14"/>
        <v>314.89487024809881</v>
      </c>
      <c r="R25" s="4">
        <f t="shared" ca="1" si="14"/>
        <v>325.94414339328773</v>
      </c>
      <c r="S25" s="4">
        <f t="shared" ca="1" si="14"/>
        <v>380.03364799616702</v>
      </c>
      <c r="T25" s="4">
        <f t="shared" ca="1" si="14"/>
        <v>379.37828631782526</v>
      </c>
      <c r="U25" s="4">
        <f t="shared" ca="1" si="14"/>
        <v>235.26534589690522</v>
      </c>
      <c r="V25" s="4">
        <f t="shared" ca="1" si="14"/>
        <v>241.51323561840735</v>
      </c>
      <c r="W25" s="4">
        <f t="shared" ca="1" si="14"/>
        <v>246.82394188168411</v>
      </c>
      <c r="X25" s="4">
        <f t="shared" ca="1" si="14"/>
        <v>251.33804220546955</v>
      </c>
      <c r="Y25" s="4">
        <f t="shared" ca="1" si="14"/>
        <v>255.17502748068739</v>
      </c>
      <c r="Z25" s="4">
        <f t="shared" ca="1" si="14"/>
        <v>258.43646496462253</v>
      </c>
    </row>
    <row r="26" spans="1:26" s="45" customFormat="1">
      <c r="A26" s="39" t="s">
        <v>186</v>
      </c>
      <c r="B26" s="42">
        <v>0</v>
      </c>
      <c r="C26" s="42">
        <f t="shared" ref="C26:Z26" ca="1" si="15">B31</f>
        <v>160.51234596573826</v>
      </c>
      <c r="D26" s="42">
        <f t="shared" ca="1" si="15"/>
        <v>313.82579064648291</v>
      </c>
      <c r="E26" s="42">
        <f t="shared" ca="1" si="15"/>
        <v>471.06216665308074</v>
      </c>
      <c r="F26" s="42">
        <f t="shared" ca="1" si="15"/>
        <v>632.29435099168177</v>
      </c>
      <c r="G26" s="42">
        <f t="shared" ca="1" si="15"/>
        <v>797.48590515921046</v>
      </c>
      <c r="H26" s="42">
        <f t="shared" ca="1" si="15"/>
        <v>966.6368291556671</v>
      </c>
      <c r="I26" s="42">
        <f t="shared" ca="1" si="15"/>
        <v>1139.7540748322667</v>
      </c>
      <c r="J26" s="42">
        <f t="shared" ca="1" si="15"/>
        <v>1156.3113925208415</v>
      </c>
      <c r="K26" s="42">
        <f t="shared" ca="1" si="15"/>
        <v>1184.0269813233378</v>
      </c>
      <c r="L26" s="42">
        <f t="shared" ca="1" si="15"/>
        <v>1211.7790086289094</v>
      </c>
      <c r="M26" s="42">
        <f t="shared" ca="1" si="15"/>
        <v>1239.5449396369095</v>
      </c>
      <c r="N26" s="42">
        <f t="shared" ca="1" si="15"/>
        <v>1267.2605284394056</v>
      </c>
      <c r="O26" s="42">
        <f t="shared" ca="1" si="15"/>
        <v>1190.9135368072361</v>
      </c>
      <c r="P26" s="42">
        <f t="shared" ca="1" si="15"/>
        <v>1103.1087175410432</v>
      </c>
      <c r="Q26" s="42">
        <f t="shared" ca="1" si="15"/>
        <v>1003.8752762470035</v>
      </c>
      <c r="R26" s="42">
        <f t="shared" ca="1" si="15"/>
        <v>688.98040599890464</v>
      </c>
      <c r="S26" s="42">
        <f t="shared" ca="1" si="15"/>
        <v>363.03626260561646</v>
      </c>
      <c r="T26" s="42">
        <f t="shared" ca="1" si="15"/>
        <v>0</v>
      </c>
      <c r="U26" s="42">
        <f t="shared" ca="1" si="15"/>
        <v>0</v>
      </c>
      <c r="V26" s="42">
        <f t="shared" ca="1" si="15"/>
        <v>0</v>
      </c>
      <c r="W26" s="42">
        <f t="shared" ca="1" si="15"/>
        <v>0</v>
      </c>
      <c r="X26" s="42">
        <f t="shared" ca="1" si="15"/>
        <v>0</v>
      </c>
      <c r="Y26" s="42">
        <f t="shared" ca="1" si="15"/>
        <v>0</v>
      </c>
      <c r="Z26" s="42">
        <f t="shared" ca="1" si="15"/>
        <v>0</v>
      </c>
    </row>
    <row r="27" spans="1:26" s="45" customFormat="1">
      <c r="A27" s="39" t="s">
        <v>187</v>
      </c>
      <c r="B27" s="42">
        <f t="shared" ref="B27:Z27" ca="1" si="16">B22</f>
        <v>160.51234596573826</v>
      </c>
      <c r="C27" s="42">
        <f t="shared" ca="1" si="16"/>
        <v>153.31344468074465</v>
      </c>
      <c r="D27" s="42">
        <f t="shared" ca="1" si="16"/>
        <v>157.23637600659782</v>
      </c>
      <c r="E27" s="42">
        <f t="shared" ca="1" si="16"/>
        <v>161.232184338601</v>
      </c>
      <c r="F27" s="42">
        <f t="shared" ca="1" si="16"/>
        <v>165.19155416752869</v>
      </c>
      <c r="G27" s="42">
        <f t="shared" ca="1" si="16"/>
        <v>169.15092399645667</v>
      </c>
      <c r="H27" s="42">
        <f t="shared" ca="1" si="16"/>
        <v>173.11724567659965</v>
      </c>
      <c r="I27" s="42">
        <f t="shared" ca="1" si="16"/>
        <v>177.0696636543131</v>
      </c>
      <c r="J27" s="42">
        <f t="shared" ca="1" si="16"/>
        <v>181.02903348324099</v>
      </c>
      <c r="K27" s="42">
        <f t="shared" ca="1" si="16"/>
        <v>184.98840331216937</v>
      </c>
      <c r="L27" s="42">
        <f t="shared" ca="1" si="16"/>
        <v>188.99811534660111</v>
      </c>
      <c r="M27" s="42">
        <f t="shared" ca="1" si="16"/>
        <v>192.90714297002489</v>
      </c>
      <c r="N27" s="42">
        <f t="shared" ca="1" si="16"/>
        <v>92.803932364287206</v>
      </c>
      <c r="O27" s="42">
        <f t="shared" ca="1" si="16"/>
        <v>85.312426410406673</v>
      </c>
      <c r="P27" s="42">
        <f t="shared" ca="1" si="16"/>
        <v>77.836222360273283</v>
      </c>
      <c r="Q27" s="42">
        <f t="shared" ca="1" si="16"/>
        <v>0</v>
      </c>
      <c r="R27" s="42">
        <f t="shared" ca="1" si="16"/>
        <v>0</v>
      </c>
      <c r="S27" s="42">
        <f t="shared" ca="1" si="16"/>
        <v>0</v>
      </c>
      <c r="T27" s="42">
        <f t="shared" ca="1" si="16"/>
        <v>0</v>
      </c>
      <c r="U27" s="42">
        <f t="shared" ca="1" si="16"/>
        <v>0</v>
      </c>
      <c r="V27" s="42">
        <f t="shared" ca="1" si="16"/>
        <v>0</v>
      </c>
      <c r="W27" s="42">
        <f t="shared" ca="1" si="16"/>
        <v>0</v>
      </c>
      <c r="X27" s="42">
        <f t="shared" ca="1" si="16"/>
        <v>0</v>
      </c>
      <c r="Y27" s="42">
        <f t="shared" ca="1" si="16"/>
        <v>0</v>
      </c>
      <c r="Z27" s="42">
        <f t="shared" ca="1" si="16"/>
        <v>0</v>
      </c>
    </row>
    <row r="28" spans="1:26" s="41" customFormat="1">
      <c r="A28" s="40" t="s">
        <v>205</v>
      </c>
      <c r="B28" s="4"/>
      <c r="C28" s="4"/>
      <c r="D28" s="4"/>
      <c r="E28" s="4"/>
      <c r="F28" s="4"/>
      <c r="G28" s="4"/>
      <c r="H28" s="4"/>
      <c r="I28" s="4">
        <f ca="1">IF(B27&gt;SUM($C$30:I30),B27-SUM($C$30:I30),0)</f>
        <v>160.51234596573826</v>
      </c>
      <c r="J28" s="4">
        <f ca="1">IF(C27&gt;SUM($C$30:J30),C27-SUM($C$30:J30),0)+I28</f>
        <v>313.82579064648291</v>
      </c>
      <c r="K28" s="4">
        <f ca="1">IF(D27&gt;SUM($C$30:K30),D27-SUM($C$30:K30),0)+J28</f>
        <v>471.06216665308074</v>
      </c>
      <c r="L28" s="4">
        <f ca="1">IF(E27&gt;SUM($C$30:L30),E27-SUM($C$30:L30),0)+K28</f>
        <v>632.29435099168177</v>
      </c>
      <c r="M28" s="4">
        <f ca="1">IF(F27&gt;SUM($C$30:M30),F27-SUM($C$30:M30),0)+L28</f>
        <v>797.48590515921046</v>
      </c>
      <c r="N28" s="4">
        <f ca="1">IF(G27&gt;SUM($C$30:N30),G27-SUM($C$30:N30),0)+M28</f>
        <v>966.6368291556671</v>
      </c>
      <c r="O28" s="4">
        <f ca="1">IF(H27&gt;SUM($C$30:O30),H27-SUM($C$30:O30),0)+N28</f>
        <v>1139.7540748322667</v>
      </c>
      <c r="P28" s="4">
        <f ca="1">IF(I27&gt;SUM($C$30:P30),I27-SUM($C$30:P30),0)+O28</f>
        <v>1316.8237384865797</v>
      </c>
      <c r="Q28" s="4">
        <f ca="1">IF(J27&gt;SUM($C$30:Q30),J27-SUM($C$30:Q30),0)+P28</f>
        <v>1316.8237384865797</v>
      </c>
      <c r="R28" s="4">
        <f ca="1">IF(K27&gt;SUM($C$30:R30),K27-SUM($C$30:R30),0)+Q28</f>
        <v>1316.8237384865797</v>
      </c>
      <c r="S28" s="4">
        <f ca="1">IF(L27&gt;SUM($C$30:S30),L27-SUM($C$30:S30),0)+R28</f>
        <v>1316.8237384865797</v>
      </c>
      <c r="T28" s="4">
        <f ca="1">IF(M27&gt;SUM($C$30:T30),M27-SUM($C$30:T30),0)+S28</f>
        <v>1316.8237384865797</v>
      </c>
      <c r="U28" s="4">
        <f ca="1">IF(N27&gt;SUM($C$30:U30),N27-SUM($C$30:U30),0)+T28</f>
        <v>1316.8237384865797</v>
      </c>
      <c r="V28" s="4">
        <f ca="1">IF(O27&gt;SUM($C$30:V30),O27-SUM($C$30:V30),0)+U28</f>
        <v>1316.8237384865797</v>
      </c>
      <c r="W28" s="4">
        <f ca="1">IF(P27&gt;SUM($C$30:W30),P27-SUM($C$30:W30),0)+V28</f>
        <v>1316.8237384865797</v>
      </c>
      <c r="X28" s="4">
        <f ca="1">IF(Q27&gt;SUM($C$30:X30),Q27-SUM($C$30:X30),0)+W28</f>
        <v>1316.8237384865797</v>
      </c>
      <c r="Y28" s="4">
        <f ca="1">IF(R27&gt;SUM($C$30:Y30),R27-SUM($C$30:Y30),0)+X28</f>
        <v>1316.8237384865797</v>
      </c>
      <c r="Z28" s="4">
        <f ca="1">IF(S27&gt;SUM($C$30:Z30),S27-SUM($C$30:Z30),0)+Y28</f>
        <v>1316.8237384865797</v>
      </c>
    </row>
    <row r="29" spans="1:26" s="41" customFormat="1">
      <c r="A29" s="40" t="s">
        <v>91</v>
      </c>
      <c r="B29" s="4">
        <f ca="1">B26+B27</f>
        <v>160.51234596573826</v>
      </c>
      <c r="C29" s="4">
        <f t="shared" ref="C29:H29" ca="1" si="17">C26+C27-(C28-B28)</f>
        <v>313.82579064648291</v>
      </c>
      <c r="D29" s="4">
        <f t="shared" ca="1" si="17"/>
        <v>471.06216665308074</v>
      </c>
      <c r="E29" s="4">
        <f t="shared" ca="1" si="17"/>
        <v>632.29435099168177</v>
      </c>
      <c r="F29" s="4">
        <f t="shared" ca="1" si="17"/>
        <v>797.48590515921046</v>
      </c>
      <c r="G29" s="4">
        <f t="shared" ca="1" si="17"/>
        <v>966.6368291556671</v>
      </c>
      <c r="H29" s="4">
        <f t="shared" ca="1" si="17"/>
        <v>1139.7540748322667</v>
      </c>
      <c r="I29" s="4">
        <f ca="1">I26+I27-(I28-H28)</f>
        <v>1156.3113925208415</v>
      </c>
      <c r="J29" s="4">
        <f t="shared" ref="J29:Z29" ca="1" si="18">J26+J27-(J28-I28)</f>
        <v>1184.0269813233378</v>
      </c>
      <c r="K29" s="4">
        <f t="shared" ca="1" si="18"/>
        <v>1211.7790086289094</v>
      </c>
      <c r="L29" s="4">
        <f t="shared" ca="1" si="18"/>
        <v>1239.5449396369095</v>
      </c>
      <c r="M29" s="4">
        <f t="shared" ca="1" si="18"/>
        <v>1267.2605284394056</v>
      </c>
      <c r="N29" s="4">
        <f t="shared" ca="1" si="18"/>
        <v>1190.9135368072361</v>
      </c>
      <c r="O29" s="4">
        <f t="shared" ca="1" si="18"/>
        <v>1103.1087175410432</v>
      </c>
      <c r="P29" s="4">
        <f t="shared" ca="1" si="18"/>
        <v>1003.8752762470035</v>
      </c>
      <c r="Q29" s="4">
        <f t="shared" ca="1" si="18"/>
        <v>1003.8752762470035</v>
      </c>
      <c r="R29" s="4">
        <f t="shared" ca="1" si="18"/>
        <v>688.98040599890464</v>
      </c>
      <c r="S29" s="4">
        <f t="shared" ca="1" si="18"/>
        <v>363.03626260561646</v>
      </c>
      <c r="T29" s="4">
        <f t="shared" ca="1" si="18"/>
        <v>0</v>
      </c>
      <c r="U29" s="4">
        <f t="shared" ca="1" si="18"/>
        <v>0</v>
      </c>
      <c r="V29" s="4">
        <f t="shared" ca="1" si="18"/>
        <v>0</v>
      </c>
      <c r="W29" s="4">
        <f t="shared" ca="1" si="18"/>
        <v>0</v>
      </c>
      <c r="X29" s="4">
        <f t="shared" ca="1" si="18"/>
        <v>0</v>
      </c>
      <c r="Y29" s="4">
        <f t="shared" ca="1" si="18"/>
        <v>0</v>
      </c>
      <c r="Z29" s="4">
        <f t="shared" ca="1" si="18"/>
        <v>0</v>
      </c>
    </row>
    <row r="30" spans="1:26" s="45" customFormat="1">
      <c r="A30" s="39" t="s">
        <v>188</v>
      </c>
      <c r="B30" s="4">
        <f t="shared" ref="B30:Z30" ca="1" si="19">IF(B21="MAT",0,IF((MIN(B25,B29)&gt;0),MIN(B25,B29),0))</f>
        <v>0</v>
      </c>
      <c r="C30" s="4">
        <f t="shared" ca="1" si="19"/>
        <v>0</v>
      </c>
      <c r="D30" s="4">
        <f t="shared" ca="1" si="19"/>
        <v>0</v>
      </c>
      <c r="E30" s="4">
        <f t="shared" ca="1" si="19"/>
        <v>0</v>
      </c>
      <c r="F30" s="4">
        <f t="shared" ca="1" si="19"/>
        <v>0</v>
      </c>
      <c r="G30" s="4">
        <f t="shared" ca="1" si="19"/>
        <v>0</v>
      </c>
      <c r="H30" s="4">
        <f t="shared" ca="1" si="19"/>
        <v>0</v>
      </c>
      <c r="I30" s="4">
        <f t="shared" ca="1" si="19"/>
        <v>0</v>
      </c>
      <c r="J30" s="4">
        <f t="shared" ca="1" si="19"/>
        <v>0</v>
      </c>
      <c r="K30" s="4">
        <f t="shared" ca="1" si="19"/>
        <v>0</v>
      </c>
      <c r="L30" s="4">
        <f t="shared" ca="1" si="19"/>
        <v>0</v>
      </c>
      <c r="M30" s="4">
        <f t="shared" ca="1" si="19"/>
        <v>0</v>
      </c>
      <c r="N30" s="4">
        <f t="shared" ca="1" si="19"/>
        <v>0</v>
      </c>
      <c r="O30" s="4">
        <f t="shared" ca="1" si="19"/>
        <v>0</v>
      </c>
      <c r="P30" s="4">
        <f t="shared" ca="1" si="19"/>
        <v>0</v>
      </c>
      <c r="Q30" s="4">
        <f t="shared" ca="1" si="19"/>
        <v>314.89487024809881</v>
      </c>
      <c r="R30" s="4">
        <f t="shared" ca="1" si="19"/>
        <v>325.94414339328773</v>
      </c>
      <c r="S30" s="4">
        <f t="shared" ca="1" si="19"/>
        <v>363.03626260561646</v>
      </c>
      <c r="T30" s="4">
        <f t="shared" ca="1" si="19"/>
        <v>0</v>
      </c>
      <c r="U30" s="4">
        <f t="shared" ca="1" si="19"/>
        <v>0</v>
      </c>
      <c r="V30" s="4">
        <f t="shared" ca="1" si="19"/>
        <v>0</v>
      </c>
      <c r="W30" s="4">
        <f t="shared" ca="1" si="19"/>
        <v>0</v>
      </c>
      <c r="X30" s="4">
        <f t="shared" ca="1" si="19"/>
        <v>0</v>
      </c>
      <c r="Y30" s="4">
        <f t="shared" ca="1" si="19"/>
        <v>0</v>
      </c>
      <c r="Z30" s="4">
        <f t="shared" ca="1" si="19"/>
        <v>0</v>
      </c>
    </row>
    <row r="31" spans="1:26" s="45" customFormat="1">
      <c r="A31" s="39" t="s">
        <v>189</v>
      </c>
      <c r="B31" s="42">
        <f t="shared" ref="B31:Z31" ca="1" si="20">B29-B30</f>
        <v>160.51234596573826</v>
      </c>
      <c r="C31" s="42">
        <f t="shared" ca="1" si="20"/>
        <v>313.82579064648291</v>
      </c>
      <c r="D31" s="42">
        <f t="shared" ca="1" si="20"/>
        <v>471.06216665308074</v>
      </c>
      <c r="E31" s="42">
        <f t="shared" ca="1" si="20"/>
        <v>632.29435099168177</v>
      </c>
      <c r="F31" s="42">
        <f t="shared" ca="1" si="20"/>
        <v>797.48590515921046</v>
      </c>
      <c r="G31" s="42">
        <f t="shared" ca="1" si="20"/>
        <v>966.6368291556671</v>
      </c>
      <c r="H31" s="42">
        <f t="shared" ca="1" si="20"/>
        <v>1139.7540748322667</v>
      </c>
      <c r="I31" s="42">
        <f t="shared" ca="1" si="20"/>
        <v>1156.3113925208415</v>
      </c>
      <c r="J31" s="42">
        <f t="shared" ca="1" si="20"/>
        <v>1184.0269813233378</v>
      </c>
      <c r="K31" s="42">
        <f t="shared" ca="1" si="20"/>
        <v>1211.7790086289094</v>
      </c>
      <c r="L31" s="42">
        <f t="shared" ca="1" si="20"/>
        <v>1239.5449396369095</v>
      </c>
      <c r="M31" s="42">
        <f t="shared" ca="1" si="20"/>
        <v>1267.2605284394056</v>
      </c>
      <c r="N31" s="42">
        <f t="shared" ca="1" si="20"/>
        <v>1190.9135368072361</v>
      </c>
      <c r="O31" s="42">
        <f t="shared" ca="1" si="20"/>
        <v>1103.1087175410432</v>
      </c>
      <c r="P31" s="42">
        <f t="shared" ca="1" si="20"/>
        <v>1003.8752762470035</v>
      </c>
      <c r="Q31" s="42">
        <f t="shared" ca="1" si="20"/>
        <v>688.98040599890464</v>
      </c>
      <c r="R31" s="42">
        <f t="shared" ca="1" si="20"/>
        <v>363.03626260561691</v>
      </c>
      <c r="S31" s="42">
        <f t="shared" ca="1" si="20"/>
        <v>0</v>
      </c>
      <c r="T31" s="42">
        <f t="shared" ca="1" si="20"/>
        <v>0</v>
      </c>
      <c r="U31" s="42">
        <f t="shared" ca="1" si="20"/>
        <v>0</v>
      </c>
      <c r="V31" s="42">
        <f t="shared" ca="1" si="20"/>
        <v>0</v>
      </c>
      <c r="W31" s="42">
        <f t="shared" ca="1" si="20"/>
        <v>0</v>
      </c>
      <c r="X31" s="42">
        <f t="shared" ca="1" si="20"/>
        <v>0</v>
      </c>
      <c r="Y31" s="42">
        <f t="shared" ca="1" si="20"/>
        <v>0</v>
      </c>
      <c r="Z31" s="42">
        <f t="shared" ca="1" si="20"/>
        <v>0</v>
      </c>
    </row>
    <row r="32" spans="1:26" s="45" customFormat="1">
      <c r="A32" s="39" t="s">
        <v>190</v>
      </c>
      <c r="B32" s="42">
        <f t="shared" ref="B32:Z32" ca="1" si="21">B20-B30</f>
        <v>160.51234596573826</v>
      </c>
      <c r="C32" s="42">
        <f t="shared" ca="1" si="21"/>
        <v>153.31344468074465</v>
      </c>
      <c r="D32" s="42">
        <f t="shared" ca="1" si="21"/>
        <v>157.23637600659782</v>
      </c>
      <c r="E32" s="42">
        <f t="shared" ca="1" si="21"/>
        <v>161.232184338601</v>
      </c>
      <c r="F32" s="42">
        <f t="shared" ca="1" si="21"/>
        <v>165.19155416752869</v>
      </c>
      <c r="G32" s="42">
        <f t="shared" ca="1" si="21"/>
        <v>169.15092399645667</v>
      </c>
      <c r="H32" s="42">
        <f t="shared" ca="1" si="21"/>
        <v>173.11724567659965</v>
      </c>
      <c r="I32" s="42">
        <f t="shared" ca="1" si="21"/>
        <v>177.0696636543131</v>
      </c>
      <c r="J32" s="42">
        <f t="shared" ca="1" si="21"/>
        <v>181.02903348324099</v>
      </c>
      <c r="K32" s="42">
        <f t="shared" ca="1" si="21"/>
        <v>184.98840331216937</v>
      </c>
      <c r="L32" s="42">
        <f t="shared" ca="1" si="21"/>
        <v>188.99811534660111</v>
      </c>
      <c r="M32" s="42">
        <f t="shared" ca="1" si="21"/>
        <v>192.90714297002489</v>
      </c>
      <c r="N32" s="42">
        <f t="shared" ca="1" si="21"/>
        <v>92.803932364287206</v>
      </c>
      <c r="O32" s="42">
        <f t="shared" ca="1" si="21"/>
        <v>85.312426410406673</v>
      </c>
      <c r="P32" s="42">
        <f t="shared" ca="1" si="21"/>
        <v>77.836222360273283</v>
      </c>
      <c r="Q32" s="42">
        <f t="shared" ca="1" si="21"/>
        <v>73.155446534182431</v>
      </c>
      <c r="R32" s="42">
        <f t="shared" ca="1" si="21"/>
        <v>72.235725588778735</v>
      </c>
      <c r="S32" s="42">
        <f t="shared" ca="1" si="21"/>
        <v>133.14897060520497</v>
      </c>
      <c r="T32" s="42">
        <f t="shared" ca="1" si="21"/>
        <v>504.83283144127449</v>
      </c>
      <c r="U32" s="42">
        <f t="shared" ca="1" si="21"/>
        <v>512.18328993715954</v>
      </c>
      <c r="V32" s="42">
        <f t="shared" ca="1" si="21"/>
        <v>518.43117965866156</v>
      </c>
      <c r="W32" s="42">
        <f t="shared" ca="1" si="21"/>
        <v>523.74188592193798</v>
      </c>
      <c r="X32" s="42">
        <f t="shared" ca="1" si="21"/>
        <v>528.25598624572331</v>
      </c>
      <c r="Y32" s="42">
        <f t="shared" ca="1" si="21"/>
        <v>532.09297152094143</v>
      </c>
      <c r="Z32" s="42">
        <f t="shared" ca="1" si="21"/>
        <v>535.35440900487674</v>
      </c>
    </row>
    <row r="34" spans="1:26">
      <c r="A34" s="40" t="s">
        <v>148</v>
      </c>
      <c r="B34" s="27">
        <f>DATE(YEAR(B1)+8,MONTH(B1),DAY(B1))</f>
        <v>44651</v>
      </c>
      <c r="C34" s="27">
        <f t="shared" ref="C34:Z34" si="22">DATE(YEAR(C1)+8,MONTH(C1),DAY(C1))</f>
        <v>45016</v>
      </c>
      <c r="D34" s="27">
        <f t="shared" si="22"/>
        <v>45382</v>
      </c>
      <c r="E34" s="27">
        <f t="shared" si="22"/>
        <v>45747</v>
      </c>
      <c r="F34" s="27">
        <f t="shared" si="22"/>
        <v>46112</v>
      </c>
      <c r="G34" s="27">
        <f t="shared" si="22"/>
        <v>46477</v>
      </c>
      <c r="H34" s="27">
        <f t="shared" si="22"/>
        <v>46843</v>
      </c>
      <c r="I34" s="27">
        <f t="shared" si="22"/>
        <v>47208</v>
      </c>
      <c r="J34" s="27">
        <f t="shared" si="22"/>
        <v>47573</v>
      </c>
      <c r="K34" s="27">
        <f t="shared" si="22"/>
        <v>47938</v>
      </c>
      <c r="L34" s="27">
        <f t="shared" si="22"/>
        <v>48304</v>
      </c>
      <c r="M34" s="27">
        <f t="shared" si="22"/>
        <v>48669</v>
      </c>
      <c r="N34" s="27">
        <f t="shared" si="22"/>
        <v>49034</v>
      </c>
      <c r="O34" s="27">
        <f t="shared" si="22"/>
        <v>49399</v>
      </c>
      <c r="P34" s="27">
        <f t="shared" si="22"/>
        <v>49765</v>
      </c>
      <c r="Q34" s="27">
        <f t="shared" si="22"/>
        <v>50130</v>
      </c>
      <c r="R34" s="27">
        <f t="shared" si="22"/>
        <v>50495</v>
      </c>
      <c r="S34" s="27">
        <f t="shared" si="22"/>
        <v>50860</v>
      </c>
      <c r="T34" s="27">
        <f t="shared" si="22"/>
        <v>51226</v>
      </c>
      <c r="U34" s="27">
        <f t="shared" si="22"/>
        <v>51591</v>
      </c>
      <c r="V34" s="27">
        <f t="shared" si="22"/>
        <v>51956</v>
      </c>
      <c r="W34" s="27">
        <f t="shared" si="22"/>
        <v>52321</v>
      </c>
      <c r="X34" s="27">
        <f t="shared" si="22"/>
        <v>52687</v>
      </c>
      <c r="Y34" s="27">
        <f t="shared" si="22"/>
        <v>53052</v>
      </c>
      <c r="Z34" s="27">
        <f t="shared" si="22"/>
        <v>53417</v>
      </c>
    </row>
    <row r="35" spans="1:26">
      <c r="A35" s="39" t="s">
        <v>87</v>
      </c>
      <c r="B35" s="23">
        <v>0</v>
      </c>
      <c r="C35" s="42">
        <f ca="1">B42</f>
        <v>-799.5549354884738</v>
      </c>
      <c r="D35" s="42">
        <f ca="1">C42</f>
        <v>-1235.7680290374901</v>
      </c>
      <c r="E35" s="42">
        <f t="shared" ref="E35:Z35" ca="1" si="23">D42</f>
        <v>-1306.2555318886357</v>
      </c>
      <c r="F35" s="42">
        <f t="shared" ca="1" si="23"/>
        <v>-1061.9850398985593</v>
      </c>
      <c r="G35" s="42">
        <f t="shared" ca="1" si="23"/>
        <v>-546.8579089764396</v>
      </c>
      <c r="H35" s="42">
        <f t="shared" ca="1" si="23"/>
        <v>0</v>
      </c>
      <c r="I35" s="42">
        <f t="shared" ca="1" si="23"/>
        <v>0</v>
      </c>
      <c r="J35" s="42">
        <f t="shared" ca="1" si="23"/>
        <v>0</v>
      </c>
      <c r="K35" s="42">
        <f t="shared" ca="1" si="23"/>
        <v>0</v>
      </c>
      <c r="L35" s="42">
        <f t="shared" ca="1" si="23"/>
        <v>0</v>
      </c>
      <c r="M35" s="42">
        <f t="shared" ca="1" si="23"/>
        <v>0</v>
      </c>
      <c r="N35" s="42">
        <f t="shared" ca="1" si="23"/>
        <v>0</v>
      </c>
      <c r="O35" s="42">
        <f t="shared" ca="1" si="23"/>
        <v>0</v>
      </c>
      <c r="P35" s="42">
        <f t="shared" ca="1" si="23"/>
        <v>0</v>
      </c>
      <c r="Q35" s="42">
        <f t="shared" ca="1" si="23"/>
        <v>0</v>
      </c>
      <c r="R35" s="42">
        <f t="shared" ca="1" si="23"/>
        <v>0</v>
      </c>
      <c r="S35" s="42">
        <f t="shared" ca="1" si="23"/>
        <v>0</v>
      </c>
      <c r="T35" s="42">
        <f t="shared" ca="1" si="23"/>
        <v>0</v>
      </c>
      <c r="U35" s="42">
        <f t="shared" ca="1" si="23"/>
        <v>0</v>
      </c>
      <c r="V35" s="42">
        <f t="shared" ca="1" si="23"/>
        <v>0</v>
      </c>
      <c r="W35" s="42">
        <f t="shared" ca="1" si="23"/>
        <v>0</v>
      </c>
      <c r="X35" s="42">
        <f t="shared" ca="1" si="23"/>
        <v>0</v>
      </c>
      <c r="Y35" s="42">
        <f t="shared" ca="1" si="23"/>
        <v>0</v>
      </c>
      <c r="Z35" s="42">
        <f t="shared" ca="1" si="23"/>
        <v>0</v>
      </c>
    </row>
    <row r="36" spans="1:26">
      <c r="A36" s="39" t="s">
        <v>149</v>
      </c>
      <c r="B36" s="39">
        <v>0</v>
      </c>
      <c r="C36" s="39">
        <v>0</v>
      </c>
      <c r="D36" s="39">
        <v>0</v>
      </c>
      <c r="E36" s="39">
        <v>0</v>
      </c>
      <c r="F36" s="39">
        <v>0</v>
      </c>
      <c r="G36" s="39">
        <v>0</v>
      </c>
      <c r="H36" s="39">
        <v>0</v>
      </c>
      <c r="I36" s="39">
        <v>0</v>
      </c>
      <c r="J36" s="39">
        <v>0</v>
      </c>
      <c r="K36" s="39">
        <f ca="1">IF(AND(ABS(J41)&gt;J40,ABS(K35)&gt;0)=TRUE,J41+J40,0)</f>
        <v>0</v>
      </c>
      <c r="L36" s="39">
        <f ca="1">IF(AND(ABS(K41)&gt;K39,ABS(L35)&gt;0)=TRUE,K41+K39,0)</f>
        <v>0</v>
      </c>
      <c r="M36" s="39">
        <f t="shared" ref="M36:Z36" ca="1" si="24">IF(AND(ABS(L41)&gt;L39,ABS(M35)&gt;0)=TRUE,L41+L39,0)</f>
        <v>0</v>
      </c>
      <c r="N36" s="39">
        <f t="shared" ca="1" si="24"/>
        <v>0</v>
      </c>
      <c r="O36" s="39">
        <f t="shared" ca="1" si="24"/>
        <v>0</v>
      </c>
      <c r="P36" s="39">
        <f t="shared" ca="1" si="24"/>
        <v>0</v>
      </c>
      <c r="Q36" s="39">
        <f t="shared" ca="1" si="24"/>
        <v>0</v>
      </c>
      <c r="R36" s="39">
        <f t="shared" ca="1" si="24"/>
        <v>0</v>
      </c>
      <c r="S36" s="39">
        <f t="shared" ca="1" si="24"/>
        <v>0</v>
      </c>
      <c r="T36" s="39">
        <f t="shared" ca="1" si="24"/>
        <v>0</v>
      </c>
      <c r="U36" s="39">
        <f t="shared" ca="1" si="24"/>
        <v>0</v>
      </c>
      <c r="V36" s="39">
        <f t="shared" ca="1" si="24"/>
        <v>0</v>
      </c>
      <c r="W36" s="39">
        <f t="shared" ca="1" si="24"/>
        <v>0</v>
      </c>
      <c r="X36" s="39">
        <f t="shared" ca="1" si="24"/>
        <v>0</v>
      </c>
      <c r="Y36" s="39">
        <f t="shared" ca="1" si="24"/>
        <v>0</v>
      </c>
      <c r="Z36" s="39">
        <f t="shared" ca="1" si="24"/>
        <v>0</v>
      </c>
    </row>
    <row r="37" spans="1:26">
      <c r="A37" s="39" t="s">
        <v>150</v>
      </c>
      <c r="B37" s="39">
        <f>B35-B36</f>
        <v>0</v>
      </c>
      <c r="C37" s="39">
        <f t="shared" ref="C37:Z37" ca="1" si="25">C35-C36</f>
        <v>-799.5549354884738</v>
      </c>
      <c r="D37" s="39">
        <f t="shared" ca="1" si="25"/>
        <v>-1235.7680290374901</v>
      </c>
      <c r="E37" s="39">
        <f t="shared" ca="1" si="25"/>
        <v>-1306.2555318886357</v>
      </c>
      <c r="F37" s="39">
        <f t="shared" ca="1" si="25"/>
        <v>-1061.9850398985593</v>
      </c>
      <c r="G37" s="39">
        <f t="shared" ca="1" si="25"/>
        <v>-546.8579089764396</v>
      </c>
      <c r="H37" s="39">
        <f t="shared" ca="1" si="25"/>
        <v>0</v>
      </c>
      <c r="I37" s="39">
        <f t="shared" ca="1" si="25"/>
        <v>0</v>
      </c>
      <c r="J37" s="39">
        <f t="shared" ca="1" si="25"/>
        <v>0</v>
      </c>
      <c r="K37" s="39">
        <f t="shared" ca="1" si="25"/>
        <v>0</v>
      </c>
      <c r="L37" s="39">
        <f t="shared" ca="1" si="25"/>
        <v>0</v>
      </c>
      <c r="M37" s="39">
        <f t="shared" ca="1" si="25"/>
        <v>0</v>
      </c>
      <c r="N37" s="39">
        <f t="shared" ca="1" si="25"/>
        <v>0</v>
      </c>
      <c r="O37" s="39">
        <f t="shared" ca="1" si="25"/>
        <v>0</v>
      </c>
      <c r="P37" s="39">
        <f t="shared" ca="1" si="25"/>
        <v>0</v>
      </c>
      <c r="Q37" s="39">
        <f t="shared" ca="1" si="25"/>
        <v>0</v>
      </c>
      <c r="R37" s="39">
        <f t="shared" ca="1" si="25"/>
        <v>0</v>
      </c>
      <c r="S37" s="39">
        <f t="shared" ca="1" si="25"/>
        <v>0</v>
      </c>
      <c r="T37" s="39">
        <f t="shared" ca="1" si="25"/>
        <v>0</v>
      </c>
      <c r="U37" s="39">
        <f t="shared" ca="1" si="25"/>
        <v>0</v>
      </c>
      <c r="V37" s="39">
        <f t="shared" ca="1" si="25"/>
        <v>0</v>
      </c>
      <c r="W37" s="39">
        <f t="shared" ca="1" si="25"/>
        <v>0</v>
      </c>
      <c r="X37" s="39">
        <f t="shared" ca="1" si="25"/>
        <v>0</v>
      </c>
      <c r="Y37" s="39">
        <f t="shared" ca="1" si="25"/>
        <v>0</v>
      </c>
      <c r="Z37" s="39">
        <f t="shared" ca="1" si="25"/>
        <v>0</v>
      </c>
    </row>
    <row r="38" spans="1:26">
      <c r="A38" s="39" t="s">
        <v>86</v>
      </c>
      <c r="B38" s="39">
        <f ca="1">B8</f>
        <v>-799.5549354884738</v>
      </c>
      <c r="C38" s="39">
        <f t="shared" ref="C38:Z38" ca="1" si="26">C8</f>
        <v>-436.21309354901632</v>
      </c>
      <c r="D38" s="39">
        <f t="shared" ca="1" si="26"/>
        <v>-70.487502851145564</v>
      </c>
      <c r="E38" s="39">
        <f t="shared" ca="1" si="26"/>
        <v>0</v>
      </c>
      <c r="F38" s="39">
        <f t="shared" ca="1" si="26"/>
        <v>0</v>
      </c>
      <c r="G38" s="39">
        <f t="shared" ca="1" si="26"/>
        <v>0</v>
      </c>
      <c r="H38" s="39">
        <f t="shared" ca="1" si="26"/>
        <v>0</v>
      </c>
      <c r="I38" s="39">
        <f t="shared" ca="1" si="26"/>
        <v>0</v>
      </c>
      <c r="J38" s="39">
        <f t="shared" ca="1" si="26"/>
        <v>0</v>
      </c>
      <c r="K38" s="39">
        <f t="shared" ca="1" si="26"/>
        <v>0</v>
      </c>
      <c r="L38" s="39">
        <f t="shared" ca="1" si="26"/>
        <v>0</v>
      </c>
      <c r="M38" s="39">
        <f t="shared" ca="1" si="26"/>
        <v>0</v>
      </c>
      <c r="N38" s="39">
        <f t="shared" ca="1" si="26"/>
        <v>0</v>
      </c>
      <c r="O38" s="39">
        <f t="shared" ca="1" si="26"/>
        <v>0</v>
      </c>
      <c r="P38" s="39">
        <f t="shared" ca="1" si="26"/>
        <v>0</v>
      </c>
      <c r="Q38" s="39">
        <f t="shared" ca="1" si="26"/>
        <v>0</v>
      </c>
      <c r="R38" s="39">
        <f t="shared" ca="1" si="26"/>
        <v>0</v>
      </c>
      <c r="S38" s="39">
        <f t="shared" ca="1" si="26"/>
        <v>0</v>
      </c>
      <c r="T38" s="39">
        <f t="shared" ca="1" si="26"/>
        <v>0</v>
      </c>
      <c r="U38" s="39">
        <f t="shared" ca="1" si="26"/>
        <v>0</v>
      </c>
      <c r="V38" s="39">
        <f t="shared" ca="1" si="26"/>
        <v>0</v>
      </c>
      <c r="W38" s="39">
        <f t="shared" ca="1" si="26"/>
        <v>0</v>
      </c>
      <c r="X38" s="39">
        <f t="shared" ca="1" si="26"/>
        <v>0</v>
      </c>
      <c r="Y38" s="39">
        <f t="shared" ca="1" si="26"/>
        <v>0</v>
      </c>
      <c r="Z38" s="39">
        <f t="shared" ca="1" si="26"/>
        <v>0</v>
      </c>
    </row>
    <row r="39" spans="1:26">
      <c r="A39" s="39" t="s">
        <v>94</v>
      </c>
      <c r="B39" s="39">
        <f ca="1">IF(B6&gt;0, MIN(B6,ABS(B37)),0)</f>
        <v>0</v>
      </c>
      <c r="C39" s="39">
        <f t="shared" ref="C39:Z39" ca="1" si="27">IF(C6&gt;0, MIN(C6,ABS(C37)),0)</f>
        <v>0</v>
      </c>
      <c r="D39" s="39">
        <f t="shared" ca="1" si="27"/>
        <v>0</v>
      </c>
      <c r="E39" s="39">
        <f t="shared" ca="1" si="27"/>
        <v>244.27049199007638</v>
      </c>
      <c r="F39" s="39">
        <f t="shared" ca="1" si="27"/>
        <v>515.1271309221197</v>
      </c>
      <c r="G39" s="39">
        <f t="shared" ca="1" si="27"/>
        <v>546.8579089764396</v>
      </c>
      <c r="H39" s="39">
        <f t="shared" ca="1" si="27"/>
        <v>0</v>
      </c>
      <c r="I39" s="39">
        <f t="shared" ca="1" si="27"/>
        <v>0</v>
      </c>
      <c r="J39" s="39">
        <f t="shared" ca="1" si="27"/>
        <v>0</v>
      </c>
      <c r="K39" s="39">
        <f t="shared" ca="1" si="27"/>
        <v>0</v>
      </c>
      <c r="L39" s="39">
        <f t="shared" ca="1" si="27"/>
        <v>0</v>
      </c>
      <c r="M39" s="39">
        <f t="shared" ca="1" si="27"/>
        <v>0</v>
      </c>
      <c r="N39" s="39">
        <f t="shared" ca="1" si="27"/>
        <v>0</v>
      </c>
      <c r="O39" s="39">
        <f t="shared" ca="1" si="27"/>
        <v>0</v>
      </c>
      <c r="P39" s="39">
        <f t="shared" ca="1" si="27"/>
        <v>0</v>
      </c>
      <c r="Q39" s="39">
        <f t="shared" ca="1" si="27"/>
        <v>0</v>
      </c>
      <c r="R39" s="39">
        <f t="shared" ca="1" si="27"/>
        <v>0</v>
      </c>
      <c r="S39" s="39">
        <f t="shared" ca="1" si="27"/>
        <v>0</v>
      </c>
      <c r="T39" s="39">
        <f t="shared" ca="1" si="27"/>
        <v>0</v>
      </c>
      <c r="U39" s="39">
        <f t="shared" ca="1" si="27"/>
        <v>0</v>
      </c>
      <c r="V39" s="39">
        <f t="shared" ca="1" si="27"/>
        <v>0</v>
      </c>
      <c r="W39" s="39">
        <f t="shared" ca="1" si="27"/>
        <v>0</v>
      </c>
      <c r="X39" s="39">
        <f t="shared" ca="1" si="27"/>
        <v>0</v>
      </c>
      <c r="Y39" s="39">
        <f t="shared" ca="1" si="27"/>
        <v>0</v>
      </c>
      <c r="Z39" s="39">
        <f t="shared" ca="1" si="27"/>
        <v>0</v>
      </c>
    </row>
    <row r="40" spans="1:26">
      <c r="A40" s="40" t="s">
        <v>151</v>
      </c>
      <c r="B40" s="39">
        <f ca="1">B39</f>
        <v>0</v>
      </c>
      <c r="C40" s="39">
        <f ca="1">B40+C39</f>
        <v>0</v>
      </c>
      <c r="D40" s="39">
        <f ca="1">C40+D39</f>
        <v>0</v>
      </c>
      <c r="E40" s="39">
        <f t="shared" ref="E40:Z40" ca="1" si="28">D40+E39</f>
        <v>244.27049199007638</v>
      </c>
      <c r="F40" s="39">
        <f t="shared" ca="1" si="28"/>
        <v>759.39762291219608</v>
      </c>
      <c r="G40" s="39">
        <f t="shared" ca="1" si="28"/>
        <v>1306.2555318886357</v>
      </c>
      <c r="H40" s="39">
        <f t="shared" ca="1" si="28"/>
        <v>1306.2555318886357</v>
      </c>
      <c r="I40" s="39">
        <f t="shared" ca="1" si="28"/>
        <v>1306.2555318886357</v>
      </c>
      <c r="J40" s="39">
        <f t="shared" ca="1" si="28"/>
        <v>1306.2555318886357</v>
      </c>
      <c r="K40" s="39">
        <f t="shared" ca="1" si="28"/>
        <v>1306.2555318886357</v>
      </c>
      <c r="L40" s="39">
        <f t="shared" ca="1" si="28"/>
        <v>1306.2555318886357</v>
      </c>
      <c r="M40" s="39">
        <f t="shared" ca="1" si="28"/>
        <v>1306.2555318886357</v>
      </c>
      <c r="N40" s="39">
        <f t="shared" ca="1" si="28"/>
        <v>1306.2555318886357</v>
      </c>
      <c r="O40" s="39">
        <f t="shared" ca="1" si="28"/>
        <v>1306.2555318886357</v>
      </c>
      <c r="P40" s="39">
        <f t="shared" ca="1" si="28"/>
        <v>1306.2555318886357</v>
      </c>
      <c r="Q40" s="39">
        <f t="shared" ca="1" si="28"/>
        <v>1306.2555318886357</v>
      </c>
      <c r="R40" s="39">
        <f t="shared" ca="1" si="28"/>
        <v>1306.2555318886357</v>
      </c>
      <c r="S40" s="39">
        <f t="shared" ca="1" si="28"/>
        <v>1306.2555318886357</v>
      </c>
      <c r="T40" s="39">
        <f t="shared" ca="1" si="28"/>
        <v>1306.2555318886357</v>
      </c>
      <c r="U40" s="39">
        <f t="shared" ca="1" si="28"/>
        <v>1306.2555318886357</v>
      </c>
      <c r="V40" s="39">
        <f t="shared" ca="1" si="28"/>
        <v>1306.2555318886357</v>
      </c>
      <c r="W40" s="39">
        <f t="shared" ca="1" si="28"/>
        <v>1306.2555318886357</v>
      </c>
      <c r="X40" s="39">
        <f t="shared" ca="1" si="28"/>
        <v>1306.2555318886357</v>
      </c>
      <c r="Y40" s="39">
        <f t="shared" ca="1" si="28"/>
        <v>1306.2555318886357</v>
      </c>
      <c r="Z40" s="39">
        <f t="shared" ca="1" si="28"/>
        <v>1306.2555318886357</v>
      </c>
    </row>
    <row r="41" spans="1:26">
      <c r="A41" s="39" t="s">
        <v>152</v>
      </c>
      <c r="B41" s="42">
        <v>0</v>
      </c>
      <c r="C41" s="42">
        <v>0</v>
      </c>
      <c r="D41" s="42">
        <v>0</v>
      </c>
      <c r="E41" s="42">
        <v>0</v>
      </c>
      <c r="F41" s="42">
        <v>0</v>
      </c>
      <c r="G41" s="42">
        <v>0</v>
      </c>
      <c r="H41" s="42">
        <v>0</v>
      </c>
      <c r="I41" s="42">
        <v>0</v>
      </c>
      <c r="J41" s="42">
        <f ca="1">B38</f>
        <v>-799.5549354884738</v>
      </c>
      <c r="K41" s="42">
        <f t="shared" ref="K41:Z41" ca="1" si="29">C38</f>
        <v>-436.21309354901632</v>
      </c>
      <c r="L41" s="42">
        <f t="shared" ca="1" si="29"/>
        <v>-70.487502851145564</v>
      </c>
      <c r="M41" s="42">
        <f t="shared" ca="1" si="29"/>
        <v>0</v>
      </c>
      <c r="N41" s="42">
        <f t="shared" ca="1" si="29"/>
        <v>0</v>
      </c>
      <c r="O41" s="42">
        <f t="shared" ca="1" si="29"/>
        <v>0</v>
      </c>
      <c r="P41" s="42">
        <f t="shared" ca="1" si="29"/>
        <v>0</v>
      </c>
      <c r="Q41" s="42">
        <f t="shared" ca="1" si="29"/>
        <v>0</v>
      </c>
      <c r="R41" s="42">
        <f t="shared" ca="1" si="29"/>
        <v>0</v>
      </c>
      <c r="S41" s="42">
        <f t="shared" ca="1" si="29"/>
        <v>0</v>
      </c>
      <c r="T41" s="42">
        <f t="shared" ca="1" si="29"/>
        <v>0</v>
      </c>
      <c r="U41" s="42">
        <f t="shared" ca="1" si="29"/>
        <v>0</v>
      </c>
      <c r="V41" s="42">
        <f t="shared" ca="1" si="29"/>
        <v>0</v>
      </c>
      <c r="W41" s="42">
        <f t="shared" ca="1" si="29"/>
        <v>0</v>
      </c>
      <c r="X41" s="42">
        <f t="shared" ca="1" si="29"/>
        <v>0</v>
      </c>
      <c r="Y41" s="42">
        <f t="shared" ca="1" si="29"/>
        <v>0</v>
      </c>
      <c r="Z41" s="42">
        <f t="shared" ca="1" si="29"/>
        <v>0</v>
      </c>
    </row>
    <row r="42" spans="1:26">
      <c r="A42" s="39" t="s">
        <v>88</v>
      </c>
      <c r="B42" s="39">
        <f t="shared" ref="B42:J42" ca="1" si="30">B37+B38+B39</f>
        <v>-799.5549354884738</v>
      </c>
      <c r="C42" s="39">
        <f t="shared" ca="1" si="30"/>
        <v>-1235.7680290374901</v>
      </c>
      <c r="D42" s="39">
        <f t="shared" ca="1" si="30"/>
        <v>-1306.2555318886357</v>
      </c>
      <c r="E42" s="39">
        <f t="shared" ca="1" si="30"/>
        <v>-1061.9850398985593</v>
      </c>
      <c r="F42" s="39">
        <f t="shared" ca="1" si="30"/>
        <v>-546.8579089764396</v>
      </c>
      <c r="G42" s="39">
        <f t="shared" ca="1" si="30"/>
        <v>0</v>
      </c>
      <c r="H42" s="39">
        <f t="shared" ca="1" si="30"/>
        <v>0</v>
      </c>
      <c r="I42" s="39">
        <f t="shared" ca="1" si="30"/>
        <v>0</v>
      </c>
      <c r="J42" s="39">
        <f t="shared" ca="1" si="30"/>
        <v>0</v>
      </c>
      <c r="K42" s="39">
        <f ca="1">K37+K38+K39</f>
        <v>0</v>
      </c>
      <c r="L42" s="39">
        <f t="shared" ref="L42:Z42" ca="1" si="31">L37+L38+L39</f>
        <v>0</v>
      </c>
      <c r="M42" s="39">
        <f t="shared" ca="1" si="31"/>
        <v>0</v>
      </c>
      <c r="N42" s="39">
        <f t="shared" ca="1" si="31"/>
        <v>0</v>
      </c>
      <c r="O42" s="39">
        <f t="shared" ca="1" si="31"/>
        <v>0</v>
      </c>
      <c r="P42" s="39">
        <f t="shared" ca="1" si="31"/>
        <v>0</v>
      </c>
      <c r="Q42" s="39">
        <f t="shared" ca="1" si="31"/>
        <v>0</v>
      </c>
      <c r="R42" s="39">
        <f t="shared" ca="1" si="31"/>
        <v>0</v>
      </c>
      <c r="S42" s="39">
        <f t="shared" ca="1" si="31"/>
        <v>0</v>
      </c>
      <c r="T42" s="39">
        <f t="shared" ca="1" si="31"/>
        <v>0</v>
      </c>
      <c r="U42" s="39">
        <f t="shared" ca="1" si="31"/>
        <v>0</v>
      </c>
      <c r="V42" s="39">
        <f t="shared" ca="1" si="31"/>
        <v>0</v>
      </c>
      <c r="W42" s="39">
        <f t="shared" ca="1" si="31"/>
        <v>0</v>
      </c>
      <c r="X42" s="39">
        <f t="shared" ca="1" si="31"/>
        <v>0</v>
      </c>
      <c r="Y42" s="39">
        <f t="shared" ca="1" si="31"/>
        <v>0</v>
      </c>
      <c r="Z42" s="39">
        <f t="shared" ca="1" si="31"/>
        <v>0</v>
      </c>
    </row>
    <row r="43" spans="1:26">
      <c r="C43" s="45"/>
    </row>
    <row r="44" spans="1:26">
      <c r="A44" s="40" t="s">
        <v>180</v>
      </c>
      <c r="B44" s="108">
        <f ca="1">IF(B19=B32,Assumption!$D$67,Assumption!$D$66)</f>
        <v>0.16995000000000002</v>
      </c>
      <c r="C44" s="108">
        <f ca="1">IF(C19=C32,Assumption!$D$67,Assumption!$D$66)</f>
        <v>0.16995000000000002</v>
      </c>
      <c r="D44" s="108">
        <f ca="1">IF(D19=D32,Assumption!$D$67,Assumption!$D$66)</f>
        <v>0.16995000000000002</v>
      </c>
      <c r="E44" s="108">
        <f ca="1">IF(E19=E32,Assumption!$D$67,Assumption!$D$66)</f>
        <v>0.16995000000000002</v>
      </c>
      <c r="F44" s="108">
        <f ca="1">IF(F19=F32,Assumption!$D$67,Assumption!$D$66)</f>
        <v>0.16995000000000002</v>
      </c>
      <c r="G44" s="108">
        <f ca="1">IF(G19=G32,Assumption!$D$67,Assumption!$D$66)</f>
        <v>0.16995000000000002</v>
      </c>
      <c r="H44" s="108">
        <f ca="1">IF(H19=H32,Assumption!$D$67,Assumption!$D$66)</f>
        <v>0.16995000000000002</v>
      </c>
      <c r="I44" s="108">
        <f ca="1">IF(I19=I32,Assumption!$D$67,Assumption!$D$66)</f>
        <v>0.16995000000000002</v>
      </c>
      <c r="J44" s="108">
        <f ca="1">IF(J19=J32,Assumption!$D$67,Assumption!$D$66)</f>
        <v>0.16995000000000002</v>
      </c>
      <c r="K44" s="108">
        <f ca="1">IF(K19=K32,Assumption!$D$67,Assumption!$D$66)</f>
        <v>0.16995000000000002</v>
      </c>
      <c r="L44" s="108">
        <f ca="1">IF(L19=L32,Assumption!$D$67,Assumption!$D$66)</f>
        <v>0.16995000000000002</v>
      </c>
      <c r="M44" s="108">
        <f ca="1">IF(M19=M32,Assumption!$D$67,Assumption!$D$66)</f>
        <v>0.16995000000000002</v>
      </c>
      <c r="N44" s="108">
        <f ca="1">IF(N19=N32,Assumption!$D$67,Assumption!$D$66)</f>
        <v>0.16995000000000002</v>
      </c>
      <c r="O44" s="108">
        <f ca="1">IF(O19=O32,Assumption!$D$67,Assumption!$D$66)</f>
        <v>0.16995000000000002</v>
      </c>
      <c r="P44" s="108">
        <f ca="1">IF(P19=P32,Assumption!$D$67,Assumption!$D$66)</f>
        <v>0.16995000000000002</v>
      </c>
      <c r="Q44" s="108">
        <f ca="1">IF(Q19=Q32,Assumption!$D$67,Assumption!$D$66)</f>
        <v>0.16995000000000002</v>
      </c>
      <c r="R44" s="108">
        <f ca="1">IF(R19=R32,Assumption!$D$67,Assumption!$D$66)</f>
        <v>0.16995000000000002</v>
      </c>
      <c r="S44" s="108">
        <f ca="1">IF(S19=S32,Assumption!$D$67,Assumption!$D$66)</f>
        <v>0.33990000000000004</v>
      </c>
      <c r="T44" s="108">
        <f ca="1">IF(T19=T32,Assumption!$D$67,Assumption!$D$66)</f>
        <v>0.33990000000000004</v>
      </c>
      <c r="U44" s="108">
        <f ca="1">IF(U19=U32,Assumption!$D$67,Assumption!$D$66)</f>
        <v>0.33990000000000004</v>
      </c>
      <c r="V44" s="108">
        <f ca="1">IF(V19=V32,Assumption!$D$67,Assumption!$D$66)</f>
        <v>0.33990000000000004</v>
      </c>
      <c r="W44" s="108">
        <f ca="1">IF(W19=W32,Assumption!$D$67,Assumption!$D$66)</f>
        <v>0.33990000000000004</v>
      </c>
      <c r="X44" s="108">
        <f ca="1">IF(X19=X32,Assumption!$D$67,Assumption!$D$66)</f>
        <v>0.33990000000000004</v>
      </c>
      <c r="Y44" s="108">
        <f ca="1">IF(Y19=Y32,Assumption!$D$67,Assumption!$D$66)</f>
        <v>0.33990000000000004</v>
      </c>
      <c r="Z44" s="108">
        <f ca="1">IF(Z19=Z32,Assumption!$D$67,Assumption!$D$66)</f>
        <v>0.33990000000000004</v>
      </c>
    </row>
    <row r="45" spans="1:26" ht="45" customHeight="1">
      <c r="A45" s="46" t="s">
        <v>153</v>
      </c>
      <c r="B45" s="47">
        <f ca="1">Assumption!$D$62/(1-B44)</f>
        <v>0.18673573881091501</v>
      </c>
      <c r="C45" s="47">
        <f ca="1">Assumption!$D$62/(1-C44)</f>
        <v>0.18673573881091501</v>
      </c>
      <c r="D45" s="47">
        <f ca="1">Assumption!$D$62/(1-D44)</f>
        <v>0.18673573881091501</v>
      </c>
      <c r="E45" s="47">
        <f ca="1">Assumption!$D$62/(1-E44)</f>
        <v>0.18673573881091501</v>
      </c>
      <c r="F45" s="47">
        <f ca="1">Assumption!$D$62/(1-F44)</f>
        <v>0.18673573881091501</v>
      </c>
      <c r="G45" s="47">
        <f ca="1">Assumption!$D$62/(1-G44)</f>
        <v>0.18673573881091501</v>
      </c>
      <c r="H45" s="47">
        <f ca="1">Assumption!$D$62/(1-H44)</f>
        <v>0.18673573881091501</v>
      </c>
      <c r="I45" s="47">
        <f ca="1">Assumption!$D$62/(1-I44)</f>
        <v>0.18673573881091501</v>
      </c>
      <c r="J45" s="47">
        <f ca="1">Assumption!$D$62/(1-J44)</f>
        <v>0.18673573881091501</v>
      </c>
      <c r="K45" s="47">
        <f ca="1">Assumption!$D$62/(1-K44)</f>
        <v>0.18673573881091501</v>
      </c>
      <c r="L45" s="47">
        <f ca="1">Assumption!$D$62/(1-L44)</f>
        <v>0.18673573881091501</v>
      </c>
      <c r="M45" s="47">
        <f ca="1">Assumption!$D$62/(1-M44)</f>
        <v>0.18673573881091501</v>
      </c>
      <c r="N45" s="47">
        <f ca="1">Assumption!$D$62/(1-N44)</f>
        <v>0.18673573881091501</v>
      </c>
      <c r="O45" s="47">
        <f ca="1">Assumption!$D$62/(1-O44)</f>
        <v>0.18673573881091501</v>
      </c>
      <c r="P45" s="47">
        <f ca="1">Assumption!$D$62/(1-P44)</f>
        <v>0.18673573881091501</v>
      </c>
      <c r="Q45" s="47">
        <f ca="1">Assumption!$D$62/(1-Q44)</f>
        <v>0.18673573881091501</v>
      </c>
      <c r="R45" s="47">
        <f ca="1">Assumption!$D$62/(1-R44)</f>
        <v>0.18673573881091501</v>
      </c>
      <c r="S45" s="47">
        <f ca="1">Assumption!$D$62/(1-S44)</f>
        <v>0.23481290713528255</v>
      </c>
      <c r="T45" s="47">
        <f ca="1">Assumption!$D$62/(1-T44)</f>
        <v>0.23481290713528255</v>
      </c>
      <c r="U45" s="47">
        <f ca="1">Assumption!$D$62/(1-U44)</f>
        <v>0.23481290713528255</v>
      </c>
      <c r="V45" s="47">
        <f ca="1">Assumption!$D$62/(1-V44)</f>
        <v>0.23481290713528255</v>
      </c>
      <c r="W45" s="47">
        <f ca="1">Assumption!$D$62/(1-W44)</f>
        <v>0.23481290713528255</v>
      </c>
      <c r="X45" s="47">
        <f ca="1">Assumption!$D$62/(1-X44)</f>
        <v>0.23481290713528255</v>
      </c>
      <c r="Y45" s="47">
        <f ca="1">Assumption!$D$62/(1-Y44)</f>
        <v>0.23481290713528255</v>
      </c>
      <c r="Z45" s="47">
        <f ca="1">Assumption!$D$62/(1-Z44)</f>
        <v>0.23481290713528255</v>
      </c>
    </row>
    <row r="46" spans="1:26">
      <c r="C46" s="45"/>
    </row>
    <row r="47" spans="1:26">
      <c r="C47" s="45"/>
    </row>
    <row r="48" spans="1:26">
      <c r="C48" s="45"/>
    </row>
    <row r="49" spans="3:3">
      <c r="C49" s="45"/>
    </row>
    <row r="50" spans="3:3">
      <c r="C50" s="45"/>
    </row>
    <row r="51" spans="3:3">
      <c r="C51" s="45"/>
    </row>
    <row r="52" spans="3:3">
      <c r="C52" s="45"/>
    </row>
    <row r="53" spans="3:3">
      <c r="C53" s="45"/>
    </row>
    <row r="54" spans="3:3">
      <c r="C54" s="45"/>
    </row>
    <row r="55" spans="3:3">
      <c r="C55" s="45"/>
    </row>
  </sheetData>
  <pageMargins left="0.7" right="0.7" top="0.75" bottom="0.75" header="0.3" footer="0.3"/>
  <pageSetup paperSize="9" scale="66" orientation="portrait" r:id="rId1"/>
  <colBreaks count="1" manualBreakCount="1">
    <brk id="9" max="3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7</vt:i4>
      </vt:variant>
    </vt:vector>
  </HeadingPairs>
  <TitlesOfParts>
    <vt:vector size="18" baseType="lpstr">
      <vt:lpstr>Assumption</vt:lpstr>
      <vt:lpstr>Sensitivity Analysis</vt:lpstr>
      <vt:lpstr>Fuel Pricing</vt:lpstr>
      <vt:lpstr>depre</vt:lpstr>
      <vt:lpstr>term loan </vt:lpstr>
      <vt:lpstr>fuel</vt:lpstr>
      <vt:lpstr>fixed cost</vt:lpstr>
      <vt:lpstr>Sheet1</vt:lpstr>
      <vt:lpstr>Tax</vt:lpstr>
      <vt:lpstr>PL</vt:lpstr>
      <vt:lpstr>Fuel Pricing_Gas</vt:lpstr>
      <vt:lpstr>Assumption!Print_Area</vt:lpstr>
      <vt:lpstr>depre!Print_Area</vt:lpstr>
      <vt:lpstr>'fixed cost'!Print_Area</vt:lpstr>
      <vt:lpstr>fuel!Print_Area</vt:lpstr>
      <vt:lpstr>PL!Print_Area</vt:lpstr>
      <vt:lpstr>Tax!Print_Area</vt:lpstr>
      <vt:lpstr>'term loan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220265</cp:lastModifiedBy>
  <cp:lastPrinted>2012-01-23T09:12:40Z</cp:lastPrinted>
  <dcterms:created xsi:type="dcterms:W3CDTF">1996-10-14T23:33:28Z</dcterms:created>
  <dcterms:modified xsi:type="dcterms:W3CDTF">2012-11-03T09:21:52Z</dcterms:modified>
</cp:coreProperties>
</file>