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9720" windowHeight="5985" tabRatio="877"/>
  </bookViews>
  <sheets>
    <sheet name="INPUT DATA SHEET" sheetId="1" r:id="rId1"/>
    <sheet name="Project Cost" sheetId="18" r:id="rId2"/>
    <sheet name="p&amp;l" sheetId="3" r:id="rId3"/>
    <sheet name="Loan schedule" sheetId="10" r:id="rId4"/>
    <sheet name="cash flow" sheetId="4" r:id="rId5"/>
  </sheets>
  <definedNames>
    <definedName name="_ftnref1" localSheetId="0">'INPUT DATA SHEET'!#REF!</definedName>
    <definedName name="_xlnm.Print_Area" localSheetId="4">'cash flow'!$B$58:$M$64</definedName>
    <definedName name="_xlnm.Print_Area" localSheetId="0">'INPUT DATA SHEET'!$B$1:$F$106</definedName>
    <definedName name="_xlnm.Print_Area" localSheetId="2">'p&amp;l'!$B$31:$V$69</definedName>
    <definedName name="_xlnm.Print_Titles" localSheetId="4">'cash flow'!$B:$B</definedName>
    <definedName name="_xlnm.Print_Titles" localSheetId="2">'p&amp;l'!$B:$B</definedName>
  </definedNames>
  <calcPr calcId="125725" iterate="1"/>
</workbook>
</file>

<file path=xl/calcChain.xml><?xml version="1.0" encoding="utf-8"?>
<calcChain xmlns="http://schemas.openxmlformats.org/spreadsheetml/2006/main">
  <c r="P15" i="3"/>
  <c r="C40" i="1"/>
  <c r="C94"/>
  <c r="C6" i="18" s="1"/>
  <c r="C81" i="1"/>
  <c r="O15" i="3" s="1"/>
  <c r="C82" i="1"/>
  <c r="C83"/>
  <c r="D48" i="3" l="1"/>
  <c r="E48" s="1"/>
  <c r="F48" s="1"/>
  <c r="G48" s="1"/>
  <c r="H48" s="1"/>
  <c r="I48" s="1"/>
  <c r="J48" s="1"/>
  <c r="K48" s="1"/>
  <c r="L48" s="1"/>
  <c r="M48" s="1"/>
  <c r="N48" s="1"/>
  <c r="O48" s="1"/>
  <c r="P48" s="1"/>
  <c r="Q48" s="1"/>
  <c r="R48" s="1"/>
  <c r="S48" s="1"/>
  <c r="T48" s="1"/>
  <c r="U48" s="1"/>
  <c r="V48" s="1"/>
  <c r="W48" s="1"/>
  <c r="X48" s="1"/>
  <c r="Y48" s="1"/>
  <c r="Z48" s="1"/>
  <c r="AA48" s="1"/>
  <c r="AB48" s="1"/>
  <c r="AC48" s="1"/>
  <c r="AD48" s="1"/>
  <c r="AE48" s="1"/>
  <c r="AF48" s="1"/>
  <c r="AG48" s="1"/>
  <c r="AH48" s="1"/>
  <c r="AI48" s="1"/>
  <c r="AJ48" s="1"/>
  <c r="AK48" s="1"/>
  <c r="AL48" s="1"/>
  <c r="AM48" s="1"/>
  <c r="AN48" s="1"/>
  <c r="AO48" s="1"/>
  <c r="AP48" s="1"/>
  <c r="AQ48" s="1"/>
  <c r="D7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AF7" s="1"/>
  <c r="AG7" s="1"/>
  <c r="AH7" s="1"/>
  <c r="AI7" s="1"/>
  <c r="AJ7" s="1"/>
  <c r="AK7" s="1"/>
  <c r="AL7" s="1"/>
  <c r="AM7" s="1"/>
  <c r="AN7" s="1"/>
  <c r="AO7" s="1"/>
  <c r="AP7" s="1"/>
  <c r="AQ7" s="1"/>
  <c r="D23" i="18"/>
  <c r="D24"/>
  <c r="D22"/>
  <c r="M15" i="3"/>
  <c r="AG15"/>
  <c r="AH15" s="1"/>
  <c r="AI15" s="1"/>
  <c r="AJ15" s="1"/>
  <c r="AK15" s="1"/>
  <c r="AL15" s="1"/>
  <c r="AM15" s="1"/>
  <c r="AN15" s="1"/>
  <c r="AO15" s="1"/>
  <c r="AP15" s="1"/>
  <c r="AQ15" s="1"/>
  <c r="Q15"/>
  <c r="R15" s="1"/>
  <c r="S15" s="1"/>
  <c r="T15" s="1"/>
  <c r="U15" s="1"/>
  <c r="V15" s="1"/>
  <c r="W15" s="1"/>
  <c r="X15" s="1"/>
  <c r="Y15" s="1"/>
  <c r="Z15" s="1"/>
  <c r="AA15" s="1"/>
  <c r="AB15" s="1"/>
  <c r="AC15" s="1"/>
  <c r="AD15" s="1"/>
  <c r="AE15" s="1"/>
  <c r="AF15" s="1"/>
  <c r="F14" i="18"/>
  <c r="F15" s="1"/>
  <c r="F13"/>
  <c r="C19" i="1"/>
  <c r="C11"/>
  <c r="C30" s="1"/>
  <c r="C23" s="1"/>
  <c r="D5" i="18"/>
  <c r="C1" i="4" s="1"/>
  <c r="C60" i="1"/>
  <c r="AS10" i="4"/>
  <c r="C106" i="1"/>
  <c r="D13" i="3"/>
  <c r="B61"/>
  <c r="D14" i="18"/>
  <c r="D13"/>
  <c r="D12"/>
  <c r="C12"/>
  <c r="C13" s="1"/>
  <c r="F19"/>
  <c r="C47" i="1"/>
  <c r="C66"/>
  <c r="C71"/>
  <c r="C72" s="1"/>
  <c r="C75" s="1"/>
  <c r="AG13" i="3"/>
  <c r="O13"/>
  <c r="AS15" i="4"/>
  <c r="AR15"/>
  <c r="AQ15"/>
  <c r="AP15"/>
  <c r="AO15"/>
  <c r="AN15"/>
  <c r="AM15"/>
  <c r="AL15"/>
  <c r="AK15"/>
  <c r="AQ20" i="3"/>
  <c r="AQ13"/>
  <c r="AP20"/>
  <c r="AP13"/>
  <c r="AO20"/>
  <c r="AO13"/>
  <c r="AN20"/>
  <c r="AN13"/>
  <c r="AM20"/>
  <c r="AM13"/>
  <c r="AL20"/>
  <c r="AL13"/>
  <c r="AK20"/>
  <c r="AK13"/>
  <c r="AJ20"/>
  <c r="AJ13"/>
  <c r="AI20"/>
  <c r="AI13"/>
  <c r="AH13"/>
  <c r="AF13"/>
  <c r="AE13"/>
  <c r="AD13"/>
  <c r="AC13"/>
  <c r="AB13"/>
  <c r="AA13"/>
  <c r="Z13"/>
  <c r="Y13"/>
  <c r="X13"/>
  <c r="W13"/>
  <c r="V13"/>
  <c r="U13"/>
  <c r="T13"/>
  <c r="S13"/>
  <c r="R13"/>
  <c r="Q13"/>
  <c r="P13"/>
  <c r="N13"/>
  <c r="M13"/>
  <c r="L13"/>
  <c r="K13"/>
  <c r="J13"/>
  <c r="I13"/>
  <c r="H13"/>
  <c r="G13"/>
  <c r="F13"/>
  <c r="E13"/>
  <c r="K1" i="1"/>
  <c r="L2"/>
  <c r="L1" s="1"/>
  <c r="B2" i="3"/>
  <c r="B32" s="1"/>
  <c r="B45" s="1"/>
  <c r="D35"/>
  <c r="D49" s="1"/>
  <c r="M2" i="1"/>
  <c r="N2" s="1"/>
  <c r="M1"/>
  <c r="C7" i="18"/>
  <c r="E14" l="1"/>
  <c r="G14" s="1"/>
  <c r="F6"/>
  <c r="E13"/>
  <c r="G13" s="1"/>
  <c r="E7"/>
  <c r="D3" i="4" s="1"/>
  <c r="C22" i="18"/>
  <c r="D72" i="3"/>
  <c r="E72" s="1"/>
  <c r="E8"/>
  <c r="E10" s="1"/>
  <c r="E11" s="1"/>
  <c r="E12" s="1"/>
  <c r="G10" i="4" s="1"/>
  <c r="F1"/>
  <c r="D8" i="10" s="1"/>
  <c r="D10" i="3"/>
  <c r="D11" s="1"/>
  <c r="D12" s="1"/>
  <c r="F10" i="4" s="1"/>
  <c r="D70" i="3"/>
  <c r="C23" i="18"/>
  <c r="C14"/>
  <c r="C24" s="1"/>
  <c r="N1" i="1"/>
  <c r="O2"/>
  <c r="D71" i="3"/>
  <c r="E71" s="1"/>
  <c r="H13" i="18"/>
  <c r="H14"/>
  <c r="I14" s="1"/>
  <c r="C35" i="1"/>
  <c r="D6" i="18" s="1"/>
  <c r="K15" i="3"/>
  <c r="N15"/>
  <c r="G15"/>
  <c r="I15"/>
  <c r="D15"/>
  <c r="F15"/>
  <c r="L15"/>
  <c r="J15"/>
  <c r="E15"/>
  <c r="H15"/>
  <c r="D15" i="18"/>
  <c r="E12"/>
  <c r="H12"/>
  <c r="E5"/>
  <c r="B4" i="10"/>
  <c r="I13" i="18" l="1"/>
  <c r="C4" i="4"/>
  <c r="D7" i="18"/>
  <c r="D8" s="1"/>
  <c r="F7"/>
  <c r="E3" i="4" s="1"/>
  <c r="C42" i="1"/>
  <c r="D11" i="10" s="1"/>
  <c r="E6" i="18"/>
  <c r="G6" s="1"/>
  <c r="E4" i="4"/>
  <c r="E24" s="1"/>
  <c r="E14" i="3"/>
  <c r="E16" s="1"/>
  <c r="E17" s="1"/>
  <c r="G1" i="4"/>
  <c r="E8" i="10" s="1"/>
  <c r="E35" i="3"/>
  <c r="E49" s="1"/>
  <c r="F8"/>
  <c r="F70" s="1"/>
  <c r="E70"/>
  <c r="F71"/>
  <c r="G71" s="1"/>
  <c r="H71" s="1"/>
  <c r="E24" i="18"/>
  <c r="G24" s="1"/>
  <c r="O1" i="1"/>
  <c r="P2"/>
  <c r="H15" i="18"/>
  <c r="D14" i="3"/>
  <c r="D16" s="1"/>
  <c r="D36" s="1"/>
  <c r="D1" i="4"/>
  <c r="F5" i="18"/>
  <c r="E1" i="4" s="1"/>
  <c r="F72" i="3"/>
  <c r="G72" s="1"/>
  <c r="E15" i="18"/>
  <c r="G12"/>
  <c r="E23" l="1"/>
  <c r="G23" s="1"/>
  <c r="F8"/>
  <c r="D4" i="4"/>
  <c r="D24" s="1"/>
  <c r="E8" i="18"/>
  <c r="C3" i="4"/>
  <c r="G7" i="18"/>
  <c r="D10" i="10" s="1"/>
  <c r="H1" i="4"/>
  <c r="F8" i="10" s="1"/>
  <c r="G8" i="3"/>
  <c r="G70" s="1"/>
  <c r="F10"/>
  <c r="F11" s="1"/>
  <c r="F12" s="1"/>
  <c r="H10" i="4" s="1"/>
  <c r="F35" i="3"/>
  <c r="F49" s="1"/>
  <c r="E36"/>
  <c r="Q2" i="1"/>
  <c r="P1"/>
  <c r="D17" i="3"/>
  <c r="G15" i="18"/>
  <c r="I12"/>
  <c r="H72" i="3"/>
  <c r="I71"/>
  <c r="I1" i="4" l="1"/>
  <c r="G8" i="10" s="1"/>
  <c r="F14" i="3"/>
  <c r="F16" s="1"/>
  <c r="F17" s="1"/>
  <c r="H8"/>
  <c r="H35" s="1"/>
  <c r="H49" s="1"/>
  <c r="G10"/>
  <c r="G11" s="1"/>
  <c r="G12" s="1"/>
  <c r="G14" s="1"/>
  <c r="G16" s="1"/>
  <c r="G35"/>
  <c r="G49" s="1"/>
  <c r="R2" i="1"/>
  <c r="Q1"/>
  <c r="E22" i="18"/>
  <c r="I15"/>
  <c r="I72" i="3"/>
  <c r="J72" s="1"/>
  <c r="J71"/>
  <c r="H70" l="1"/>
  <c r="I8"/>
  <c r="I70" s="1"/>
  <c r="F36"/>
  <c r="J1" i="4"/>
  <c r="H8" i="10" s="1"/>
  <c r="H10" i="3"/>
  <c r="H11" s="1"/>
  <c r="H12" s="1"/>
  <c r="J10" i="4" s="1"/>
  <c r="I10"/>
  <c r="G36" i="3"/>
  <c r="G17"/>
  <c r="K72"/>
  <c r="L72" s="1"/>
  <c r="R1" i="1"/>
  <c r="S2"/>
  <c r="G22" i="18"/>
  <c r="E25"/>
  <c r="K71" i="3"/>
  <c r="J8" l="1"/>
  <c r="I10"/>
  <c r="I11" s="1"/>
  <c r="I12" s="1"/>
  <c r="K10" i="4" s="1"/>
  <c r="K1"/>
  <c r="I8" i="10" s="1"/>
  <c r="I35" i="3"/>
  <c r="I49" s="1"/>
  <c r="H14"/>
  <c r="H16" s="1"/>
  <c r="H17" s="1"/>
  <c r="J10"/>
  <c r="J11" s="1"/>
  <c r="J12" s="1"/>
  <c r="J70"/>
  <c r="K8"/>
  <c r="J35"/>
  <c r="J49" s="1"/>
  <c r="L1" i="4"/>
  <c r="J8" i="10" s="1"/>
  <c r="T2" i="1"/>
  <c r="S1"/>
  <c r="H22" i="18"/>
  <c r="I22" s="1"/>
  <c r="F23" s="1"/>
  <c r="M72" i="3"/>
  <c r="N72" s="1"/>
  <c r="L71"/>
  <c r="H36" l="1"/>
  <c r="I14"/>
  <c r="I16" s="1"/>
  <c r="I17" s="1"/>
  <c r="L10" i="4"/>
  <c r="J14" i="3"/>
  <c r="J16" s="1"/>
  <c r="L8"/>
  <c r="K10"/>
  <c r="K11" s="1"/>
  <c r="K12" s="1"/>
  <c r="K70"/>
  <c r="K35"/>
  <c r="K49" s="1"/>
  <c r="M1" i="4"/>
  <c r="K8" i="10" s="1"/>
  <c r="T1" i="1"/>
  <c r="U2"/>
  <c r="H23" i="18"/>
  <c r="C24" i="4"/>
  <c r="O72" i="3"/>
  <c r="M71"/>
  <c r="I36" l="1"/>
  <c r="K14"/>
  <c r="K16" s="1"/>
  <c r="M10" i="4"/>
  <c r="J17" i="3"/>
  <c r="J36"/>
  <c r="M8"/>
  <c r="L35"/>
  <c r="L49" s="1"/>
  <c r="N1" i="4"/>
  <c r="L8" i="10" s="1"/>
  <c r="L10" i="3"/>
  <c r="L11" s="1"/>
  <c r="L12" s="1"/>
  <c r="L70"/>
  <c r="U1" i="1"/>
  <c r="V2"/>
  <c r="P72" i="3"/>
  <c r="Q72" s="1"/>
  <c r="R72" s="1"/>
  <c r="S72" s="1"/>
  <c r="T72" s="1"/>
  <c r="U72" s="1"/>
  <c r="V72" s="1"/>
  <c r="W72" s="1"/>
  <c r="X72" s="1"/>
  <c r="Y72" s="1"/>
  <c r="Z72" s="1"/>
  <c r="AA72" s="1"/>
  <c r="AB72" s="1"/>
  <c r="AC72" s="1"/>
  <c r="AD72" s="1"/>
  <c r="AE72" s="1"/>
  <c r="AF72" s="1"/>
  <c r="AG72" s="1"/>
  <c r="AH72" s="1"/>
  <c r="AI72" s="1"/>
  <c r="AJ72" s="1"/>
  <c r="AK72" s="1"/>
  <c r="AL72" s="1"/>
  <c r="AM72" s="1"/>
  <c r="AN72" s="1"/>
  <c r="AO72" s="1"/>
  <c r="AP72" s="1"/>
  <c r="AQ72" s="1"/>
  <c r="I23" i="18"/>
  <c r="F24" s="1"/>
  <c r="N71" i="3"/>
  <c r="O1" i="4" l="1"/>
  <c r="M8" i="10" s="1"/>
  <c r="M10" i="3"/>
  <c r="M11" s="1"/>
  <c r="M12" s="1"/>
  <c r="N8"/>
  <c r="M35"/>
  <c r="M49" s="1"/>
  <c r="M70"/>
  <c r="K36"/>
  <c r="K17"/>
  <c r="N10" i="4"/>
  <c r="L14" i="3"/>
  <c r="L16" s="1"/>
  <c r="V1" i="1"/>
  <c r="W2"/>
  <c r="H24" i="18"/>
  <c r="I24" s="1"/>
  <c r="O71" i="3"/>
  <c r="L36" l="1"/>
  <c r="L17"/>
  <c r="O10" i="4"/>
  <c r="M14" i="3"/>
  <c r="M16" s="1"/>
  <c r="N35"/>
  <c r="N49" s="1"/>
  <c r="P1" i="4"/>
  <c r="N8" i="10" s="1"/>
  <c r="N70" i="3"/>
  <c r="O8"/>
  <c r="N10"/>
  <c r="N11" s="1"/>
  <c r="N12" s="1"/>
  <c r="W1" i="1"/>
  <c r="X2"/>
  <c r="H25" i="18"/>
  <c r="D11" i="4"/>
  <c r="D14"/>
  <c r="D17" s="1"/>
  <c r="P71" i="3"/>
  <c r="AS8" i="4" l="1"/>
  <c r="D19"/>
  <c r="D21" s="1"/>
  <c r="N14" i="3"/>
  <c r="N16" s="1"/>
  <c r="P10" i="4"/>
  <c r="Q1"/>
  <c r="O8" i="10" s="1"/>
  <c r="P8" i="3"/>
  <c r="O10"/>
  <c r="O11" s="1"/>
  <c r="O12" s="1"/>
  <c r="O35"/>
  <c r="O49" s="1"/>
  <c r="O70"/>
  <c r="M36"/>
  <c r="M17"/>
  <c r="X1" i="1"/>
  <c r="Y2"/>
  <c r="C68"/>
  <c r="C75" i="3"/>
  <c r="D73"/>
  <c r="D23" s="1"/>
  <c r="F9" i="4" s="1"/>
  <c r="Q71" i="3"/>
  <c r="Q10" i="4" l="1"/>
  <c r="O14" i="3"/>
  <c r="O16" s="1"/>
  <c r="N17"/>
  <c r="N36"/>
  <c r="P10"/>
  <c r="P11" s="1"/>
  <c r="P12" s="1"/>
  <c r="Q8"/>
  <c r="P35"/>
  <c r="P49" s="1"/>
  <c r="R1" i="4"/>
  <c r="P8" i="10" s="1"/>
  <c r="P70" i="3"/>
  <c r="Z2" i="1"/>
  <c r="Y1"/>
  <c r="E73" i="3"/>
  <c r="E23" s="1"/>
  <c r="G9" i="4" s="1"/>
  <c r="D78" i="3"/>
  <c r="D52" s="1"/>
  <c r="R71"/>
  <c r="R10" i="4" l="1"/>
  <c r="P14" i="3"/>
  <c r="P16" s="1"/>
  <c r="S1" i="4"/>
  <c r="Q8" i="10" s="1"/>
  <c r="Q70" i="3"/>
  <c r="Q10"/>
  <c r="Q11" s="1"/>
  <c r="Q12" s="1"/>
  <c r="Q35"/>
  <c r="Q49" s="1"/>
  <c r="R8"/>
  <c r="O36"/>
  <c r="O17"/>
  <c r="F73"/>
  <c r="G73" s="1"/>
  <c r="AA2" i="1"/>
  <c r="Z1"/>
  <c r="E78" i="3"/>
  <c r="F78" s="1"/>
  <c r="S71"/>
  <c r="Q14" l="1"/>
  <c r="Q16" s="1"/>
  <c r="S10" i="4"/>
  <c r="P36" i="3"/>
  <c r="P17"/>
  <c r="R10"/>
  <c r="R11" s="1"/>
  <c r="R12" s="1"/>
  <c r="R70"/>
  <c r="T1" i="4"/>
  <c r="R8" i="10" s="1"/>
  <c r="R35" i="3"/>
  <c r="R49" s="1"/>
  <c r="S8"/>
  <c r="F23"/>
  <c r="H9" i="4" s="1"/>
  <c r="F52" i="3"/>
  <c r="G78"/>
  <c r="G52" s="1"/>
  <c r="AB2" i="1"/>
  <c r="AA1"/>
  <c r="G23" i="3"/>
  <c r="I9" i="4" s="1"/>
  <c r="H73" i="3"/>
  <c r="I73" s="1"/>
  <c r="I23" s="1"/>
  <c r="K9" i="4" s="1"/>
  <c r="E52" i="3"/>
  <c r="C11" i="4"/>
  <c r="C14"/>
  <c r="C17" s="1"/>
  <c r="T71" i="3"/>
  <c r="U1" i="4" l="1"/>
  <c r="S8" i="10" s="1"/>
  <c r="S70" i="3"/>
  <c r="S10"/>
  <c r="S11" s="1"/>
  <c r="S12" s="1"/>
  <c r="T8"/>
  <c r="S35"/>
  <c r="S49" s="1"/>
  <c r="Q17"/>
  <c r="Q36"/>
  <c r="T10" i="4"/>
  <c r="R14" i="3"/>
  <c r="R16" s="1"/>
  <c r="AC2" i="1"/>
  <c r="AB1"/>
  <c r="H78" i="3"/>
  <c r="I78" s="1"/>
  <c r="I52" s="1"/>
  <c r="J73"/>
  <c r="K73" s="1"/>
  <c r="K23" s="1"/>
  <c r="M9" i="4" s="1"/>
  <c r="H23" i="3"/>
  <c r="J9" i="4" s="1"/>
  <c r="C19"/>
  <c r="C21" s="1"/>
  <c r="U71" i="3"/>
  <c r="H52" l="1"/>
  <c r="R36"/>
  <c r="R17"/>
  <c r="U10" i="4"/>
  <c r="S14" i="3"/>
  <c r="S16" s="1"/>
  <c r="T70"/>
  <c r="U8"/>
  <c r="T35"/>
  <c r="T49" s="1"/>
  <c r="V1" i="4"/>
  <c r="T8" i="10" s="1"/>
  <c r="T10" i="3"/>
  <c r="T11" s="1"/>
  <c r="T12" s="1"/>
  <c r="J78"/>
  <c r="K78" s="1"/>
  <c r="AD2" i="1"/>
  <c r="AD1" s="1"/>
  <c r="AC1"/>
  <c r="J23" i="3"/>
  <c r="L9" i="4" s="1"/>
  <c r="L73" i="3"/>
  <c r="M73" s="1"/>
  <c r="M23" s="1"/>
  <c r="O9" i="4" s="1"/>
  <c r="V71" i="3"/>
  <c r="K52" l="1"/>
  <c r="L78"/>
  <c r="L52" s="1"/>
  <c r="U70"/>
  <c r="U35"/>
  <c r="U49" s="1"/>
  <c r="V8"/>
  <c r="W1" i="4"/>
  <c r="U8" i="10" s="1"/>
  <c r="U10" i="3"/>
  <c r="U11" s="1"/>
  <c r="U12" s="1"/>
  <c r="V10" i="4"/>
  <c r="T14" i="3"/>
  <c r="T16" s="1"/>
  <c r="S36"/>
  <c r="S17"/>
  <c r="J52"/>
  <c r="G8" i="18"/>
  <c r="N73" i="3"/>
  <c r="E11" i="4"/>
  <c r="E14"/>
  <c r="E17" s="1"/>
  <c r="L23" i="3"/>
  <c r="N9" i="4" s="1"/>
  <c r="W71" i="3"/>
  <c r="M78" l="1"/>
  <c r="M52" s="1"/>
  <c r="T36"/>
  <c r="T17"/>
  <c r="V10"/>
  <c r="V11" s="1"/>
  <c r="V12" s="1"/>
  <c r="V70"/>
  <c r="X1" i="4"/>
  <c r="V8" i="10" s="1"/>
  <c r="W8" i="3"/>
  <c r="V35"/>
  <c r="V49" s="1"/>
  <c r="U14"/>
  <c r="U16" s="1"/>
  <c r="W10" i="4"/>
  <c r="D37" i="3"/>
  <c r="D21"/>
  <c r="N23"/>
  <c r="P9" i="4" s="1"/>
  <c r="O73" i="3"/>
  <c r="O23" s="1"/>
  <c r="Q9" i="4" s="1"/>
  <c r="X71" i="3"/>
  <c r="N78" l="1"/>
  <c r="N52" s="1"/>
  <c r="P73"/>
  <c r="P23" s="1"/>
  <c r="R9" i="4" s="1"/>
  <c r="W10" i="3"/>
  <c r="W11" s="1"/>
  <c r="W12" s="1"/>
  <c r="Y1" i="4"/>
  <c r="W8" i="10" s="1"/>
  <c r="W35" i="3"/>
  <c r="W49" s="1"/>
  <c r="W70"/>
  <c r="X8"/>
  <c r="X10" i="4"/>
  <c r="V14" i="3"/>
  <c r="V16" s="1"/>
  <c r="U17"/>
  <c r="U36"/>
  <c r="D38"/>
  <c r="D39" s="1"/>
  <c r="E21"/>
  <c r="Q73"/>
  <c r="E37"/>
  <c r="Y71"/>
  <c r="O78" l="1"/>
  <c r="V36"/>
  <c r="V17"/>
  <c r="X10"/>
  <c r="X11" s="1"/>
  <c r="X12" s="1"/>
  <c r="X35"/>
  <c r="X49" s="1"/>
  <c r="X70"/>
  <c r="Y8"/>
  <c r="Z1" i="4"/>
  <c r="X8" i="10" s="1"/>
  <c r="Y10" i="4"/>
  <c r="W14" i="3"/>
  <c r="W16" s="1"/>
  <c r="F37"/>
  <c r="Q23"/>
  <c r="S9" i="4" s="1"/>
  <c r="R73" i="3"/>
  <c r="F16" i="4"/>
  <c r="D40" i="3"/>
  <c r="F7" i="4" s="1"/>
  <c r="E38" i="3"/>
  <c r="E39" s="1"/>
  <c r="F21"/>
  <c r="Z71"/>
  <c r="O52" l="1"/>
  <c r="P78"/>
  <c r="P52" s="1"/>
  <c r="AA1" i="4"/>
  <c r="Y8" i="10" s="1"/>
  <c r="Y35" i="3"/>
  <c r="Y49" s="1"/>
  <c r="Z8"/>
  <c r="Y70"/>
  <c r="Y10"/>
  <c r="Y11" s="1"/>
  <c r="Y12" s="1"/>
  <c r="Y14" s="1"/>
  <c r="Y16" s="1"/>
  <c r="W17"/>
  <c r="W36"/>
  <c r="X14"/>
  <c r="X16" s="1"/>
  <c r="Z10" i="4"/>
  <c r="D41" i="3"/>
  <c r="F6" i="4" s="1"/>
  <c r="G16"/>
  <c r="E40" i="3"/>
  <c r="G7" i="4" s="1"/>
  <c r="R23" i="3"/>
  <c r="T9" i="4" s="1"/>
  <c r="S73" i="3"/>
  <c r="G37"/>
  <c r="F38"/>
  <c r="F39" s="1"/>
  <c r="G21"/>
  <c r="AA71"/>
  <c r="Q78" l="1"/>
  <c r="Q52" s="1"/>
  <c r="Y17"/>
  <c r="Y36"/>
  <c r="Z70"/>
  <c r="AA8"/>
  <c r="AB1" i="4"/>
  <c r="Z8" i="10" s="1"/>
  <c r="Z10" i="3"/>
  <c r="Z11" s="1"/>
  <c r="Z12" s="1"/>
  <c r="Z14" s="1"/>
  <c r="Z16" s="1"/>
  <c r="Z35"/>
  <c r="Z49" s="1"/>
  <c r="X36"/>
  <c r="X17"/>
  <c r="D22"/>
  <c r="E41"/>
  <c r="G6" i="4" s="1"/>
  <c r="H37" i="3"/>
  <c r="F40"/>
  <c r="H7" i="4" s="1"/>
  <c r="H16"/>
  <c r="G38" i="3"/>
  <c r="G39" s="1"/>
  <c r="H21"/>
  <c r="S23"/>
  <c r="U9" i="4" s="1"/>
  <c r="T73" i="3"/>
  <c r="AB71"/>
  <c r="R78" l="1"/>
  <c r="Z17"/>
  <c r="Z36"/>
  <c r="AA10"/>
  <c r="AA11" s="1"/>
  <c r="AA12" s="1"/>
  <c r="AA14" s="1"/>
  <c r="AA16" s="1"/>
  <c r="AB8"/>
  <c r="AA70"/>
  <c r="AC1" i="4"/>
  <c r="AA8" i="10" s="1"/>
  <c r="AA35" i="3"/>
  <c r="AA49" s="1"/>
  <c r="F41"/>
  <c r="F22" s="1"/>
  <c r="E22"/>
  <c r="D12" i="10"/>
  <c r="G40" i="3"/>
  <c r="I7" i="4" s="1"/>
  <c r="I16"/>
  <c r="T23" i="3"/>
  <c r="V9" i="4" s="1"/>
  <c r="U73" i="3"/>
  <c r="H38"/>
  <c r="H39" s="1"/>
  <c r="I21"/>
  <c r="I37"/>
  <c r="AC71"/>
  <c r="H6" i="4" l="1"/>
  <c r="S78" i="3"/>
  <c r="R52"/>
  <c r="AA36"/>
  <c r="AA17"/>
  <c r="AB70"/>
  <c r="AB10"/>
  <c r="AB11" s="1"/>
  <c r="AB12" s="1"/>
  <c r="AB14" s="1"/>
  <c r="AB16" s="1"/>
  <c r="AC8"/>
  <c r="AD1" i="4"/>
  <c r="AB8" i="10" s="1"/>
  <c r="AB35" i="3"/>
  <c r="AB49" s="1"/>
  <c r="D13" i="10"/>
  <c r="D14" s="1"/>
  <c r="J16" i="4"/>
  <c r="H40" i="3"/>
  <c r="J7" i="4" s="1"/>
  <c r="J37" i="3"/>
  <c r="D54"/>
  <c r="V73"/>
  <c r="U23"/>
  <c r="W9" i="4" s="1"/>
  <c r="I38" i="3"/>
  <c r="I39" s="1"/>
  <c r="J21"/>
  <c r="G41"/>
  <c r="AD71"/>
  <c r="S52" l="1"/>
  <c r="T78"/>
  <c r="AD8"/>
  <c r="AE1" i="4"/>
  <c r="AC8" i="10" s="1"/>
  <c r="AC35" i="3"/>
  <c r="AC49" s="1"/>
  <c r="AC10"/>
  <c r="AC11" s="1"/>
  <c r="AC12" s="1"/>
  <c r="AC14" s="1"/>
  <c r="AC16" s="1"/>
  <c r="AC70"/>
  <c r="AB36"/>
  <c r="AB17"/>
  <c r="K16" i="4"/>
  <c r="I40" i="3"/>
  <c r="K7" i="4" s="1"/>
  <c r="I6"/>
  <c r="G22" i="3"/>
  <c r="W73"/>
  <c r="V23"/>
  <c r="X9" i="4" s="1"/>
  <c r="K37" i="3"/>
  <c r="D15" i="10"/>
  <c r="D16" s="1"/>
  <c r="J38" i="3"/>
  <c r="J39" s="1"/>
  <c r="K21"/>
  <c r="H41"/>
  <c r="AE71"/>
  <c r="U78" l="1"/>
  <c r="U52" s="1"/>
  <c r="T52"/>
  <c r="AD70"/>
  <c r="AE8"/>
  <c r="AD10"/>
  <c r="AD11" s="1"/>
  <c r="AD12" s="1"/>
  <c r="AD14" s="1"/>
  <c r="AD16" s="1"/>
  <c r="AF1" i="4"/>
  <c r="AD8" i="10" s="1"/>
  <c r="AD35" i="3"/>
  <c r="AD49" s="1"/>
  <c r="AC36"/>
  <c r="AC17"/>
  <c r="I41"/>
  <c r="I22" s="1"/>
  <c r="J40"/>
  <c r="L7" i="4" s="1"/>
  <c r="L16"/>
  <c r="D17" i="10"/>
  <c r="D19" s="1"/>
  <c r="F17" i="4" s="1"/>
  <c r="D20" i="10"/>
  <c r="D20" i="3" s="1"/>
  <c r="D24" s="1"/>
  <c r="D26" s="1"/>
  <c r="H22"/>
  <c r="J6" i="4"/>
  <c r="L37" i="3"/>
  <c r="X73"/>
  <c r="W23"/>
  <c r="Y9" i="4" s="1"/>
  <c r="K38" i="3"/>
  <c r="K39" s="1"/>
  <c r="L21"/>
  <c r="AF71"/>
  <c r="V78" l="1"/>
  <c r="AE35"/>
  <c r="AE49" s="1"/>
  <c r="AF8"/>
  <c r="AG1" i="4"/>
  <c r="AE8" i="10" s="1"/>
  <c r="AE70" i="3"/>
  <c r="AE10"/>
  <c r="AE11" s="1"/>
  <c r="AE12" s="1"/>
  <c r="AE14" s="1"/>
  <c r="AE16" s="1"/>
  <c r="AD17"/>
  <c r="AD36"/>
  <c r="K6" i="4"/>
  <c r="K40" i="3"/>
  <c r="M7" i="4" s="1"/>
  <c r="M16"/>
  <c r="M37" i="3"/>
  <c r="M21"/>
  <c r="L38"/>
  <c r="L39" s="1"/>
  <c r="Y73"/>
  <c r="X23"/>
  <c r="Z9" i="4" s="1"/>
  <c r="J41" i="3"/>
  <c r="D50"/>
  <c r="D51"/>
  <c r="D53" s="1"/>
  <c r="D62"/>
  <c r="D18" i="10"/>
  <c r="E10" s="1"/>
  <c r="AG71" i="3"/>
  <c r="V52" l="1"/>
  <c r="W78"/>
  <c r="W52" s="1"/>
  <c r="D55"/>
  <c r="D57" s="1"/>
  <c r="AE36"/>
  <c r="AE17"/>
  <c r="AF35"/>
  <c r="AF49" s="1"/>
  <c r="AF10"/>
  <c r="AF11" s="1"/>
  <c r="AF12" s="1"/>
  <c r="AF14" s="1"/>
  <c r="AF16" s="1"/>
  <c r="AG8"/>
  <c r="AH1" i="4"/>
  <c r="AF8" i="10" s="1"/>
  <c r="AF70" i="3"/>
  <c r="K41"/>
  <c r="M6" i="4" s="1"/>
  <c r="L6"/>
  <c r="J22" i="3"/>
  <c r="N21"/>
  <c r="M38"/>
  <c r="M39" s="1"/>
  <c r="N16" i="4"/>
  <c r="L40" i="3"/>
  <c r="N7" i="4" s="1"/>
  <c r="E11" i="10"/>
  <c r="E12" s="1"/>
  <c r="Z73" i="3"/>
  <c r="Y23"/>
  <c r="AA9" i="4" s="1"/>
  <c r="N37" i="3"/>
  <c r="AH71"/>
  <c r="X78" l="1"/>
  <c r="E54"/>
  <c r="D64"/>
  <c r="AI1" i="4"/>
  <c r="AG8" i="10" s="1"/>
  <c r="AG70" i="3"/>
  <c r="AG10"/>
  <c r="AG11" s="1"/>
  <c r="AG12" s="1"/>
  <c r="AG14" s="1"/>
  <c r="AG16" s="1"/>
  <c r="AH8"/>
  <c r="AG35"/>
  <c r="AG49" s="1"/>
  <c r="AF17"/>
  <c r="AF36"/>
  <c r="K22"/>
  <c r="L41"/>
  <c r="N6" i="4" s="1"/>
  <c r="E13" i="10"/>
  <c r="E14" s="1"/>
  <c r="O37" i="3"/>
  <c r="N38"/>
  <c r="N39" s="1"/>
  <c r="O21"/>
  <c r="AA73"/>
  <c r="Z23"/>
  <c r="AB9" i="4" s="1"/>
  <c r="O16"/>
  <c r="M40" i="3"/>
  <c r="O7" i="4" s="1"/>
  <c r="D58" i="3"/>
  <c r="D59" s="1"/>
  <c r="D61" s="1"/>
  <c r="D66" s="1"/>
  <c r="D67" s="1"/>
  <c r="D27" s="1"/>
  <c r="D28" s="1"/>
  <c r="AI71"/>
  <c r="F5" i="4" l="1"/>
  <c r="F11" s="1"/>
  <c r="F19" s="1"/>
  <c r="F24" s="1"/>
  <c r="E65" i="3"/>
  <c r="X52"/>
  <c r="Y78"/>
  <c r="AG17"/>
  <c r="AG36"/>
  <c r="AH10"/>
  <c r="AH11" s="1"/>
  <c r="AH12" s="1"/>
  <c r="AH14" s="1"/>
  <c r="AH16" s="1"/>
  <c r="AI8"/>
  <c r="AH35"/>
  <c r="AH49" s="1"/>
  <c r="AJ1" i="4"/>
  <c r="AH8" i="10" s="1"/>
  <c r="AH70" i="3"/>
  <c r="M41"/>
  <c r="M22" s="1"/>
  <c r="L22"/>
  <c r="E15" i="10"/>
  <c r="E16" s="1"/>
  <c r="AB73" i="3"/>
  <c r="AA23"/>
  <c r="AC9" i="4" s="1"/>
  <c r="P37" i="3"/>
  <c r="N40"/>
  <c r="P7" i="4" s="1"/>
  <c r="P16"/>
  <c r="O38" i="3"/>
  <c r="O39" s="1"/>
  <c r="P21"/>
  <c r="AJ71"/>
  <c r="F21" i="4" l="1"/>
  <c r="AA78" i="3"/>
  <c r="AA52" s="1"/>
  <c r="Z78"/>
  <c r="Y52"/>
  <c r="AH36"/>
  <c r="AH17"/>
  <c r="AJ8"/>
  <c r="AI70"/>
  <c r="AI35"/>
  <c r="AI49" s="1"/>
  <c r="AI10"/>
  <c r="AI11" s="1"/>
  <c r="AI12" s="1"/>
  <c r="AI14" s="1"/>
  <c r="AI16" s="1"/>
  <c r="AK1" i="4"/>
  <c r="N41" i="3"/>
  <c r="N22" s="1"/>
  <c r="O6" i="4"/>
  <c r="O40" i="3"/>
  <c r="Q7" i="4" s="1"/>
  <c r="Q16"/>
  <c r="E17" i="10"/>
  <c r="E19" s="1"/>
  <c r="G15" i="4" s="1"/>
  <c r="G17" s="1"/>
  <c r="E20" i="10"/>
  <c r="E20" i="3" s="1"/>
  <c r="E24" s="1"/>
  <c r="E26" s="1"/>
  <c r="P38"/>
  <c r="P39" s="1"/>
  <c r="Q21"/>
  <c r="Q37"/>
  <c r="AC73"/>
  <c r="AB23"/>
  <c r="AD9" i="4" s="1"/>
  <c r="AK71" i="3"/>
  <c r="Z52" l="1"/>
  <c r="AC78"/>
  <c r="AC52" s="1"/>
  <c r="AB78"/>
  <c r="AB52" s="1"/>
  <c r="AJ35"/>
  <c r="AJ49" s="1"/>
  <c r="AK8"/>
  <c r="AJ10"/>
  <c r="AJ11" s="1"/>
  <c r="AJ12" s="1"/>
  <c r="AJ14" s="1"/>
  <c r="AJ16" s="1"/>
  <c r="AL1" i="4"/>
  <c r="AJ70" i="3"/>
  <c r="AI36"/>
  <c r="AI17"/>
  <c r="E18" i="10"/>
  <c r="F10" s="1"/>
  <c r="F11" s="1"/>
  <c r="P6" i="4"/>
  <c r="R37" i="3"/>
  <c r="P40"/>
  <c r="R7" i="4" s="1"/>
  <c r="R16"/>
  <c r="E62" i="3"/>
  <c r="E50"/>
  <c r="E51"/>
  <c r="E53" s="1"/>
  <c r="AD73"/>
  <c r="AC23"/>
  <c r="AE9" i="4" s="1"/>
  <c r="O41" i="3"/>
  <c r="Q38"/>
  <c r="Q39" s="1"/>
  <c r="R21"/>
  <c r="AL71"/>
  <c r="AD78" l="1"/>
  <c r="E55"/>
  <c r="F54" s="1"/>
  <c r="F12" i="10"/>
  <c r="F13" s="1"/>
  <c r="AJ17" i="3"/>
  <c r="AJ36"/>
  <c r="AK35"/>
  <c r="AK49" s="1"/>
  <c r="AK70"/>
  <c r="AK10"/>
  <c r="AK11" s="1"/>
  <c r="AK12" s="1"/>
  <c r="AK14" s="1"/>
  <c r="AK16" s="1"/>
  <c r="AL8"/>
  <c r="AM1" i="4"/>
  <c r="S37" i="3"/>
  <c r="O22"/>
  <c r="Q6" i="4"/>
  <c r="Q40" i="3"/>
  <c r="S7" i="4" s="1"/>
  <c r="S16"/>
  <c r="R38" i="3"/>
  <c r="R39" s="1"/>
  <c r="S21"/>
  <c r="AE73"/>
  <c r="AD23"/>
  <c r="AF9" i="4" s="1"/>
  <c r="P41" i="3"/>
  <c r="AM71"/>
  <c r="E57" l="1"/>
  <c r="E58" s="1"/>
  <c r="E59" s="1"/>
  <c r="E61" s="1"/>
  <c r="E66" s="1"/>
  <c r="E67" s="1"/>
  <c r="E27" s="1"/>
  <c r="E28" s="1"/>
  <c r="G5" i="4" s="1"/>
  <c r="G11" s="1"/>
  <c r="G19" s="1"/>
  <c r="G24" s="1"/>
  <c r="AD52" i="3"/>
  <c r="AE78"/>
  <c r="AE52" s="1"/>
  <c r="AF78"/>
  <c r="AF52" s="1"/>
  <c r="E64"/>
  <c r="F14" i="10"/>
  <c r="F15" s="1"/>
  <c r="F16" s="1"/>
  <c r="F17" s="1"/>
  <c r="AK17" i="3"/>
  <c r="AK36"/>
  <c r="AM8"/>
  <c r="AL10"/>
  <c r="AL11" s="1"/>
  <c r="AL12" s="1"/>
  <c r="AL14" s="1"/>
  <c r="AL16" s="1"/>
  <c r="AL35"/>
  <c r="AL49" s="1"/>
  <c r="AL70"/>
  <c r="AN1" i="4"/>
  <c r="Q41" i="3"/>
  <c r="S6" i="4" s="1"/>
  <c r="AG78" i="3"/>
  <c r="AF73"/>
  <c r="AE23"/>
  <c r="AG9" i="4" s="1"/>
  <c r="S38" i="3"/>
  <c r="S39" s="1"/>
  <c r="T21"/>
  <c r="T37"/>
  <c r="T16" i="4"/>
  <c r="R40" i="3"/>
  <c r="T7" i="4" s="1"/>
  <c r="P22" i="3"/>
  <c r="R6" i="4"/>
  <c r="AN71" i="3"/>
  <c r="F65" l="1"/>
  <c r="AM70"/>
  <c r="AM10"/>
  <c r="AM11" s="1"/>
  <c r="AM12" s="1"/>
  <c r="AM14" s="1"/>
  <c r="AM16" s="1"/>
  <c r="AM35"/>
  <c r="AM49" s="1"/>
  <c r="AO1" i="4"/>
  <c r="AN8" i="3"/>
  <c r="AL36"/>
  <c r="AL17"/>
  <c r="Q22"/>
  <c r="F19" i="10"/>
  <c r="H15" i="4" s="1"/>
  <c r="H17" s="1"/>
  <c r="F20" i="10"/>
  <c r="F20" i="3" s="1"/>
  <c r="F24" s="1"/>
  <c r="F26" s="1"/>
  <c r="U16" i="4"/>
  <c r="S40" i="3"/>
  <c r="U7" i="4" s="1"/>
  <c r="AG73" i="3"/>
  <c r="AF23"/>
  <c r="AH9" i="4" s="1"/>
  <c r="U37" i="3"/>
  <c r="AG52"/>
  <c r="AH78"/>
  <c r="U21"/>
  <c r="T38"/>
  <c r="T39" s="1"/>
  <c r="G21" i="4"/>
  <c r="R41" i="3"/>
  <c r="AO71"/>
  <c r="AM36" l="1"/>
  <c r="AM17"/>
  <c r="AN70"/>
  <c r="AP1" i="4"/>
  <c r="AN10" i="3"/>
  <c r="AN11" s="1"/>
  <c r="AN12" s="1"/>
  <c r="AN14" s="1"/>
  <c r="AN16" s="1"/>
  <c r="AN35"/>
  <c r="AN49" s="1"/>
  <c r="AO8"/>
  <c r="S41"/>
  <c r="S22" s="1"/>
  <c r="V16" i="4"/>
  <c r="T40" i="3"/>
  <c r="V7" i="4" s="1"/>
  <c r="T6"/>
  <c r="R22" i="3"/>
  <c r="U38"/>
  <c r="U39" s="1"/>
  <c r="V21"/>
  <c r="V37"/>
  <c r="AH73"/>
  <c r="AG23"/>
  <c r="AI9" i="4" s="1"/>
  <c r="F62" i="3"/>
  <c r="F51"/>
  <c r="F53" s="1"/>
  <c r="F50"/>
  <c r="F18" i="10"/>
  <c r="G10" s="1"/>
  <c r="G11" s="1"/>
  <c r="AH52" i="3"/>
  <c r="AI78"/>
  <c r="AP71"/>
  <c r="F55" l="1"/>
  <c r="F64" s="1"/>
  <c r="AN17"/>
  <c r="AN36"/>
  <c r="AO10"/>
  <c r="AO11" s="1"/>
  <c r="AO12" s="1"/>
  <c r="AO14" s="1"/>
  <c r="AO16" s="1"/>
  <c r="AO70"/>
  <c r="AQ1" i="4"/>
  <c r="AP8" i="3"/>
  <c r="AO35"/>
  <c r="AO49" s="1"/>
  <c r="U6" i="4"/>
  <c r="AI52" i="3"/>
  <c r="AJ78"/>
  <c r="V38"/>
  <c r="V39" s="1"/>
  <c r="W21"/>
  <c r="T41"/>
  <c r="G12" i="10"/>
  <c r="G13" s="1"/>
  <c r="W16" i="4"/>
  <c r="U40" i="3"/>
  <c r="W7" i="4" s="1"/>
  <c r="AI73" i="3"/>
  <c r="AH23"/>
  <c r="AJ9" i="4" s="1"/>
  <c r="W37" i="3"/>
  <c r="AQ71"/>
  <c r="G65" l="1"/>
  <c r="G54"/>
  <c r="F57"/>
  <c r="F58" s="1"/>
  <c r="F59" s="1"/>
  <c r="F61" s="1"/>
  <c r="F66" s="1"/>
  <c r="F67" s="1"/>
  <c r="F27" s="1"/>
  <c r="F28" s="1"/>
  <c r="H5" i="4" s="1"/>
  <c r="H11" s="1"/>
  <c r="H19" s="1"/>
  <c r="H24" s="1"/>
  <c r="AR1"/>
  <c r="AP35" i="3"/>
  <c r="AP49" s="1"/>
  <c r="AQ8"/>
  <c r="AP10"/>
  <c r="AP70"/>
  <c r="AO36"/>
  <c r="AO17"/>
  <c r="U41"/>
  <c r="U22" s="1"/>
  <c r="V40"/>
  <c r="X7" i="4" s="1"/>
  <c r="X16"/>
  <c r="G14" i="10"/>
  <c r="G15" s="1"/>
  <c r="AJ73" i="3"/>
  <c r="AI23"/>
  <c r="AK9" i="4" s="1"/>
  <c r="V6"/>
  <c r="T22" i="3"/>
  <c r="X37"/>
  <c r="W38"/>
  <c r="W39" s="1"/>
  <c r="X21"/>
  <c r="AJ52"/>
  <c r="AK78"/>
  <c r="AQ35" l="1"/>
  <c r="AQ49" s="1"/>
  <c r="AS1" i="4"/>
  <c r="AQ70" i="3"/>
  <c r="AP11"/>
  <c r="AP12" s="1"/>
  <c r="AP14" s="1"/>
  <c r="AP16" s="1"/>
  <c r="AQ10"/>
  <c r="AQ11" s="1"/>
  <c r="AQ12" s="1"/>
  <c r="AQ14" s="1"/>
  <c r="AQ16" s="1"/>
  <c r="W6" i="4"/>
  <c r="W40" i="3"/>
  <c r="Y7" i="4" s="1"/>
  <c r="Y16"/>
  <c r="G16" i="10"/>
  <c r="G17" s="1"/>
  <c r="X38" i="3"/>
  <c r="X39" s="1"/>
  <c r="Y21"/>
  <c r="AK73"/>
  <c r="AJ23"/>
  <c r="AL9" i="4" s="1"/>
  <c r="V41" i="3"/>
  <c r="Y37"/>
  <c r="H21" i="4"/>
  <c r="AK52" i="3"/>
  <c r="AL78"/>
  <c r="AQ17" l="1"/>
  <c r="AQ36"/>
  <c r="AP36"/>
  <c r="AP17"/>
  <c r="G19" i="10"/>
  <c r="I15" i="4" s="1"/>
  <c r="I17" s="1"/>
  <c r="G20" i="10"/>
  <c r="G20" i="3" s="1"/>
  <c r="G24" s="1"/>
  <c r="G26" s="1"/>
  <c r="X6" i="4"/>
  <c r="V22" i="3"/>
  <c r="W41"/>
  <c r="AL52"/>
  <c r="AM78"/>
  <c r="X40"/>
  <c r="Z7" i="4" s="1"/>
  <c r="Z16"/>
  <c r="AL73" i="3"/>
  <c r="AK23"/>
  <c r="AM9" i="4" s="1"/>
  <c r="Z37" i="3"/>
  <c r="Y38"/>
  <c r="Y39" s="1"/>
  <c r="Z21"/>
  <c r="AA16" i="4" l="1"/>
  <c r="Y40" i="3"/>
  <c r="AA7" i="4" s="1"/>
  <c r="AM73" i="3"/>
  <c r="AL23"/>
  <c r="AN9" i="4" s="1"/>
  <c r="AM52" i="3"/>
  <c r="AN78"/>
  <c r="AA21"/>
  <c r="Z38"/>
  <c r="Z39" s="1"/>
  <c r="Y6" i="4"/>
  <c r="W22" i="3"/>
  <c r="G51"/>
  <c r="G53" s="1"/>
  <c r="G50"/>
  <c r="G62"/>
  <c r="G18" i="10"/>
  <c r="H10" s="1"/>
  <c r="H11" s="1"/>
  <c r="X41" i="3"/>
  <c r="AA37"/>
  <c r="G55" l="1"/>
  <c r="G57" s="1"/>
  <c r="Z40"/>
  <c r="AB7" i="4" s="1"/>
  <c r="AB16"/>
  <c r="H12" i="10"/>
  <c r="H13" s="1"/>
  <c r="AN52" i="3"/>
  <c r="AO78"/>
  <c r="Y41"/>
  <c r="AB37"/>
  <c r="Z6" i="4"/>
  <c r="X22" i="3"/>
  <c r="AA38"/>
  <c r="AA39" s="1"/>
  <c r="AB21"/>
  <c r="AN73"/>
  <c r="AM23"/>
  <c r="AO9" i="4" s="1"/>
  <c r="H54" i="3" l="1"/>
  <c r="G64"/>
  <c r="AC16" i="4"/>
  <c r="AA40" i="3"/>
  <c r="AC7" i="4" s="1"/>
  <c r="AO52" i="3"/>
  <c r="AP78"/>
  <c r="AB38"/>
  <c r="AB39" s="1"/>
  <c r="AC21"/>
  <c r="Z41"/>
  <c r="H14" i="10"/>
  <c r="H15" s="1"/>
  <c r="AA6" i="4"/>
  <c r="Y22" i="3"/>
  <c r="AO73"/>
  <c r="AN23"/>
  <c r="AP9" i="4" s="1"/>
  <c r="G58" i="3"/>
  <c r="G59" s="1"/>
  <c r="G61" s="1"/>
  <c r="G66" s="1"/>
  <c r="G67" s="1"/>
  <c r="G27" s="1"/>
  <c r="G28" s="1"/>
  <c r="I5" i="4" s="1"/>
  <c r="I11" s="1"/>
  <c r="I19" s="1"/>
  <c r="I24" s="1"/>
  <c r="AC37" i="3"/>
  <c r="H65" l="1"/>
  <c r="Z22"/>
  <c r="AB6" i="4"/>
  <c r="AD16"/>
  <c r="AB40" i="3"/>
  <c r="AD7" i="4" s="1"/>
  <c r="H16" i="10"/>
  <c r="H17" s="1"/>
  <c r="AP52" i="3"/>
  <c r="AQ78"/>
  <c r="AQ52" s="1"/>
  <c r="AA41"/>
  <c r="AD37"/>
  <c r="AP73"/>
  <c r="AO23"/>
  <c r="AQ9" i="4" s="1"/>
  <c r="I21"/>
  <c r="AD21" i="3"/>
  <c r="AC38"/>
  <c r="AC39" s="1"/>
  <c r="AE16" i="4" l="1"/>
  <c r="AC40" i="3"/>
  <c r="AE7" i="4" s="1"/>
  <c r="H19" i="10"/>
  <c r="J15" i="4" s="1"/>
  <c r="J17" s="1"/>
  <c r="H20" i="10"/>
  <c r="H20" i="3" s="1"/>
  <c r="H24" s="1"/>
  <c r="H26" s="1"/>
  <c r="AE21"/>
  <c r="AD38"/>
  <c r="AD39" s="1"/>
  <c r="AB41"/>
  <c r="AQ73"/>
  <c r="AQ23" s="1"/>
  <c r="AS9" i="4" s="1"/>
  <c r="AP23" i="3"/>
  <c r="AR9" i="4" s="1"/>
  <c r="AA22" i="3"/>
  <c r="AC6" i="4"/>
  <c r="AE37" i="3"/>
  <c r="AD40" l="1"/>
  <c r="AF7" i="4" s="1"/>
  <c r="AF16"/>
  <c r="AF37" i="3"/>
  <c r="H51"/>
  <c r="H53" s="1"/>
  <c r="H62"/>
  <c r="H50"/>
  <c r="AE38"/>
  <c r="AE39" s="1"/>
  <c r="AF21"/>
  <c r="AC41"/>
  <c r="AB22"/>
  <c r="AD6" i="4"/>
  <c r="H18" i="10"/>
  <c r="I10" s="1"/>
  <c r="I11" s="1"/>
  <c r="H55" i="3" l="1"/>
  <c r="H57" s="1"/>
  <c r="AG16" i="4"/>
  <c r="AE40" i="3"/>
  <c r="AG7" i="4" s="1"/>
  <c r="AC22" i="3"/>
  <c r="AE6" i="4"/>
  <c r="AD41" i="3"/>
  <c r="I12" i="10"/>
  <c r="I13" s="1"/>
  <c r="AG21" i="3"/>
  <c r="AF38"/>
  <c r="AF39" s="1"/>
  <c r="AG37"/>
  <c r="H64" l="1"/>
  <c r="I54"/>
  <c r="AE41"/>
  <c r="AG6" i="4" s="1"/>
  <c r="I14" i="10"/>
  <c r="I15" s="1"/>
  <c r="AH16" i="4"/>
  <c r="AF40" i="3"/>
  <c r="AH7" i="4" s="1"/>
  <c r="AG38" i="3"/>
  <c r="AG39" s="1"/>
  <c r="AH21"/>
  <c r="AF6" i="4"/>
  <c r="AD22" i="3"/>
  <c r="H58"/>
  <c r="H59" s="1"/>
  <c r="H61" s="1"/>
  <c r="H66" s="1"/>
  <c r="H67" s="1"/>
  <c r="H27" s="1"/>
  <c r="H28" s="1"/>
  <c r="J5" i="4" s="1"/>
  <c r="J11" s="1"/>
  <c r="J19" s="1"/>
  <c r="J24" s="1"/>
  <c r="AH37" i="3"/>
  <c r="I65" l="1"/>
  <c r="AE22"/>
  <c r="AF41"/>
  <c r="AH6" i="4" s="1"/>
  <c r="AI37" i="3"/>
  <c r="I16" i="10"/>
  <c r="I17" s="1"/>
  <c r="AI16" i="4"/>
  <c r="AG40" i="3"/>
  <c r="AI7" i="4" s="1"/>
  <c r="J21"/>
  <c r="AH38" i="3"/>
  <c r="AH39" s="1"/>
  <c r="AI21"/>
  <c r="AF22" l="1"/>
  <c r="AG41"/>
  <c r="AG22" s="1"/>
  <c r="AJ16" i="4"/>
  <c r="AH40" i="3"/>
  <c r="AJ7" i="4" s="1"/>
  <c r="I19" i="10"/>
  <c r="K15" i="4" s="1"/>
  <c r="K17" s="1"/>
  <c r="I20" i="10"/>
  <c r="I20" i="3" s="1"/>
  <c r="I24" s="1"/>
  <c r="I26" s="1"/>
  <c r="AJ21"/>
  <c r="AI38"/>
  <c r="AI39" s="1"/>
  <c r="AJ37"/>
  <c r="AI6" i="4" l="1"/>
  <c r="AH41" i="3"/>
  <c r="AK16" i="4"/>
  <c r="AK17" s="1"/>
  <c r="AI40" i="3"/>
  <c r="AK7" i="4" s="1"/>
  <c r="AJ38" i="3"/>
  <c r="AJ39" s="1"/>
  <c r="AK21"/>
  <c r="I51"/>
  <c r="I53" s="1"/>
  <c r="I55" s="1"/>
  <c r="I62"/>
  <c r="I50"/>
  <c r="AK37"/>
  <c r="I18" i="10"/>
  <c r="J10" s="1"/>
  <c r="J11" s="1"/>
  <c r="I64" i="3" l="1"/>
  <c r="J65" s="1"/>
  <c r="AL16" i="4"/>
  <c r="AL17" s="1"/>
  <c r="AJ40" i="3"/>
  <c r="AL7" i="4" s="1"/>
  <c r="AJ6"/>
  <c r="AH22" i="3"/>
  <c r="AL21"/>
  <c r="AK38"/>
  <c r="AK39" s="1"/>
  <c r="AL37"/>
  <c r="AI41"/>
  <c r="J12" i="10"/>
  <c r="J13" s="1"/>
  <c r="I57" i="3"/>
  <c r="I58" s="1"/>
  <c r="I59" s="1"/>
  <c r="I61" s="1"/>
  <c r="I66" s="1"/>
  <c r="I67" s="1"/>
  <c r="I27" s="1"/>
  <c r="I28" s="1"/>
  <c r="K5" i="4" s="1"/>
  <c r="K11" s="1"/>
  <c r="K19" s="1"/>
  <c r="J54" i="3"/>
  <c r="AJ41" l="1"/>
  <c r="AL6" i="4" s="1"/>
  <c r="J14" i="10"/>
  <c r="J15" s="1"/>
  <c r="AM37" i="3"/>
  <c r="K21" i="4"/>
  <c r="K24"/>
  <c r="AI22" i="3"/>
  <c r="AI24" s="1"/>
  <c r="AI26" s="1"/>
  <c r="AK6" i="4"/>
  <c r="AK40" i="3"/>
  <c r="AM7" i="4" s="1"/>
  <c r="AM16"/>
  <c r="AM17" s="1"/>
  <c r="AL38" i="3"/>
  <c r="AL39" s="1"/>
  <c r="AM21"/>
  <c r="AJ22" l="1"/>
  <c r="AJ24" s="1"/>
  <c r="AJ26" s="1"/>
  <c r="AJ50" s="1"/>
  <c r="AK41"/>
  <c r="AM6" i="4" s="1"/>
  <c r="J16" i="10"/>
  <c r="J17" s="1"/>
  <c r="AL40" i="3"/>
  <c r="AN7" i="4" s="1"/>
  <c r="AN16"/>
  <c r="AN17" s="1"/>
  <c r="AI62" i="3"/>
  <c r="AI50"/>
  <c r="AI51"/>
  <c r="AI53" s="1"/>
  <c r="AM38"/>
  <c r="AM39" s="1"/>
  <c r="AN21"/>
  <c r="AN37"/>
  <c r="AK22" l="1"/>
  <c r="AK24" s="1"/>
  <c r="AK26" s="1"/>
  <c r="AK50" s="1"/>
  <c r="AJ51"/>
  <c r="AJ53" s="1"/>
  <c r="AJ62"/>
  <c r="AL41"/>
  <c r="AN6" i="4" s="1"/>
  <c r="J19" i="10"/>
  <c r="L15" i="4" s="1"/>
  <c r="L17" s="1"/>
  <c r="J20" i="10"/>
  <c r="J20" i="3" s="1"/>
  <c r="J24" s="1"/>
  <c r="J26" s="1"/>
  <c r="AM40"/>
  <c r="AO7" i="4" s="1"/>
  <c r="AO16"/>
  <c r="AO17" s="1"/>
  <c r="AO37" i="3"/>
  <c r="AN38"/>
  <c r="AN39" s="1"/>
  <c r="AO21"/>
  <c r="AK51" l="1"/>
  <c r="AK53" s="1"/>
  <c r="AK62"/>
  <c r="AL22"/>
  <c r="AL24" s="1"/>
  <c r="AL26" s="1"/>
  <c r="AL51" s="1"/>
  <c r="AL53" s="1"/>
  <c r="AM41"/>
  <c r="AM22" s="1"/>
  <c r="AM24" s="1"/>
  <c r="AM26" s="1"/>
  <c r="J62"/>
  <c r="J50"/>
  <c r="J51"/>
  <c r="J53" s="1"/>
  <c r="J55" s="1"/>
  <c r="AP37"/>
  <c r="AP16" i="4"/>
  <c r="AP17" s="1"/>
  <c r="AN40" i="3"/>
  <c r="AP7" i="4" s="1"/>
  <c r="AO38" i="3"/>
  <c r="AO39" s="1"/>
  <c r="AP21"/>
  <c r="J18" i="10"/>
  <c r="K10" s="1"/>
  <c r="K11" s="1"/>
  <c r="K65" i="3" l="1"/>
  <c r="AL50"/>
  <c r="AL62"/>
  <c r="AO6" i="4"/>
  <c r="J64" i="3"/>
  <c r="K12" i="10"/>
  <c r="K13" s="1"/>
  <c r="AO40" i="3"/>
  <c r="AQ7" i="4" s="1"/>
  <c r="AQ16"/>
  <c r="AQ17" s="1"/>
  <c r="AM51" i="3"/>
  <c r="AM53" s="1"/>
  <c r="AM62"/>
  <c r="AM50"/>
  <c r="J57"/>
  <c r="J58" s="1"/>
  <c r="J59" s="1"/>
  <c r="J61" s="1"/>
  <c r="J66" s="1"/>
  <c r="J67" s="1"/>
  <c r="J27" s="1"/>
  <c r="J28" s="1"/>
  <c r="L5" i="4" s="1"/>
  <c r="L11" s="1"/>
  <c r="L19" s="1"/>
  <c r="K54" i="3"/>
  <c r="AN41"/>
  <c r="AQ21"/>
  <c r="AP38"/>
  <c r="AP39" s="1"/>
  <c r="AQ37"/>
  <c r="AO41" l="1"/>
  <c r="AQ6" i="4" s="1"/>
  <c r="AR16"/>
  <c r="AR17" s="1"/>
  <c r="AP40" i="3"/>
  <c r="AR7" i="4" s="1"/>
  <c r="K14" i="10"/>
  <c r="K15" s="1"/>
  <c r="AQ38" i="3"/>
  <c r="AQ39" s="1"/>
  <c r="AN22"/>
  <c r="AN24" s="1"/>
  <c r="AN26" s="1"/>
  <c r="AP6" i="4"/>
  <c r="L24"/>
  <c r="L21"/>
  <c r="AO22" i="3" l="1"/>
  <c r="AO24" s="1"/>
  <c r="AO26" s="1"/>
  <c r="AO51" s="1"/>
  <c r="AO53" s="1"/>
  <c r="K16" i="10"/>
  <c r="K17" s="1"/>
  <c r="AN50" i="3"/>
  <c r="AN51"/>
  <c r="AN53" s="1"/>
  <c r="AN62"/>
  <c r="AP41"/>
  <c r="AQ40"/>
  <c r="AS7" i="4" s="1"/>
  <c r="AS16"/>
  <c r="AS17" s="1"/>
  <c r="AO62" i="3" l="1"/>
  <c r="AO50"/>
  <c r="K19" i="10"/>
  <c r="M15" i="4" s="1"/>
  <c r="M17" s="1"/>
  <c r="K20" i="10"/>
  <c r="K20" i="3" s="1"/>
  <c r="K24" s="1"/>
  <c r="K26" s="1"/>
  <c r="AP22"/>
  <c r="AP24" s="1"/>
  <c r="AP26" s="1"/>
  <c r="AR6" i="4"/>
  <c r="AQ41" i="3"/>
  <c r="K51" l="1"/>
  <c r="K53" s="1"/>
  <c r="K55" s="1"/>
  <c r="K50"/>
  <c r="K62"/>
  <c r="AS6" i="4"/>
  <c r="AQ22" i="3"/>
  <c r="AQ24" s="1"/>
  <c r="AQ26" s="1"/>
  <c r="AP51"/>
  <c r="AP53" s="1"/>
  <c r="AP50"/>
  <c r="AP62"/>
  <c r="K18" i="10"/>
  <c r="L10" s="1"/>
  <c r="L11" s="1"/>
  <c r="K64" i="3" l="1"/>
  <c r="L65"/>
  <c r="AQ62"/>
  <c r="AQ51"/>
  <c r="AQ53" s="1"/>
  <c r="AQ50"/>
  <c r="L54"/>
  <c r="K57"/>
  <c r="K58" s="1"/>
  <c r="K59" s="1"/>
  <c r="K61" s="1"/>
  <c r="K66" s="1"/>
  <c r="K67" s="1"/>
  <c r="K27" s="1"/>
  <c r="K28" s="1"/>
  <c r="M5" i="4" s="1"/>
  <c r="M11" s="1"/>
  <c r="M19" s="1"/>
  <c r="L12" i="10"/>
  <c r="L13" s="1"/>
  <c r="L14" l="1"/>
  <c r="L15" s="1"/>
  <c r="M24" i="4"/>
  <c r="M21"/>
  <c r="L16" i="10" l="1"/>
  <c r="L17" s="1"/>
  <c r="L19" l="1"/>
  <c r="N15" i="4" s="1"/>
  <c r="N17" s="1"/>
  <c r="L20" i="10"/>
  <c r="L20" i="3" s="1"/>
  <c r="L24" s="1"/>
  <c r="L26" s="1"/>
  <c r="L51" l="1"/>
  <c r="L53" s="1"/>
  <c r="L55" s="1"/>
  <c r="L62"/>
  <c r="L50"/>
  <c r="L18" i="10"/>
  <c r="M10" s="1"/>
  <c r="M11" s="1"/>
  <c r="M65" i="3" l="1"/>
  <c r="L64"/>
  <c r="M54"/>
  <c r="L57"/>
  <c r="L58" s="1"/>
  <c r="L59" s="1"/>
  <c r="L61" s="1"/>
  <c r="L66" s="1"/>
  <c r="L67" s="1"/>
  <c r="L27" s="1"/>
  <c r="L28" s="1"/>
  <c r="N5" i="4" s="1"/>
  <c r="N11" s="1"/>
  <c r="N19" s="1"/>
  <c r="M12" i="10"/>
  <c r="M13" s="1"/>
  <c r="M14" l="1"/>
  <c r="M15" s="1"/>
  <c r="N24" i="4"/>
  <c r="N21"/>
  <c r="M16" i="10" l="1"/>
  <c r="M17" s="1"/>
  <c r="M19" l="1"/>
  <c r="O15" i="4" s="1"/>
  <c r="O17" s="1"/>
  <c r="M20" i="10"/>
  <c r="M20" i="3" s="1"/>
  <c r="M24" s="1"/>
  <c r="M26" s="1"/>
  <c r="M51" l="1"/>
  <c r="M53" s="1"/>
  <c r="M55" s="1"/>
  <c r="M50"/>
  <c r="M62"/>
  <c r="M18" i="10"/>
  <c r="N10" s="1"/>
  <c r="N11" s="1"/>
  <c r="N65" i="3" l="1"/>
  <c r="M64"/>
  <c r="N54"/>
  <c r="M57"/>
  <c r="M58" s="1"/>
  <c r="M59" s="1"/>
  <c r="M61" s="1"/>
  <c r="M66" s="1"/>
  <c r="M67" s="1"/>
  <c r="M27" s="1"/>
  <c r="M28" s="1"/>
  <c r="O5" i="4" s="1"/>
  <c r="O11" s="1"/>
  <c r="O19" s="1"/>
  <c r="N12" i="10"/>
  <c r="N13" s="1"/>
  <c r="N14" l="1"/>
  <c r="N15" s="1"/>
  <c r="O21" i="4"/>
  <c r="O24"/>
  <c r="N16" i="10" l="1"/>
  <c r="N17" s="1"/>
  <c r="N19" l="1"/>
  <c r="P15" i="4" s="1"/>
  <c r="P17" s="1"/>
  <c r="N20" i="10"/>
  <c r="N20" i="3" s="1"/>
  <c r="N24" s="1"/>
  <c r="N26" s="1"/>
  <c r="N51" l="1"/>
  <c r="N53" s="1"/>
  <c r="N55" s="1"/>
  <c r="N62"/>
  <c r="O65" s="1"/>
  <c r="N50"/>
  <c r="N18" i="10"/>
  <c r="O10" s="1"/>
  <c r="O11" s="1"/>
  <c r="N64" i="3" l="1"/>
  <c r="O54"/>
  <c r="N57"/>
  <c r="N58" s="1"/>
  <c r="N59" s="1"/>
  <c r="N61" s="1"/>
  <c r="N66" s="1"/>
  <c r="N67" s="1"/>
  <c r="N27" s="1"/>
  <c r="N28" s="1"/>
  <c r="P5" i="4" s="1"/>
  <c r="P11" s="1"/>
  <c r="P19" s="1"/>
  <c r="O12" i="10"/>
  <c r="O13" s="1"/>
  <c r="O14" l="1"/>
  <c r="O15" s="1"/>
  <c r="P24" i="4"/>
  <c r="P21"/>
  <c r="O16" i="10" l="1"/>
  <c r="O17" s="1"/>
  <c r="O19" l="1"/>
  <c r="Q15" i="4" s="1"/>
  <c r="Q17" s="1"/>
  <c r="O20" i="10"/>
  <c r="O20" i="3" s="1"/>
  <c r="O24" s="1"/>
  <c r="O26" s="1"/>
  <c r="O51" l="1"/>
  <c r="O53" s="1"/>
  <c r="O55" s="1"/>
  <c r="O62"/>
  <c r="P65" s="1"/>
  <c r="O50"/>
  <c r="O18" i="10"/>
  <c r="P10" s="1"/>
  <c r="P11" s="1"/>
  <c r="O64" i="3" l="1"/>
  <c r="P54"/>
  <c r="O57"/>
  <c r="O58" s="1"/>
  <c r="O59" s="1"/>
  <c r="O61" s="1"/>
  <c r="O66" s="1"/>
  <c r="O67" s="1"/>
  <c r="O27" s="1"/>
  <c r="O28" s="1"/>
  <c r="Q5" i="4" s="1"/>
  <c r="Q11" s="1"/>
  <c r="Q19" s="1"/>
  <c r="P12" i="10"/>
  <c r="P13" l="1"/>
  <c r="P14" s="1"/>
  <c r="Q24" i="4"/>
  <c r="Q21"/>
  <c r="P15" i="10" l="1"/>
  <c r="P16" s="1"/>
  <c r="P17" l="1"/>
  <c r="P19" s="1"/>
  <c r="R15" i="4" s="1"/>
  <c r="R17" s="1"/>
  <c r="P20" i="10"/>
  <c r="P20" i="3" s="1"/>
  <c r="P24" s="1"/>
  <c r="P26" s="1"/>
  <c r="P50" l="1"/>
  <c r="P62"/>
  <c r="Q65" s="1"/>
  <c r="P51"/>
  <c r="P53" s="1"/>
  <c r="P55" s="1"/>
  <c r="P18" i="10"/>
  <c r="Q10" s="1"/>
  <c r="P64" i="3" l="1"/>
  <c r="Q54"/>
  <c r="P57"/>
  <c r="P58" s="1"/>
  <c r="P59" s="1"/>
  <c r="P61" s="1"/>
  <c r="P66" s="1"/>
  <c r="P67" s="1"/>
  <c r="P27" s="1"/>
  <c r="P28" s="1"/>
  <c r="R5" i="4" s="1"/>
  <c r="R11" s="1"/>
  <c r="R19" s="1"/>
  <c r="Q11" i="10"/>
  <c r="Q12" s="1"/>
  <c r="Q13" l="1"/>
  <c r="Q14" s="1"/>
  <c r="R24" i="4"/>
  <c r="R21"/>
  <c r="Q15" i="10" l="1"/>
  <c r="Q16" s="1"/>
  <c r="Q17" l="1"/>
  <c r="Q19" s="1"/>
  <c r="S15" i="4" s="1"/>
  <c r="S17" s="1"/>
  <c r="Q20" i="10"/>
  <c r="Q20" i="3" s="1"/>
  <c r="Q24" s="1"/>
  <c r="Q26" s="1"/>
  <c r="Q50" l="1"/>
  <c r="Q62"/>
  <c r="R65" s="1"/>
  <c r="Q51"/>
  <c r="Q53" s="1"/>
  <c r="Q55" s="1"/>
  <c r="Q18" i="10"/>
  <c r="R10" s="1"/>
  <c r="Q64" i="3" l="1"/>
  <c r="R54"/>
  <c r="Q57"/>
  <c r="Q58" s="1"/>
  <c r="Q59" s="1"/>
  <c r="Q61" s="1"/>
  <c r="Q66" s="1"/>
  <c r="Q67" s="1"/>
  <c r="Q27" s="1"/>
  <c r="Q28" s="1"/>
  <c r="S5" i="4" s="1"/>
  <c r="S11" s="1"/>
  <c r="S19" s="1"/>
  <c r="R11" i="10"/>
  <c r="R12" s="1"/>
  <c r="S24" i="4" l="1"/>
  <c r="S21"/>
  <c r="R13" i="10"/>
  <c r="R14" s="1"/>
  <c r="R15" l="1"/>
  <c r="R16" s="1"/>
  <c r="R17" l="1"/>
  <c r="R19" s="1"/>
  <c r="T15" i="4" s="1"/>
  <c r="T17" s="1"/>
  <c r="R20" i="10"/>
  <c r="R20" i="3" s="1"/>
  <c r="R24" s="1"/>
  <c r="R26" s="1"/>
  <c r="R51" l="1"/>
  <c r="R53" s="1"/>
  <c r="R55" s="1"/>
  <c r="R62"/>
  <c r="S65" s="1"/>
  <c r="R50"/>
  <c r="R18" i="10"/>
  <c r="S10" s="1"/>
  <c r="R64" i="3" l="1"/>
  <c r="R57"/>
  <c r="R58" s="1"/>
  <c r="R59" s="1"/>
  <c r="R61" s="1"/>
  <c r="R66" s="1"/>
  <c r="R67" s="1"/>
  <c r="R27" s="1"/>
  <c r="R28" s="1"/>
  <c r="T5" i="4" s="1"/>
  <c r="T11" s="1"/>
  <c r="T19" s="1"/>
  <c r="S54" i="3"/>
  <c r="S11" i="10"/>
  <c r="S12" s="1"/>
  <c r="S13" l="1"/>
  <c r="S14" s="1"/>
  <c r="T24" i="4"/>
  <c r="T21"/>
  <c r="S15" i="10" l="1"/>
  <c r="S16" s="1"/>
  <c r="S17" l="1"/>
  <c r="S19" s="1"/>
  <c r="U15" i="4" s="1"/>
  <c r="U17" s="1"/>
  <c r="S20" i="10"/>
  <c r="S20" i="3" s="1"/>
  <c r="S24" s="1"/>
  <c r="S26" s="1"/>
  <c r="S62" l="1"/>
  <c r="S50"/>
  <c r="S51"/>
  <c r="S53" s="1"/>
  <c r="S55" s="1"/>
  <c r="S18" i="10"/>
  <c r="T10" s="1"/>
  <c r="S64" i="3" l="1"/>
  <c r="T54"/>
  <c r="S57"/>
  <c r="S58" s="1"/>
  <c r="S59" s="1"/>
  <c r="S61" s="1"/>
  <c r="T11" i="10"/>
  <c r="T12" s="1"/>
  <c r="S66" i="3" l="1"/>
  <c r="S67" s="1"/>
  <c r="S27" s="1"/>
  <c r="S28" s="1"/>
  <c r="U5" i="4" s="1"/>
  <c r="U11" s="1"/>
  <c r="U19" s="1"/>
  <c r="U24" s="1"/>
  <c r="T65" i="3"/>
  <c r="T13" i="10"/>
  <c r="T14" s="1"/>
  <c r="U21" i="4" l="1"/>
  <c r="T15" i="10"/>
  <c r="T16" s="1"/>
  <c r="T17" l="1"/>
  <c r="T19" s="1"/>
  <c r="V15" i="4" s="1"/>
  <c r="V17" s="1"/>
  <c r="T20" i="10"/>
  <c r="T20" i="3" s="1"/>
  <c r="T24" s="1"/>
  <c r="T26" s="1"/>
  <c r="T51" l="1"/>
  <c r="T53" s="1"/>
  <c r="T55" s="1"/>
  <c r="T62"/>
  <c r="T50"/>
  <c r="T18" i="10"/>
  <c r="U10" s="1"/>
  <c r="T64" i="3" l="1"/>
  <c r="U54"/>
  <c r="T57"/>
  <c r="T58" s="1"/>
  <c r="T59" s="1"/>
  <c r="T61" s="1"/>
  <c r="U11" i="10"/>
  <c r="U12" s="1"/>
  <c r="T66" i="3" l="1"/>
  <c r="T67" s="1"/>
  <c r="T27" s="1"/>
  <c r="T28" s="1"/>
  <c r="V5" i="4" s="1"/>
  <c r="V11" s="1"/>
  <c r="V19" s="1"/>
  <c r="V21" s="1"/>
  <c r="U65" i="3"/>
  <c r="U13" i="10"/>
  <c r="U14" s="1"/>
  <c r="V24" i="4" l="1"/>
  <c r="U15" i="10"/>
  <c r="U16" s="1"/>
  <c r="U17" l="1"/>
  <c r="U19" s="1"/>
  <c r="W15" i="4" s="1"/>
  <c r="W17" s="1"/>
  <c r="U20" i="10"/>
  <c r="U20" i="3" s="1"/>
  <c r="U24" s="1"/>
  <c r="U26" s="1"/>
  <c r="U50" l="1"/>
  <c r="U51"/>
  <c r="U53" s="1"/>
  <c r="U55" s="1"/>
  <c r="U62"/>
  <c r="U18" i="10"/>
  <c r="V10" s="1"/>
  <c r="U64" i="3" l="1"/>
  <c r="V54"/>
  <c r="U57"/>
  <c r="U58" s="1"/>
  <c r="U59" s="1"/>
  <c r="U61" s="1"/>
  <c r="V11" i="10"/>
  <c r="V12" s="1"/>
  <c r="U66" i="3" l="1"/>
  <c r="U67" s="1"/>
  <c r="U27" s="1"/>
  <c r="U28" s="1"/>
  <c r="W5" i="4" s="1"/>
  <c r="W11" s="1"/>
  <c r="W19" s="1"/>
  <c r="W21" s="1"/>
  <c r="V65" i="3"/>
  <c r="V13" i="10"/>
  <c r="V14" s="1"/>
  <c r="W24" i="4" l="1"/>
  <c r="V15" i="10"/>
  <c r="V16" s="1"/>
  <c r="V17" l="1"/>
  <c r="V19" s="1"/>
  <c r="X15" i="4" s="1"/>
  <c r="X17" s="1"/>
  <c r="V20" i="10"/>
  <c r="V20" i="3" s="1"/>
  <c r="V24" s="1"/>
  <c r="V26" s="1"/>
  <c r="V50" l="1"/>
  <c r="V51"/>
  <c r="V53" s="1"/>
  <c r="V55" s="1"/>
  <c r="V62"/>
  <c r="V18" i="10"/>
  <c r="W10" s="1"/>
  <c r="W11" l="1"/>
  <c r="W12" s="1"/>
  <c r="V57" i="3"/>
  <c r="V58" s="1"/>
  <c r="V59" s="1"/>
  <c r="V61" s="1"/>
  <c r="W54"/>
  <c r="V64"/>
  <c r="V66" l="1"/>
  <c r="V67" s="1"/>
  <c r="V27" s="1"/>
  <c r="V28" s="1"/>
  <c r="X5" i="4" s="1"/>
  <c r="X11" s="1"/>
  <c r="X19" s="1"/>
  <c r="X21" s="1"/>
  <c r="W65" i="3"/>
  <c r="W13" i="10"/>
  <c r="W14" s="1"/>
  <c r="X24" i="4" l="1"/>
  <c r="W15" i="10"/>
  <c r="W16" s="1"/>
  <c r="W17" l="1"/>
  <c r="W19" s="1"/>
  <c r="Y15" i="4" s="1"/>
  <c r="Y17" s="1"/>
  <c r="W20" i="10"/>
  <c r="W20" i="3" s="1"/>
  <c r="W24" s="1"/>
  <c r="W26" s="1"/>
  <c r="W62" l="1"/>
  <c r="W51"/>
  <c r="W53" s="1"/>
  <c r="W55" s="1"/>
  <c r="W50"/>
  <c r="W18" i="10"/>
  <c r="X10" s="1"/>
  <c r="W64" i="3" l="1"/>
  <c r="X54"/>
  <c r="W57"/>
  <c r="W58" s="1"/>
  <c r="W59" s="1"/>
  <c r="W61" s="1"/>
  <c r="X11" i="10"/>
  <c r="X12" s="1"/>
  <c r="W66" i="3" l="1"/>
  <c r="W67" s="1"/>
  <c r="W27" s="1"/>
  <c r="W28" s="1"/>
  <c r="Y5" i="4" s="1"/>
  <c r="Y11" s="1"/>
  <c r="Y19" s="1"/>
  <c r="Y24" s="1"/>
  <c r="X65" i="3"/>
  <c r="X13" i="10"/>
  <c r="X14" s="1"/>
  <c r="Y21" i="4" l="1"/>
  <c r="X15" i="10"/>
  <c r="X16" s="1"/>
  <c r="X17" l="1"/>
  <c r="X19" s="1"/>
  <c r="Z15" i="4" s="1"/>
  <c r="Z17" s="1"/>
  <c r="X20" i="10"/>
  <c r="X20" i="3" s="1"/>
  <c r="X24" s="1"/>
  <c r="X26" s="1"/>
  <c r="X50" l="1"/>
  <c r="X51"/>
  <c r="X53" s="1"/>
  <c r="X55" s="1"/>
  <c r="X62"/>
  <c r="X18" i="10"/>
  <c r="Y10" s="1"/>
  <c r="X64" i="3" l="1"/>
  <c r="X57"/>
  <c r="X58" s="1"/>
  <c r="X59" s="1"/>
  <c r="X61" s="1"/>
  <c r="Y54"/>
  <c r="Y11" i="10"/>
  <c r="Y12" s="1"/>
  <c r="X66" i="3" l="1"/>
  <c r="X67" s="1"/>
  <c r="X27" s="1"/>
  <c r="X28" s="1"/>
  <c r="Z5" i="4" s="1"/>
  <c r="Z11" s="1"/>
  <c r="Z19" s="1"/>
  <c r="Z24" s="1"/>
  <c r="Y65" i="3"/>
  <c r="Y13" i="10"/>
  <c r="Y14" s="1"/>
  <c r="Z21" i="4" l="1"/>
  <c r="Y15" i="10"/>
  <c r="Y16" s="1"/>
  <c r="Y17" l="1"/>
  <c r="Y19" s="1"/>
  <c r="AA15" i="4" s="1"/>
  <c r="AA17" s="1"/>
  <c r="Y20" i="10"/>
  <c r="Y20" i="3" s="1"/>
  <c r="Y24" s="1"/>
  <c r="Y26" s="1"/>
  <c r="Y18" i="10" l="1"/>
  <c r="Z10" s="1"/>
  <c r="Y50" i="3"/>
  <c r="Y51"/>
  <c r="Y53" s="1"/>
  <c r="Y55" s="1"/>
  <c r="Y62"/>
  <c r="Y64" l="1"/>
  <c r="Z11" i="10"/>
  <c r="Z12" s="1"/>
  <c r="Z54" i="3"/>
  <c r="Y57"/>
  <c r="Y58" s="1"/>
  <c r="Y59" s="1"/>
  <c r="Y61" s="1"/>
  <c r="Y66" l="1"/>
  <c r="Y67" s="1"/>
  <c r="Y27" s="1"/>
  <c r="Y28" s="1"/>
  <c r="AA5" i="4" s="1"/>
  <c r="AA11" s="1"/>
  <c r="AA19" s="1"/>
  <c r="AA24" s="1"/>
  <c r="Z65" i="3"/>
  <c r="Z13" i="10"/>
  <c r="Z14" s="1"/>
  <c r="AA21" i="4" l="1"/>
  <c r="Z15" i="10"/>
  <c r="Z16" s="1"/>
  <c r="Z17" l="1"/>
  <c r="Z19" s="1"/>
  <c r="AB15" i="4" s="1"/>
  <c r="AB17" s="1"/>
  <c r="Z20" i="10"/>
  <c r="Z20" i="3" s="1"/>
  <c r="Z24" s="1"/>
  <c r="Z26" s="1"/>
  <c r="Z50" l="1"/>
  <c r="Z51"/>
  <c r="Z53" s="1"/>
  <c r="Z55" s="1"/>
  <c r="Z62"/>
  <c r="Z18" i="10"/>
  <c r="AA10" s="1"/>
  <c r="Z64" i="3" l="1"/>
  <c r="AA54"/>
  <c r="Z57"/>
  <c r="Z58" s="1"/>
  <c r="Z59" s="1"/>
  <c r="Z61" s="1"/>
  <c r="AA11" i="10"/>
  <c r="AA12" s="1"/>
  <c r="Z66" i="3" l="1"/>
  <c r="Z67" s="1"/>
  <c r="Z27" s="1"/>
  <c r="Z28" s="1"/>
  <c r="AB5" i="4" s="1"/>
  <c r="AB11" s="1"/>
  <c r="AB19" s="1"/>
  <c r="AB24" s="1"/>
  <c r="AA65" i="3"/>
  <c r="AA13" i="10"/>
  <c r="AA14" s="1"/>
  <c r="AB21" i="4" l="1"/>
  <c r="AA15" i="10"/>
  <c r="AA16" s="1"/>
  <c r="AA17" l="1"/>
  <c r="AA19" s="1"/>
  <c r="AC15" i="4" s="1"/>
  <c r="AC17" s="1"/>
  <c r="AA20" i="10"/>
  <c r="AA20" i="3" s="1"/>
  <c r="AA24" s="1"/>
  <c r="AA26" s="1"/>
  <c r="AA18" i="10" l="1"/>
  <c r="AB10" s="1"/>
  <c r="AA50" i="3"/>
  <c r="AA51"/>
  <c r="AA53" s="1"/>
  <c r="AA55" s="1"/>
  <c r="AA62"/>
  <c r="AA64" l="1"/>
  <c r="AB11" i="10"/>
  <c r="AB12" s="1"/>
  <c r="AB54" i="3"/>
  <c r="AA57"/>
  <c r="AA58" s="1"/>
  <c r="AA59" s="1"/>
  <c r="AA61" s="1"/>
  <c r="AA66" l="1"/>
  <c r="AA67" s="1"/>
  <c r="AA27" s="1"/>
  <c r="AA28" s="1"/>
  <c r="AC5" i="4" s="1"/>
  <c r="AC11" s="1"/>
  <c r="AC19" s="1"/>
  <c r="AC24" s="1"/>
  <c r="AB65" i="3"/>
  <c r="AB13" i="10"/>
  <c r="AB14" s="1"/>
  <c r="AC21" i="4" l="1"/>
  <c r="AB15" i="10"/>
  <c r="AB16" s="1"/>
  <c r="AB17" l="1"/>
  <c r="AB19" s="1"/>
  <c r="AD15" i="4" s="1"/>
  <c r="AD17" s="1"/>
  <c r="AB20" i="10"/>
  <c r="AB20" i="3" s="1"/>
  <c r="AB24" s="1"/>
  <c r="AB26" s="1"/>
  <c r="AB18" i="10" l="1"/>
  <c r="AC10" s="1"/>
  <c r="AB62" i="3"/>
  <c r="AB50"/>
  <c r="AB51"/>
  <c r="AB53" s="1"/>
  <c r="AB55" s="1"/>
  <c r="AB64" l="1"/>
  <c r="AC11" i="10"/>
  <c r="AC12" s="1"/>
  <c r="AB57" i="3"/>
  <c r="AB58" s="1"/>
  <c r="AB59" s="1"/>
  <c r="AB61" s="1"/>
  <c r="AC54"/>
  <c r="AB66" l="1"/>
  <c r="AB67" s="1"/>
  <c r="AB27" s="1"/>
  <c r="AB28" s="1"/>
  <c r="AD5" i="4" s="1"/>
  <c r="AD11" s="1"/>
  <c r="AD19" s="1"/>
  <c r="AD21" s="1"/>
  <c r="AC65" i="3"/>
  <c r="AC13" i="10"/>
  <c r="AC14" s="1"/>
  <c r="AD24" i="4" l="1"/>
  <c r="AC15" i="10"/>
  <c r="AC16" s="1"/>
  <c r="AC17" l="1"/>
  <c r="AC19" s="1"/>
  <c r="AE15" i="4" s="1"/>
  <c r="AE17" s="1"/>
  <c r="AC20" i="10"/>
  <c r="AC20" i="3" s="1"/>
  <c r="AC24" s="1"/>
  <c r="AC26" s="1"/>
  <c r="AC51" l="1"/>
  <c r="AC53" s="1"/>
  <c r="AC55" s="1"/>
  <c r="AC62"/>
  <c r="AC50"/>
  <c r="AC18" i="10"/>
  <c r="AD10" s="1"/>
  <c r="AC64" i="3" l="1"/>
  <c r="AD54"/>
  <c r="AC57"/>
  <c r="AC58" s="1"/>
  <c r="AC59" s="1"/>
  <c r="AC61" s="1"/>
  <c r="AD11" i="10"/>
  <c r="AD12" s="1"/>
  <c r="AC66" i="3" l="1"/>
  <c r="AC67" s="1"/>
  <c r="AC27" s="1"/>
  <c r="AC28" s="1"/>
  <c r="AE5" i="4" s="1"/>
  <c r="AE11" s="1"/>
  <c r="AE19" s="1"/>
  <c r="AE24" s="1"/>
  <c r="AD65" i="3"/>
  <c r="AD13" i="10"/>
  <c r="AD14" s="1"/>
  <c r="AE21" i="4" l="1"/>
  <c r="AD15" i="10"/>
  <c r="AD16" s="1"/>
  <c r="AD17" l="1"/>
  <c r="AD19" s="1"/>
  <c r="AF15" i="4" s="1"/>
  <c r="AF17" s="1"/>
  <c r="AD20" i="10"/>
  <c r="AD20" i="3" s="1"/>
  <c r="AD24" s="1"/>
  <c r="AD26" s="1"/>
  <c r="AD62" l="1"/>
  <c r="AD51"/>
  <c r="AD53" s="1"/>
  <c r="AD55" s="1"/>
  <c r="AD50"/>
  <c r="AD18" i="10"/>
  <c r="AE10" s="1"/>
  <c r="AD64" i="3" l="1"/>
  <c r="AE54"/>
  <c r="AD57"/>
  <c r="AD58" s="1"/>
  <c r="AD59" s="1"/>
  <c r="AD61" s="1"/>
  <c r="AD66" s="1"/>
  <c r="AD67" s="1"/>
  <c r="AD27" s="1"/>
  <c r="AD28" s="1"/>
  <c r="AF5" i="4" s="1"/>
  <c r="AF11" s="1"/>
  <c r="AF19" s="1"/>
  <c r="AE11" i="10"/>
  <c r="AE12" s="1"/>
  <c r="AE13" l="1"/>
  <c r="AE14" s="1"/>
  <c r="AF21" i="4"/>
  <c r="AF24"/>
  <c r="AE15" i="10" l="1"/>
  <c r="AE16" s="1"/>
  <c r="AE17" l="1"/>
  <c r="AE19" s="1"/>
  <c r="AG15" i="4" s="1"/>
  <c r="AG17" s="1"/>
  <c r="AE20" i="10"/>
  <c r="AE20" i="3" s="1"/>
  <c r="AE24" s="1"/>
  <c r="AE26" s="1"/>
  <c r="AE18" i="10" l="1"/>
  <c r="AF10" s="1"/>
  <c r="AE51" i="3"/>
  <c r="AE53" s="1"/>
  <c r="AE55" s="1"/>
  <c r="AE50"/>
  <c r="AE62"/>
  <c r="AE64" l="1"/>
  <c r="AF11" i="10"/>
  <c r="AF12" s="1"/>
  <c r="AE57" i="3"/>
  <c r="AE58" s="1"/>
  <c r="AE59" s="1"/>
  <c r="AE61" s="1"/>
  <c r="AE66" s="1"/>
  <c r="AE67" s="1"/>
  <c r="AE27" s="1"/>
  <c r="AE28" s="1"/>
  <c r="AG5" i="4" s="1"/>
  <c r="AG11" s="1"/>
  <c r="AG19" s="1"/>
  <c r="AF54" i="3"/>
  <c r="AF13" i="10" l="1"/>
  <c r="AF14" s="1"/>
  <c r="AG24" i="4"/>
  <c r="AG21"/>
  <c r="AF15" i="10" l="1"/>
  <c r="AF16" s="1"/>
  <c r="AF17" l="1"/>
  <c r="AF19" s="1"/>
  <c r="AH15" i="4" s="1"/>
  <c r="AH17" s="1"/>
  <c r="AF20" i="10"/>
  <c r="AF20" i="3" s="1"/>
  <c r="AF24" s="1"/>
  <c r="AF26" s="1"/>
  <c r="AF50" l="1"/>
  <c r="AF62"/>
  <c r="AF51"/>
  <c r="AF53" s="1"/>
  <c r="AF55" s="1"/>
  <c r="AF18" i="10"/>
  <c r="AG10" s="1"/>
  <c r="AF64" i="3" l="1"/>
  <c r="AF57"/>
  <c r="AF58" s="1"/>
  <c r="AF59" s="1"/>
  <c r="AF61" s="1"/>
  <c r="AF66" s="1"/>
  <c r="AF67" s="1"/>
  <c r="AF27" s="1"/>
  <c r="AF28" s="1"/>
  <c r="AH5" i="4" s="1"/>
  <c r="AH11" s="1"/>
  <c r="AH19" s="1"/>
  <c r="AG54" i="3"/>
  <c r="AG11" i="10"/>
  <c r="AG12" s="1"/>
  <c r="AG13" l="1"/>
  <c r="AG14" s="1"/>
  <c r="AH24" i="4"/>
  <c r="AH21"/>
  <c r="AG15" i="10" l="1"/>
  <c r="AG16" s="1"/>
  <c r="AG17" l="1"/>
  <c r="AG19" s="1"/>
  <c r="AI15" i="4" s="1"/>
  <c r="AI17" s="1"/>
  <c r="AG20" i="10"/>
  <c r="AG20" i="3" s="1"/>
  <c r="AG24" s="1"/>
  <c r="AG26" s="1"/>
  <c r="AG50" l="1"/>
  <c r="AG62"/>
  <c r="AG51"/>
  <c r="AG53" s="1"/>
  <c r="AG55" s="1"/>
  <c r="AG18" i="10"/>
  <c r="AH10" s="1"/>
  <c r="AG64" i="3" l="1"/>
  <c r="AH54"/>
  <c r="AG57"/>
  <c r="AG58" s="1"/>
  <c r="AG59" s="1"/>
  <c r="AG61" s="1"/>
  <c r="AG66" s="1"/>
  <c r="AG67" s="1"/>
  <c r="AG27" s="1"/>
  <c r="AG28" s="1"/>
  <c r="AI5" i="4" s="1"/>
  <c r="AI11" s="1"/>
  <c r="AI19" s="1"/>
  <c r="AH11" i="10"/>
  <c r="AH12" s="1"/>
  <c r="AH13" l="1"/>
  <c r="AH14" s="1"/>
  <c r="AI21" i="4"/>
  <c r="AI24"/>
  <c r="AH15" i="10" l="1"/>
  <c r="AH16" s="1"/>
  <c r="AH17" l="1"/>
  <c r="AH19" s="1"/>
  <c r="AJ15" i="4" s="1"/>
  <c r="AJ17" s="1"/>
  <c r="AH20" i="10"/>
  <c r="AH20" i="3" s="1"/>
  <c r="AH24" s="1"/>
  <c r="AH26" s="1"/>
  <c r="AH62" l="1"/>
  <c r="AH50"/>
  <c r="AH51"/>
  <c r="AH53" s="1"/>
  <c r="AH55" s="1"/>
  <c r="AH18" i="10"/>
  <c r="AH64" i="3" l="1"/>
  <c r="AI54"/>
  <c r="AI55" s="1"/>
  <c r="AH57"/>
  <c r="AH58" s="1"/>
  <c r="AH59" s="1"/>
  <c r="AH61" s="1"/>
  <c r="AH66" s="1"/>
  <c r="AH67" s="1"/>
  <c r="AH27" s="1"/>
  <c r="AH28" s="1"/>
  <c r="AJ5" i="4" s="1"/>
  <c r="AJ11" s="1"/>
  <c r="AJ19" s="1"/>
  <c r="AJ54" i="3" l="1"/>
  <c r="AJ55" s="1"/>
  <c r="AI57"/>
  <c r="AI58" s="1"/>
  <c r="AI59" s="1"/>
  <c r="AI61" s="1"/>
  <c r="AI66" s="1"/>
  <c r="AI67" s="1"/>
  <c r="AI27" s="1"/>
  <c r="AI28" s="1"/>
  <c r="AK5" i="4" s="1"/>
  <c r="AK11" s="1"/>
  <c r="AK19" s="1"/>
  <c r="AI64" i="3"/>
  <c r="AJ21" i="4"/>
  <c r="AJ24"/>
  <c r="AK54" i="3" l="1"/>
  <c r="AK55" s="1"/>
  <c r="AJ57"/>
  <c r="AJ58" s="1"/>
  <c r="AJ59" s="1"/>
  <c r="AJ61" s="1"/>
  <c r="AJ66" s="1"/>
  <c r="AJ67" s="1"/>
  <c r="AJ27" s="1"/>
  <c r="AJ28" s="1"/>
  <c r="AL5" i="4" s="1"/>
  <c r="AL11" s="1"/>
  <c r="AL19" s="1"/>
  <c r="AJ64" i="3"/>
  <c r="AK21" i="4"/>
  <c r="AK24"/>
  <c r="AL24" l="1"/>
  <c r="AL21"/>
  <c r="AL54" i="3"/>
  <c r="AL55" s="1"/>
  <c r="AK57"/>
  <c r="AK58" s="1"/>
  <c r="AK59" s="1"/>
  <c r="AK61" s="1"/>
  <c r="AK66" s="1"/>
  <c r="AK67" s="1"/>
  <c r="AK27" s="1"/>
  <c r="AK28" s="1"/>
  <c r="AM5" i="4" s="1"/>
  <c r="AM11" s="1"/>
  <c r="AM19" s="1"/>
  <c r="AK64" i="3"/>
  <c r="AM54" l="1"/>
  <c r="AM55" s="1"/>
  <c r="AL57"/>
  <c r="AL58" s="1"/>
  <c r="AL59" s="1"/>
  <c r="AL61" s="1"/>
  <c r="AL66" s="1"/>
  <c r="AL67" s="1"/>
  <c r="AL27" s="1"/>
  <c r="AL28" s="1"/>
  <c r="AN5" i="4" s="1"/>
  <c r="AN11" s="1"/>
  <c r="AN19" s="1"/>
  <c r="AL64" i="3"/>
  <c r="AM21" i="4"/>
  <c r="AM24"/>
  <c r="AN24" l="1"/>
  <c r="AN21"/>
  <c r="AN54" i="3"/>
  <c r="AN55" s="1"/>
  <c r="AM57"/>
  <c r="AM58" s="1"/>
  <c r="AM59" s="1"/>
  <c r="AM61" s="1"/>
  <c r="AM66" s="1"/>
  <c r="AM67" s="1"/>
  <c r="AM27" s="1"/>
  <c r="AM28" s="1"/>
  <c r="AO5" i="4" s="1"/>
  <c r="AO11" s="1"/>
  <c r="AO19" s="1"/>
  <c r="AM64" i="3"/>
  <c r="AN57" l="1"/>
  <c r="AN58" s="1"/>
  <c r="AN59" s="1"/>
  <c r="AN61" s="1"/>
  <c r="AN66" s="1"/>
  <c r="AN67" s="1"/>
  <c r="AN27" s="1"/>
  <c r="AN28" s="1"/>
  <c r="AP5" i="4" s="1"/>
  <c r="AP11" s="1"/>
  <c r="AP19" s="1"/>
  <c r="AO54" i="3"/>
  <c r="AO55" s="1"/>
  <c r="AN64"/>
  <c r="AO21" i="4"/>
  <c r="AO24"/>
  <c r="AP21" l="1"/>
  <c r="AP24"/>
  <c r="AP54" i="3"/>
  <c r="AP55" s="1"/>
  <c r="AO57"/>
  <c r="AO58" s="1"/>
  <c r="AO59" s="1"/>
  <c r="AO61" s="1"/>
  <c r="AO66" s="1"/>
  <c r="AO67" s="1"/>
  <c r="AO27" s="1"/>
  <c r="AO28" s="1"/>
  <c r="AQ5" i="4" s="1"/>
  <c r="AQ11" s="1"/>
  <c r="AQ19" s="1"/>
  <c r="AO64" i="3"/>
  <c r="AP57" l="1"/>
  <c r="AP58" s="1"/>
  <c r="AP59" s="1"/>
  <c r="AP61" s="1"/>
  <c r="AP66" s="1"/>
  <c r="AP67" s="1"/>
  <c r="AP27" s="1"/>
  <c r="AP28" s="1"/>
  <c r="AR5" i="4" s="1"/>
  <c r="AR11" s="1"/>
  <c r="AR19" s="1"/>
  <c r="AQ54" i="3"/>
  <c r="AQ55" s="1"/>
  <c r="AP64"/>
  <c r="AQ21" i="4"/>
  <c r="AQ24"/>
  <c r="AR21" l="1"/>
  <c r="AR24"/>
  <c r="AQ57" i="3"/>
  <c r="AQ58" s="1"/>
  <c r="AQ59" s="1"/>
  <c r="AQ61" s="1"/>
  <c r="AQ66" s="1"/>
  <c r="AQ67" s="1"/>
  <c r="AQ27" s="1"/>
  <c r="AQ28" s="1"/>
  <c r="AS5" i="4" s="1"/>
  <c r="AS11" s="1"/>
  <c r="AS19" s="1"/>
  <c r="AQ64" i="3"/>
  <c r="AS24" i="4" l="1"/>
  <c r="C25" s="1"/>
  <c r="AS21"/>
  <c r="C116" i="1" l="1"/>
</calcChain>
</file>

<file path=xl/sharedStrings.xml><?xml version="1.0" encoding="utf-8"?>
<sst xmlns="http://schemas.openxmlformats.org/spreadsheetml/2006/main" count="231" uniqueCount="202">
  <si>
    <t>Own Source</t>
  </si>
  <si>
    <t xml:space="preserve">Income Tax </t>
  </si>
  <si>
    <t>Interest on Term Loan</t>
  </si>
  <si>
    <t>Loan Repayment Schedule</t>
  </si>
  <si>
    <t>Opening Balance</t>
  </si>
  <si>
    <t>Closing Balance</t>
  </si>
  <si>
    <t>O &amp; M Expenses</t>
  </si>
  <si>
    <t>Interest on Working Capital</t>
  </si>
  <si>
    <t>Term Loan</t>
  </si>
  <si>
    <t>Equity</t>
  </si>
  <si>
    <t>Cash Inflow</t>
  </si>
  <si>
    <t>Cash Out Flow</t>
  </si>
  <si>
    <t>Capital Expenses</t>
  </si>
  <si>
    <t>Loan Repayment</t>
  </si>
  <si>
    <t>Working Capital Requirement</t>
  </si>
  <si>
    <t>O &amp; M</t>
  </si>
  <si>
    <t>Margin Money</t>
  </si>
  <si>
    <t>Cummulative cash balance</t>
  </si>
  <si>
    <t>Working Capital Loan</t>
  </si>
  <si>
    <t>Increase/(decrease) in Current Assets</t>
  </si>
  <si>
    <t>Profit before Tax</t>
  </si>
  <si>
    <t>Profit After Tax</t>
  </si>
  <si>
    <t>Total Working Capital</t>
  </si>
  <si>
    <t>Carried Over Losses</t>
  </si>
  <si>
    <t>Minimum Alternate Tax</t>
  </si>
  <si>
    <t>Profit Before Tax (PBT)</t>
  </si>
  <si>
    <t>Total Tax Payable</t>
  </si>
  <si>
    <t>Means of Finance</t>
  </si>
  <si>
    <t>Project Cost</t>
  </si>
  <si>
    <t>Total Source</t>
  </si>
  <si>
    <t>Project Capacity in MW</t>
  </si>
  <si>
    <t>Projected Profit &amp; Loss Account</t>
  </si>
  <si>
    <t>Taxable Income from Energy Business</t>
  </si>
  <si>
    <t>Interest on Loan</t>
  </si>
  <si>
    <t>Book Depreciation</t>
  </si>
  <si>
    <t>Book Depreciation Added back</t>
  </si>
  <si>
    <t>Total Cash inflow                      (A)</t>
  </si>
  <si>
    <t>Total Cash outflow                    (B)</t>
  </si>
  <si>
    <t>Net Cash inflow                   (A) - (B)</t>
  </si>
  <si>
    <t xml:space="preserve">Total Expenses                       </t>
  </si>
  <si>
    <t>Tax Payable Max of MAT / Normal Tax</t>
  </si>
  <si>
    <t>Tariff</t>
  </si>
  <si>
    <t>Energy  Sale Revenue</t>
  </si>
  <si>
    <t>Rs Million</t>
  </si>
  <si>
    <t>Rs million</t>
  </si>
  <si>
    <t xml:space="preserve">Income Tax Calculation </t>
  </si>
  <si>
    <t xml:space="preserve">Taxable Income </t>
  </si>
  <si>
    <t>Quarterly   Repayment Assumed</t>
  </si>
  <si>
    <t>Repayment for 1st quarter</t>
  </si>
  <si>
    <t>Opening Balance 2nd quarter</t>
  </si>
  <si>
    <t>Repayment for 2nd quarter</t>
  </si>
  <si>
    <t>Opening Balance 3rd quarter</t>
  </si>
  <si>
    <t>Repayment for 3rd quarter</t>
  </si>
  <si>
    <t>Opening Balance 4th quarter</t>
  </si>
  <si>
    <t>Repayment for 4th quarter</t>
  </si>
  <si>
    <t>Hours of Operation</t>
  </si>
  <si>
    <t>`</t>
  </si>
  <si>
    <t>Total Revenues</t>
  </si>
  <si>
    <t>EXPENSES</t>
  </si>
  <si>
    <t>REVENUES</t>
  </si>
  <si>
    <t>Project Cost per MW (Rs. In Millions)</t>
  </si>
  <si>
    <t>Income Tax</t>
  </si>
  <si>
    <t>Year count</t>
  </si>
  <si>
    <t>* 100% Tax exemption in 10 consecutive years out first 15 years of operations</t>
  </si>
  <si>
    <t xml:space="preserve">                    Year Ending</t>
  </si>
  <si>
    <t>Income after adjusting carried over Loss</t>
  </si>
  <si>
    <t>Particulars Year Ending</t>
  </si>
  <si>
    <t>Receivables</t>
  </si>
  <si>
    <t>Income Tax rate</t>
  </si>
  <si>
    <t>Interest Rate</t>
  </si>
  <si>
    <t>Book Depreciation Rate (Straight Line Method basis)</t>
  </si>
  <si>
    <t>Year ending</t>
  </si>
  <si>
    <t>Capacity of unit in kW</t>
  </si>
  <si>
    <t xml:space="preserve">Number of Units </t>
  </si>
  <si>
    <t>Expected Project Commissioning Date</t>
  </si>
  <si>
    <t>Land</t>
  </si>
  <si>
    <t>IDC (Interest during construction)</t>
  </si>
  <si>
    <t>Total Capital Cost</t>
  </si>
  <si>
    <t>Annual O&amp;M cost at % of Capital Cost</t>
  </si>
  <si>
    <t>Annual Escalation on O&amp;M</t>
  </si>
  <si>
    <t>Designed Plant Load Factor</t>
  </si>
  <si>
    <t>INR Million</t>
  </si>
  <si>
    <t>Transmission Lines</t>
  </si>
  <si>
    <t>Other Fixed Assets</t>
  </si>
  <si>
    <t>Other fixed assets</t>
  </si>
  <si>
    <t>Civil works &amp; Plant equipment</t>
  </si>
  <si>
    <t>Book Depreciation up to (% of asset value)</t>
  </si>
  <si>
    <t xml:space="preserve">Maintenance spares </t>
  </si>
  <si>
    <t>Salvage value</t>
  </si>
  <si>
    <t>Others</t>
  </si>
  <si>
    <t>Financial &amp; Other Expenses</t>
  </si>
  <si>
    <t>LADC @ 1%</t>
  </si>
  <si>
    <t>Civil Works, Plant Equipment &amp; Others</t>
  </si>
  <si>
    <t>Equity IRR Calculation</t>
  </si>
  <si>
    <t>Net Equity Cash Flow</t>
  </si>
  <si>
    <t>Equity IRR</t>
  </si>
  <si>
    <t>Gross units generated at designed capacity (MU)@95% availability</t>
  </si>
  <si>
    <t>Free energy to Local area</t>
  </si>
  <si>
    <t>Net Energy after free energy to local area</t>
  </si>
  <si>
    <t>Water Royalty Charges for First 12 years</t>
  </si>
  <si>
    <t>Water Royalty Charges from 13th to 30th Year</t>
  </si>
  <si>
    <t>Water Royalty Charges from 31st Year</t>
  </si>
  <si>
    <t>Water Royalty</t>
  </si>
  <si>
    <t>CER Revenues</t>
  </si>
  <si>
    <t>Exchnage Rate (INR/EURO)</t>
  </si>
  <si>
    <t>Grid Emission Factor (NEWNE) Ton/GwH</t>
  </si>
  <si>
    <t>Senstivity</t>
  </si>
  <si>
    <t>PLF</t>
  </si>
  <si>
    <t>Gross Generation (MUs)</t>
  </si>
  <si>
    <t xml:space="preserve"> Net Generation (after losses) (MU)</t>
  </si>
  <si>
    <t>Net Generation (after losses and water royalty) (MU)</t>
  </si>
  <si>
    <t>Costs</t>
  </si>
  <si>
    <t>Working Capital</t>
  </si>
  <si>
    <t>Period in Days of O&amp;M Expenses</t>
  </si>
  <si>
    <t>Period in Days of Receivables Revenue</t>
  </si>
  <si>
    <t>Escalation on maintenance spares for Working Capital</t>
  </si>
  <si>
    <t>Margin Money as % of Working Capital</t>
  </si>
  <si>
    <t>Implementation Period Proposed in Years</t>
  </si>
  <si>
    <t>First Year</t>
  </si>
  <si>
    <t>Second Year</t>
  </si>
  <si>
    <t>Third Year</t>
  </si>
  <si>
    <t>Expenses</t>
  </si>
  <si>
    <t>Energy</t>
  </si>
  <si>
    <t>Units Generated</t>
  </si>
  <si>
    <t>Energy Unit Price</t>
  </si>
  <si>
    <t>Basic Selling Price</t>
  </si>
  <si>
    <t>Interest Rate on Working Capital</t>
  </si>
  <si>
    <t>Debt Equity Ratio</t>
  </si>
  <si>
    <t>With IDC</t>
  </si>
  <si>
    <t>Loan</t>
  </si>
  <si>
    <t>Input Data Sheet</t>
  </si>
  <si>
    <t>ALEO - II HEP 2 X 2400 KW</t>
  </si>
  <si>
    <t>Phasing of Expenditures</t>
  </si>
  <si>
    <t>Year</t>
  </si>
  <si>
    <t>Phasing</t>
  </si>
  <si>
    <t>Cost of Civil Work</t>
  </si>
  <si>
    <t>Escalation</t>
  </si>
  <si>
    <t>Projected Civil Cost</t>
  </si>
  <si>
    <t xml:space="preserve">Cost Excluding Civil Work </t>
  </si>
  <si>
    <t>Projected Cost</t>
  </si>
  <si>
    <t>TOTAL</t>
  </si>
  <si>
    <t>Calculation of Interest During Construction</t>
  </si>
  <si>
    <t>Interest Rate =</t>
  </si>
  <si>
    <t>Phasing of Loan (% of Projected Cost)</t>
  </si>
  <si>
    <t>Loan During The Year</t>
  </si>
  <si>
    <t>Interest During Const</t>
  </si>
  <si>
    <t>Debt with IDC and Equity</t>
  </si>
  <si>
    <t>First Year of Implementation ending</t>
  </si>
  <si>
    <t>Civil Works</t>
  </si>
  <si>
    <t>E&amp;M Works I/C Transmission works</t>
  </si>
  <si>
    <t>Capital cost schedule</t>
  </si>
  <si>
    <t>O&amp;M</t>
  </si>
  <si>
    <t>Interest rate on term loan</t>
  </si>
  <si>
    <t>Gross Income   (added book dep)</t>
  </si>
  <si>
    <t>IT depreciation</t>
  </si>
  <si>
    <t>Less: IT depreciation</t>
  </si>
  <si>
    <t>IT depreciation rate</t>
  </si>
  <si>
    <t>Depreciable project cost</t>
  </si>
  <si>
    <t>MAT Credit</t>
  </si>
  <si>
    <t>Available (for 10 years)</t>
  </si>
  <si>
    <t>Cost of Maintenance spares for Working Capital (% of capital cost)</t>
  </si>
  <si>
    <t>Preliminary &amp; Preoperative Expenses</t>
  </si>
  <si>
    <t>Diversion structure and intake</t>
  </si>
  <si>
    <t>Forebay</t>
  </si>
  <si>
    <t>Penstock, anchor and saddle blocks</t>
  </si>
  <si>
    <t>Power house building including turbine foundation etc</t>
  </si>
  <si>
    <t>Tail race and flood protection work</t>
  </si>
  <si>
    <t>Design &amp; Consultancy charges</t>
  </si>
  <si>
    <t>Power Plant</t>
  </si>
  <si>
    <t>Transmission and Distribution</t>
  </si>
  <si>
    <t>Buildings</t>
  </si>
  <si>
    <t>Plantation</t>
  </si>
  <si>
    <t>Miscellaneous</t>
  </si>
  <si>
    <t>Maintenance</t>
  </si>
  <si>
    <t>special T&amp;P</t>
  </si>
  <si>
    <t>Communication</t>
  </si>
  <si>
    <t>Losses to Stock @ 0.25% of C works</t>
  </si>
  <si>
    <t>Establishment charges</t>
  </si>
  <si>
    <t>Ordinary Tools &amp; Plants</t>
  </si>
  <si>
    <t>Indirect charges, audit &amp; accounts etc</t>
  </si>
  <si>
    <t>As per the Detailed Project Report Chapter 13, available at the time of investment decision</t>
  </si>
  <si>
    <t>As per the Techno Economic Clearance dated 09/06/2010, available at the time of investment decision</t>
  </si>
  <si>
    <t>Calculated value</t>
  </si>
  <si>
    <t>As per the letter from the principle secretary Govt. of HP to HPSEB regarding self identified stand alone hydro power project dated 17/11/2008. 
As per HIMURJA(http://himurja.nic.in/invguide.html, para 6 and 19), a 3% additional royalty is applicable if the capacity addition is more than 20%.</t>
  </si>
  <si>
    <t>Selling price from 31st year</t>
  </si>
  <si>
    <t>Selling price from 13th year</t>
  </si>
  <si>
    <t xml:space="preserve">http://www.scribd.com/doc/24559879/Depreciation-Rates-as-Per-Income-Tax-Act  </t>
  </si>
  <si>
    <t>CER Price (Euro)</t>
  </si>
  <si>
    <t xml:space="preserve">HPERC Commission's Order on Small Hydro Power Project Tariff and Other Issues dated December 18, 2007, applicable during investment decision (http://www.hperc.org/orders/shpp.doc) </t>
  </si>
  <si>
    <t xml:space="preserve">This is the equity contribution in working capital, taken in line with the 70:30 debt equity ratio; HPERC Commission's Order on Small Hydro Power Project Tariff and Other Issues dated December 18, 2007, applicable during investment decision (http://www.hperc.org/orders/shpp.doc) </t>
  </si>
  <si>
    <t>Assumed for calculation</t>
  </si>
  <si>
    <t xml:space="preserve">Income Tax Act for FY 2010-11 (http://www.caclubindia.com/forum/tax-rates-for-a-y-2011-12-74951.asp) </t>
  </si>
  <si>
    <t>Auxillary consumption &amp; Transformation losses</t>
  </si>
  <si>
    <t>As per the DPR Chapter 14 submitted to HIMURJA</t>
  </si>
  <si>
    <t>As per the DPR submitted to HIMURJA, available at the time of investment decision</t>
  </si>
  <si>
    <t>HPERC COMMISSION’S ORDER ON SMALL HYDRO POWER PROJECTS TARIFF AND OTHER ISSUES 10 February, 2010  available at http://www.hperc.org/orders/supshp.doc
**A supplementary tariff order with a few changes was published in February 2010. In this order, only the revised paragraphs were mentioned. For all other parameters/paragraphs, the previous tariff order dated December 2007 is to be referred.</t>
  </si>
  <si>
    <t>80 IA applicable</t>
  </si>
  <si>
    <t>Exempted income U/s 80 IA *</t>
  </si>
  <si>
    <t xml:space="preserve">MNRE Subsisdy (@ 45% of Project cost limited to Rs. 2.25 Crores + Rs. 37.50 Lacs per MW) </t>
  </si>
  <si>
    <t>Tenure (years)</t>
  </si>
  <si>
    <t>Moratorium (months)</t>
  </si>
  <si>
    <t xml:space="preserve">RBI PLR as on 25/06/2010, available at the time of decision making, 
http://www.rbi.org.in/scripts/WSSView.aspx?Id=14942  </t>
  </si>
</sst>
</file>

<file path=xl/styles.xml><?xml version="1.0" encoding="utf-8"?>
<styleSheet xmlns="http://schemas.openxmlformats.org/spreadsheetml/2006/main">
  <numFmts count="1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0.000"/>
    <numFmt numFmtId="167" formatCode="0.0000"/>
    <numFmt numFmtId="168" formatCode="0.0%"/>
    <numFmt numFmtId="169" formatCode="_(* #,##0_);_(* \(#,##0\);_(* &quot;-&quot;??_);_(@_)"/>
    <numFmt numFmtId="170" formatCode="_(* #,##0.000_);_(* \(#,##0.000\);_(* &quot;-&quot;??_);_(@_)"/>
    <numFmt numFmtId="171" formatCode="[$-409]d\-mmm\-yy;@"/>
    <numFmt numFmtId="172" formatCode="[$-409]mmm\-yy;@"/>
    <numFmt numFmtId="173" formatCode="[$-409]mmmm\-yy;@"/>
    <numFmt numFmtId="174" formatCode="0.00000000000000"/>
  </numFmts>
  <fonts count="19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i/>
      <sz val="10"/>
      <name val="Times New Roman"/>
      <family val="1"/>
    </font>
    <font>
      <b/>
      <i/>
      <sz val="10"/>
      <color indexed="8"/>
      <name val="Times New Roman"/>
      <family val="1"/>
    </font>
    <font>
      <b/>
      <i/>
      <sz val="10"/>
      <name val="Times New Roman"/>
      <family val="1"/>
    </font>
    <font>
      <sz val="11"/>
      <color theme="1"/>
      <name val="Calibri"/>
      <family val="2"/>
      <scheme val="minor"/>
    </font>
    <font>
      <u/>
      <sz val="9"/>
      <color theme="10"/>
      <name val="Arial"/>
      <family val="2"/>
    </font>
    <font>
      <b/>
      <sz val="10"/>
      <color theme="0"/>
      <name val="Times New Roman"/>
      <family val="1"/>
    </font>
    <font>
      <b/>
      <sz val="10"/>
      <color rgb="FF92D050"/>
      <name val="Times New Roman"/>
      <family val="1"/>
    </font>
    <font>
      <sz val="10"/>
      <color rgb="FF92D050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2" fillId="0" borderId="0"/>
    <xf numFmtId="0" fontId="1" fillId="0" borderId="0">
      <alignment textRotation="2"/>
    </xf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54">
    <xf numFmtId="0" fontId="0" fillId="0" borderId="0" xfId="0"/>
    <xf numFmtId="10" fontId="14" fillId="2" borderId="10" xfId="0" applyNumberFormat="1" applyFont="1" applyFill="1" applyBorder="1" applyAlignment="1">
      <alignment horizontal="center" vertical="center"/>
    </xf>
    <xf numFmtId="10" fontId="14" fillId="2" borderId="11" xfId="0" applyNumberFormat="1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0" xfId="0" applyFont="1"/>
    <xf numFmtId="169" fontId="14" fillId="2" borderId="13" xfId="9" applyNumberFormat="1" applyFont="1" applyFill="1" applyBorder="1" applyAlignment="1">
      <alignment horizontal="left" vertical="center"/>
    </xf>
    <xf numFmtId="0" fontId="14" fillId="2" borderId="14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43" fontId="5" fillId="0" borderId="1" xfId="1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15" fontId="5" fillId="0" borderId="1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5" fillId="0" borderId="0" xfId="0" applyFont="1" applyFill="1"/>
    <xf numFmtId="1" fontId="15" fillId="0" borderId="0" xfId="1" applyNumberFormat="1" applyFont="1" applyFill="1" applyBorder="1" applyAlignment="1">
      <alignment vertical="center"/>
    </xf>
    <xf numFmtId="2" fontId="15" fillId="0" borderId="0" xfId="1" applyNumberFormat="1" applyFont="1" applyFill="1" applyBorder="1" applyAlignment="1">
      <alignment vertical="center"/>
    </xf>
    <xf numFmtId="165" fontId="5" fillId="0" borderId="0" xfId="1" applyNumberFormat="1" applyFont="1" applyFill="1" applyBorder="1" applyAlignment="1">
      <alignment vertical="center"/>
    </xf>
    <xf numFmtId="2" fontId="5" fillId="0" borderId="0" xfId="0" applyNumberFormat="1" applyFont="1" applyFill="1" applyAlignment="1">
      <alignment vertical="center"/>
    </xf>
    <xf numFmtId="2" fontId="5" fillId="0" borderId="0" xfId="0" applyNumberFormat="1" applyFont="1" applyFill="1" applyBorder="1" applyAlignment="1">
      <alignment vertical="center"/>
    </xf>
    <xf numFmtId="0" fontId="7" fillId="0" borderId="12" xfId="0" applyFont="1" applyFill="1" applyBorder="1" applyAlignment="1">
      <alignment horizontal="left" vertical="center" indent="1"/>
    </xf>
    <xf numFmtId="10" fontId="15" fillId="0" borderId="0" xfId="0" applyNumberFormat="1" applyFont="1" applyFill="1" applyBorder="1" applyAlignment="1">
      <alignment vertical="center"/>
    </xf>
    <xf numFmtId="169" fontId="5" fillId="0" borderId="12" xfId="1" applyNumberFormat="1" applyFont="1" applyBorder="1"/>
    <xf numFmtId="2" fontId="15" fillId="0" borderId="0" xfId="0" applyNumberFormat="1" applyFont="1" applyBorder="1"/>
    <xf numFmtId="9" fontId="15" fillId="0" borderId="0" xfId="0" applyNumberFormat="1" applyFont="1" applyFill="1" applyBorder="1"/>
    <xf numFmtId="10" fontId="15" fillId="0" borderId="0" xfId="0" applyNumberFormat="1" applyFont="1" applyBorder="1"/>
    <xf numFmtId="0" fontId="5" fillId="0" borderId="12" xfId="0" applyFont="1" applyFill="1" applyBorder="1" applyAlignment="1">
      <alignment vertical="center"/>
    </xf>
    <xf numFmtId="10" fontId="5" fillId="0" borderId="0" xfId="0" applyNumberFormat="1" applyFont="1" applyFill="1" applyAlignment="1">
      <alignment vertical="center"/>
    </xf>
    <xf numFmtId="10" fontId="6" fillId="0" borderId="0" xfId="0" applyNumberFormat="1" applyFont="1" applyBorder="1"/>
    <xf numFmtId="9" fontId="5" fillId="0" borderId="0" xfId="0" applyNumberFormat="1" applyFont="1" applyFill="1" applyAlignment="1">
      <alignment vertical="center"/>
    </xf>
    <xf numFmtId="9" fontId="5" fillId="0" borderId="0" xfId="9" applyFont="1" applyFill="1" applyBorder="1" applyAlignment="1">
      <alignment vertical="center"/>
    </xf>
    <xf numFmtId="2" fontId="6" fillId="0" borderId="0" xfId="1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16" xfId="0" applyFont="1" applyBorder="1"/>
    <xf numFmtId="0" fontId="5" fillId="0" borderId="17" xfId="0" applyFont="1" applyBorder="1"/>
    <xf numFmtId="0" fontId="5" fillId="0" borderId="0" xfId="0" applyFont="1" applyBorder="1"/>
    <xf numFmtId="0" fontId="6" fillId="0" borderId="12" xfId="0" applyFont="1" applyBorder="1"/>
    <xf numFmtId="0" fontId="5" fillId="0" borderId="12" xfId="0" applyFont="1" applyBorder="1" applyAlignment="1">
      <alignment wrapText="1"/>
    </xf>
    <xf numFmtId="2" fontId="6" fillId="0" borderId="18" xfId="0" applyNumberFormat="1" applyFont="1" applyBorder="1"/>
    <xf numFmtId="0" fontId="5" fillId="0" borderId="0" xfId="0" applyFont="1" applyFill="1" applyBorder="1"/>
    <xf numFmtId="43" fontId="5" fillId="0" borderId="0" xfId="1" applyFont="1" applyFill="1" applyBorder="1"/>
    <xf numFmtId="3" fontId="5" fillId="0" borderId="0" xfId="0" applyNumberFormat="1" applyFont="1" applyFill="1" applyBorder="1"/>
    <xf numFmtId="10" fontId="5" fillId="0" borderId="0" xfId="9" applyNumberFormat="1" applyFont="1" applyFill="1" applyAlignment="1">
      <alignment vertical="center"/>
    </xf>
    <xf numFmtId="17" fontId="5" fillId="0" borderId="19" xfId="0" applyNumberFormat="1" applyFont="1" applyFill="1" applyBorder="1"/>
    <xf numFmtId="3" fontId="5" fillId="0" borderId="20" xfId="0" applyNumberFormat="1" applyFont="1" applyFill="1" applyBorder="1" applyAlignment="1">
      <alignment horizontal="center"/>
    </xf>
    <xf numFmtId="0" fontId="5" fillId="0" borderId="21" xfId="0" applyFont="1" applyFill="1" applyBorder="1"/>
    <xf numFmtId="4" fontId="5" fillId="0" borderId="20" xfId="1" applyNumberFormat="1" applyFont="1" applyFill="1" applyBorder="1"/>
    <xf numFmtId="0" fontId="5" fillId="0" borderId="22" xfId="0" applyFont="1" applyFill="1" applyBorder="1"/>
    <xf numFmtId="0" fontId="5" fillId="0" borderId="24" xfId="0" applyFont="1" applyFill="1" applyBorder="1"/>
    <xf numFmtId="0" fontId="5" fillId="0" borderId="2" xfId="0" applyFont="1" applyFill="1" applyBorder="1"/>
    <xf numFmtId="2" fontId="5" fillId="0" borderId="1" xfId="0" applyNumberFormat="1" applyFont="1" applyFill="1" applyBorder="1" applyAlignment="1">
      <alignment vertical="center"/>
    </xf>
    <xf numFmtId="4" fontId="5" fillId="0" borderId="25" xfId="1" applyNumberFormat="1" applyFont="1" applyFill="1" applyBorder="1"/>
    <xf numFmtId="0" fontId="5" fillId="0" borderId="4" xfId="0" applyFont="1" applyFill="1" applyBorder="1"/>
    <xf numFmtId="2" fontId="7" fillId="0" borderId="0" xfId="0" applyNumberFormat="1" applyFont="1" applyFill="1" applyBorder="1" applyAlignment="1">
      <alignment vertical="center"/>
    </xf>
    <xf numFmtId="0" fontId="7" fillId="0" borderId="22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left" vertical="center" indent="1"/>
    </xf>
    <xf numFmtId="2" fontId="7" fillId="0" borderId="20" xfId="0" applyNumberFormat="1" applyFont="1" applyFill="1" applyBorder="1" applyAlignment="1">
      <alignment vertical="center"/>
    </xf>
    <xf numFmtId="3" fontId="5" fillId="0" borderId="0" xfId="0" applyNumberFormat="1" applyFont="1" applyFill="1" applyAlignment="1">
      <alignment vertical="center"/>
    </xf>
    <xf numFmtId="1" fontId="7" fillId="0" borderId="23" xfId="0" applyNumberFormat="1" applyFont="1" applyFill="1" applyBorder="1" applyAlignment="1">
      <alignment vertical="center"/>
    </xf>
    <xf numFmtId="43" fontId="5" fillId="0" borderId="0" xfId="1" applyFont="1" applyFill="1" applyBorder="1" applyAlignment="1">
      <alignment horizontal="justify" vertical="center"/>
    </xf>
    <xf numFmtId="0" fontId="5" fillId="0" borderId="26" xfId="0" applyFont="1" applyFill="1" applyBorder="1" applyAlignment="1">
      <alignment horizontal="left" vertical="center" indent="1"/>
    </xf>
    <xf numFmtId="43" fontId="5" fillId="0" borderId="27" xfId="1" applyFont="1" applyFill="1" applyBorder="1" applyAlignment="1">
      <alignment vertical="center"/>
    </xf>
    <xf numFmtId="43" fontId="5" fillId="0" borderId="0" xfId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15" fontId="7" fillId="0" borderId="0" xfId="0" applyNumberFormat="1" applyFont="1" applyFill="1" applyBorder="1" applyAlignment="1">
      <alignment vertical="center"/>
    </xf>
    <xf numFmtId="169" fontId="5" fillId="0" borderId="0" xfId="1" applyNumberFormat="1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2" fontId="5" fillId="0" borderId="0" xfId="1" applyNumberFormat="1" applyFont="1" applyFill="1" applyBorder="1" applyAlignment="1">
      <alignment vertical="center"/>
    </xf>
    <xf numFmtId="0" fontId="5" fillId="0" borderId="28" xfId="0" applyFont="1" applyFill="1" applyBorder="1" applyAlignment="1">
      <alignment vertical="center"/>
    </xf>
    <xf numFmtId="0" fontId="6" fillId="0" borderId="0" xfId="0" applyFont="1" applyFill="1" applyBorder="1"/>
    <xf numFmtId="2" fontId="5" fillId="0" borderId="0" xfId="0" applyNumberFormat="1" applyFont="1" applyFill="1" applyBorder="1"/>
    <xf numFmtId="0" fontId="9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6" fillId="0" borderId="18" xfId="0" applyFont="1" applyBorder="1"/>
    <xf numFmtId="10" fontId="6" fillId="0" borderId="18" xfId="0" applyNumberFormat="1" applyFont="1" applyBorder="1"/>
    <xf numFmtId="1" fontId="6" fillId="0" borderId="18" xfId="1" applyNumberFormat="1" applyFont="1" applyFill="1" applyBorder="1" applyAlignment="1">
      <alignment vertical="center"/>
    </xf>
    <xf numFmtId="9" fontId="6" fillId="0" borderId="18" xfId="1" applyNumberFormat="1" applyFont="1" applyFill="1" applyBorder="1" applyAlignment="1">
      <alignment vertical="center"/>
    </xf>
    <xf numFmtId="0" fontId="7" fillId="0" borderId="28" xfId="0" applyFont="1" applyFill="1" applyBorder="1" applyAlignment="1">
      <alignment horizontal="left" vertical="center" indent="1"/>
    </xf>
    <xf numFmtId="9" fontId="6" fillId="0" borderId="0" xfId="1" applyNumberFormat="1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  <xf numFmtId="9" fontId="6" fillId="0" borderId="29" xfId="1" applyNumberFormat="1" applyFont="1" applyFill="1" applyBorder="1" applyAlignment="1">
      <alignment vertical="center"/>
    </xf>
    <xf numFmtId="169" fontId="6" fillId="0" borderId="0" xfId="1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1"/>
    </xf>
    <xf numFmtId="0" fontId="7" fillId="0" borderId="16" xfId="0" applyFont="1" applyFill="1" applyBorder="1" applyAlignment="1">
      <alignment horizontal="left" vertical="center" indent="1"/>
    </xf>
    <xf numFmtId="9" fontId="6" fillId="0" borderId="17" xfId="9" applyFont="1" applyFill="1" applyBorder="1" applyAlignment="1">
      <alignment vertical="center"/>
    </xf>
    <xf numFmtId="9" fontId="6" fillId="0" borderId="18" xfId="9" applyFont="1" applyFill="1" applyBorder="1" applyAlignment="1">
      <alignment vertical="center"/>
    </xf>
    <xf numFmtId="9" fontId="6" fillId="0" borderId="29" xfId="9" applyFont="1" applyFill="1" applyBorder="1" applyAlignment="1">
      <alignment vertical="center"/>
    </xf>
    <xf numFmtId="0" fontId="5" fillId="0" borderId="16" xfId="0" applyFont="1" applyBorder="1"/>
    <xf numFmtId="10" fontId="6" fillId="0" borderId="17" xfId="0" applyNumberFormat="1" applyFont="1" applyBorder="1"/>
    <xf numFmtId="1" fontId="6" fillId="0" borderId="17" xfId="1" applyNumberFormat="1" applyFont="1" applyFill="1" applyBorder="1" applyAlignment="1">
      <alignment vertical="center"/>
    </xf>
    <xf numFmtId="2" fontId="6" fillId="0" borderId="18" xfId="1" applyNumberFormat="1" applyFont="1" applyFill="1" applyBorder="1" applyAlignment="1">
      <alignment vertical="center"/>
    </xf>
    <xf numFmtId="0" fontId="5" fillId="0" borderId="12" xfId="0" applyFont="1" applyFill="1" applyBorder="1" applyAlignment="1">
      <alignment horizontal="left" vertical="center" indent="1"/>
    </xf>
    <xf numFmtId="10" fontId="6" fillId="0" borderId="18" xfId="0" applyNumberFormat="1" applyFont="1" applyFill="1" applyBorder="1" applyAlignment="1">
      <alignment vertical="center"/>
    </xf>
    <xf numFmtId="0" fontId="5" fillId="0" borderId="1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indent="1"/>
    </xf>
    <xf numFmtId="1" fontId="6" fillId="0" borderId="0" xfId="1" applyNumberFormat="1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5" fillId="0" borderId="28" xfId="0" applyFont="1" applyFill="1" applyBorder="1" applyAlignment="1">
      <alignment horizontal="left" vertical="center"/>
    </xf>
    <xf numFmtId="2" fontId="5" fillId="0" borderId="18" xfId="0" applyNumberFormat="1" applyFont="1" applyFill="1" applyBorder="1" applyAlignment="1">
      <alignment vertical="center"/>
    </xf>
    <xf numFmtId="10" fontId="6" fillId="0" borderId="29" xfId="0" applyNumberFormat="1" applyFont="1" applyBorder="1"/>
    <xf numFmtId="0" fontId="8" fillId="0" borderId="16" xfId="0" applyFont="1" applyFill="1" applyBorder="1" applyAlignment="1">
      <alignment horizontal="left" vertical="center" indent="1"/>
    </xf>
    <xf numFmtId="0" fontId="8" fillId="0" borderId="28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 indent="1"/>
    </xf>
    <xf numFmtId="2" fontId="6" fillId="0" borderId="31" xfId="1" applyNumberFormat="1" applyFont="1" applyFill="1" applyBorder="1" applyAlignment="1">
      <alignment vertical="center"/>
    </xf>
    <xf numFmtId="2" fontId="6" fillId="0" borderId="17" xfId="1" applyNumberFormat="1" applyFont="1" applyFill="1" applyBorder="1" applyAlignment="1">
      <alignment vertical="center"/>
    </xf>
    <xf numFmtId="2" fontId="6" fillId="0" borderId="29" xfId="1" applyNumberFormat="1" applyFont="1" applyFill="1" applyBorder="1" applyAlignment="1">
      <alignment vertical="center"/>
    </xf>
    <xf numFmtId="168" fontId="6" fillId="0" borderId="18" xfId="9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indent="2"/>
    </xf>
    <xf numFmtId="10" fontId="6" fillId="0" borderId="0" xfId="9" applyNumberFormat="1" applyFont="1" applyFill="1" applyBorder="1" applyAlignment="1">
      <alignment vertical="center"/>
    </xf>
    <xf numFmtId="0" fontId="7" fillId="0" borderId="12" xfId="0" applyFont="1" applyFill="1" applyBorder="1" applyAlignment="1">
      <alignment horizontal="left" vertical="center" indent="2"/>
    </xf>
    <xf numFmtId="0" fontId="5" fillId="0" borderId="16" xfId="0" applyFont="1" applyFill="1" applyBorder="1" applyAlignment="1">
      <alignment horizontal="left" vertical="center" wrapText="1" indent="1"/>
    </xf>
    <xf numFmtId="2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/>
    </xf>
    <xf numFmtId="10" fontId="6" fillId="0" borderId="0" xfId="0" applyNumberFormat="1" applyFont="1" applyAlignment="1">
      <alignment horizontal="center"/>
    </xf>
    <xf numFmtId="0" fontId="6" fillId="0" borderId="0" xfId="0" applyFont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10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/>
    <xf numFmtId="2" fontId="5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5" fillId="0" borderId="0" xfId="8" applyFont="1" applyBorder="1" applyAlignment="1">
      <alignment vertical="center"/>
    </xf>
    <xf numFmtId="2" fontId="6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/>
    </xf>
    <xf numFmtId="9" fontId="5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 vertical="center" wrapText="1"/>
    </xf>
    <xf numFmtId="173" fontId="5" fillId="0" borderId="19" xfId="0" applyNumberFormat="1" applyFont="1" applyFill="1" applyBorder="1"/>
    <xf numFmtId="17" fontId="6" fillId="0" borderId="27" xfId="1" applyNumberFormat="1" applyFont="1" applyFill="1" applyBorder="1" applyAlignment="1">
      <alignment vertical="center"/>
    </xf>
    <xf numFmtId="172" fontId="5" fillId="0" borderId="1" xfId="0" applyNumberFormat="1" applyFont="1" applyBorder="1" applyAlignment="1">
      <alignment horizontal="center"/>
    </xf>
    <xf numFmtId="167" fontId="5" fillId="0" borderId="1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right"/>
    </xf>
    <xf numFmtId="10" fontId="6" fillId="0" borderId="32" xfId="0" applyNumberFormat="1" applyFont="1" applyFill="1" applyBorder="1"/>
    <xf numFmtId="10" fontId="6" fillId="0" borderId="7" xfId="0" applyNumberFormat="1" applyFont="1" applyFill="1" applyBorder="1"/>
    <xf numFmtId="0" fontId="6" fillId="0" borderId="33" xfId="0" applyFont="1" applyBorder="1" applyAlignment="1">
      <alignment horizontal="center" vertical="center" wrapText="1"/>
    </xf>
    <xf numFmtId="2" fontId="6" fillId="0" borderId="33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24" xfId="0" applyFont="1" applyBorder="1"/>
    <xf numFmtId="2" fontId="5" fillId="0" borderId="34" xfId="0" applyNumberFormat="1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10" fontId="6" fillId="0" borderId="37" xfId="0" applyNumberFormat="1" applyFont="1" applyBorder="1" applyAlignment="1">
      <alignment horizontal="center"/>
    </xf>
    <xf numFmtId="2" fontId="6" fillId="0" borderId="37" xfId="0" applyNumberFormat="1" applyFont="1" applyBorder="1" applyAlignment="1">
      <alignment horizontal="center"/>
    </xf>
    <xf numFmtId="2" fontId="6" fillId="0" borderId="37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2" fontId="5" fillId="0" borderId="34" xfId="0" applyNumberFormat="1" applyFont="1" applyBorder="1"/>
    <xf numFmtId="0" fontId="5" fillId="0" borderId="28" xfId="0" applyFont="1" applyBorder="1"/>
    <xf numFmtId="0" fontId="5" fillId="0" borderId="38" xfId="0" applyFont="1" applyBorder="1"/>
    <xf numFmtId="2" fontId="5" fillId="0" borderId="37" xfId="0" applyNumberFormat="1" applyFont="1" applyBorder="1"/>
    <xf numFmtId="2" fontId="6" fillId="0" borderId="37" xfId="0" applyNumberFormat="1" applyFont="1" applyBorder="1"/>
    <xf numFmtId="0" fontId="5" fillId="0" borderId="27" xfId="0" applyFont="1" applyBorder="1"/>
    <xf numFmtId="0" fontId="5" fillId="0" borderId="0" xfId="0" applyFont="1" applyBorder="1" applyAlignment="1"/>
    <xf numFmtId="2" fontId="6" fillId="0" borderId="0" xfId="8" applyNumberFormat="1" applyFont="1" applyBorder="1" applyAlignment="1">
      <alignment horizontal="center" vertical="center"/>
    </xf>
    <xf numFmtId="0" fontId="5" fillId="0" borderId="5" xfId="0" applyFont="1" applyFill="1" applyBorder="1" applyAlignment="1"/>
    <xf numFmtId="0" fontId="5" fillId="0" borderId="6" xfId="0" applyFont="1" applyFill="1" applyBorder="1" applyAlignment="1"/>
    <xf numFmtId="164" fontId="5" fillId="0" borderId="0" xfId="0" applyNumberFormat="1" applyFont="1" applyFill="1"/>
    <xf numFmtId="43" fontId="5" fillId="0" borderId="0" xfId="0" applyNumberFormat="1" applyFont="1" applyFill="1" applyBorder="1"/>
    <xf numFmtId="17" fontId="5" fillId="0" borderId="0" xfId="0" applyNumberFormat="1" applyFont="1" applyFill="1"/>
    <xf numFmtId="0" fontId="6" fillId="0" borderId="1" xfId="0" applyFont="1" applyFill="1" applyBorder="1"/>
    <xf numFmtId="166" fontId="5" fillId="0" borderId="0" xfId="0" applyNumberFormat="1" applyFont="1" applyFill="1" applyBorder="1"/>
    <xf numFmtId="43" fontId="5" fillId="0" borderId="0" xfId="0" applyNumberFormat="1" applyFont="1" applyFill="1"/>
    <xf numFmtId="0" fontId="5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6" fillId="0" borderId="39" xfId="0" applyFont="1" applyFill="1" applyBorder="1"/>
    <xf numFmtId="17" fontId="5" fillId="0" borderId="39" xfId="0" applyNumberFormat="1" applyFont="1" applyFill="1" applyBorder="1" applyAlignment="1">
      <alignment horizontal="center"/>
    </xf>
    <xf numFmtId="17" fontId="5" fillId="0" borderId="8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left" indent="1"/>
    </xf>
    <xf numFmtId="169" fontId="5" fillId="0" borderId="8" xfId="1" applyNumberFormat="1" applyFont="1" applyFill="1" applyBorder="1"/>
    <xf numFmtId="170" fontId="5" fillId="0" borderId="8" xfId="1" applyNumberFormat="1" applyFont="1" applyFill="1" applyBorder="1"/>
    <xf numFmtId="9" fontId="5" fillId="0" borderId="8" xfId="1" applyNumberFormat="1" applyFont="1" applyFill="1" applyBorder="1"/>
    <xf numFmtId="43" fontId="5" fillId="0" borderId="4" xfId="1" applyFont="1" applyFill="1" applyBorder="1"/>
    <xf numFmtId="0" fontId="7" fillId="0" borderId="4" xfId="0" applyFont="1" applyFill="1" applyBorder="1" applyAlignment="1">
      <alignment horizontal="left" indent="1"/>
    </xf>
    <xf numFmtId="43" fontId="7" fillId="0" borderId="37" xfId="1" applyFont="1" applyFill="1" applyBorder="1"/>
    <xf numFmtId="0" fontId="8" fillId="0" borderId="4" xfId="0" applyFont="1" applyFill="1" applyBorder="1"/>
    <xf numFmtId="43" fontId="8" fillId="0" borderId="4" xfId="1" applyFont="1" applyFill="1" applyBorder="1"/>
    <xf numFmtId="10" fontId="5" fillId="0" borderId="0" xfId="0" applyNumberFormat="1" applyFont="1" applyFill="1"/>
    <xf numFmtId="0" fontId="7" fillId="0" borderId="4" xfId="0" applyFont="1" applyFill="1" applyBorder="1"/>
    <xf numFmtId="166" fontId="7" fillId="0" borderId="4" xfId="0" applyNumberFormat="1" applyFont="1" applyFill="1" applyBorder="1"/>
    <xf numFmtId="43" fontId="7" fillId="0" borderId="4" xfId="0" applyNumberFormat="1" applyFont="1" applyFill="1" applyBorder="1" applyAlignment="1">
      <alignment horizontal="left" indent="1"/>
    </xf>
    <xf numFmtId="43" fontId="7" fillId="0" borderId="4" xfId="1" applyFont="1" applyFill="1" applyBorder="1"/>
    <xf numFmtId="10" fontId="5" fillId="0" borderId="0" xfId="9" applyNumberFormat="1" applyFont="1" applyFill="1"/>
    <xf numFmtId="43" fontId="5" fillId="0" borderId="0" xfId="1" applyFont="1" applyFill="1"/>
    <xf numFmtId="0" fontId="8" fillId="0" borderId="37" xfId="0" applyFont="1" applyFill="1" applyBorder="1"/>
    <xf numFmtId="43" fontId="10" fillId="0" borderId="37" xfId="1" applyFont="1" applyFill="1" applyBorder="1"/>
    <xf numFmtId="43" fontId="10" fillId="0" borderId="37" xfId="1" applyNumberFormat="1" applyFont="1" applyFill="1" applyBorder="1"/>
    <xf numFmtId="0" fontId="5" fillId="0" borderId="40" xfId="0" applyFont="1" applyFill="1" applyBorder="1"/>
    <xf numFmtId="0" fontId="5" fillId="0" borderId="3" xfId="0" applyFont="1" applyFill="1" applyBorder="1"/>
    <xf numFmtId="10" fontId="5" fillId="0" borderId="3" xfId="9" applyNumberFormat="1" applyFont="1" applyFill="1" applyBorder="1"/>
    <xf numFmtId="0" fontId="5" fillId="0" borderId="9" xfId="0" applyFont="1" applyFill="1" applyBorder="1"/>
    <xf numFmtId="10" fontId="5" fillId="0" borderId="0" xfId="9" applyNumberFormat="1" applyFont="1" applyFill="1" applyBorder="1"/>
    <xf numFmtId="0" fontId="5" fillId="0" borderId="4" xfId="0" applyFont="1" applyFill="1" applyBorder="1" applyAlignment="1">
      <alignment horizontal="justify"/>
    </xf>
    <xf numFmtId="0" fontId="5" fillId="0" borderId="6" xfId="0" applyFont="1" applyFill="1" applyBorder="1"/>
    <xf numFmtId="2" fontId="5" fillId="0" borderId="0" xfId="0" applyNumberFormat="1" applyFont="1" applyFill="1"/>
    <xf numFmtId="0" fontId="5" fillId="0" borderId="37" xfId="0" applyFont="1" applyFill="1" applyBorder="1"/>
    <xf numFmtId="17" fontId="5" fillId="0" borderId="36" xfId="0" applyNumberFormat="1" applyFont="1" applyFill="1" applyBorder="1" applyAlignment="1">
      <alignment horizontal="center"/>
    </xf>
    <xf numFmtId="43" fontId="5" fillId="0" borderId="37" xfId="1" applyFont="1" applyFill="1" applyBorder="1"/>
    <xf numFmtId="0" fontId="6" fillId="0" borderId="0" xfId="0" applyFont="1" applyFill="1" applyBorder="1" applyAlignment="1">
      <alignment horizontal="center"/>
    </xf>
    <xf numFmtId="0" fontId="6" fillId="0" borderId="37" xfId="0" applyFont="1" applyFill="1" applyBorder="1"/>
    <xf numFmtId="17" fontId="6" fillId="0" borderId="36" xfId="0" applyNumberFormat="1" applyFont="1" applyFill="1" applyBorder="1" applyAlignment="1">
      <alignment horizontal="center"/>
    </xf>
    <xf numFmtId="0" fontId="6" fillId="0" borderId="4" xfId="0" applyFont="1" applyFill="1" applyBorder="1"/>
    <xf numFmtId="43" fontId="6" fillId="0" borderId="5" xfId="1" applyFont="1" applyFill="1" applyBorder="1"/>
    <xf numFmtId="43" fontId="6" fillId="0" borderId="4" xfId="1" applyFont="1" applyFill="1" applyBorder="1"/>
    <xf numFmtId="0" fontId="5" fillId="0" borderId="4" xfId="0" applyFont="1" applyFill="1" applyBorder="1" applyAlignment="1">
      <alignment horizontal="justify" vertical="top"/>
    </xf>
    <xf numFmtId="43" fontId="5" fillId="0" borderId="4" xfId="1" applyFont="1" applyFill="1" applyBorder="1" applyAlignment="1">
      <alignment vertical="top"/>
    </xf>
    <xf numFmtId="43" fontId="5" fillId="0" borderId="5" xfId="1" applyFont="1" applyFill="1" applyBorder="1"/>
    <xf numFmtId="0" fontId="11" fillId="0" borderId="39" xfId="0" applyFont="1" applyFill="1" applyBorder="1"/>
    <xf numFmtId="43" fontId="11" fillId="0" borderId="39" xfId="1" applyFont="1" applyFill="1" applyBorder="1"/>
    <xf numFmtId="2" fontId="9" fillId="0" borderId="0" xfId="0" applyNumberFormat="1" applyFont="1" applyFill="1" applyBorder="1"/>
    <xf numFmtId="43" fontId="9" fillId="0" borderId="0" xfId="1" applyFont="1" applyFill="1" applyBorder="1"/>
    <xf numFmtId="17" fontId="5" fillId="0" borderId="1" xfId="0" applyNumberFormat="1" applyFont="1" applyFill="1" applyBorder="1"/>
    <xf numFmtId="0" fontId="5" fillId="0" borderId="1" xfId="0" applyFont="1" applyFill="1" applyBorder="1"/>
    <xf numFmtId="0" fontId="5" fillId="0" borderId="39" xfId="0" applyFont="1" applyFill="1" applyBorder="1"/>
    <xf numFmtId="2" fontId="6" fillId="0" borderId="23" xfId="0" applyNumberFormat="1" applyFont="1" applyFill="1" applyBorder="1" applyAlignment="1">
      <alignment vertical="center"/>
    </xf>
    <xf numFmtId="10" fontId="6" fillId="0" borderId="18" xfId="9" applyNumberFormat="1" applyFont="1" applyFill="1" applyBorder="1" applyAlignment="1">
      <alignment vertical="center"/>
    </xf>
    <xf numFmtId="10" fontId="6" fillId="0" borderId="17" xfId="0" applyNumberFormat="1" applyFont="1" applyFill="1" applyBorder="1" applyAlignment="1">
      <alignment vertical="center"/>
    </xf>
    <xf numFmtId="10" fontId="8" fillId="0" borderId="29" xfId="0" applyNumberFormat="1" applyFont="1" applyFill="1" applyBorder="1" applyAlignment="1">
      <alignment vertical="center"/>
    </xf>
    <xf numFmtId="2" fontId="6" fillId="0" borderId="0" xfId="0" applyNumberFormat="1" applyFont="1" applyFill="1" applyBorder="1"/>
    <xf numFmtId="14" fontId="6" fillId="0" borderId="0" xfId="0" applyNumberFormat="1" applyFont="1" applyFill="1" applyBorder="1"/>
    <xf numFmtId="9" fontId="5" fillId="0" borderId="0" xfId="9" applyFont="1" applyFill="1"/>
    <xf numFmtId="17" fontId="6" fillId="0" borderId="1" xfId="0" applyNumberFormat="1" applyFont="1" applyFill="1" applyBorder="1" applyAlignment="1">
      <alignment horizontal="center"/>
    </xf>
    <xf numFmtId="0" fontId="9" fillId="0" borderId="4" xfId="0" applyFont="1" applyFill="1" applyBorder="1"/>
    <xf numFmtId="172" fontId="5" fillId="0" borderId="0" xfId="0" applyNumberFormat="1" applyFont="1"/>
    <xf numFmtId="0" fontId="9" fillId="0" borderId="4" xfId="0" applyFont="1" applyFill="1" applyBorder="1" applyAlignment="1">
      <alignment horizontal="left" indent="1"/>
    </xf>
    <xf numFmtId="43" fontId="9" fillId="0" borderId="4" xfId="1" applyFont="1" applyFill="1" applyBorder="1"/>
    <xf numFmtId="0" fontId="6" fillId="0" borderId="5" xfId="0" applyFont="1" applyFill="1" applyBorder="1"/>
    <xf numFmtId="43" fontId="5" fillId="0" borderId="39" xfId="1" applyFont="1" applyFill="1" applyBorder="1"/>
    <xf numFmtId="169" fontId="6" fillId="0" borderId="20" xfId="1" applyNumberFormat="1" applyFont="1" applyFill="1" applyBorder="1" applyAlignment="1">
      <alignment vertical="center"/>
    </xf>
    <xf numFmtId="171" fontId="6" fillId="0" borderId="18" xfId="0" applyNumberFormat="1" applyFont="1" applyFill="1" applyBorder="1" applyAlignment="1">
      <alignment vertical="center"/>
    </xf>
    <xf numFmtId="165" fontId="6" fillId="0" borderId="18" xfId="1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43" fontId="5" fillId="0" borderId="1" xfId="1" applyFont="1" applyFill="1" applyBorder="1"/>
    <xf numFmtId="2" fontId="7" fillId="0" borderId="4" xfId="1" applyNumberFormat="1" applyFont="1" applyFill="1" applyBorder="1"/>
    <xf numFmtId="0" fontId="5" fillId="0" borderId="0" xfId="0" applyFont="1" applyFill="1" applyBorder="1" applyAlignment="1">
      <alignment horizontal="right"/>
    </xf>
    <xf numFmtId="43" fontId="16" fillId="0" borderId="0" xfId="1" applyFont="1" applyFill="1" applyBorder="1" applyAlignment="1">
      <alignment vertical="center"/>
    </xf>
    <xf numFmtId="0" fontId="17" fillId="0" borderId="0" xfId="0" applyFont="1" applyFill="1" applyBorder="1" applyAlignment="1">
      <alignment vertical="top" wrapText="1"/>
    </xf>
    <xf numFmtId="10" fontId="15" fillId="0" borderId="0" xfId="0" applyNumberFormat="1" applyFont="1" applyFill="1" applyBorder="1"/>
    <xf numFmtId="10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66" fontId="6" fillId="0" borderId="18" xfId="0" applyNumberFormat="1" applyFont="1" applyBorder="1"/>
    <xf numFmtId="10" fontId="6" fillId="0" borderId="41" xfId="0" applyNumberFormat="1" applyFont="1" applyFill="1" applyBorder="1" applyAlignment="1">
      <alignment vertical="center"/>
    </xf>
    <xf numFmtId="10" fontId="6" fillId="0" borderId="42" xfId="0" applyNumberFormat="1" applyFont="1" applyFill="1" applyBorder="1" applyAlignment="1">
      <alignment vertical="center"/>
    </xf>
    <xf numFmtId="9" fontId="6" fillId="0" borderId="43" xfId="0" applyNumberFormat="1" applyFont="1" applyFill="1" applyBorder="1" applyAlignment="1">
      <alignment vertical="center"/>
    </xf>
    <xf numFmtId="167" fontId="5" fillId="0" borderId="0" xfId="0" applyNumberFormat="1" applyFont="1" applyFill="1" applyBorder="1"/>
    <xf numFmtId="0" fontId="5" fillId="0" borderId="0" xfId="0" applyFont="1" applyFill="1" applyAlignment="1">
      <alignment wrapText="1"/>
    </xf>
    <xf numFmtId="172" fontId="5" fillId="0" borderId="37" xfId="0" applyNumberFormat="1" applyFont="1" applyFill="1" applyBorder="1" applyAlignment="1">
      <alignment wrapText="1"/>
    </xf>
    <xf numFmtId="17" fontId="5" fillId="0" borderId="37" xfId="0" applyNumberFormat="1" applyFont="1" applyFill="1" applyBorder="1" applyAlignment="1">
      <alignment horizontal="center" wrapText="1"/>
    </xf>
    <xf numFmtId="0" fontId="6" fillId="0" borderId="4" xfId="0" applyFont="1" applyFill="1" applyBorder="1" applyAlignment="1">
      <alignment wrapText="1"/>
    </xf>
    <xf numFmtId="43" fontId="6" fillId="0" borderId="4" xfId="1" applyFont="1" applyFill="1" applyBorder="1" applyAlignment="1">
      <alignment wrapText="1"/>
    </xf>
    <xf numFmtId="43" fontId="5" fillId="0" borderId="4" xfId="1" applyFont="1" applyFill="1" applyBorder="1" applyAlignment="1">
      <alignment wrapText="1"/>
    </xf>
    <xf numFmtId="2" fontId="7" fillId="0" borderId="4" xfId="0" applyNumberFormat="1" applyFont="1" applyFill="1" applyBorder="1" applyAlignment="1">
      <alignment horizontal="left" wrapText="1"/>
    </xf>
    <xf numFmtId="43" fontId="7" fillId="0" borderId="8" xfId="1" applyFont="1" applyFill="1" applyBorder="1" applyAlignment="1">
      <alignment wrapText="1"/>
    </xf>
    <xf numFmtId="0" fontId="7" fillId="0" borderId="4" xfId="0" applyFont="1" applyFill="1" applyBorder="1" applyAlignment="1">
      <alignment horizontal="left" wrapText="1"/>
    </xf>
    <xf numFmtId="43" fontId="7" fillId="0" borderId="4" xfId="1" applyFont="1" applyFill="1" applyBorder="1" applyAlignment="1">
      <alignment wrapText="1"/>
    </xf>
    <xf numFmtId="43" fontId="8" fillId="0" borderId="4" xfId="1" applyFont="1" applyFill="1" applyBorder="1" applyAlignment="1">
      <alignment wrapText="1"/>
    </xf>
    <xf numFmtId="0" fontId="8" fillId="0" borderId="4" xfId="0" applyFont="1" applyFill="1" applyBorder="1" applyAlignment="1">
      <alignment wrapText="1"/>
    </xf>
    <xf numFmtId="43" fontId="7" fillId="0" borderId="4" xfId="0" applyNumberFormat="1" applyFont="1" applyFill="1" applyBorder="1" applyAlignment="1">
      <alignment horizontal="left" wrapText="1"/>
    </xf>
    <xf numFmtId="43" fontId="8" fillId="0" borderId="8" xfId="1" applyFont="1" applyFill="1" applyBorder="1" applyAlignment="1">
      <alignment wrapText="1"/>
    </xf>
    <xf numFmtId="0" fontId="7" fillId="0" borderId="4" xfId="0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4" xfId="0" applyFont="1" applyFill="1" applyBorder="1" applyAlignment="1">
      <alignment wrapText="1"/>
    </xf>
    <xf numFmtId="168" fontId="5" fillId="0" borderId="4" xfId="9" applyNumberFormat="1" applyFont="1" applyFill="1" applyBorder="1" applyAlignment="1">
      <alignment wrapText="1"/>
    </xf>
    <xf numFmtId="168" fontId="5" fillId="0" borderId="4" xfId="0" applyNumberFormat="1" applyFont="1" applyFill="1" applyBorder="1" applyAlignment="1">
      <alignment wrapText="1"/>
    </xf>
    <xf numFmtId="43" fontId="5" fillId="0" borderId="7" xfId="0" applyNumberFormat="1" applyFont="1" applyBorder="1" applyAlignment="1">
      <alignment wrapText="1"/>
    </xf>
    <xf numFmtId="43" fontId="5" fillId="0" borderId="4" xfId="0" applyNumberFormat="1" applyFont="1" applyBorder="1" applyAlignment="1">
      <alignment wrapText="1"/>
    </xf>
    <xf numFmtId="10" fontId="10" fillId="0" borderId="44" xfId="0" applyNumberFormat="1" applyFont="1" applyFill="1" applyBorder="1" applyAlignment="1">
      <alignment wrapText="1"/>
    </xf>
    <xf numFmtId="0" fontId="5" fillId="0" borderId="44" xfId="0" applyFont="1" applyFill="1" applyBorder="1" applyAlignment="1">
      <alignment wrapText="1"/>
    </xf>
    <xf numFmtId="0" fontId="5" fillId="0" borderId="44" xfId="0" applyFont="1" applyBorder="1" applyAlignment="1">
      <alignment wrapText="1"/>
    </xf>
    <xf numFmtId="0" fontId="5" fillId="0" borderId="45" xfId="0" applyFont="1" applyFill="1" applyBorder="1" applyAlignment="1">
      <alignment wrapText="1"/>
    </xf>
    <xf numFmtId="10" fontId="5" fillId="0" borderId="0" xfId="9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5" fillId="0" borderId="0" xfId="0" applyNumberFormat="1" applyFont="1" applyFill="1" applyAlignment="1">
      <alignment wrapText="1"/>
    </xf>
    <xf numFmtId="2" fontId="5" fillId="0" borderId="0" xfId="0" applyNumberFormat="1" applyFont="1" applyFill="1" applyAlignment="1">
      <alignment wrapText="1"/>
    </xf>
    <xf numFmtId="168" fontId="5" fillId="0" borderId="0" xfId="0" applyNumberFormat="1" applyFont="1" applyFill="1" applyAlignment="1">
      <alignment wrapText="1"/>
    </xf>
    <xf numFmtId="9" fontId="5" fillId="0" borderId="0" xfId="0" applyNumberFormat="1" applyFont="1" applyFill="1" applyAlignment="1">
      <alignment wrapText="1"/>
    </xf>
    <xf numFmtId="0" fontId="5" fillId="0" borderId="46" xfId="0" applyFont="1" applyFill="1" applyBorder="1" applyAlignment="1">
      <alignment wrapText="1"/>
    </xf>
    <xf numFmtId="0" fontId="6" fillId="0" borderId="7" xfId="0" applyFont="1" applyFill="1" applyBorder="1" applyAlignment="1">
      <alignment wrapText="1"/>
    </xf>
    <xf numFmtId="0" fontId="7" fillId="0" borderId="7" xfId="0" applyFont="1" applyFill="1" applyBorder="1" applyAlignment="1">
      <alignment horizontal="left" wrapText="1"/>
    </xf>
    <xf numFmtId="0" fontId="8" fillId="0" borderId="7" xfId="0" applyFont="1" applyFill="1" applyBorder="1" applyAlignment="1">
      <alignment horizontal="left" wrapText="1"/>
    </xf>
    <xf numFmtId="0" fontId="8" fillId="0" borderId="7" xfId="0" applyFont="1" applyFill="1" applyBorder="1" applyAlignment="1">
      <alignment wrapText="1"/>
    </xf>
    <xf numFmtId="0" fontId="7" fillId="0" borderId="7" xfId="0" applyFont="1" applyFill="1" applyBorder="1" applyAlignment="1">
      <alignment wrapText="1"/>
    </xf>
    <xf numFmtId="15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3" borderId="16" xfId="0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7" fillId="3" borderId="12" xfId="0" applyFont="1" applyFill="1" applyBorder="1" applyAlignment="1">
      <alignment horizontal="left" vertical="center"/>
    </xf>
    <xf numFmtId="9" fontId="5" fillId="3" borderId="23" xfId="9" applyFont="1" applyFill="1" applyBorder="1" applyAlignment="1">
      <alignment vertical="center"/>
    </xf>
    <xf numFmtId="0" fontId="5" fillId="3" borderId="12" xfId="0" applyFont="1" applyFill="1" applyBorder="1" applyAlignment="1">
      <alignment vertical="center"/>
    </xf>
    <xf numFmtId="0" fontId="5" fillId="3" borderId="28" xfId="0" applyFont="1" applyFill="1" applyBorder="1" applyAlignment="1">
      <alignment vertical="center"/>
    </xf>
    <xf numFmtId="9" fontId="5" fillId="3" borderId="27" xfId="9" applyFont="1" applyFill="1" applyBorder="1" applyAlignment="1">
      <alignment vertical="center"/>
    </xf>
    <xf numFmtId="166" fontId="6" fillId="0" borderId="37" xfId="0" applyNumberFormat="1" applyFont="1" applyBorder="1" applyAlignment="1">
      <alignment horizontal="center" vertical="center" wrapText="1"/>
    </xf>
    <xf numFmtId="17" fontId="6" fillId="0" borderId="0" xfId="0" applyNumberFormat="1" applyFont="1" applyBorder="1" applyAlignment="1">
      <alignment horizontal="center" vertical="center" wrapText="1"/>
    </xf>
    <xf numFmtId="10" fontId="5" fillId="0" borderId="0" xfId="9" applyNumberFormat="1" applyFont="1" applyFill="1" applyBorder="1" applyAlignment="1">
      <alignment vertical="center"/>
    </xf>
    <xf numFmtId="10" fontId="6" fillId="0" borderId="18" xfId="0" applyNumberFormat="1" applyFont="1" applyFill="1" applyBorder="1"/>
    <xf numFmtId="10" fontId="6" fillId="0" borderId="29" xfId="0" applyNumberFormat="1" applyFont="1" applyFill="1" applyBorder="1"/>
    <xf numFmtId="166" fontId="5" fillId="0" borderId="0" xfId="0" applyNumberFormat="1" applyFont="1" applyFill="1" applyBorder="1" applyAlignment="1">
      <alignment vertical="center"/>
    </xf>
    <xf numFmtId="169" fontId="18" fillId="0" borderId="0" xfId="9" applyNumberFormat="1" applyFont="1" applyFill="1" applyBorder="1" applyAlignment="1">
      <alignment horizontal="center" vertical="center"/>
    </xf>
    <xf numFmtId="9" fontId="6" fillId="4" borderId="17" xfId="9" applyFont="1" applyFill="1" applyBorder="1" applyAlignment="1">
      <alignment vertical="center"/>
    </xf>
    <xf numFmtId="0" fontId="5" fillId="4" borderId="0" xfId="0" applyFont="1" applyFill="1"/>
    <xf numFmtId="0" fontId="5" fillId="4" borderId="0" xfId="0" applyFont="1" applyFill="1" applyAlignment="1">
      <alignment vertical="center"/>
    </xf>
    <xf numFmtId="0" fontId="7" fillId="4" borderId="21" xfId="0" applyFont="1" applyFill="1" applyBorder="1" applyAlignment="1">
      <alignment horizontal="left" vertical="center"/>
    </xf>
    <xf numFmtId="0" fontId="7" fillId="4" borderId="22" xfId="0" applyFont="1" applyFill="1" applyBorder="1" applyAlignment="1">
      <alignment horizontal="left" vertical="center" indent="1"/>
    </xf>
    <xf numFmtId="9" fontId="5" fillId="0" borderId="0" xfId="1" applyNumberFormat="1" applyFont="1" applyFill="1" applyBorder="1"/>
    <xf numFmtId="43" fontId="1" fillId="0" borderId="4" xfId="1" applyFont="1" applyFill="1" applyBorder="1" applyAlignment="1">
      <alignment vertical="top"/>
    </xf>
    <xf numFmtId="0" fontId="6" fillId="0" borderId="1" xfId="0" applyFont="1" applyFill="1" applyBorder="1" applyAlignment="1">
      <alignment horizontal="right"/>
    </xf>
    <xf numFmtId="165" fontId="5" fillId="0" borderId="1" xfId="0" applyNumberFormat="1" applyFont="1" applyFill="1" applyBorder="1"/>
    <xf numFmtId="43" fontId="1" fillId="0" borderId="1" xfId="1" applyFont="1" applyFill="1" applyBorder="1"/>
    <xf numFmtId="174" fontId="5" fillId="0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top"/>
    </xf>
    <xf numFmtId="2" fontId="5" fillId="0" borderId="0" xfId="9" applyNumberFormat="1" applyFont="1" applyFill="1" applyBorder="1" applyAlignment="1">
      <alignment vertical="center"/>
    </xf>
    <xf numFmtId="166" fontId="5" fillId="0" borderId="0" xfId="0" applyNumberFormat="1" applyFont="1" applyFill="1" applyAlignment="1">
      <alignment vertical="center"/>
    </xf>
    <xf numFmtId="0" fontId="5" fillId="0" borderId="18" xfId="0" applyFont="1" applyBorder="1"/>
    <xf numFmtId="0" fontId="5" fillId="0" borderId="12" xfId="0" applyFont="1" applyBorder="1" applyAlignment="1">
      <alignment horizontal="right"/>
    </xf>
    <xf numFmtId="166" fontId="5" fillId="0" borderId="18" xfId="0" applyNumberFormat="1" applyFont="1" applyBorder="1"/>
    <xf numFmtId="0" fontId="5" fillId="4" borderId="0" xfId="0" applyFont="1" applyFill="1" applyBorder="1" applyAlignment="1">
      <alignment vertical="center" wrapText="1"/>
    </xf>
    <xf numFmtId="10" fontId="5" fillId="0" borderId="0" xfId="0" applyNumberFormat="1" applyFont="1" applyBorder="1"/>
    <xf numFmtId="2" fontId="6" fillId="0" borderId="47" xfId="1" applyNumberFormat="1" applyFont="1" applyFill="1" applyBorder="1" applyAlignment="1">
      <alignment vertical="center"/>
    </xf>
    <xf numFmtId="9" fontId="6" fillId="0" borderId="18" xfId="9" applyNumberFormat="1" applyFont="1" applyBorder="1"/>
    <xf numFmtId="43" fontId="13" fillId="0" borderId="0" xfId="5" applyNumberFormat="1" applyFill="1" applyBorder="1" applyAlignment="1" applyProtection="1"/>
    <xf numFmtId="166" fontId="6" fillId="0" borderId="18" xfId="0" applyNumberFormat="1" applyFont="1" applyFill="1" applyBorder="1" applyAlignment="1">
      <alignment vertical="center"/>
    </xf>
    <xf numFmtId="10" fontId="5" fillId="0" borderId="0" xfId="0" applyNumberFormat="1" applyFont="1" applyFill="1" applyAlignment="1">
      <alignment wrapText="1"/>
    </xf>
    <xf numFmtId="43" fontId="1" fillId="0" borderId="4" xfId="1" applyFont="1" applyFill="1" applyBorder="1" applyAlignment="1">
      <alignment horizontal="center" vertical="top"/>
    </xf>
    <xf numFmtId="1" fontId="5" fillId="0" borderId="0" xfId="0" applyNumberFormat="1" applyFont="1" applyFill="1" applyAlignment="1">
      <alignment vertical="center"/>
    </xf>
    <xf numFmtId="0" fontId="6" fillId="0" borderId="29" xfId="9" applyNumberFormat="1" applyFont="1" applyFill="1" applyBorder="1" applyAlignment="1">
      <alignment vertical="center"/>
    </xf>
    <xf numFmtId="0" fontId="7" fillId="0" borderId="28" xfId="0" applyFont="1" applyFill="1" applyBorder="1" applyAlignment="1">
      <alignment horizontal="left" vertical="center" indent="2"/>
    </xf>
    <xf numFmtId="10" fontId="6" fillId="0" borderId="29" xfId="9" applyNumberFormat="1" applyFont="1" applyFill="1" applyBorder="1" applyAlignment="1">
      <alignment vertical="center"/>
    </xf>
    <xf numFmtId="10" fontId="6" fillId="0" borderId="18" xfId="0" applyNumberFormat="1" applyFont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48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2" fontId="5" fillId="0" borderId="12" xfId="1" applyNumberFormat="1" applyFont="1" applyFill="1" applyBorder="1" applyAlignment="1">
      <alignment horizontal="left" vertical="center" wrapText="1"/>
    </xf>
    <xf numFmtId="0" fontId="6" fillId="0" borderId="30" xfId="0" applyFont="1" applyFill="1" applyBorder="1" applyAlignment="1">
      <alignment horizontal="center"/>
    </xf>
    <xf numFmtId="0" fontId="6" fillId="0" borderId="51" xfId="0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14">
    <cellStyle name="Comma" xfId="1" builtinId="3"/>
    <cellStyle name="Comma 2" xfId="2"/>
    <cellStyle name="Comma 3" xfId="3"/>
    <cellStyle name="Currency 2" xfId="4"/>
    <cellStyle name="Hyperlink" xfId="5" builtinId="8"/>
    <cellStyle name="Normal" xfId="0" builtinId="0"/>
    <cellStyle name="Normal 2" xfId="6"/>
    <cellStyle name="Normal 3" xfId="7"/>
    <cellStyle name="Normal_DPRCOR~2" xfId="8"/>
    <cellStyle name="Percent" xfId="9" builtinId="5"/>
    <cellStyle name="Percent 2" xfId="10"/>
    <cellStyle name="Percent 3" xfId="11"/>
    <cellStyle name="Percent 4" xfId="12"/>
    <cellStyle name="Percent 5" xfId="13"/>
  </cellStyles>
  <dxfs count="1"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cribd.com/doc/24559879/Depreciation-Rates-as-Per-Income-Tax-Act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38"/>
  <sheetViews>
    <sheetView tabSelected="1" zoomScale="90" zoomScaleNormal="90" workbookViewId="0">
      <selection activeCell="D9" sqref="D9:D35"/>
    </sheetView>
  </sheetViews>
  <sheetFormatPr defaultRowHeight="12.75"/>
  <cols>
    <col min="1" max="1" width="9.140625" style="7"/>
    <col min="2" max="2" width="63.140625" style="7" bestFit="1" customWidth="1"/>
    <col min="3" max="3" width="12.5703125" style="7" customWidth="1"/>
    <col min="4" max="4" width="56.5703125" style="7" customWidth="1"/>
    <col min="5" max="6" width="10.7109375" style="7" customWidth="1"/>
    <col min="7" max="7" width="9.5703125" style="7" customWidth="1"/>
    <col min="8" max="8" width="10.140625" style="7" customWidth="1"/>
    <col min="9" max="9" width="10.7109375" style="7" customWidth="1"/>
    <col min="10" max="13" width="10.7109375" style="7" hidden="1" customWidth="1"/>
    <col min="14" max="30" width="0" style="7" hidden="1" customWidth="1"/>
    <col min="31" max="16384" width="9.140625" style="7"/>
  </cols>
  <sheetData>
    <row r="1" spans="2:30" ht="14.1" customHeight="1">
      <c r="J1" s="8"/>
      <c r="K1" s="9">
        <f t="shared" ref="K1:AD1" si="0">INT(AND(MAX(K2-$C$67,0)&gt;0,MAX(K2-$C$67,0)&lt;=365)*1)</f>
        <v>0</v>
      </c>
      <c r="L1" s="9">
        <f t="shared" si="0"/>
        <v>0</v>
      </c>
      <c r="M1" s="9">
        <f t="shared" si="0"/>
        <v>0</v>
      </c>
      <c r="N1" s="9">
        <f t="shared" si="0"/>
        <v>0</v>
      </c>
      <c r="O1" s="9">
        <f t="shared" si="0"/>
        <v>0</v>
      </c>
      <c r="P1" s="9">
        <f t="shared" si="0"/>
        <v>0</v>
      </c>
      <c r="Q1" s="9">
        <f t="shared" si="0"/>
        <v>0</v>
      </c>
      <c r="R1" s="9">
        <f t="shared" si="0"/>
        <v>0</v>
      </c>
      <c r="S1" s="9">
        <f t="shared" si="0"/>
        <v>0</v>
      </c>
      <c r="T1" s="9">
        <f t="shared" si="0"/>
        <v>0</v>
      </c>
      <c r="U1" s="9">
        <f t="shared" si="0"/>
        <v>0</v>
      </c>
      <c r="V1" s="9">
        <f t="shared" si="0"/>
        <v>0</v>
      </c>
      <c r="W1" s="9">
        <f t="shared" si="0"/>
        <v>0</v>
      </c>
      <c r="X1" s="9">
        <f t="shared" si="0"/>
        <v>1</v>
      </c>
      <c r="Y1" s="9">
        <f t="shared" si="0"/>
        <v>0</v>
      </c>
      <c r="Z1" s="9">
        <f t="shared" si="0"/>
        <v>0</v>
      </c>
      <c r="AA1" s="9">
        <f t="shared" si="0"/>
        <v>0</v>
      </c>
      <c r="AB1" s="9">
        <f t="shared" si="0"/>
        <v>0</v>
      </c>
      <c r="AC1" s="9">
        <f t="shared" si="0"/>
        <v>0</v>
      </c>
      <c r="AD1" s="9">
        <f t="shared" si="0"/>
        <v>0</v>
      </c>
    </row>
    <row r="2" spans="2:30" ht="14.1" customHeight="1">
      <c r="B2" s="10" t="s">
        <v>131</v>
      </c>
      <c r="J2" s="11" t="s">
        <v>62</v>
      </c>
      <c r="K2" s="12">
        <v>36616</v>
      </c>
      <c r="L2" s="12">
        <f t="shared" ref="L2:AD2" si="1">EOMONTH(K2,12)</f>
        <v>36981</v>
      </c>
      <c r="M2" s="12">
        <f t="shared" si="1"/>
        <v>37346</v>
      </c>
      <c r="N2" s="12">
        <f t="shared" si="1"/>
        <v>37711</v>
      </c>
      <c r="O2" s="12">
        <f t="shared" si="1"/>
        <v>38077</v>
      </c>
      <c r="P2" s="12">
        <f t="shared" si="1"/>
        <v>38442</v>
      </c>
      <c r="Q2" s="12">
        <f t="shared" si="1"/>
        <v>38807</v>
      </c>
      <c r="R2" s="12">
        <f t="shared" si="1"/>
        <v>39172</v>
      </c>
      <c r="S2" s="12">
        <f t="shared" si="1"/>
        <v>39538</v>
      </c>
      <c r="T2" s="12">
        <f t="shared" si="1"/>
        <v>39903</v>
      </c>
      <c r="U2" s="12">
        <f t="shared" si="1"/>
        <v>40268</v>
      </c>
      <c r="V2" s="12">
        <f t="shared" si="1"/>
        <v>40633</v>
      </c>
      <c r="W2" s="12">
        <f t="shared" si="1"/>
        <v>40999</v>
      </c>
      <c r="X2" s="12">
        <f t="shared" si="1"/>
        <v>41364</v>
      </c>
      <c r="Y2" s="12">
        <f t="shared" si="1"/>
        <v>41729</v>
      </c>
      <c r="Z2" s="12">
        <f t="shared" si="1"/>
        <v>42094</v>
      </c>
      <c r="AA2" s="12">
        <f t="shared" si="1"/>
        <v>42460</v>
      </c>
      <c r="AB2" s="12">
        <f t="shared" si="1"/>
        <v>42825</v>
      </c>
      <c r="AC2" s="12">
        <f t="shared" si="1"/>
        <v>43190</v>
      </c>
      <c r="AD2" s="12">
        <f t="shared" si="1"/>
        <v>43555</v>
      </c>
    </row>
    <row r="3" spans="2:30" ht="14.1" customHeight="1">
      <c r="B3" s="13"/>
    </row>
    <row r="4" spans="2:30" ht="14.1" customHeight="1" thickBot="1">
      <c r="B4" s="14"/>
    </row>
    <row r="5" spans="2:30" ht="14.1" customHeight="1" thickBot="1">
      <c r="B5" s="15" t="s">
        <v>130</v>
      </c>
      <c r="C5" s="14"/>
      <c r="D5" s="304"/>
      <c r="E5" s="14"/>
    </row>
    <row r="6" spans="2:30" ht="14.1" customHeight="1">
      <c r="B6" s="74"/>
      <c r="C6" s="14"/>
      <c r="D6" s="316"/>
      <c r="E6" s="14"/>
    </row>
    <row r="7" spans="2:30" ht="14.1" customHeight="1" thickBot="1">
      <c r="B7" s="74" t="s">
        <v>111</v>
      </c>
      <c r="C7" s="14"/>
      <c r="D7" s="318"/>
      <c r="E7" s="14"/>
    </row>
    <row r="8" spans="2:30" ht="14.1" customHeight="1">
      <c r="B8" s="35"/>
      <c r="C8" s="36" t="s">
        <v>81</v>
      </c>
      <c r="D8" s="14"/>
      <c r="E8" s="14"/>
    </row>
    <row r="9" spans="2:30" ht="14.1" customHeight="1">
      <c r="B9" s="3" t="s">
        <v>161</v>
      </c>
      <c r="C9" s="320">
        <v>5.7</v>
      </c>
      <c r="D9" s="339" t="s">
        <v>180</v>
      </c>
      <c r="E9" s="14"/>
    </row>
    <row r="10" spans="2:30" ht="14.1" customHeight="1">
      <c r="B10" s="38" t="s">
        <v>75</v>
      </c>
      <c r="C10" s="247">
        <v>17.600000000000001</v>
      </c>
      <c r="D10" s="339"/>
      <c r="E10" s="14"/>
    </row>
    <row r="11" spans="2:30" ht="12.75" customHeight="1">
      <c r="B11" s="38" t="s">
        <v>148</v>
      </c>
      <c r="C11" s="247">
        <f>SUM(C12:C17)</f>
        <v>135.96800000000002</v>
      </c>
      <c r="D11" s="339"/>
      <c r="E11" s="14"/>
    </row>
    <row r="12" spans="2:30" ht="12.75" customHeight="1">
      <c r="B12" s="321" t="s">
        <v>162</v>
      </c>
      <c r="C12" s="322">
        <v>6.4969999999999999</v>
      </c>
      <c r="D12" s="339"/>
      <c r="E12" s="14"/>
    </row>
    <row r="13" spans="2:30" ht="12.75" customHeight="1">
      <c r="B13" s="321" t="s">
        <v>163</v>
      </c>
      <c r="C13" s="322">
        <v>18.327000000000002</v>
      </c>
      <c r="D13" s="339"/>
      <c r="E13" s="14"/>
    </row>
    <row r="14" spans="2:30" ht="12.75" customHeight="1">
      <c r="B14" s="321" t="s">
        <v>164</v>
      </c>
      <c r="C14" s="322">
        <v>64.825000000000003</v>
      </c>
      <c r="D14" s="339"/>
      <c r="E14" s="14"/>
      <c r="G14" s="319"/>
    </row>
    <row r="15" spans="2:30" ht="12.75" customHeight="1">
      <c r="B15" s="321" t="s">
        <v>165</v>
      </c>
      <c r="C15" s="322">
        <v>33.756999999999998</v>
      </c>
      <c r="D15" s="339"/>
      <c r="E15" s="14"/>
    </row>
    <row r="16" spans="2:30" ht="12.75" customHeight="1">
      <c r="B16" s="321" t="s">
        <v>166</v>
      </c>
      <c r="C16" s="322">
        <v>8.5619999999999994</v>
      </c>
      <c r="D16" s="339"/>
      <c r="E16" s="14"/>
    </row>
    <row r="17" spans="2:6" ht="12.75" customHeight="1">
      <c r="B17" s="321" t="s">
        <v>167</v>
      </c>
      <c r="C17" s="322">
        <v>4</v>
      </c>
      <c r="D17" s="339"/>
      <c r="E17" s="14"/>
    </row>
    <row r="18" spans="2:6" ht="12.75" customHeight="1">
      <c r="B18" s="321"/>
      <c r="C18" s="322"/>
      <c r="D18" s="339"/>
      <c r="E18" s="14"/>
    </row>
    <row r="19" spans="2:6" ht="14.1" customHeight="1">
      <c r="B19" s="38" t="s">
        <v>149</v>
      </c>
      <c r="C19" s="75">
        <f>C20+C21</f>
        <v>103.324</v>
      </c>
      <c r="D19" s="339"/>
      <c r="E19" s="14"/>
      <c r="F19" s="139"/>
    </row>
    <row r="20" spans="2:6" ht="14.1" customHeight="1">
      <c r="B20" s="321" t="s">
        <v>168</v>
      </c>
      <c r="C20" s="320">
        <v>96.878</v>
      </c>
      <c r="D20" s="339"/>
      <c r="E20" s="14"/>
      <c r="F20" s="139"/>
    </row>
    <row r="21" spans="2:6" ht="14.1" customHeight="1">
      <c r="B21" s="321" t="s">
        <v>169</v>
      </c>
      <c r="C21" s="75">
        <v>6.4459999999999997</v>
      </c>
      <c r="D21" s="339"/>
      <c r="E21" s="14"/>
      <c r="F21" s="139"/>
    </row>
    <row r="22" spans="2:6" ht="14.1" customHeight="1">
      <c r="B22" s="321"/>
      <c r="C22" s="75"/>
      <c r="D22" s="339"/>
      <c r="E22" s="14"/>
      <c r="F22" s="139"/>
    </row>
    <row r="23" spans="2:6" ht="14.1" customHeight="1">
      <c r="B23" s="38" t="s">
        <v>89</v>
      </c>
      <c r="C23" s="247">
        <f>SUM(C24:C33)+C9</f>
        <v>30.44192</v>
      </c>
      <c r="D23" s="339"/>
      <c r="E23" s="14"/>
      <c r="F23" s="139"/>
    </row>
    <row r="24" spans="2:6" ht="14.1" customHeight="1">
      <c r="B24" s="321" t="s">
        <v>170</v>
      </c>
      <c r="C24" s="322">
        <v>5.0209999999999999</v>
      </c>
      <c r="D24" s="339"/>
      <c r="E24" s="14"/>
      <c r="F24" s="139"/>
    </row>
    <row r="25" spans="2:6" ht="14.1" customHeight="1">
      <c r="B25" s="321" t="s">
        <v>171</v>
      </c>
      <c r="C25" s="322">
        <v>1.2</v>
      </c>
      <c r="D25" s="339"/>
      <c r="E25" s="14"/>
      <c r="F25" s="139"/>
    </row>
    <row r="26" spans="2:6" ht="14.1" customHeight="1">
      <c r="B26" s="321" t="s">
        <v>172</v>
      </c>
      <c r="C26" s="322">
        <v>1.8029999999999999</v>
      </c>
      <c r="D26" s="339"/>
      <c r="E26" s="14"/>
      <c r="F26" s="139"/>
    </row>
    <row r="27" spans="2:6" ht="14.1" customHeight="1">
      <c r="B27" s="321" t="s">
        <v>173</v>
      </c>
      <c r="C27" s="322">
        <v>1.5</v>
      </c>
      <c r="D27" s="339"/>
      <c r="E27" s="14"/>
      <c r="F27" s="139"/>
    </row>
    <row r="28" spans="2:6" ht="14.1" customHeight="1">
      <c r="B28" s="321" t="s">
        <v>174</v>
      </c>
      <c r="C28" s="322">
        <v>2.8090000000000002</v>
      </c>
      <c r="D28" s="339"/>
      <c r="E28" s="14"/>
      <c r="F28" s="139"/>
    </row>
    <row r="29" spans="2:6" ht="14.1" customHeight="1">
      <c r="B29" s="321" t="s">
        <v>175</v>
      </c>
      <c r="C29" s="322">
        <v>3.7</v>
      </c>
      <c r="D29" s="339"/>
      <c r="E29" s="14"/>
      <c r="F29" s="139"/>
    </row>
    <row r="30" spans="2:6" ht="14.1" customHeight="1">
      <c r="B30" s="321" t="s">
        <v>176</v>
      </c>
      <c r="C30" s="322">
        <f>0.25%*C11</f>
        <v>0.33992000000000006</v>
      </c>
      <c r="D30" s="339"/>
      <c r="E30" s="14"/>
      <c r="F30" s="139"/>
    </row>
    <row r="31" spans="2:6" ht="14.1" customHeight="1">
      <c r="B31" s="321" t="s">
        <v>177</v>
      </c>
      <c r="C31" s="322">
        <v>5.5789999999999997</v>
      </c>
      <c r="D31" s="339"/>
      <c r="E31" s="14"/>
      <c r="F31" s="139"/>
    </row>
    <row r="32" spans="2:6" ht="14.1" customHeight="1">
      <c r="B32" s="321" t="s">
        <v>178</v>
      </c>
      <c r="C32" s="322">
        <v>1.395</v>
      </c>
      <c r="D32" s="339"/>
      <c r="E32" s="14"/>
      <c r="F32" s="139"/>
    </row>
    <row r="33" spans="2:7" ht="14.1" customHeight="1">
      <c r="B33" s="321" t="s">
        <v>179</v>
      </c>
      <c r="C33" s="322">
        <v>1.395</v>
      </c>
      <c r="D33" s="339"/>
      <c r="E33" s="14"/>
      <c r="F33" s="139"/>
    </row>
    <row r="34" spans="2:7" ht="14.1" customHeight="1">
      <c r="B34" s="39"/>
      <c r="C34" s="75"/>
      <c r="D34" s="339"/>
      <c r="E34" s="14"/>
      <c r="F34" s="139"/>
      <c r="G34" s="20"/>
    </row>
    <row r="35" spans="2:7" ht="14.1" customHeight="1">
      <c r="B35" s="3" t="s">
        <v>28</v>
      </c>
      <c r="C35" s="247">
        <f>C10+C11+C19+C23</f>
        <v>287.33391999999998</v>
      </c>
      <c r="D35" s="340"/>
      <c r="E35" s="304"/>
    </row>
    <row r="36" spans="2:7" ht="14.1" customHeight="1">
      <c r="B36" s="3" t="s">
        <v>136</v>
      </c>
      <c r="C36" s="247">
        <v>7.9950000000000001</v>
      </c>
      <c r="D36" s="337" t="s">
        <v>181</v>
      </c>
      <c r="E36" s="304"/>
    </row>
    <row r="37" spans="2:7" ht="14.1" customHeight="1">
      <c r="B37" s="3" t="s">
        <v>76</v>
      </c>
      <c r="C37" s="40">
        <v>25.692</v>
      </c>
      <c r="D37" s="336"/>
      <c r="E37" s="14"/>
      <c r="F37" s="331"/>
      <c r="G37" s="331"/>
    </row>
    <row r="38" spans="2:7" ht="14.1" customHeight="1">
      <c r="B38" s="3" t="s">
        <v>90</v>
      </c>
      <c r="C38" s="75">
        <v>1.978</v>
      </c>
      <c r="D38" s="336"/>
      <c r="E38" s="14"/>
    </row>
    <row r="39" spans="2:7" ht="14.1" customHeight="1">
      <c r="B39" s="3" t="s">
        <v>91</v>
      </c>
      <c r="C39" s="326">
        <v>0.01</v>
      </c>
      <c r="D39" s="336"/>
      <c r="E39" s="14"/>
      <c r="F39" s="20"/>
    </row>
    <row r="40" spans="2:7" ht="14.1" customHeight="1">
      <c r="B40" s="38" t="s">
        <v>77</v>
      </c>
      <c r="C40" s="247">
        <f>(C35+C36+C37+C38+(C39*(C35+C36+C37+C38)))*(1+C121)</f>
        <v>326.22890919999998</v>
      </c>
      <c r="D40" s="338"/>
      <c r="E40" s="21"/>
    </row>
    <row r="41" spans="2:7" ht="14.1" customHeight="1">
      <c r="B41" s="3"/>
      <c r="C41" s="88"/>
      <c r="D41" s="291"/>
      <c r="E41" s="301"/>
      <c r="F41" s="44"/>
      <c r="G41" s="319"/>
    </row>
    <row r="42" spans="2:7" ht="46.5" customHeight="1" thickBot="1">
      <c r="B42" s="39" t="s">
        <v>198</v>
      </c>
      <c r="C42" s="332">
        <f>IF(45%*C40&gt;22.5,22.5,45%*C40)+3.75*C66</f>
        <v>40.5</v>
      </c>
      <c r="D42" s="291" t="s">
        <v>188</v>
      </c>
      <c r="E42" s="14"/>
    </row>
    <row r="43" spans="2:7" ht="14.1" customHeight="1">
      <c r="B43" s="14"/>
      <c r="C43" s="32"/>
      <c r="D43" s="14"/>
      <c r="E43" s="14"/>
    </row>
    <row r="44" spans="2:7" ht="14.1" customHeight="1" thickBot="1">
      <c r="B44" s="74" t="s">
        <v>112</v>
      </c>
      <c r="C44" s="14"/>
      <c r="D44" s="14"/>
      <c r="E44" s="14"/>
    </row>
    <row r="45" spans="2:7" ht="14.1" customHeight="1">
      <c r="B45" s="68" t="s">
        <v>113</v>
      </c>
      <c r="C45" s="81">
        <v>30</v>
      </c>
      <c r="D45" s="343" t="s">
        <v>188</v>
      </c>
      <c r="E45" s="14"/>
    </row>
    <row r="46" spans="2:7" ht="14.1" customHeight="1">
      <c r="B46" s="28" t="s">
        <v>114</v>
      </c>
      <c r="C46" s="82">
        <v>60</v>
      </c>
      <c r="D46" s="343"/>
      <c r="E46" s="14"/>
    </row>
    <row r="47" spans="2:7" ht="14.1" customHeight="1">
      <c r="B47" s="22" t="s">
        <v>160</v>
      </c>
      <c r="C47" s="78">
        <f>1%</f>
        <v>0.01</v>
      </c>
      <c r="D47" s="343"/>
      <c r="E47" s="14"/>
    </row>
    <row r="48" spans="2:7" ht="14.1" customHeight="1">
      <c r="B48" s="22" t="s">
        <v>115</v>
      </c>
      <c r="C48" s="78">
        <v>0.06</v>
      </c>
      <c r="D48" s="343"/>
      <c r="E48" s="14"/>
    </row>
    <row r="49" spans="2:6" ht="71.25" customHeight="1" thickBot="1">
      <c r="B49" s="79" t="s">
        <v>116</v>
      </c>
      <c r="C49" s="83">
        <v>0.3</v>
      </c>
      <c r="D49" s="323" t="s">
        <v>189</v>
      </c>
      <c r="E49" s="14"/>
    </row>
    <row r="50" spans="2:6" ht="14.1" customHeight="1" thickBot="1">
      <c r="B50" s="57"/>
      <c r="C50" s="80"/>
      <c r="D50" s="14"/>
      <c r="E50" s="14"/>
    </row>
    <row r="51" spans="2:6" ht="14.1" customHeight="1">
      <c r="B51" s="103" t="s">
        <v>117</v>
      </c>
      <c r="C51" s="234">
        <v>3</v>
      </c>
      <c r="D51" s="342" t="s">
        <v>193</v>
      </c>
      <c r="E51" s="14"/>
    </row>
    <row r="52" spans="2:6" ht="14.1" customHeight="1" thickBot="1">
      <c r="B52" s="104" t="s">
        <v>147</v>
      </c>
      <c r="C52" s="135">
        <v>40268</v>
      </c>
      <c r="D52" s="342"/>
      <c r="E52" s="14"/>
    </row>
    <row r="53" spans="2:6" ht="14.1" customHeight="1">
      <c r="B53" s="57"/>
      <c r="C53" s="84"/>
      <c r="D53" s="14"/>
      <c r="E53" s="14"/>
    </row>
    <row r="54" spans="2:6" ht="14.1" customHeight="1" thickBot="1">
      <c r="B54" s="85" t="s">
        <v>150</v>
      </c>
      <c r="C54" s="84"/>
      <c r="D54" s="14"/>
      <c r="E54" s="14"/>
    </row>
    <row r="55" spans="2:6" ht="14.1" customHeight="1">
      <c r="B55" s="86" t="s">
        <v>118</v>
      </c>
      <c r="C55" s="87">
        <v>0.05</v>
      </c>
      <c r="D55" s="336" t="s">
        <v>193</v>
      </c>
      <c r="E55" s="14"/>
    </row>
    <row r="56" spans="2:6" ht="14.1" customHeight="1">
      <c r="B56" s="22" t="s">
        <v>119</v>
      </c>
      <c r="C56" s="88">
        <v>0.45</v>
      </c>
      <c r="D56" s="336"/>
      <c r="E56" s="14"/>
    </row>
    <row r="57" spans="2:6" ht="14.1" customHeight="1" thickBot="1">
      <c r="B57" s="79" t="s">
        <v>120</v>
      </c>
      <c r="C57" s="89">
        <v>0.5</v>
      </c>
      <c r="D57" s="336"/>
      <c r="E57" s="14"/>
    </row>
    <row r="58" spans="2:6" ht="14.1" customHeight="1">
      <c r="B58" s="57"/>
      <c r="C58" s="84"/>
      <c r="D58" s="14"/>
      <c r="E58" s="14"/>
    </row>
    <row r="59" spans="2:6" ht="14.1" customHeight="1" thickBot="1">
      <c r="B59" s="85" t="s">
        <v>121</v>
      </c>
      <c r="C59" s="80"/>
      <c r="D59" s="14"/>
      <c r="E59" s="14"/>
    </row>
    <row r="60" spans="2:6" ht="14.1" customHeight="1">
      <c r="B60" s="90" t="s">
        <v>78</v>
      </c>
      <c r="C60" s="91">
        <f>2.25%*(1+$C$123)</f>
        <v>2.2499999999999999E-2</v>
      </c>
      <c r="D60" s="339" t="s">
        <v>188</v>
      </c>
      <c r="E60" s="14"/>
    </row>
    <row r="61" spans="2:6" ht="37.5" customHeight="1" thickBot="1">
      <c r="B61" s="154" t="s">
        <v>79</v>
      </c>
      <c r="C61" s="102">
        <v>0.04</v>
      </c>
      <c r="D61" s="339"/>
      <c r="E61" s="14"/>
    </row>
    <row r="62" spans="2:6" ht="37.5" customHeight="1">
      <c r="D62" s="14"/>
      <c r="E62" s="14"/>
    </row>
    <row r="63" spans="2:6" ht="37.5" customHeight="1" thickBot="1">
      <c r="B63" s="97" t="s">
        <v>122</v>
      </c>
      <c r="C63" s="98"/>
      <c r="D63" s="14"/>
      <c r="E63" s="14"/>
    </row>
    <row r="64" spans="2:6" ht="37.5" customHeight="1">
      <c r="B64" s="68" t="s">
        <v>72</v>
      </c>
      <c r="C64" s="92">
        <v>2400</v>
      </c>
      <c r="D64" s="341" t="s">
        <v>194</v>
      </c>
      <c r="E64" s="17"/>
      <c r="F64" s="16"/>
    </row>
    <row r="65" spans="1:10" ht="14.1" customHeight="1">
      <c r="B65" s="28" t="s">
        <v>73</v>
      </c>
      <c r="C65" s="77">
        <v>2</v>
      </c>
      <c r="D65" s="341"/>
      <c r="E65" s="17"/>
      <c r="F65" s="16"/>
    </row>
    <row r="66" spans="1:10" ht="14.1" customHeight="1">
      <c r="B66" s="99" t="s">
        <v>30</v>
      </c>
      <c r="C66" s="93">
        <f>C64*C65/1000</f>
        <v>4.8</v>
      </c>
      <c r="D66" s="341"/>
      <c r="E66" s="18"/>
      <c r="F66" s="16"/>
    </row>
    <row r="67" spans="1:10" ht="14.1" customHeight="1">
      <c r="B67" s="28" t="s">
        <v>74</v>
      </c>
      <c r="C67" s="235">
        <v>40999</v>
      </c>
      <c r="D67" s="341"/>
      <c r="E67" s="242"/>
      <c r="F67" s="16"/>
    </row>
    <row r="68" spans="1:10" ht="14.1" customHeight="1">
      <c r="B68" s="28" t="s">
        <v>60</v>
      </c>
      <c r="C68" s="236">
        <f>$C$40/$C$66</f>
        <v>67.964356083333328</v>
      </c>
      <c r="D68" s="341"/>
      <c r="E68" s="19"/>
      <c r="F68" s="16"/>
    </row>
    <row r="69" spans="1:10" ht="14.1" customHeight="1">
      <c r="B69" s="28"/>
      <c r="C69" s="101"/>
      <c r="D69" s="341"/>
      <c r="E69" s="20"/>
      <c r="F69" s="16"/>
    </row>
    <row r="70" spans="1:10" ht="14.1" customHeight="1">
      <c r="B70" s="28" t="s">
        <v>123</v>
      </c>
      <c r="C70" s="101"/>
      <c r="D70" s="341"/>
      <c r="E70" s="21"/>
      <c r="F70" s="16"/>
    </row>
    <row r="71" spans="1:10" ht="14.1" customHeight="1">
      <c r="B71" s="94" t="s">
        <v>80</v>
      </c>
      <c r="C71" s="95">
        <f>50.37%*(1+$C$120)</f>
        <v>0.50369999999999993</v>
      </c>
      <c r="D71" s="341"/>
      <c r="E71" s="23"/>
      <c r="F71" s="16"/>
    </row>
    <row r="72" spans="1:10" ht="13.5" customHeight="1">
      <c r="B72" s="24" t="s">
        <v>96</v>
      </c>
      <c r="C72" s="247">
        <f>C71*C66*8760/1000</f>
        <v>21.179577599999998</v>
      </c>
      <c r="D72" s="341"/>
      <c r="E72" s="25"/>
      <c r="F72" s="4"/>
    </row>
    <row r="73" spans="1:10" ht="38.25">
      <c r="B73" s="24" t="s">
        <v>192</v>
      </c>
      <c r="C73" s="76">
        <v>0.01</v>
      </c>
      <c r="D73" s="291" t="s">
        <v>188</v>
      </c>
      <c r="E73" s="26"/>
      <c r="F73" s="4"/>
    </row>
    <row r="74" spans="1:10" ht="25.5">
      <c r="A74" s="14"/>
      <c r="B74" s="28" t="s">
        <v>97</v>
      </c>
      <c r="C74" s="335">
        <v>0.01</v>
      </c>
      <c r="D74" s="291" t="s">
        <v>181</v>
      </c>
      <c r="E74" s="27"/>
      <c r="F74" s="4"/>
      <c r="G74" s="29"/>
    </row>
    <row r="75" spans="1:10" ht="14.1" customHeight="1">
      <c r="A75" s="14"/>
      <c r="B75" s="96" t="s">
        <v>98</v>
      </c>
      <c r="C75" s="328">
        <f>C72*(1-C73)*(1-C74)</f>
        <v>20.75810400576</v>
      </c>
      <c r="D75" s="324" t="s">
        <v>182</v>
      </c>
      <c r="E75" s="27"/>
      <c r="F75" s="4"/>
      <c r="G75" s="29"/>
    </row>
    <row r="76" spans="1:10" ht="27.75" customHeight="1">
      <c r="B76" s="96" t="s">
        <v>99</v>
      </c>
      <c r="C76" s="302">
        <v>0.09</v>
      </c>
      <c r="D76" s="344" t="s">
        <v>183</v>
      </c>
      <c r="E76" s="317"/>
      <c r="F76" s="183"/>
      <c r="G76" s="31"/>
    </row>
    <row r="77" spans="1:10" ht="28.5" customHeight="1">
      <c r="B77" s="96" t="s">
        <v>100</v>
      </c>
      <c r="C77" s="302">
        <v>0.18</v>
      </c>
      <c r="D77" s="344"/>
      <c r="E77" s="243"/>
      <c r="F77" s="183"/>
      <c r="G77" s="31"/>
    </row>
    <row r="78" spans="1:10" ht="24.75" customHeight="1" thickBot="1">
      <c r="B78" s="100" t="s">
        <v>101</v>
      </c>
      <c r="C78" s="303">
        <v>0.27</v>
      </c>
      <c r="D78" s="344"/>
      <c r="E78" s="243"/>
      <c r="F78" s="16"/>
      <c r="G78" s="31"/>
    </row>
    <row r="79" spans="1:10" ht="14.1" customHeight="1">
      <c r="D79" s="30"/>
      <c r="E79" s="244"/>
      <c r="F79" s="41"/>
      <c r="G79" s="31"/>
    </row>
    <row r="80" spans="1:10" ht="14.1" customHeight="1" thickBot="1">
      <c r="B80" s="105" t="s">
        <v>124</v>
      </c>
      <c r="C80" s="21"/>
      <c r="D80" s="21"/>
      <c r="E80" s="21"/>
      <c r="F80" s="241"/>
      <c r="G80" s="32"/>
      <c r="H80" s="14"/>
      <c r="I80" s="14"/>
      <c r="J80" s="14"/>
    </row>
    <row r="81" spans="2:9" ht="58.5" customHeight="1" thickBot="1">
      <c r="B81" s="106" t="s">
        <v>125</v>
      </c>
      <c r="C81" s="107">
        <f>2.95*(1+C122)*((100%-0%)/(100%-C76))</f>
        <v>3.2417582417582418</v>
      </c>
      <c r="D81" s="336" t="s">
        <v>195</v>
      </c>
      <c r="E81" s="305"/>
      <c r="F81" s="245"/>
      <c r="G81" s="34"/>
      <c r="H81" s="34"/>
      <c r="I81" s="34"/>
    </row>
    <row r="82" spans="2:9" ht="58.5" customHeight="1" thickBot="1">
      <c r="B82" s="106" t="s">
        <v>185</v>
      </c>
      <c r="C82" s="325">
        <f>2.95*((100%-12%)/(100%-C77))</f>
        <v>3.1658536585365851</v>
      </c>
      <c r="D82" s="336"/>
      <c r="E82" s="305"/>
      <c r="F82" s="245"/>
      <c r="G82" s="34"/>
      <c r="H82" s="34"/>
      <c r="I82" s="34"/>
    </row>
    <row r="83" spans="2:9" ht="58.5" customHeight="1" thickBot="1">
      <c r="B83" s="106" t="s">
        <v>184</v>
      </c>
      <c r="C83" s="325">
        <f>2.95*((100%-18%)/(100%-C78))</f>
        <v>3.3136986301369866</v>
      </c>
      <c r="D83" s="336"/>
      <c r="E83" s="305"/>
      <c r="F83" s="245"/>
      <c r="G83" s="34"/>
      <c r="H83" s="34"/>
      <c r="I83" s="34"/>
    </row>
    <row r="84" spans="2:9" ht="14.1" customHeight="1">
      <c r="B84" s="57"/>
      <c r="C84" s="33"/>
      <c r="D84" s="33"/>
      <c r="E84" s="246"/>
      <c r="F84" s="245"/>
      <c r="G84" s="34"/>
      <c r="H84" s="34"/>
      <c r="I84" s="34"/>
    </row>
    <row r="85" spans="2:9" ht="14.1" customHeight="1" thickBot="1">
      <c r="B85" s="85" t="s">
        <v>69</v>
      </c>
      <c r="C85" s="33"/>
      <c r="D85" s="33"/>
      <c r="E85" s="18"/>
      <c r="F85" s="41"/>
      <c r="G85" s="34"/>
      <c r="H85" s="34"/>
      <c r="I85" s="34"/>
    </row>
    <row r="86" spans="2:9" ht="14.1" customHeight="1">
      <c r="B86" s="86"/>
      <c r="C86" s="306"/>
      <c r="E86" s="18"/>
      <c r="F86" s="41"/>
      <c r="G86" s="34"/>
      <c r="H86" s="34"/>
      <c r="I86" s="34"/>
    </row>
    <row r="87" spans="2:9" ht="14.1" customHeight="1">
      <c r="B87" s="22" t="s">
        <v>152</v>
      </c>
      <c r="C87" s="110">
        <v>0.12</v>
      </c>
      <c r="D87" s="345" t="s">
        <v>201</v>
      </c>
      <c r="E87" s="18"/>
      <c r="F87" s="16"/>
      <c r="G87" s="34"/>
      <c r="H87" s="34"/>
      <c r="I87" s="34"/>
    </row>
    <row r="88" spans="2:9" ht="14.1" customHeight="1">
      <c r="B88" s="22" t="s">
        <v>126</v>
      </c>
      <c r="C88" s="110">
        <v>0.12</v>
      </c>
      <c r="D88" s="345"/>
      <c r="E88" s="18"/>
      <c r="F88" s="16"/>
      <c r="G88" s="34"/>
      <c r="H88" s="34"/>
      <c r="I88" s="34"/>
    </row>
    <row r="89" spans="2:9" ht="14.1" customHeight="1">
      <c r="B89" s="22" t="s">
        <v>199</v>
      </c>
      <c r="C89" s="93">
        <v>12</v>
      </c>
      <c r="D89" s="339" t="s">
        <v>188</v>
      </c>
      <c r="E89" s="18"/>
      <c r="F89" s="16"/>
      <c r="G89" s="34"/>
      <c r="H89" s="34"/>
      <c r="I89" s="34"/>
    </row>
    <row r="90" spans="2:9" ht="14.1" customHeight="1" thickBot="1">
      <c r="B90" s="79" t="s">
        <v>200</v>
      </c>
      <c r="C90" s="109">
        <v>24</v>
      </c>
      <c r="D90" s="339"/>
      <c r="E90" s="18"/>
      <c r="F90" s="16"/>
      <c r="G90" s="34"/>
      <c r="H90" s="34"/>
      <c r="I90" s="34"/>
    </row>
    <row r="91" spans="2:9" ht="14.1" customHeight="1">
      <c r="B91" s="57"/>
      <c r="C91" s="33"/>
      <c r="D91" s="33"/>
      <c r="E91" s="18"/>
      <c r="F91" s="16"/>
      <c r="G91" s="34"/>
      <c r="H91" s="34"/>
      <c r="I91" s="34"/>
    </row>
    <row r="92" spans="2:9" ht="14.1" customHeight="1" thickBot="1">
      <c r="B92" s="85" t="s">
        <v>127</v>
      </c>
      <c r="C92" s="33"/>
      <c r="D92" s="33"/>
      <c r="E92" s="18"/>
      <c r="F92" s="16"/>
      <c r="G92" s="34"/>
      <c r="H92" s="34"/>
      <c r="I92" s="34"/>
    </row>
    <row r="93" spans="2:9" ht="14.1" customHeight="1">
      <c r="B93" s="86" t="s">
        <v>128</v>
      </c>
      <c r="C93" s="108"/>
      <c r="D93" s="33"/>
      <c r="E93" s="18"/>
      <c r="F93" s="16"/>
      <c r="G93" s="34"/>
      <c r="H93" s="34"/>
      <c r="I93" s="34"/>
    </row>
    <row r="94" spans="2:9" ht="33.75" customHeight="1">
      <c r="B94" s="113" t="s">
        <v>9</v>
      </c>
      <c r="C94" s="221">
        <f>1-C95</f>
        <v>0.30000000000000004</v>
      </c>
      <c r="D94" s="339" t="s">
        <v>188</v>
      </c>
      <c r="E94" s="18"/>
      <c r="F94" s="16"/>
      <c r="G94" s="34"/>
      <c r="H94" s="34"/>
      <c r="I94" s="34"/>
    </row>
    <row r="95" spans="2:9" ht="32.25" customHeight="1" thickBot="1">
      <c r="B95" s="333" t="s">
        <v>129</v>
      </c>
      <c r="C95" s="334">
        <v>0.7</v>
      </c>
      <c r="D95" s="339"/>
      <c r="E95" s="18"/>
      <c r="F95" s="16"/>
      <c r="G95" s="34"/>
      <c r="H95" s="34"/>
      <c r="I95" s="34"/>
    </row>
    <row r="96" spans="2:9" ht="14.1" customHeight="1">
      <c r="B96" s="111"/>
      <c r="C96" s="112"/>
      <c r="D96" s="33"/>
      <c r="E96" s="18"/>
      <c r="F96" s="16"/>
      <c r="G96" s="34"/>
      <c r="H96" s="34"/>
      <c r="I96" s="34"/>
    </row>
    <row r="97" spans="2:9" ht="14.1" customHeight="1">
      <c r="B97" s="57"/>
      <c r="C97" s="33"/>
      <c r="D97" s="33"/>
      <c r="E97" s="18"/>
      <c r="F97" s="16"/>
      <c r="G97" s="34"/>
      <c r="H97" s="34"/>
      <c r="I97" s="34"/>
    </row>
    <row r="98" spans="2:9" ht="14.1" customHeight="1" thickBot="1">
      <c r="B98" s="74" t="s">
        <v>70</v>
      </c>
      <c r="C98" s="14"/>
      <c r="D98" s="33"/>
      <c r="E98" s="18"/>
      <c r="F98" s="16"/>
      <c r="G98" s="34"/>
      <c r="H98" s="34"/>
      <c r="I98" s="34"/>
    </row>
    <row r="99" spans="2:9" ht="14.1" customHeight="1">
      <c r="B99" s="114" t="s">
        <v>92</v>
      </c>
      <c r="C99" s="248">
        <v>2.2499999999999999E-2</v>
      </c>
      <c r="D99" s="339" t="s">
        <v>188</v>
      </c>
      <c r="E99" s="18"/>
      <c r="F99" s="16"/>
      <c r="G99" s="34"/>
      <c r="H99" s="34"/>
      <c r="I99" s="34"/>
    </row>
    <row r="100" spans="2:9" ht="14.1" customHeight="1">
      <c r="B100" s="28" t="s">
        <v>82</v>
      </c>
      <c r="C100" s="249">
        <v>2.2499999999999999E-2</v>
      </c>
      <c r="D100" s="339"/>
      <c r="E100" s="18"/>
      <c r="F100" s="16"/>
      <c r="G100" s="34"/>
      <c r="H100" s="34"/>
      <c r="I100" s="34"/>
    </row>
    <row r="101" spans="2:9" ht="14.1" customHeight="1">
      <c r="B101" s="28" t="s">
        <v>83</v>
      </c>
      <c r="C101" s="249">
        <v>2.2499999999999999E-2</v>
      </c>
      <c r="D101" s="339"/>
      <c r="E101" s="18"/>
      <c r="F101" s="16"/>
      <c r="G101" s="34"/>
      <c r="H101" s="34"/>
      <c r="I101" s="34"/>
    </row>
    <row r="102" spans="2:9" ht="14.1" customHeight="1" thickBot="1">
      <c r="B102" s="70" t="s">
        <v>86</v>
      </c>
      <c r="C102" s="250">
        <v>0.9</v>
      </c>
      <c r="D102" s="339"/>
      <c r="E102" s="18"/>
      <c r="F102" s="16"/>
      <c r="G102" s="34"/>
      <c r="H102" s="34"/>
      <c r="I102" s="34"/>
    </row>
    <row r="103" spans="2:9" ht="14.1" customHeight="1">
      <c r="C103" s="29"/>
      <c r="D103" s="33"/>
      <c r="E103" s="18"/>
      <c r="F103" s="16"/>
      <c r="G103" s="34"/>
      <c r="H103" s="34"/>
      <c r="I103" s="34"/>
    </row>
    <row r="104" spans="2:9" ht="14.1" customHeight="1" thickBot="1">
      <c r="B104" s="105" t="s">
        <v>1</v>
      </c>
      <c r="C104" s="55"/>
      <c r="D104" s="33"/>
      <c r="E104" s="18"/>
      <c r="F104" s="16"/>
      <c r="G104" s="34"/>
      <c r="H104" s="34"/>
      <c r="I104" s="34"/>
    </row>
    <row r="105" spans="2:9" ht="14.1" customHeight="1">
      <c r="B105" s="86" t="s">
        <v>68</v>
      </c>
      <c r="C105" s="222">
        <v>0.33989999999999998</v>
      </c>
      <c r="D105" s="336" t="s">
        <v>191</v>
      </c>
      <c r="E105" s="18"/>
      <c r="F105" s="16"/>
      <c r="G105" s="34"/>
      <c r="H105" s="34"/>
      <c r="I105" s="34"/>
    </row>
    <row r="106" spans="2:9" ht="14.1" customHeight="1" thickBot="1">
      <c r="B106" s="79" t="s">
        <v>24</v>
      </c>
      <c r="C106" s="223">
        <f>18*(1.075)*(1.03)%</f>
        <v>0.19930499999999998</v>
      </c>
      <c r="D106" s="336"/>
      <c r="E106" s="18"/>
      <c r="F106" s="16"/>
      <c r="G106" s="34"/>
      <c r="H106" s="34"/>
      <c r="I106" s="34"/>
    </row>
    <row r="107" spans="2:9" ht="15" customHeight="1">
      <c r="B107" s="41" t="s">
        <v>156</v>
      </c>
      <c r="C107" s="311">
        <v>0.8</v>
      </c>
      <c r="D107" s="327" t="s">
        <v>186</v>
      </c>
      <c r="E107" s="42"/>
      <c r="F107" s="43"/>
      <c r="H107" s="44"/>
    </row>
    <row r="108" spans="2:9" s="4" customFormat="1">
      <c r="B108" s="307"/>
    </row>
    <row r="109" spans="2:9" ht="13.5" thickBot="1">
      <c r="B109" s="308"/>
      <c r="C109" s="20"/>
      <c r="D109" s="20"/>
      <c r="E109" s="20"/>
    </row>
    <row r="110" spans="2:9">
      <c r="B110" s="309" t="s">
        <v>103</v>
      </c>
      <c r="C110" s="58"/>
      <c r="F110" s="59"/>
    </row>
    <row r="111" spans="2:9">
      <c r="B111" s="310" t="s">
        <v>104</v>
      </c>
      <c r="C111" s="220">
        <v>60</v>
      </c>
      <c r="D111" s="14" t="s">
        <v>190</v>
      </c>
      <c r="E111" s="14"/>
      <c r="F111" s="59"/>
    </row>
    <row r="112" spans="2:9">
      <c r="B112" s="56" t="s">
        <v>187</v>
      </c>
      <c r="C112" s="60">
        <v>0</v>
      </c>
      <c r="D112" s="61"/>
      <c r="E112" s="61"/>
      <c r="F112" s="59"/>
    </row>
    <row r="113" spans="2:6" ht="13.5" thickBot="1">
      <c r="B113" s="62" t="s">
        <v>105</v>
      </c>
      <c r="C113" s="63">
        <v>840</v>
      </c>
      <c r="D113" s="64"/>
      <c r="E113" s="64"/>
      <c r="F113" s="59"/>
    </row>
    <row r="114" spans="2:6" ht="13.5" thickBot="1">
      <c r="B114" s="65"/>
      <c r="C114" s="14"/>
      <c r="D114" s="14"/>
      <c r="E114" s="14"/>
      <c r="F114" s="59"/>
    </row>
    <row r="115" spans="2:6">
      <c r="B115" s="5"/>
      <c r="C115" s="1"/>
      <c r="D115" s="14"/>
      <c r="E115" s="14"/>
      <c r="F115" s="59"/>
    </row>
    <row r="116" spans="2:6" ht="13.5" thickBot="1">
      <c r="B116" s="6" t="s">
        <v>95</v>
      </c>
      <c r="C116" s="2">
        <f>'cash flow'!C25</f>
        <v>0.16635053342937997</v>
      </c>
      <c r="D116" s="290"/>
      <c r="E116" s="66"/>
      <c r="F116" s="59"/>
    </row>
    <row r="117" spans="2:6">
      <c r="B117" s="14"/>
      <c r="C117" s="67"/>
      <c r="D117" s="67"/>
      <c r="E117" s="67"/>
      <c r="F117" s="59"/>
    </row>
    <row r="118" spans="2:6" ht="13.5" thickBot="1">
      <c r="B118" s="14"/>
      <c r="C118" s="67"/>
      <c r="D118" s="67"/>
      <c r="E118" s="67"/>
      <c r="F118" s="59"/>
    </row>
    <row r="119" spans="2:6">
      <c r="B119" s="292" t="s">
        <v>106</v>
      </c>
      <c r="C119" s="293"/>
      <c r="D119" s="14"/>
      <c r="E119" s="14"/>
      <c r="F119" s="59"/>
    </row>
    <row r="120" spans="2:6">
      <c r="B120" s="294" t="s">
        <v>107</v>
      </c>
      <c r="C120" s="295">
        <v>0</v>
      </c>
      <c r="D120" s="69"/>
      <c r="E120" s="69"/>
      <c r="F120" s="59"/>
    </row>
    <row r="121" spans="2:6">
      <c r="B121" s="296" t="s">
        <v>28</v>
      </c>
      <c r="C121" s="295">
        <v>0</v>
      </c>
      <c r="F121" s="59"/>
    </row>
    <row r="122" spans="2:6">
      <c r="B122" s="296" t="s">
        <v>41</v>
      </c>
      <c r="C122" s="295">
        <v>0</v>
      </c>
      <c r="D122" s="69"/>
      <c r="E122" s="14"/>
    </row>
    <row r="123" spans="2:6" ht="13.5" thickBot="1">
      <c r="B123" s="297" t="s">
        <v>151</v>
      </c>
      <c r="C123" s="298">
        <v>0</v>
      </c>
      <c r="D123" s="14"/>
      <c r="E123" s="14"/>
    </row>
    <row r="124" spans="2:6">
      <c r="B124" s="41"/>
      <c r="C124" s="41"/>
      <c r="D124" s="41"/>
      <c r="E124" s="41"/>
      <c r="F124" s="29"/>
    </row>
    <row r="125" spans="2:6">
      <c r="B125" s="71"/>
      <c r="C125" s="41"/>
      <c r="D125" s="41"/>
      <c r="E125" s="41"/>
    </row>
    <row r="126" spans="2:6">
      <c r="B126" s="41"/>
      <c r="C126" s="72"/>
      <c r="D126" s="72"/>
      <c r="E126" s="72"/>
    </row>
    <row r="127" spans="2:6">
      <c r="B127" s="41"/>
      <c r="C127" s="41"/>
      <c r="D127" s="41"/>
      <c r="E127" s="41"/>
    </row>
    <row r="128" spans="2:6">
      <c r="B128" s="41"/>
      <c r="C128" s="41"/>
      <c r="D128" s="41"/>
      <c r="E128" s="41"/>
    </row>
    <row r="129" spans="2:5">
      <c r="B129" s="41"/>
      <c r="C129" s="72"/>
      <c r="D129" s="72"/>
      <c r="E129" s="72"/>
    </row>
    <row r="130" spans="2:5">
      <c r="B130" s="41"/>
      <c r="C130" s="41"/>
      <c r="D130" s="41"/>
      <c r="E130" s="41"/>
    </row>
    <row r="131" spans="2:5">
      <c r="B131" s="41"/>
      <c r="C131" s="251"/>
      <c r="D131" s="72"/>
      <c r="E131" s="72"/>
    </row>
    <row r="132" spans="2:5">
      <c r="B132" s="41"/>
      <c r="C132" s="41"/>
      <c r="D132" s="41"/>
      <c r="E132" s="41"/>
    </row>
    <row r="133" spans="2:5">
      <c r="B133" s="73"/>
      <c r="C133" s="72"/>
      <c r="D133" s="72"/>
      <c r="E133" s="72"/>
    </row>
    <row r="134" spans="2:5">
      <c r="B134" s="71"/>
      <c r="C134" s="41"/>
      <c r="D134" s="41"/>
      <c r="E134" s="41"/>
    </row>
    <row r="135" spans="2:5">
      <c r="B135" s="41"/>
      <c r="C135" s="41"/>
      <c r="D135" s="41"/>
      <c r="E135" s="41"/>
    </row>
    <row r="136" spans="2:5">
      <c r="B136" s="41"/>
      <c r="C136" s="41"/>
      <c r="D136" s="41"/>
      <c r="E136" s="41"/>
    </row>
    <row r="137" spans="2:5">
      <c r="B137" s="41"/>
      <c r="C137" s="41"/>
      <c r="D137" s="41"/>
      <c r="E137" s="41"/>
    </row>
    <row r="138" spans="2:5">
      <c r="C138" s="20"/>
      <c r="D138" s="20"/>
      <c r="E138" s="20"/>
    </row>
  </sheetData>
  <mergeCells count="14">
    <mergeCell ref="D105:D106"/>
    <mergeCell ref="D36:D40"/>
    <mergeCell ref="D9:D35"/>
    <mergeCell ref="D64:D72"/>
    <mergeCell ref="D81:D83"/>
    <mergeCell ref="D51:D52"/>
    <mergeCell ref="D94:D95"/>
    <mergeCell ref="D99:D102"/>
    <mergeCell ref="D89:D90"/>
    <mergeCell ref="D55:D57"/>
    <mergeCell ref="D60:D61"/>
    <mergeCell ref="D45:D48"/>
    <mergeCell ref="D76:D78"/>
    <mergeCell ref="D87:D88"/>
  </mergeCells>
  <phoneticPr fontId="0" type="noConversion"/>
  <conditionalFormatting sqref="E67 C67">
    <cfRule type="cellIs" dxfId="0" priority="13" stopIfTrue="1" operator="greaterThan">
      <formula>$C$116</formula>
    </cfRule>
  </conditionalFormatting>
  <hyperlinks>
    <hyperlink ref="D107" r:id="rId1"/>
  </hyperlinks>
  <printOptions horizontalCentered="1" verticalCentered="1"/>
  <pageMargins left="0.74803149606299213" right="0.74803149606299213" top="0.6692913385826772" bottom="2.204724409448819" header="0.51181102362204722" footer="2.0866141732283467"/>
  <pageSetup paperSize="9" orientation="portrait" horizontalDpi="4294967294" verticalDpi="300" r:id="rId2"/>
  <headerFooter alignWithMargins="0">
    <oddFooter>&amp;L&amp;B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2:L29"/>
  <sheetViews>
    <sheetView workbookViewId="0">
      <selection activeCell="K1" sqref="K1"/>
    </sheetView>
  </sheetViews>
  <sheetFormatPr defaultRowHeight="12.75"/>
  <cols>
    <col min="1" max="1" width="9.140625" style="4"/>
    <col min="2" max="2" width="10.7109375" style="4" customWidth="1"/>
    <col min="3" max="10" width="9.140625" style="4"/>
    <col min="11" max="11" width="19.85546875" style="4" customWidth="1"/>
    <col min="12" max="16384" width="9.140625" style="4"/>
  </cols>
  <sheetData>
    <row r="2" spans="2:12">
      <c r="B2" s="348" t="s">
        <v>132</v>
      </c>
      <c r="C2" s="348"/>
    </row>
    <row r="3" spans="2:12">
      <c r="B3" s="353"/>
      <c r="C3" s="353"/>
      <c r="D3" s="300">
        <v>40247</v>
      </c>
      <c r="E3" s="300">
        <v>40603</v>
      </c>
      <c r="F3" s="300">
        <v>40969</v>
      </c>
      <c r="G3" s="130"/>
      <c r="H3" s="130"/>
      <c r="I3" s="130"/>
      <c r="J3" s="37"/>
    </row>
    <row r="4" spans="2:12" ht="13.5" thickBot="1">
      <c r="B4" s="37"/>
      <c r="C4" s="131"/>
      <c r="D4" s="132"/>
      <c r="E4" s="125"/>
      <c r="F4" s="133"/>
      <c r="G4" s="133"/>
      <c r="H4" s="133"/>
      <c r="I4" s="133"/>
      <c r="J4" s="37"/>
    </row>
    <row r="5" spans="2:12" ht="13.5" thickBot="1">
      <c r="B5" s="346" t="s">
        <v>27</v>
      </c>
      <c r="C5" s="347"/>
      <c r="D5" s="134">
        <f>'INPUT DATA SHEET'!C52</f>
        <v>40268</v>
      </c>
      <c r="E5" s="45">
        <f>EOMONTH(D5,12)</f>
        <v>40633</v>
      </c>
      <c r="F5" s="45">
        <f>EOMONTH(E5,12)</f>
        <v>40999</v>
      </c>
      <c r="G5" s="46" t="s">
        <v>43</v>
      </c>
      <c r="H5" s="133"/>
      <c r="I5" s="133"/>
      <c r="J5" s="37"/>
    </row>
    <row r="6" spans="2:12" ht="13.5" thickBot="1">
      <c r="B6" s="47" t="s">
        <v>0</v>
      </c>
      <c r="C6" s="140">
        <f>'INPUT DATA SHEET'!C94</f>
        <v>0.30000000000000004</v>
      </c>
      <c r="D6" s="133">
        <f>C6*$D$12*'INPUT DATA SHEET'!$C$40</f>
        <v>4.8934336380000003</v>
      </c>
      <c r="E6" s="133">
        <f>C6*$D$13*'INPUT DATA SHEET'!$C$40</f>
        <v>44.040902742000007</v>
      </c>
      <c r="F6" s="133">
        <f>C6*$D$14*'INPUT DATA SHEET'!$C$40</f>
        <v>48.934336380000005</v>
      </c>
      <c r="G6" s="48">
        <f>SUM(D6:F6)</f>
        <v>97.86867276000001</v>
      </c>
    </row>
    <row r="7" spans="2:12">
      <c r="B7" s="49" t="s">
        <v>8</v>
      </c>
      <c r="C7" s="141">
        <f>1-C6</f>
        <v>0.7</v>
      </c>
      <c r="D7" s="133">
        <f>C7*$D$12*'INPUT DATA SHEET'!$C$40</f>
        <v>11.418011821999999</v>
      </c>
      <c r="E7" s="133">
        <f>C7*$D$13*'INPUT DATA SHEET'!$C$40</f>
        <v>102.76210639799999</v>
      </c>
      <c r="F7" s="133">
        <f>C7*$D$14*'INPUT DATA SHEET'!$C$40</f>
        <v>114.18011821999998</v>
      </c>
      <c r="G7" s="48">
        <f>SUM(D7:F7)</f>
        <v>228.36023643999997</v>
      </c>
    </row>
    <row r="8" spans="2:12">
      <c r="B8" s="50" t="s">
        <v>29</v>
      </c>
      <c r="C8" s="51"/>
      <c r="D8" s="52">
        <f>SUM(D6:D7)</f>
        <v>16.311445459999998</v>
      </c>
      <c r="E8" s="52">
        <f t="shared" ref="E8:F8" si="0">SUM(E6:E7)</f>
        <v>146.80300914</v>
      </c>
      <c r="F8" s="52">
        <f t="shared" si="0"/>
        <v>163.11445459999999</v>
      </c>
      <c r="G8" s="53">
        <f>SUM(G6:G7)</f>
        <v>326.22890919999998</v>
      </c>
    </row>
    <row r="9" spans="2:12">
      <c r="B9" s="116"/>
    </row>
    <row r="10" spans="2:12" ht="13.5" thickBot="1">
      <c r="B10" s="126" t="s">
        <v>132</v>
      </c>
    </row>
    <row r="11" spans="2:12" ht="51">
      <c r="B11" s="349" t="s">
        <v>133</v>
      </c>
      <c r="C11" s="350"/>
      <c r="D11" s="142" t="s">
        <v>134</v>
      </c>
      <c r="E11" s="143" t="s">
        <v>135</v>
      </c>
      <c r="F11" s="142" t="s">
        <v>136</v>
      </c>
      <c r="G11" s="142" t="s">
        <v>137</v>
      </c>
      <c r="H11" s="142" t="s">
        <v>138</v>
      </c>
      <c r="I11" s="144" t="s">
        <v>139</v>
      </c>
      <c r="K11" s="16"/>
      <c r="L11" s="16"/>
    </row>
    <row r="12" spans="2:12">
      <c r="B12" s="145">
        <v>1</v>
      </c>
      <c r="C12" s="136">
        <f>'INPUT DATA SHEET'!$C$52</f>
        <v>40268</v>
      </c>
      <c r="D12" s="121">
        <f>'INPUT DATA SHEET'!$C$55</f>
        <v>0.05</v>
      </c>
      <c r="E12" s="137">
        <f>D12*'INPUT DATA SHEET'!$C$11</f>
        <v>6.7984000000000009</v>
      </c>
      <c r="F12" s="115">
        <v>0</v>
      </c>
      <c r="G12" s="115">
        <f>E12+F12</f>
        <v>6.7984000000000009</v>
      </c>
      <c r="H12" s="138">
        <f>(('INPUT DATA SHEET'!$C$10+'INPUT DATA SHEET'!$C$11+'INPUT DATA SHEET'!$C$19+'INPUT DATA SHEET'!$C$23)-'INPUT DATA SHEET'!$C$11)*D12</f>
        <v>7.5682959999999984</v>
      </c>
      <c r="I12" s="146">
        <f>G12+H12</f>
        <v>14.366695999999999</v>
      </c>
      <c r="K12" s="339"/>
    </row>
    <row r="13" spans="2:12">
      <c r="B13" s="145">
        <v>2</v>
      </c>
      <c r="C13" s="136">
        <f>EOMONTH(C12,12)</f>
        <v>40633</v>
      </c>
      <c r="D13" s="121">
        <f>'INPUT DATA SHEET'!$C$56</f>
        <v>0.45</v>
      </c>
      <c r="E13" s="137">
        <f>D13*'INPUT DATA SHEET'!$C$11</f>
        <v>61.185600000000008</v>
      </c>
      <c r="F13" s="138">
        <f>50%*'INPUT DATA SHEET'!C36</f>
        <v>3.9975000000000001</v>
      </c>
      <c r="G13" s="115">
        <f>E13+F13</f>
        <v>65.18310000000001</v>
      </c>
      <c r="H13" s="138">
        <f>(('INPUT DATA SHEET'!$C$10+'INPUT DATA SHEET'!$C$11+'INPUT DATA SHEET'!$C$19+'INPUT DATA SHEET'!$C$23)-'INPUT DATA SHEET'!$C$11)*D13</f>
        <v>68.114663999999991</v>
      </c>
      <c r="I13" s="146">
        <f>G13+H13</f>
        <v>133.297764</v>
      </c>
      <c r="K13" s="339"/>
    </row>
    <row r="14" spans="2:12">
      <c r="B14" s="145">
        <v>3</v>
      </c>
      <c r="C14" s="136">
        <f>EOMONTH(C13,12)</f>
        <v>40999</v>
      </c>
      <c r="D14" s="121">
        <f>'INPUT DATA SHEET'!$C$57</f>
        <v>0.5</v>
      </c>
      <c r="E14" s="137">
        <f>D14*'INPUT DATA SHEET'!$C$11</f>
        <v>67.984000000000009</v>
      </c>
      <c r="F14" s="138">
        <f>50%*'INPUT DATA SHEET'!C36</f>
        <v>3.9975000000000001</v>
      </c>
      <c r="G14" s="115">
        <f>E14+F14</f>
        <v>71.981500000000011</v>
      </c>
      <c r="H14" s="138">
        <f>(('INPUT DATA SHEET'!$C$10+'INPUT DATA SHEET'!$C$11+'INPUT DATA SHEET'!$C$19+'INPUT DATA SHEET'!$C$23)-'INPUT DATA SHEET'!$C$11)*D14</f>
        <v>75.68295999999998</v>
      </c>
      <c r="I14" s="146">
        <f>G14+H14</f>
        <v>147.66445999999999</v>
      </c>
      <c r="K14" s="339"/>
    </row>
    <row r="15" spans="2:12" ht="13.5" thickBot="1">
      <c r="B15" s="147" t="s">
        <v>140</v>
      </c>
      <c r="C15" s="148"/>
      <c r="D15" s="149">
        <f t="shared" ref="D15:I15" si="1">SUM(D12:D14)</f>
        <v>1</v>
      </c>
      <c r="E15" s="150">
        <f t="shared" si="1"/>
        <v>135.96800000000002</v>
      </c>
      <c r="F15" s="299">
        <f t="shared" si="1"/>
        <v>7.9950000000000001</v>
      </c>
      <c r="G15" s="151">
        <f t="shared" si="1"/>
        <v>143.96300000000002</v>
      </c>
      <c r="H15" s="151">
        <f t="shared" si="1"/>
        <v>151.36591999999996</v>
      </c>
      <c r="I15" s="152">
        <f t="shared" si="1"/>
        <v>295.32891999999998</v>
      </c>
    </row>
    <row r="16" spans="2:12">
      <c r="F16" s="122"/>
      <c r="G16" s="122"/>
    </row>
    <row r="17" spans="2:9">
      <c r="B17" s="116" t="s">
        <v>141</v>
      </c>
    </row>
    <row r="18" spans="2:9">
      <c r="B18" s="116"/>
    </row>
    <row r="19" spans="2:9">
      <c r="B19" s="116"/>
      <c r="D19" s="117"/>
      <c r="E19" s="118" t="s">
        <v>142</v>
      </c>
      <c r="F19" s="119">
        <f>'INPUT DATA SHEET'!C87</f>
        <v>0.12</v>
      </c>
    </row>
    <row r="20" spans="2:9" ht="13.5" thickBot="1"/>
    <row r="21" spans="2:9" ht="38.25">
      <c r="B21" s="351" t="s">
        <v>133</v>
      </c>
      <c r="C21" s="352"/>
      <c r="D21" s="352" t="s">
        <v>143</v>
      </c>
      <c r="E21" s="352"/>
      <c r="F21" s="142" t="s">
        <v>4</v>
      </c>
      <c r="G21" s="142" t="s">
        <v>144</v>
      </c>
      <c r="H21" s="142" t="s">
        <v>145</v>
      </c>
      <c r="I21" s="144" t="s">
        <v>5</v>
      </c>
    </row>
    <row r="22" spans="2:9">
      <c r="B22" s="145">
        <v>1</v>
      </c>
      <c r="C22" s="136">
        <f>C12</f>
        <v>40268</v>
      </c>
      <c r="D22" s="123">
        <f>'INPUT DATA SHEET'!$C$95</f>
        <v>0.7</v>
      </c>
      <c r="E22" s="124">
        <f>I12*D22</f>
        <v>10.056687199999999</v>
      </c>
      <c r="F22" s="124">
        <v>0</v>
      </c>
      <c r="G22" s="124">
        <f>E22</f>
        <v>10.056687199999999</v>
      </c>
      <c r="H22" s="124">
        <f>(F22*$F$19)+(G22*$F$19/2)</f>
        <v>0.60340123199999995</v>
      </c>
      <c r="I22" s="153">
        <f>F22+G22+H22</f>
        <v>10.660088431999998</v>
      </c>
    </row>
    <row r="23" spans="2:9">
      <c r="B23" s="145">
        <v>2</v>
      </c>
      <c r="C23" s="136">
        <f>C13</f>
        <v>40633</v>
      </c>
      <c r="D23" s="123">
        <f>'INPUT DATA SHEET'!$C$95</f>
        <v>0.7</v>
      </c>
      <c r="E23" s="124">
        <f>I13*D23</f>
        <v>93.308434800000001</v>
      </c>
      <c r="F23" s="124">
        <f>I22</f>
        <v>10.660088431999998</v>
      </c>
      <c r="G23" s="124">
        <f>E23</f>
        <v>93.308434800000001</v>
      </c>
      <c r="H23" s="124">
        <f>(F23*$F$19)+(G23*$F$19/2)</f>
        <v>6.8777166998399997</v>
      </c>
      <c r="I23" s="153">
        <f>F23+G23+H23</f>
        <v>110.84623993183999</v>
      </c>
    </row>
    <row r="24" spans="2:9">
      <c r="B24" s="145">
        <v>3</v>
      </c>
      <c r="C24" s="136">
        <f>C14</f>
        <v>40999</v>
      </c>
      <c r="D24" s="123">
        <f>'INPUT DATA SHEET'!$C$95</f>
        <v>0.7</v>
      </c>
      <c r="E24" s="124">
        <f>I14*D24</f>
        <v>103.36512199999999</v>
      </c>
      <c r="F24" s="124">
        <f>I23</f>
        <v>110.84623993183999</v>
      </c>
      <c r="G24" s="124">
        <f>E24</f>
        <v>103.36512199999999</v>
      </c>
      <c r="H24" s="124">
        <f>(F24*$F$19)+(G24*$F$19/2)</f>
        <v>19.503456111820796</v>
      </c>
      <c r="I24" s="153">
        <f>F24+G24+H24</f>
        <v>233.71481804366078</v>
      </c>
    </row>
    <row r="25" spans="2:9" ht="13.5" thickBot="1">
      <c r="B25" s="154"/>
      <c r="C25" s="155"/>
      <c r="D25" s="155"/>
      <c r="E25" s="156">
        <f>SUM(E22:E24)</f>
        <v>206.73024399999997</v>
      </c>
      <c r="F25" s="155"/>
      <c r="G25" s="155"/>
      <c r="H25" s="157">
        <f>SUM(H22:H24)</f>
        <v>26.984574043660796</v>
      </c>
      <c r="I25" s="158"/>
    </row>
    <row r="26" spans="2:9">
      <c r="B26" s="117" t="s">
        <v>146</v>
      </c>
    </row>
    <row r="28" spans="2:9">
      <c r="B28" s="37"/>
      <c r="C28" s="37"/>
      <c r="D28" s="37"/>
      <c r="E28" s="37"/>
      <c r="F28" s="129"/>
      <c r="G28" s="159"/>
      <c r="H28" s="159"/>
      <c r="I28" s="128"/>
    </row>
    <row r="29" spans="2:9">
      <c r="B29" s="127"/>
      <c r="C29" s="120"/>
      <c r="D29" s="128"/>
      <c r="E29" s="128"/>
      <c r="F29" s="160"/>
      <c r="G29" s="160"/>
      <c r="H29" s="128"/>
      <c r="I29" s="128"/>
    </row>
  </sheetData>
  <mergeCells count="7">
    <mergeCell ref="K12:K14"/>
    <mergeCell ref="B5:C5"/>
    <mergeCell ref="B2:C2"/>
    <mergeCell ref="B11:C11"/>
    <mergeCell ref="B21:C21"/>
    <mergeCell ref="D21:E21"/>
    <mergeCell ref="B3:C3"/>
  </mergeCells>
  <pageMargins left="0.7" right="0.7" top="0.75" bottom="0.75" header="0.3" footer="0.3"/>
  <ignoredErrors>
    <ignoredError sqref="H12 H13:H1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2:AS78"/>
  <sheetViews>
    <sheetView topLeftCell="A56" zoomScaleNormal="100" workbookViewId="0">
      <selection activeCell="B85" sqref="B85"/>
    </sheetView>
  </sheetViews>
  <sheetFormatPr defaultRowHeight="12.75"/>
  <cols>
    <col min="1" max="1" width="9.140625" style="16"/>
    <col min="2" max="2" width="43.7109375" style="16" customWidth="1"/>
    <col min="3" max="3" width="10.42578125" style="16" customWidth="1"/>
    <col min="4" max="4" width="11.7109375" style="16" customWidth="1"/>
    <col min="5" max="6" width="9.85546875" style="16" bestFit="1" customWidth="1"/>
    <col min="7" max="7" width="9.7109375" style="16" customWidth="1"/>
    <col min="8" max="8" width="10.42578125" style="16" customWidth="1"/>
    <col min="9" max="9" width="9.7109375" style="16" customWidth="1"/>
    <col min="10" max="10" width="10.140625" style="16" customWidth="1"/>
    <col min="11" max="11" width="9.85546875" style="16" customWidth="1"/>
    <col min="12" max="12" width="9.5703125" style="16" customWidth="1"/>
    <col min="13" max="13" width="11.28515625" style="16" customWidth="1"/>
    <col min="14" max="15" width="9.5703125" style="16" customWidth="1"/>
    <col min="16" max="21" width="10.7109375" style="16" customWidth="1"/>
    <col min="22" max="22" width="9.85546875" style="16" customWidth="1"/>
    <col min="23" max="23" width="10.7109375" style="16" customWidth="1"/>
    <col min="24" max="41" width="9.140625" style="16"/>
    <col min="42" max="42" width="10.42578125" style="16" customWidth="1"/>
    <col min="43" max="43" width="10.28515625" style="16" customWidth="1"/>
    <col min="44" max="16384" width="9.140625" style="16"/>
  </cols>
  <sheetData>
    <row r="2" spans="2:45">
      <c r="B2" s="161" t="str">
        <f>'INPUT DATA SHEET'!B2</f>
        <v>ALEO - II HEP 2 X 2400 KW</v>
      </c>
      <c r="C2" s="41"/>
    </row>
    <row r="3" spans="2:45">
      <c r="B3" s="162"/>
      <c r="C3" s="41"/>
      <c r="M3" s="163"/>
      <c r="N3" s="163"/>
      <c r="O3" s="163"/>
      <c r="P3" s="163"/>
      <c r="Q3" s="163"/>
      <c r="R3" s="163"/>
      <c r="S3" s="163"/>
      <c r="T3" s="163"/>
      <c r="U3" s="163"/>
      <c r="V3" s="163"/>
    </row>
    <row r="4" spans="2:45">
      <c r="C4" s="164"/>
      <c r="D4" s="183"/>
      <c r="E4" s="165"/>
      <c r="M4" s="163"/>
      <c r="N4" s="163"/>
      <c r="O4" s="163"/>
      <c r="P4" s="163"/>
      <c r="Q4" s="163"/>
      <c r="R4" s="163"/>
      <c r="S4" s="163"/>
      <c r="T4" s="163"/>
      <c r="U4" s="163"/>
      <c r="V4" s="163"/>
    </row>
    <row r="5" spans="2:45" ht="20.100000000000001" customHeight="1">
      <c r="B5" s="166" t="s">
        <v>31</v>
      </c>
      <c r="C5" s="41"/>
      <c r="D5" s="41"/>
      <c r="E5" s="167"/>
      <c r="P5" s="168"/>
    </row>
    <row r="6" spans="2:45">
      <c r="B6" s="41"/>
      <c r="C6" s="167"/>
      <c r="D6" s="41"/>
      <c r="E6" s="72"/>
      <c r="N6" s="16" t="s">
        <v>43</v>
      </c>
      <c r="V6" s="16" t="s">
        <v>43</v>
      </c>
    </row>
    <row r="7" spans="2:45" ht="15" customHeight="1">
      <c r="B7" s="169"/>
      <c r="C7" s="170"/>
      <c r="D7" s="170">
        <f>1</f>
        <v>1</v>
      </c>
      <c r="E7" s="170">
        <f t="shared" ref="E7:AG7" si="0">D7+1</f>
        <v>2</v>
      </c>
      <c r="F7" s="170">
        <f t="shared" si="0"/>
        <v>3</v>
      </c>
      <c r="G7" s="170">
        <f t="shared" si="0"/>
        <v>4</v>
      </c>
      <c r="H7" s="170">
        <f t="shared" si="0"/>
        <v>5</v>
      </c>
      <c r="I7" s="170">
        <f t="shared" si="0"/>
        <v>6</v>
      </c>
      <c r="J7" s="170">
        <f t="shared" si="0"/>
        <v>7</v>
      </c>
      <c r="K7" s="170">
        <f t="shared" si="0"/>
        <v>8</v>
      </c>
      <c r="L7" s="170">
        <f t="shared" si="0"/>
        <v>9</v>
      </c>
      <c r="M7" s="170">
        <f t="shared" si="0"/>
        <v>10</v>
      </c>
      <c r="N7" s="170">
        <f t="shared" si="0"/>
        <v>11</v>
      </c>
      <c r="O7" s="170">
        <f t="shared" si="0"/>
        <v>12</v>
      </c>
      <c r="P7" s="170">
        <f t="shared" si="0"/>
        <v>13</v>
      </c>
      <c r="Q7" s="170">
        <f t="shared" si="0"/>
        <v>14</v>
      </c>
      <c r="R7" s="170">
        <f t="shared" si="0"/>
        <v>15</v>
      </c>
      <c r="S7" s="170">
        <f t="shared" si="0"/>
        <v>16</v>
      </c>
      <c r="T7" s="170">
        <f t="shared" si="0"/>
        <v>17</v>
      </c>
      <c r="U7" s="170">
        <f t="shared" si="0"/>
        <v>18</v>
      </c>
      <c r="V7" s="170">
        <f t="shared" si="0"/>
        <v>19</v>
      </c>
      <c r="W7" s="170">
        <f t="shared" si="0"/>
        <v>20</v>
      </c>
      <c r="X7" s="170">
        <f t="shared" si="0"/>
        <v>21</v>
      </c>
      <c r="Y7" s="170">
        <f t="shared" si="0"/>
        <v>22</v>
      </c>
      <c r="Z7" s="170">
        <f t="shared" si="0"/>
        <v>23</v>
      </c>
      <c r="AA7" s="170">
        <f t="shared" si="0"/>
        <v>24</v>
      </c>
      <c r="AB7" s="170">
        <f t="shared" si="0"/>
        <v>25</v>
      </c>
      <c r="AC7" s="170">
        <f t="shared" si="0"/>
        <v>26</v>
      </c>
      <c r="AD7" s="170">
        <f t="shared" si="0"/>
        <v>27</v>
      </c>
      <c r="AE7" s="170">
        <f t="shared" si="0"/>
        <v>28</v>
      </c>
      <c r="AF7" s="170">
        <f t="shared" si="0"/>
        <v>29</v>
      </c>
      <c r="AG7" s="170">
        <f t="shared" si="0"/>
        <v>30</v>
      </c>
      <c r="AH7" s="170">
        <f t="shared" ref="AH7:AQ7" si="1">AG7+1</f>
        <v>31</v>
      </c>
      <c r="AI7" s="170">
        <f t="shared" si="1"/>
        <v>32</v>
      </c>
      <c r="AJ7" s="170">
        <f t="shared" si="1"/>
        <v>33</v>
      </c>
      <c r="AK7" s="170">
        <f t="shared" si="1"/>
        <v>34</v>
      </c>
      <c r="AL7" s="170">
        <f t="shared" si="1"/>
        <v>35</v>
      </c>
      <c r="AM7" s="170">
        <f t="shared" si="1"/>
        <v>36</v>
      </c>
      <c r="AN7" s="170">
        <f t="shared" si="1"/>
        <v>37</v>
      </c>
      <c r="AO7" s="170">
        <f t="shared" si="1"/>
        <v>38</v>
      </c>
      <c r="AP7" s="170">
        <f t="shared" si="1"/>
        <v>39</v>
      </c>
      <c r="AQ7" s="238">
        <f t="shared" si="1"/>
        <v>40</v>
      </c>
      <c r="AR7" s="237"/>
      <c r="AS7" s="237"/>
    </row>
    <row r="8" spans="2:45" ht="15" customHeight="1" thickBot="1">
      <c r="B8" s="171" t="s">
        <v>64</v>
      </c>
      <c r="C8" s="172"/>
      <c r="D8" s="172">
        <v>41364</v>
      </c>
      <c r="E8" s="172">
        <f t="shared" ref="E8:AQ8" si="2">EOMONTH(D8,12)</f>
        <v>41729</v>
      </c>
      <c r="F8" s="172">
        <f t="shared" si="2"/>
        <v>42094</v>
      </c>
      <c r="G8" s="172">
        <f t="shared" si="2"/>
        <v>42460</v>
      </c>
      <c r="H8" s="172">
        <f t="shared" si="2"/>
        <v>42825</v>
      </c>
      <c r="I8" s="172">
        <f t="shared" si="2"/>
        <v>43190</v>
      </c>
      <c r="J8" s="172">
        <f t="shared" si="2"/>
        <v>43555</v>
      </c>
      <c r="K8" s="172">
        <f t="shared" si="2"/>
        <v>43921</v>
      </c>
      <c r="L8" s="172">
        <f t="shared" si="2"/>
        <v>44286</v>
      </c>
      <c r="M8" s="172">
        <f t="shared" si="2"/>
        <v>44651</v>
      </c>
      <c r="N8" s="172">
        <f t="shared" si="2"/>
        <v>45016</v>
      </c>
      <c r="O8" s="172">
        <f t="shared" si="2"/>
        <v>45382</v>
      </c>
      <c r="P8" s="172">
        <f t="shared" si="2"/>
        <v>45747</v>
      </c>
      <c r="Q8" s="172">
        <f t="shared" si="2"/>
        <v>46112</v>
      </c>
      <c r="R8" s="172">
        <f t="shared" si="2"/>
        <v>46477</v>
      </c>
      <c r="S8" s="172">
        <f t="shared" si="2"/>
        <v>46843</v>
      </c>
      <c r="T8" s="172">
        <f t="shared" si="2"/>
        <v>47208</v>
      </c>
      <c r="U8" s="172">
        <f t="shared" si="2"/>
        <v>47573</v>
      </c>
      <c r="V8" s="172">
        <f t="shared" si="2"/>
        <v>47938</v>
      </c>
      <c r="W8" s="172">
        <f t="shared" si="2"/>
        <v>48304</v>
      </c>
      <c r="X8" s="172">
        <f t="shared" si="2"/>
        <v>48669</v>
      </c>
      <c r="Y8" s="172">
        <f t="shared" si="2"/>
        <v>49034</v>
      </c>
      <c r="Z8" s="172">
        <f t="shared" si="2"/>
        <v>49399</v>
      </c>
      <c r="AA8" s="172">
        <f t="shared" si="2"/>
        <v>49765</v>
      </c>
      <c r="AB8" s="172">
        <f t="shared" si="2"/>
        <v>50130</v>
      </c>
      <c r="AC8" s="172">
        <f t="shared" si="2"/>
        <v>50495</v>
      </c>
      <c r="AD8" s="172">
        <f t="shared" si="2"/>
        <v>50860</v>
      </c>
      <c r="AE8" s="172">
        <f t="shared" si="2"/>
        <v>51226</v>
      </c>
      <c r="AF8" s="172">
        <f t="shared" si="2"/>
        <v>51591</v>
      </c>
      <c r="AG8" s="172">
        <f t="shared" si="2"/>
        <v>51956</v>
      </c>
      <c r="AH8" s="172">
        <f t="shared" si="2"/>
        <v>52321</v>
      </c>
      <c r="AI8" s="172">
        <f t="shared" si="2"/>
        <v>52687</v>
      </c>
      <c r="AJ8" s="172">
        <f t="shared" si="2"/>
        <v>53052</v>
      </c>
      <c r="AK8" s="172">
        <f t="shared" si="2"/>
        <v>53417</v>
      </c>
      <c r="AL8" s="172">
        <f t="shared" si="2"/>
        <v>53782</v>
      </c>
      <c r="AM8" s="172">
        <f t="shared" si="2"/>
        <v>54148</v>
      </c>
      <c r="AN8" s="172">
        <f t="shared" si="2"/>
        <v>54513</v>
      </c>
      <c r="AO8" s="172">
        <f t="shared" si="2"/>
        <v>54878</v>
      </c>
      <c r="AP8" s="172">
        <f t="shared" si="2"/>
        <v>55243</v>
      </c>
      <c r="AQ8" s="172">
        <f t="shared" si="2"/>
        <v>55609</v>
      </c>
    </row>
    <row r="9" spans="2:45" ht="15" customHeight="1">
      <c r="B9" s="54" t="s">
        <v>59</v>
      </c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Y9" s="168"/>
    </row>
    <row r="10" spans="2:45" ht="15" customHeight="1">
      <c r="B10" s="174" t="s">
        <v>55</v>
      </c>
      <c r="C10" s="175"/>
      <c r="D10" s="175">
        <f>MIN((D8-'INPUT DATA SHEET'!$C$67),365)*24</f>
        <v>8760</v>
      </c>
      <c r="E10" s="175">
        <f t="shared" ref="E10:V10" si="3">MAX((E8-D8)*24,8760)</f>
        <v>8760</v>
      </c>
      <c r="F10" s="175">
        <f t="shared" si="3"/>
        <v>8760</v>
      </c>
      <c r="G10" s="175">
        <f t="shared" si="3"/>
        <v>8784</v>
      </c>
      <c r="H10" s="175">
        <f t="shared" si="3"/>
        <v>8760</v>
      </c>
      <c r="I10" s="175">
        <f t="shared" si="3"/>
        <v>8760</v>
      </c>
      <c r="J10" s="175">
        <f t="shared" si="3"/>
        <v>8760</v>
      </c>
      <c r="K10" s="175">
        <f t="shared" si="3"/>
        <v>8784</v>
      </c>
      <c r="L10" s="175">
        <f t="shared" si="3"/>
        <v>8760</v>
      </c>
      <c r="M10" s="175">
        <f t="shared" si="3"/>
        <v>8760</v>
      </c>
      <c r="N10" s="175">
        <f t="shared" si="3"/>
        <v>8760</v>
      </c>
      <c r="O10" s="175">
        <f t="shared" si="3"/>
        <v>8784</v>
      </c>
      <c r="P10" s="175">
        <f t="shared" si="3"/>
        <v>8760</v>
      </c>
      <c r="Q10" s="175">
        <f t="shared" si="3"/>
        <v>8760</v>
      </c>
      <c r="R10" s="175">
        <f t="shared" si="3"/>
        <v>8760</v>
      </c>
      <c r="S10" s="175">
        <f t="shared" si="3"/>
        <v>8784</v>
      </c>
      <c r="T10" s="175">
        <f t="shared" si="3"/>
        <v>8760</v>
      </c>
      <c r="U10" s="175">
        <f t="shared" si="3"/>
        <v>8760</v>
      </c>
      <c r="V10" s="175">
        <f t="shared" si="3"/>
        <v>8760</v>
      </c>
      <c r="W10" s="175">
        <f t="shared" ref="W10:AH10" si="4">MAX((W8-V8)*24,8760)</f>
        <v>8784</v>
      </c>
      <c r="X10" s="175">
        <f t="shared" si="4"/>
        <v>8760</v>
      </c>
      <c r="Y10" s="175">
        <f t="shared" si="4"/>
        <v>8760</v>
      </c>
      <c r="Z10" s="175">
        <f t="shared" si="4"/>
        <v>8760</v>
      </c>
      <c r="AA10" s="175">
        <f t="shared" si="4"/>
        <v>8784</v>
      </c>
      <c r="AB10" s="175">
        <f t="shared" si="4"/>
        <v>8760</v>
      </c>
      <c r="AC10" s="175">
        <f t="shared" si="4"/>
        <v>8760</v>
      </c>
      <c r="AD10" s="175">
        <f t="shared" si="4"/>
        <v>8760</v>
      </c>
      <c r="AE10" s="175">
        <f t="shared" si="4"/>
        <v>8784</v>
      </c>
      <c r="AF10" s="175">
        <f t="shared" si="4"/>
        <v>8760</v>
      </c>
      <c r="AG10" s="175">
        <f t="shared" si="4"/>
        <v>8760</v>
      </c>
      <c r="AH10" s="175">
        <f t="shared" si="4"/>
        <v>8760</v>
      </c>
      <c r="AI10" s="175">
        <f t="shared" ref="AI10:AP10" si="5">MAX((AI8-AH8)*24,8760)</f>
        <v>8784</v>
      </c>
      <c r="AJ10" s="175">
        <f t="shared" si="5"/>
        <v>8760</v>
      </c>
      <c r="AK10" s="175">
        <f t="shared" si="5"/>
        <v>8760</v>
      </c>
      <c r="AL10" s="175">
        <f t="shared" si="5"/>
        <v>8760</v>
      </c>
      <c r="AM10" s="175">
        <f t="shared" si="5"/>
        <v>8784</v>
      </c>
      <c r="AN10" s="175">
        <f t="shared" si="5"/>
        <v>8760</v>
      </c>
      <c r="AO10" s="175">
        <f t="shared" si="5"/>
        <v>8760</v>
      </c>
      <c r="AP10" s="175">
        <f t="shared" si="5"/>
        <v>8760</v>
      </c>
      <c r="AQ10" s="175">
        <f>AP10-C10</f>
        <v>8760</v>
      </c>
    </row>
    <row r="11" spans="2:45" ht="15" customHeight="1">
      <c r="B11" s="174" t="s">
        <v>108</v>
      </c>
      <c r="C11" s="176"/>
      <c r="D11" s="176">
        <f>'INPUT DATA SHEET'!$C$71*'INPUT DATA SHEET'!$C$66*'p&amp;l'!D10/1000</f>
        <v>21.179577599999998</v>
      </c>
      <c r="E11" s="176">
        <f>'INPUT DATA SHEET'!$C$71*'INPUT DATA SHEET'!$C$66*'p&amp;l'!E10/1000</f>
        <v>21.179577599999998</v>
      </c>
      <c r="F11" s="176">
        <f>'INPUT DATA SHEET'!$C$71*'INPUT DATA SHEET'!$C$66*'p&amp;l'!F10/1000</f>
        <v>21.179577599999998</v>
      </c>
      <c r="G11" s="176">
        <f>'INPUT DATA SHEET'!$C$71*'INPUT DATA SHEET'!$C$66*'p&amp;l'!G10/1000</f>
        <v>21.237603839999995</v>
      </c>
      <c r="H11" s="176">
        <f>'INPUT DATA SHEET'!$C$71*'INPUT DATA SHEET'!$C$66*'p&amp;l'!H10/1000</f>
        <v>21.179577599999998</v>
      </c>
      <c r="I11" s="176">
        <f>'INPUT DATA SHEET'!$C$71*'INPUT DATA SHEET'!$C$66*'p&amp;l'!I10/1000</f>
        <v>21.179577599999998</v>
      </c>
      <c r="J11" s="176">
        <f>'INPUT DATA SHEET'!$C$71*'INPUT DATA SHEET'!$C$66*'p&amp;l'!J10/1000</f>
        <v>21.179577599999998</v>
      </c>
      <c r="K11" s="176">
        <f>'INPUT DATA SHEET'!$C$71*'INPUT DATA SHEET'!$C$66*'p&amp;l'!K10/1000</f>
        <v>21.237603839999995</v>
      </c>
      <c r="L11" s="176">
        <f>'INPUT DATA SHEET'!$C$71*'INPUT DATA SHEET'!$C$66*'p&amp;l'!L10/1000</f>
        <v>21.179577599999998</v>
      </c>
      <c r="M11" s="176">
        <f>'INPUT DATA SHEET'!$C$71*'INPUT DATA SHEET'!$C$66*'p&amp;l'!M10/1000</f>
        <v>21.179577599999998</v>
      </c>
      <c r="N11" s="176">
        <f>'INPUT DATA SHEET'!$C$71*'INPUT DATA SHEET'!$C$66*'p&amp;l'!N10/1000</f>
        <v>21.179577599999998</v>
      </c>
      <c r="O11" s="176">
        <f>'INPUT DATA SHEET'!$C$71*'INPUT DATA SHEET'!$C$66*'p&amp;l'!O10/1000</f>
        <v>21.237603839999995</v>
      </c>
      <c r="P11" s="176">
        <f>'INPUT DATA SHEET'!$C$71*'INPUT DATA SHEET'!$C$66*'p&amp;l'!P10/1000</f>
        <v>21.179577599999998</v>
      </c>
      <c r="Q11" s="176">
        <f>'INPUT DATA SHEET'!$C$71*'INPUT DATA SHEET'!$C$66*'p&amp;l'!Q10/1000</f>
        <v>21.179577599999998</v>
      </c>
      <c r="R11" s="176">
        <f>'INPUT DATA SHEET'!$C$71*'INPUT DATA SHEET'!$C$66*'p&amp;l'!R10/1000</f>
        <v>21.179577599999998</v>
      </c>
      <c r="S11" s="176">
        <f>'INPUT DATA SHEET'!$C$71*'INPUT DATA SHEET'!$C$66*'p&amp;l'!S10/1000</f>
        <v>21.237603839999995</v>
      </c>
      <c r="T11" s="176">
        <f>'INPUT DATA SHEET'!$C$71*'INPUT DATA SHEET'!$C$66*'p&amp;l'!T10/1000</f>
        <v>21.179577599999998</v>
      </c>
      <c r="U11" s="176">
        <f>'INPUT DATA SHEET'!$C$71*'INPUT DATA SHEET'!$C$66*'p&amp;l'!U10/1000</f>
        <v>21.179577599999998</v>
      </c>
      <c r="V11" s="176">
        <f>'INPUT DATA SHEET'!$C$71*'INPUT DATA SHEET'!$C$66*'p&amp;l'!V10/1000</f>
        <v>21.179577599999998</v>
      </c>
      <c r="W11" s="176">
        <f>'INPUT DATA SHEET'!$C$71*'INPUT DATA SHEET'!$C$66*'p&amp;l'!W10/1000</f>
        <v>21.237603839999995</v>
      </c>
      <c r="X11" s="176">
        <f>'INPUT DATA SHEET'!$C$71*'INPUT DATA SHEET'!$C$66*'p&amp;l'!X10/1000</f>
        <v>21.179577599999998</v>
      </c>
      <c r="Y11" s="176">
        <f>'INPUT DATA SHEET'!$C$71*'INPUT DATA SHEET'!$C$66*'p&amp;l'!Y10/1000</f>
        <v>21.179577599999998</v>
      </c>
      <c r="Z11" s="176">
        <f>'INPUT DATA SHEET'!$C$71*'INPUT DATA SHEET'!$C$66*'p&amp;l'!Z10/1000</f>
        <v>21.179577599999998</v>
      </c>
      <c r="AA11" s="176">
        <f>'INPUT DATA SHEET'!$C$71*'INPUT DATA SHEET'!$C$66*'p&amp;l'!AA10/1000</f>
        <v>21.237603839999995</v>
      </c>
      <c r="AB11" s="176">
        <f>'INPUT DATA SHEET'!$C$71*'INPUT DATA SHEET'!$C$66*'p&amp;l'!AB10/1000</f>
        <v>21.179577599999998</v>
      </c>
      <c r="AC11" s="176">
        <f>'INPUT DATA SHEET'!$C$71*'INPUT DATA SHEET'!$C$66*'p&amp;l'!AC10/1000</f>
        <v>21.179577599999998</v>
      </c>
      <c r="AD11" s="176">
        <f>'INPUT DATA SHEET'!$C$71*'INPUT DATA SHEET'!$C$66*'p&amp;l'!AD10/1000</f>
        <v>21.179577599999998</v>
      </c>
      <c r="AE11" s="176">
        <f>'INPUT DATA SHEET'!$C$71*'INPUT DATA SHEET'!$C$66*'p&amp;l'!AE10/1000</f>
        <v>21.237603839999995</v>
      </c>
      <c r="AF11" s="176">
        <f>'INPUT DATA SHEET'!$C$71*'INPUT DATA SHEET'!$C$66*'p&amp;l'!AF10/1000</f>
        <v>21.179577599999998</v>
      </c>
      <c r="AG11" s="176">
        <f>'INPUT DATA SHEET'!$C$71*'INPUT DATA SHEET'!$C$66*'p&amp;l'!AG10/1000</f>
        <v>21.179577599999998</v>
      </c>
      <c r="AH11" s="176">
        <f>'INPUT DATA SHEET'!$C$71*'INPUT DATA SHEET'!$C$66*'p&amp;l'!AH10/1000</f>
        <v>21.179577599999998</v>
      </c>
      <c r="AI11" s="176">
        <f>'INPUT DATA SHEET'!$C$71*'INPUT DATA SHEET'!$C$66*'p&amp;l'!AI10/1000</f>
        <v>21.237603839999995</v>
      </c>
      <c r="AJ11" s="176">
        <f>'INPUT DATA SHEET'!$C$71*'INPUT DATA SHEET'!$C$66*'p&amp;l'!AJ10/1000</f>
        <v>21.179577599999998</v>
      </c>
      <c r="AK11" s="176">
        <f>'INPUT DATA SHEET'!$C$71*'INPUT DATA SHEET'!$C$66*'p&amp;l'!AK10/1000</f>
        <v>21.179577599999998</v>
      </c>
      <c r="AL11" s="176">
        <f>'INPUT DATA SHEET'!$C$71*'INPUT DATA SHEET'!$C$66*'p&amp;l'!AL10/1000</f>
        <v>21.179577599999998</v>
      </c>
      <c r="AM11" s="176">
        <f>'INPUT DATA SHEET'!$C$71*'INPUT DATA SHEET'!$C$66*'p&amp;l'!AM10/1000</f>
        <v>21.237603839999995</v>
      </c>
      <c r="AN11" s="176">
        <f>'INPUT DATA SHEET'!$C$71*'INPUT DATA SHEET'!$C$66*'p&amp;l'!AN10/1000</f>
        <v>21.179577599999998</v>
      </c>
      <c r="AO11" s="176">
        <f>'INPUT DATA SHEET'!$C$71*'INPUT DATA SHEET'!$C$66*'p&amp;l'!AO10/1000</f>
        <v>21.179577599999998</v>
      </c>
      <c r="AP11" s="176">
        <f>'INPUT DATA SHEET'!$C$71*'INPUT DATA SHEET'!$C$66*'p&amp;l'!AP10/1000</f>
        <v>21.179577599999998</v>
      </c>
      <c r="AQ11" s="176">
        <f>'INPUT DATA SHEET'!$C$71*'INPUT DATA SHEET'!$C$66*'p&amp;l'!AQ10/1000</f>
        <v>21.179577599999998</v>
      </c>
    </row>
    <row r="12" spans="2:45" ht="15" customHeight="1">
      <c r="B12" s="174" t="s">
        <v>109</v>
      </c>
      <c r="C12" s="176"/>
      <c r="D12" s="176">
        <f>D11*(1-'INPUT DATA SHEET'!$C$73)*(1-'INPUT DATA SHEET'!$C$74)</f>
        <v>20.75810400576</v>
      </c>
      <c r="E12" s="176">
        <f>E11*(1-'INPUT DATA SHEET'!$C$73)*(1-'INPUT DATA SHEET'!$C$74)</f>
        <v>20.75810400576</v>
      </c>
      <c r="F12" s="176">
        <f>F11*(1-'INPUT DATA SHEET'!$C$73)*(1-'INPUT DATA SHEET'!$C$74)</f>
        <v>20.75810400576</v>
      </c>
      <c r="G12" s="176">
        <f>G11*(1-'INPUT DATA SHEET'!$C$73)*(1-'INPUT DATA SHEET'!$C$74)</f>
        <v>20.814975523583996</v>
      </c>
      <c r="H12" s="176">
        <f>H11*(1-'INPUT DATA SHEET'!$C$73)*(1-'INPUT DATA SHEET'!$C$74)</f>
        <v>20.75810400576</v>
      </c>
      <c r="I12" s="176">
        <f>I11*(1-'INPUT DATA SHEET'!$C$73)*(1-'INPUT DATA SHEET'!$C$74)</f>
        <v>20.75810400576</v>
      </c>
      <c r="J12" s="176">
        <f>J11*(1-'INPUT DATA SHEET'!$C$73)*(1-'INPUT DATA SHEET'!$C$74)</f>
        <v>20.75810400576</v>
      </c>
      <c r="K12" s="176">
        <f>K11*(1-'INPUT DATA SHEET'!$C$73)*(1-'INPUT DATA SHEET'!$C$74)</f>
        <v>20.814975523583996</v>
      </c>
      <c r="L12" s="176">
        <f>L11*(1-'INPUT DATA SHEET'!$C$73)*(1-'INPUT DATA SHEET'!$C$74)</f>
        <v>20.75810400576</v>
      </c>
      <c r="M12" s="176">
        <f>M11*(1-'INPUT DATA SHEET'!$C$73)*(1-'INPUT DATA SHEET'!$C$74)</f>
        <v>20.75810400576</v>
      </c>
      <c r="N12" s="176">
        <f>N11*(1-'INPUT DATA SHEET'!$C$73)*(1-'INPUT DATA SHEET'!$C$74)</f>
        <v>20.75810400576</v>
      </c>
      <c r="O12" s="176">
        <f>O11*(1-'INPUT DATA SHEET'!$C$73)*(1-'INPUT DATA SHEET'!$C$74)</f>
        <v>20.814975523583996</v>
      </c>
      <c r="P12" s="176">
        <f>P11*(1-'INPUT DATA SHEET'!$C$73)*(1-'INPUT DATA SHEET'!$C$74)</f>
        <v>20.75810400576</v>
      </c>
      <c r="Q12" s="176">
        <f>Q11*(1-'INPUT DATA SHEET'!$C$73)*(1-'INPUT DATA SHEET'!$C$74)</f>
        <v>20.75810400576</v>
      </c>
      <c r="R12" s="176">
        <f>R11*(1-'INPUT DATA SHEET'!$C$73)*(1-'INPUT DATA SHEET'!$C$74)</f>
        <v>20.75810400576</v>
      </c>
      <c r="S12" s="176">
        <f>S11*(1-'INPUT DATA SHEET'!$C$73)*(1-'INPUT DATA SHEET'!$C$74)</f>
        <v>20.814975523583996</v>
      </c>
      <c r="T12" s="176">
        <f>T11*(1-'INPUT DATA SHEET'!$C$73)*(1-'INPUT DATA SHEET'!$C$74)</f>
        <v>20.75810400576</v>
      </c>
      <c r="U12" s="176">
        <f>U11*(1-'INPUT DATA SHEET'!$C$73)*(1-'INPUT DATA SHEET'!$C$74)</f>
        <v>20.75810400576</v>
      </c>
      <c r="V12" s="176">
        <f>V11*(1-'INPUT DATA SHEET'!$C$73)*(1-'INPUT DATA SHEET'!$C$74)</f>
        <v>20.75810400576</v>
      </c>
      <c r="W12" s="176">
        <f>W11*(1-'INPUT DATA SHEET'!$C$73)*(1-'INPUT DATA SHEET'!$C$74)</f>
        <v>20.814975523583996</v>
      </c>
      <c r="X12" s="176">
        <f>X11*(1-'INPUT DATA SHEET'!$C$73)*(1-'INPUT DATA SHEET'!$C$74)</f>
        <v>20.75810400576</v>
      </c>
      <c r="Y12" s="176">
        <f>Y11*(1-'INPUT DATA SHEET'!$C$73)*(1-'INPUT DATA SHEET'!$C$74)</f>
        <v>20.75810400576</v>
      </c>
      <c r="Z12" s="176">
        <f>Z11*(1-'INPUT DATA SHEET'!$C$73)*(1-'INPUT DATA SHEET'!$C$74)</f>
        <v>20.75810400576</v>
      </c>
      <c r="AA12" s="176">
        <f>AA11*(1-'INPUT DATA SHEET'!$C$73)*(1-'INPUT DATA SHEET'!$C$74)</f>
        <v>20.814975523583996</v>
      </c>
      <c r="AB12" s="176">
        <f>AB11*(1-'INPUT DATA SHEET'!$C$73)*(1-'INPUT DATA SHEET'!$C$74)</f>
        <v>20.75810400576</v>
      </c>
      <c r="AC12" s="176">
        <f>AC11*(1-'INPUT DATA SHEET'!$C$73)*(1-'INPUT DATA SHEET'!$C$74)</f>
        <v>20.75810400576</v>
      </c>
      <c r="AD12" s="176">
        <f>AD11*(1-'INPUT DATA SHEET'!$C$73)*(1-'INPUT DATA SHEET'!$C$74)</f>
        <v>20.75810400576</v>
      </c>
      <c r="AE12" s="176">
        <f>AE11*(1-'INPUT DATA SHEET'!$C$73)*(1-'INPUT DATA SHEET'!$C$74)</f>
        <v>20.814975523583996</v>
      </c>
      <c r="AF12" s="176">
        <f>AF11*(1-'INPUT DATA SHEET'!$C$73)*(1-'INPUT DATA SHEET'!$C$74)</f>
        <v>20.75810400576</v>
      </c>
      <c r="AG12" s="176">
        <f>AG11*(1-'INPUT DATA SHEET'!$C$73)*(1-'INPUT DATA SHEET'!$C$74)</f>
        <v>20.75810400576</v>
      </c>
      <c r="AH12" s="176">
        <f>AH11*(1-'INPUT DATA SHEET'!$C$73)*(1-'INPUT DATA SHEET'!$C$74)</f>
        <v>20.75810400576</v>
      </c>
      <c r="AI12" s="176">
        <f>AI11*(1-'INPUT DATA SHEET'!$C$73)*(1-'INPUT DATA SHEET'!$C$74)</f>
        <v>20.814975523583996</v>
      </c>
      <c r="AJ12" s="176">
        <f>AJ11*(1-'INPUT DATA SHEET'!$C$73)*(1-'INPUT DATA SHEET'!$C$74)</f>
        <v>20.75810400576</v>
      </c>
      <c r="AK12" s="176">
        <f>AK11*(1-'INPUT DATA SHEET'!$C$73)*(1-'INPUT DATA SHEET'!$C$74)</f>
        <v>20.75810400576</v>
      </c>
      <c r="AL12" s="176">
        <f>AL11*(1-'INPUT DATA SHEET'!$C$73)*(1-'INPUT DATA SHEET'!$C$74)</f>
        <v>20.75810400576</v>
      </c>
      <c r="AM12" s="176">
        <f>AM11*(1-'INPUT DATA SHEET'!$C$73)*(1-'INPUT DATA SHEET'!$C$74)</f>
        <v>20.814975523583996</v>
      </c>
      <c r="AN12" s="176">
        <f>AN11*(1-'INPUT DATA SHEET'!$C$73)*(1-'INPUT DATA SHEET'!$C$74)</f>
        <v>20.75810400576</v>
      </c>
      <c r="AO12" s="176">
        <f>AO11*(1-'INPUT DATA SHEET'!$C$73)*(1-'INPUT DATA SHEET'!$C$74)</f>
        <v>20.75810400576</v>
      </c>
      <c r="AP12" s="176">
        <f>AP11*(1-'INPUT DATA SHEET'!$C$73)*(1-'INPUT DATA SHEET'!$C$74)</f>
        <v>20.75810400576</v>
      </c>
      <c r="AQ12" s="176">
        <f>AQ11*(1-'INPUT DATA SHEET'!$C$73)*(1-'INPUT DATA SHEET'!$C$74)</f>
        <v>20.75810400576</v>
      </c>
    </row>
    <row r="13" spans="2:45" ht="15" customHeight="1">
      <c r="B13" s="174" t="s">
        <v>102</v>
      </c>
      <c r="C13" s="177"/>
      <c r="D13" s="177">
        <f>'INPUT DATA SHEET'!$C$76</f>
        <v>0.09</v>
      </c>
      <c r="E13" s="177">
        <f>'INPUT DATA SHEET'!$C$76</f>
        <v>0.09</v>
      </c>
      <c r="F13" s="177">
        <f>'INPUT DATA SHEET'!$C$76</f>
        <v>0.09</v>
      </c>
      <c r="G13" s="177">
        <f>'INPUT DATA SHEET'!$C$76</f>
        <v>0.09</v>
      </c>
      <c r="H13" s="177">
        <f>'INPUT DATA SHEET'!$C$76</f>
        <v>0.09</v>
      </c>
      <c r="I13" s="177">
        <f>'INPUT DATA SHEET'!$C$76</f>
        <v>0.09</v>
      </c>
      <c r="J13" s="177">
        <f>'INPUT DATA SHEET'!$C$76</f>
        <v>0.09</v>
      </c>
      <c r="K13" s="177">
        <f>'INPUT DATA SHEET'!$C$76</f>
        <v>0.09</v>
      </c>
      <c r="L13" s="177">
        <f>'INPUT DATA SHEET'!$C$76</f>
        <v>0.09</v>
      </c>
      <c r="M13" s="177">
        <f>'INPUT DATA SHEET'!$C$76</f>
        <v>0.09</v>
      </c>
      <c r="N13" s="177">
        <f>'INPUT DATA SHEET'!$C$76</f>
        <v>0.09</v>
      </c>
      <c r="O13" s="177">
        <f>'INPUT DATA SHEET'!$C$76</f>
        <v>0.09</v>
      </c>
      <c r="P13" s="177">
        <f>'INPUT DATA SHEET'!$C$77</f>
        <v>0.18</v>
      </c>
      <c r="Q13" s="177">
        <f>'INPUT DATA SHEET'!$C$77</f>
        <v>0.18</v>
      </c>
      <c r="R13" s="177">
        <f>'INPUT DATA SHEET'!$C$77</f>
        <v>0.18</v>
      </c>
      <c r="S13" s="177">
        <f>'INPUT DATA SHEET'!$C$77</f>
        <v>0.18</v>
      </c>
      <c r="T13" s="177">
        <f>'INPUT DATA SHEET'!$C$77</f>
        <v>0.18</v>
      </c>
      <c r="U13" s="177">
        <f>'INPUT DATA SHEET'!$C$77</f>
        <v>0.18</v>
      </c>
      <c r="V13" s="177">
        <f>'INPUT DATA SHEET'!$C$77</f>
        <v>0.18</v>
      </c>
      <c r="W13" s="177">
        <f>'INPUT DATA SHEET'!$C$77</f>
        <v>0.18</v>
      </c>
      <c r="X13" s="177">
        <f>'INPUT DATA SHEET'!$C$77</f>
        <v>0.18</v>
      </c>
      <c r="Y13" s="177">
        <f>'INPUT DATA SHEET'!$C$77</f>
        <v>0.18</v>
      </c>
      <c r="Z13" s="177">
        <f>'INPUT DATA SHEET'!$C$77</f>
        <v>0.18</v>
      </c>
      <c r="AA13" s="177">
        <f>'INPUT DATA SHEET'!$C$77</f>
        <v>0.18</v>
      </c>
      <c r="AB13" s="177">
        <f>'INPUT DATA SHEET'!$C$77</f>
        <v>0.18</v>
      </c>
      <c r="AC13" s="177">
        <f>'INPUT DATA SHEET'!$C$77</f>
        <v>0.18</v>
      </c>
      <c r="AD13" s="177">
        <f>'INPUT DATA SHEET'!$C$77</f>
        <v>0.18</v>
      </c>
      <c r="AE13" s="177">
        <f>'INPUT DATA SHEET'!$C$77</f>
        <v>0.18</v>
      </c>
      <c r="AF13" s="177">
        <f>'INPUT DATA SHEET'!$C$77</f>
        <v>0.18</v>
      </c>
      <c r="AG13" s="177">
        <f>'INPUT DATA SHEET'!$C$77</f>
        <v>0.18</v>
      </c>
      <c r="AH13" s="177">
        <f>'INPUT DATA SHEET'!$C$78</f>
        <v>0.27</v>
      </c>
      <c r="AI13" s="177">
        <f>'INPUT DATA SHEET'!$C$78</f>
        <v>0.27</v>
      </c>
      <c r="AJ13" s="177">
        <f>'INPUT DATA SHEET'!$C$78</f>
        <v>0.27</v>
      </c>
      <c r="AK13" s="177">
        <f>'INPUT DATA SHEET'!$C$78</f>
        <v>0.27</v>
      </c>
      <c r="AL13" s="177">
        <f>'INPUT DATA SHEET'!$C$78</f>
        <v>0.27</v>
      </c>
      <c r="AM13" s="177">
        <f>'INPUT DATA SHEET'!$C$78</f>
        <v>0.27</v>
      </c>
      <c r="AN13" s="177">
        <f>'INPUT DATA SHEET'!$C$78</f>
        <v>0.27</v>
      </c>
      <c r="AO13" s="177">
        <f>'INPUT DATA SHEET'!$C$78</f>
        <v>0.27</v>
      </c>
      <c r="AP13" s="177">
        <f>'INPUT DATA SHEET'!$C$78</f>
        <v>0.27</v>
      </c>
      <c r="AQ13" s="177">
        <f>'INPUT DATA SHEET'!$C$78</f>
        <v>0.27</v>
      </c>
    </row>
    <row r="14" spans="2:45" ht="15" customHeight="1">
      <c r="B14" s="174" t="s">
        <v>110</v>
      </c>
      <c r="C14" s="176"/>
      <c r="D14" s="176">
        <f t="shared" ref="D14:AQ14" si="6">D12*(1-D13)</f>
        <v>18.889874645241601</v>
      </c>
      <c r="E14" s="176">
        <f t="shared" si="6"/>
        <v>18.889874645241601</v>
      </c>
      <c r="F14" s="176">
        <f t="shared" si="6"/>
        <v>18.889874645241601</v>
      </c>
      <c r="G14" s="176">
        <f t="shared" si="6"/>
        <v>18.941627726461437</v>
      </c>
      <c r="H14" s="176">
        <f t="shared" si="6"/>
        <v>18.889874645241601</v>
      </c>
      <c r="I14" s="176">
        <f t="shared" si="6"/>
        <v>18.889874645241601</v>
      </c>
      <c r="J14" s="176">
        <f t="shared" si="6"/>
        <v>18.889874645241601</v>
      </c>
      <c r="K14" s="176">
        <f t="shared" si="6"/>
        <v>18.941627726461437</v>
      </c>
      <c r="L14" s="176">
        <f t="shared" si="6"/>
        <v>18.889874645241601</v>
      </c>
      <c r="M14" s="176">
        <f t="shared" si="6"/>
        <v>18.889874645241601</v>
      </c>
      <c r="N14" s="176">
        <f t="shared" si="6"/>
        <v>18.889874645241601</v>
      </c>
      <c r="O14" s="176">
        <f t="shared" si="6"/>
        <v>18.941627726461437</v>
      </c>
      <c r="P14" s="176">
        <f t="shared" si="6"/>
        <v>17.021645284723203</v>
      </c>
      <c r="Q14" s="176">
        <f t="shared" si="6"/>
        <v>17.021645284723203</v>
      </c>
      <c r="R14" s="176">
        <f t="shared" si="6"/>
        <v>17.021645284723203</v>
      </c>
      <c r="S14" s="176">
        <f t="shared" si="6"/>
        <v>17.068279929338878</v>
      </c>
      <c r="T14" s="176">
        <f t="shared" si="6"/>
        <v>17.021645284723203</v>
      </c>
      <c r="U14" s="176">
        <f t="shared" si="6"/>
        <v>17.021645284723203</v>
      </c>
      <c r="V14" s="176">
        <f t="shared" si="6"/>
        <v>17.021645284723203</v>
      </c>
      <c r="W14" s="176">
        <f t="shared" si="6"/>
        <v>17.068279929338878</v>
      </c>
      <c r="X14" s="176">
        <f t="shared" si="6"/>
        <v>17.021645284723203</v>
      </c>
      <c r="Y14" s="176">
        <f t="shared" si="6"/>
        <v>17.021645284723203</v>
      </c>
      <c r="Z14" s="176">
        <f t="shared" si="6"/>
        <v>17.021645284723203</v>
      </c>
      <c r="AA14" s="176">
        <f t="shared" si="6"/>
        <v>17.068279929338878</v>
      </c>
      <c r="AB14" s="176">
        <f t="shared" si="6"/>
        <v>17.021645284723203</v>
      </c>
      <c r="AC14" s="176">
        <f t="shared" si="6"/>
        <v>17.021645284723203</v>
      </c>
      <c r="AD14" s="176">
        <f t="shared" si="6"/>
        <v>17.021645284723203</v>
      </c>
      <c r="AE14" s="176">
        <f t="shared" si="6"/>
        <v>17.068279929338878</v>
      </c>
      <c r="AF14" s="176">
        <f t="shared" si="6"/>
        <v>17.021645284723203</v>
      </c>
      <c r="AG14" s="176">
        <f t="shared" si="6"/>
        <v>17.021645284723203</v>
      </c>
      <c r="AH14" s="176">
        <f t="shared" si="6"/>
        <v>15.153415924204799</v>
      </c>
      <c r="AI14" s="176">
        <f t="shared" si="6"/>
        <v>15.194932132216318</v>
      </c>
      <c r="AJ14" s="176">
        <f t="shared" si="6"/>
        <v>15.153415924204799</v>
      </c>
      <c r="AK14" s="176">
        <f t="shared" si="6"/>
        <v>15.153415924204799</v>
      </c>
      <c r="AL14" s="176">
        <f t="shared" si="6"/>
        <v>15.153415924204799</v>
      </c>
      <c r="AM14" s="176">
        <f t="shared" si="6"/>
        <v>15.194932132216318</v>
      </c>
      <c r="AN14" s="176">
        <f t="shared" si="6"/>
        <v>15.153415924204799</v>
      </c>
      <c r="AO14" s="176">
        <f t="shared" si="6"/>
        <v>15.153415924204799</v>
      </c>
      <c r="AP14" s="176">
        <f t="shared" si="6"/>
        <v>15.153415924204799</v>
      </c>
      <c r="AQ14" s="176">
        <f t="shared" si="6"/>
        <v>15.153415924204799</v>
      </c>
    </row>
    <row r="15" spans="2:45" ht="15" customHeight="1">
      <c r="B15" s="174" t="s">
        <v>41</v>
      </c>
      <c r="C15" s="178"/>
      <c r="D15" s="178">
        <f>'INPUT DATA SHEET'!$C$81</f>
        <v>3.2417582417582418</v>
      </c>
      <c r="E15" s="178">
        <f>'INPUT DATA SHEET'!$C$81</f>
        <v>3.2417582417582418</v>
      </c>
      <c r="F15" s="178">
        <f>'INPUT DATA SHEET'!$C$81</f>
        <v>3.2417582417582418</v>
      </c>
      <c r="G15" s="178">
        <f>'INPUT DATA SHEET'!$C$81</f>
        <v>3.2417582417582418</v>
      </c>
      <c r="H15" s="178">
        <f>'INPUT DATA SHEET'!$C$81</f>
        <v>3.2417582417582418</v>
      </c>
      <c r="I15" s="178">
        <f>'INPUT DATA SHEET'!$C$81</f>
        <v>3.2417582417582418</v>
      </c>
      <c r="J15" s="178">
        <f>'INPUT DATA SHEET'!$C$81</f>
        <v>3.2417582417582418</v>
      </c>
      <c r="K15" s="178">
        <f>'INPUT DATA SHEET'!$C$81</f>
        <v>3.2417582417582418</v>
      </c>
      <c r="L15" s="178">
        <f>'INPUT DATA SHEET'!$C$81</f>
        <v>3.2417582417582418</v>
      </c>
      <c r="M15" s="178">
        <f>'INPUT DATA SHEET'!$C$81</f>
        <v>3.2417582417582418</v>
      </c>
      <c r="N15" s="178">
        <f>'INPUT DATA SHEET'!$C$81</f>
        <v>3.2417582417582418</v>
      </c>
      <c r="O15" s="178">
        <f>'INPUT DATA SHEET'!$C$81</f>
        <v>3.2417582417582418</v>
      </c>
      <c r="P15" s="178">
        <f>'INPUT DATA SHEET'!C82</f>
        <v>3.1658536585365851</v>
      </c>
      <c r="Q15" s="178">
        <f t="shared" ref="Q15:AF15" si="7">P15</f>
        <v>3.1658536585365851</v>
      </c>
      <c r="R15" s="178">
        <f t="shared" si="7"/>
        <v>3.1658536585365851</v>
      </c>
      <c r="S15" s="178">
        <f t="shared" si="7"/>
        <v>3.1658536585365851</v>
      </c>
      <c r="T15" s="178">
        <f t="shared" si="7"/>
        <v>3.1658536585365851</v>
      </c>
      <c r="U15" s="178">
        <f t="shared" si="7"/>
        <v>3.1658536585365851</v>
      </c>
      <c r="V15" s="178">
        <f t="shared" si="7"/>
        <v>3.1658536585365851</v>
      </c>
      <c r="W15" s="178">
        <f t="shared" si="7"/>
        <v>3.1658536585365851</v>
      </c>
      <c r="X15" s="178">
        <f t="shared" si="7"/>
        <v>3.1658536585365851</v>
      </c>
      <c r="Y15" s="178">
        <f t="shared" si="7"/>
        <v>3.1658536585365851</v>
      </c>
      <c r="Z15" s="178">
        <f t="shared" si="7"/>
        <v>3.1658536585365851</v>
      </c>
      <c r="AA15" s="178">
        <f t="shared" si="7"/>
        <v>3.1658536585365851</v>
      </c>
      <c r="AB15" s="178">
        <f t="shared" si="7"/>
        <v>3.1658536585365851</v>
      </c>
      <c r="AC15" s="178">
        <f t="shared" si="7"/>
        <v>3.1658536585365851</v>
      </c>
      <c r="AD15" s="178">
        <f t="shared" si="7"/>
        <v>3.1658536585365851</v>
      </c>
      <c r="AE15" s="178">
        <f t="shared" si="7"/>
        <v>3.1658536585365851</v>
      </c>
      <c r="AF15" s="178">
        <f t="shared" si="7"/>
        <v>3.1658536585365851</v>
      </c>
      <c r="AG15" s="178">
        <f>'INPUT DATA SHEET'!C83</f>
        <v>3.3136986301369866</v>
      </c>
      <c r="AH15" s="178">
        <f>AG15</f>
        <v>3.3136986301369866</v>
      </c>
      <c r="AI15" s="178">
        <f t="shared" ref="AI15:AQ15" si="8">AH15</f>
        <v>3.3136986301369866</v>
      </c>
      <c r="AJ15" s="178">
        <f t="shared" si="8"/>
        <v>3.3136986301369866</v>
      </c>
      <c r="AK15" s="178">
        <f t="shared" si="8"/>
        <v>3.3136986301369866</v>
      </c>
      <c r="AL15" s="178">
        <f t="shared" si="8"/>
        <v>3.3136986301369866</v>
      </c>
      <c r="AM15" s="178">
        <f t="shared" si="8"/>
        <v>3.3136986301369866</v>
      </c>
      <c r="AN15" s="178">
        <f t="shared" si="8"/>
        <v>3.3136986301369866</v>
      </c>
      <c r="AO15" s="178">
        <f t="shared" si="8"/>
        <v>3.3136986301369866</v>
      </c>
      <c r="AP15" s="178">
        <f t="shared" si="8"/>
        <v>3.3136986301369866</v>
      </c>
      <c r="AQ15" s="178">
        <f t="shared" si="8"/>
        <v>3.3136986301369866</v>
      </c>
    </row>
    <row r="16" spans="2:45" ht="15" customHeight="1">
      <c r="B16" s="174" t="s">
        <v>42</v>
      </c>
      <c r="C16" s="178"/>
      <c r="D16" s="178">
        <f>D14*D15</f>
        <v>61.236406816992002</v>
      </c>
      <c r="E16" s="178">
        <f t="shared" ref="E16:AG16" si="9">E14*E15</f>
        <v>61.236406816992002</v>
      </c>
      <c r="F16" s="178">
        <f t="shared" si="9"/>
        <v>61.236406816992002</v>
      </c>
      <c r="G16" s="178">
        <f t="shared" si="9"/>
        <v>61.404177794572789</v>
      </c>
      <c r="H16" s="178">
        <f t="shared" si="9"/>
        <v>61.236406816992002</v>
      </c>
      <c r="I16" s="178">
        <f t="shared" si="9"/>
        <v>61.236406816992002</v>
      </c>
      <c r="J16" s="178">
        <f t="shared" si="9"/>
        <v>61.236406816992002</v>
      </c>
      <c r="K16" s="178">
        <f t="shared" si="9"/>
        <v>61.404177794572789</v>
      </c>
      <c r="L16" s="178">
        <f t="shared" si="9"/>
        <v>61.236406816992002</v>
      </c>
      <c r="M16" s="178">
        <f t="shared" si="9"/>
        <v>61.236406816992002</v>
      </c>
      <c r="N16" s="178">
        <f t="shared" si="9"/>
        <v>61.236406816992002</v>
      </c>
      <c r="O16" s="178">
        <f t="shared" si="9"/>
        <v>61.404177794572789</v>
      </c>
      <c r="P16" s="178">
        <f t="shared" si="9"/>
        <v>53.88803799895296</v>
      </c>
      <c r="Q16" s="178">
        <f t="shared" si="9"/>
        <v>53.88803799895296</v>
      </c>
      <c r="R16" s="178">
        <f t="shared" si="9"/>
        <v>53.88803799895296</v>
      </c>
      <c r="S16" s="178">
        <f t="shared" si="9"/>
        <v>54.035676459224057</v>
      </c>
      <c r="T16" s="178">
        <f t="shared" si="9"/>
        <v>53.88803799895296</v>
      </c>
      <c r="U16" s="178">
        <f t="shared" si="9"/>
        <v>53.88803799895296</v>
      </c>
      <c r="V16" s="178">
        <f t="shared" si="9"/>
        <v>53.88803799895296</v>
      </c>
      <c r="W16" s="178">
        <f t="shared" si="9"/>
        <v>54.035676459224057</v>
      </c>
      <c r="X16" s="178">
        <f t="shared" si="9"/>
        <v>53.88803799895296</v>
      </c>
      <c r="Y16" s="178">
        <f t="shared" si="9"/>
        <v>53.88803799895296</v>
      </c>
      <c r="Z16" s="178">
        <f t="shared" si="9"/>
        <v>53.88803799895296</v>
      </c>
      <c r="AA16" s="178">
        <f t="shared" si="9"/>
        <v>54.035676459224057</v>
      </c>
      <c r="AB16" s="178">
        <f t="shared" si="9"/>
        <v>53.88803799895296</v>
      </c>
      <c r="AC16" s="178">
        <f t="shared" si="9"/>
        <v>53.88803799895296</v>
      </c>
      <c r="AD16" s="178">
        <f t="shared" si="9"/>
        <v>53.88803799895296</v>
      </c>
      <c r="AE16" s="178">
        <f t="shared" si="9"/>
        <v>54.035676459224057</v>
      </c>
      <c r="AF16" s="178">
        <f t="shared" si="9"/>
        <v>53.88803799895296</v>
      </c>
      <c r="AG16" s="178">
        <f t="shared" si="9"/>
        <v>56.404602662664978</v>
      </c>
      <c r="AH16" s="178">
        <f t="shared" ref="AH16:AQ16" si="10">AH14*AH15</f>
        <v>50.213853589933443</v>
      </c>
      <c r="AI16" s="178">
        <f t="shared" si="10"/>
        <v>50.351425791549694</v>
      </c>
      <c r="AJ16" s="178">
        <f t="shared" si="10"/>
        <v>50.213853589933443</v>
      </c>
      <c r="AK16" s="178">
        <f t="shared" si="10"/>
        <v>50.213853589933443</v>
      </c>
      <c r="AL16" s="178">
        <f t="shared" si="10"/>
        <v>50.213853589933443</v>
      </c>
      <c r="AM16" s="178">
        <f t="shared" si="10"/>
        <v>50.351425791549694</v>
      </c>
      <c r="AN16" s="178">
        <f t="shared" si="10"/>
        <v>50.213853589933443</v>
      </c>
      <c r="AO16" s="178">
        <f t="shared" si="10"/>
        <v>50.213853589933443</v>
      </c>
      <c r="AP16" s="178">
        <f t="shared" si="10"/>
        <v>50.213853589933443</v>
      </c>
      <c r="AQ16" s="178">
        <f t="shared" si="10"/>
        <v>50.213853589933443</v>
      </c>
    </row>
    <row r="17" spans="1:43" ht="15" customHeight="1" thickBot="1">
      <c r="B17" s="179" t="s">
        <v>57</v>
      </c>
      <c r="C17" s="180"/>
      <c r="D17" s="180">
        <f>D16</f>
        <v>61.236406816992002</v>
      </c>
      <c r="E17" s="180">
        <f t="shared" ref="E17:AQ17" si="11">E16</f>
        <v>61.236406816992002</v>
      </c>
      <c r="F17" s="180">
        <f t="shared" si="11"/>
        <v>61.236406816992002</v>
      </c>
      <c r="G17" s="180">
        <f t="shared" si="11"/>
        <v>61.404177794572789</v>
      </c>
      <c r="H17" s="180">
        <f t="shared" si="11"/>
        <v>61.236406816992002</v>
      </c>
      <c r="I17" s="180">
        <f t="shared" si="11"/>
        <v>61.236406816992002</v>
      </c>
      <c r="J17" s="180">
        <f t="shared" si="11"/>
        <v>61.236406816992002</v>
      </c>
      <c r="K17" s="180">
        <f t="shared" si="11"/>
        <v>61.404177794572789</v>
      </c>
      <c r="L17" s="180">
        <f t="shared" si="11"/>
        <v>61.236406816992002</v>
      </c>
      <c r="M17" s="180">
        <f t="shared" si="11"/>
        <v>61.236406816992002</v>
      </c>
      <c r="N17" s="180">
        <f t="shared" si="11"/>
        <v>61.236406816992002</v>
      </c>
      <c r="O17" s="180">
        <f t="shared" si="11"/>
        <v>61.404177794572789</v>
      </c>
      <c r="P17" s="180">
        <f t="shared" si="11"/>
        <v>53.88803799895296</v>
      </c>
      <c r="Q17" s="180">
        <f t="shared" si="11"/>
        <v>53.88803799895296</v>
      </c>
      <c r="R17" s="180">
        <f t="shared" si="11"/>
        <v>53.88803799895296</v>
      </c>
      <c r="S17" s="180">
        <f t="shared" si="11"/>
        <v>54.035676459224057</v>
      </c>
      <c r="T17" s="180">
        <f t="shared" si="11"/>
        <v>53.88803799895296</v>
      </c>
      <c r="U17" s="180">
        <f t="shared" si="11"/>
        <v>53.88803799895296</v>
      </c>
      <c r="V17" s="180">
        <f t="shared" si="11"/>
        <v>53.88803799895296</v>
      </c>
      <c r="W17" s="180">
        <f t="shared" si="11"/>
        <v>54.035676459224057</v>
      </c>
      <c r="X17" s="180">
        <f t="shared" si="11"/>
        <v>53.88803799895296</v>
      </c>
      <c r="Y17" s="180">
        <f t="shared" si="11"/>
        <v>53.88803799895296</v>
      </c>
      <c r="Z17" s="180">
        <f t="shared" si="11"/>
        <v>53.88803799895296</v>
      </c>
      <c r="AA17" s="180">
        <f t="shared" si="11"/>
        <v>54.035676459224057</v>
      </c>
      <c r="AB17" s="180">
        <f t="shared" si="11"/>
        <v>53.88803799895296</v>
      </c>
      <c r="AC17" s="180">
        <f t="shared" si="11"/>
        <v>53.88803799895296</v>
      </c>
      <c r="AD17" s="180">
        <f t="shared" si="11"/>
        <v>53.88803799895296</v>
      </c>
      <c r="AE17" s="180">
        <f t="shared" si="11"/>
        <v>54.035676459224057</v>
      </c>
      <c r="AF17" s="180">
        <f t="shared" si="11"/>
        <v>53.88803799895296</v>
      </c>
      <c r="AG17" s="180">
        <f t="shared" si="11"/>
        <v>56.404602662664978</v>
      </c>
      <c r="AH17" s="180">
        <f t="shared" si="11"/>
        <v>50.213853589933443</v>
      </c>
      <c r="AI17" s="180">
        <f t="shared" si="11"/>
        <v>50.351425791549694</v>
      </c>
      <c r="AJ17" s="180">
        <f t="shared" si="11"/>
        <v>50.213853589933443</v>
      </c>
      <c r="AK17" s="180">
        <f t="shared" si="11"/>
        <v>50.213853589933443</v>
      </c>
      <c r="AL17" s="180">
        <f t="shared" si="11"/>
        <v>50.213853589933443</v>
      </c>
      <c r="AM17" s="180">
        <f t="shared" si="11"/>
        <v>50.351425791549694</v>
      </c>
      <c r="AN17" s="180">
        <f t="shared" si="11"/>
        <v>50.213853589933443</v>
      </c>
      <c r="AO17" s="180">
        <f t="shared" si="11"/>
        <v>50.213853589933443</v>
      </c>
      <c r="AP17" s="180">
        <f t="shared" si="11"/>
        <v>50.213853589933443</v>
      </c>
      <c r="AQ17" s="180">
        <f t="shared" si="11"/>
        <v>50.213853589933443</v>
      </c>
    </row>
    <row r="18" spans="1:43" ht="15" customHeight="1">
      <c r="B18" s="181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76">
        <v>0</v>
      </c>
      <c r="N18" s="176">
        <v>0</v>
      </c>
      <c r="O18" s="176">
        <v>0</v>
      </c>
      <c r="P18" s="176">
        <v>0</v>
      </c>
      <c r="Q18" s="176">
        <v>0</v>
      </c>
      <c r="R18" s="176">
        <v>0</v>
      </c>
      <c r="S18" s="176">
        <v>0</v>
      </c>
      <c r="T18" s="176">
        <v>0</v>
      </c>
      <c r="U18" s="176">
        <v>0</v>
      </c>
      <c r="V18" s="176">
        <v>0</v>
      </c>
      <c r="W18" s="176">
        <v>0</v>
      </c>
      <c r="X18" s="176">
        <v>0</v>
      </c>
      <c r="Y18" s="176">
        <v>0</v>
      </c>
      <c r="Z18" s="176">
        <v>0</v>
      </c>
      <c r="AA18" s="176">
        <v>0</v>
      </c>
      <c r="AB18" s="176">
        <v>0</v>
      </c>
      <c r="AC18" s="176">
        <v>0</v>
      </c>
      <c r="AD18" s="176">
        <v>0</v>
      </c>
      <c r="AE18" s="176">
        <v>0</v>
      </c>
      <c r="AF18" s="176">
        <v>0</v>
      </c>
      <c r="AG18" s="176">
        <v>0</v>
      </c>
      <c r="AH18" s="176">
        <v>0</v>
      </c>
      <c r="AI18" s="176">
        <v>0</v>
      </c>
      <c r="AJ18" s="176">
        <v>0</v>
      </c>
      <c r="AK18" s="176">
        <v>0</v>
      </c>
      <c r="AL18" s="176">
        <v>0</v>
      </c>
      <c r="AM18" s="176">
        <v>0</v>
      </c>
      <c r="AN18" s="176">
        <v>0</v>
      </c>
      <c r="AO18" s="176">
        <v>0</v>
      </c>
      <c r="AP18" s="176">
        <v>0</v>
      </c>
      <c r="AQ18" s="176">
        <v>0</v>
      </c>
    </row>
    <row r="19" spans="1:43" ht="15" customHeight="1">
      <c r="A19" s="183"/>
      <c r="B19" s="184" t="s">
        <v>58</v>
      </c>
      <c r="C19" s="184"/>
      <c r="D19" s="185"/>
      <c r="E19" s="184"/>
      <c r="F19" s="184"/>
      <c r="G19" s="184"/>
      <c r="H19" s="184"/>
      <c r="I19" s="184"/>
      <c r="J19" s="184"/>
      <c r="K19" s="184"/>
      <c r="L19" s="184"/>
      <c r="M19" s="176">
        <v>0</v>
      </c>
      <c r="N19" s="176">
        <v>0</v>
      </c>
      <c r="O19" s="176">
        <v>0</v>
      </c>
      <c r="P19" s="176">
        <v>0</v>
      </c>
      <c r="Q19" s="176">
        <v>0</v>
      </c>
      <c r="R19" s="176">
        <v>0</v>
      </c>
      <c r="S19" s="176">
        <v>0</v>
      </c>
      <c r="T19" s="176">
        <v>0</v>
      </c>
      <c r="U19" s="176">
        <v>0</v>
      </c>
      <c r="V19" s="176">
        <v>0</v>
      </c>
      <c r="W19" s="176">
        <v>0</v>
      </c>
      <c r="X19" s="176">
        <v>0</v>
      </c>
      <c r="Y19" s="176">
        <v>0</v>
      </c>
      <c r="Z19" s="176">
        <v>0</v>
      </c>
      <c r="AA19" s="176">
        <v>0</v>
      </c>
      <c r="AB19" s="176">
        <v>0</v>
      </c>
      <c r="AC19" s="176">
        <v>0</v>
      </c>
      <c r="AD19" s="176">
        <v>0</v>
      </c>
      <c r="AE19" s="176">
        <v>0</v>
      </c>
      <c r="AF19" s="176">
        <v>0</v>
      </c>
      <c r="AG19" s="176">
        <v>0</v>
      </c>
      <c r="AH19" s="176">
        <v>0</v>
      </c>
      <c r="AI19" s="176">
        <v>0</v>
      </c>
      <c r="AJ19" s="176">
        <v>0</v>
      </c>
      <c r="AK19" s="176">
        <v>0</v>
      </c>
      <c r="AL19" s="176">
        <v>0</v>
      </c>
      <c r="AM19" s="176">
        <v>0</v>
      </c>
      <c r="AN19" s="176">
        <v>0</v>
      </c>
      <c r="AO19" s="176">
        <v>0</v>
      </c>
      <c r="AP19" s="176">
        <v>0</v>
      </c>
      <c r="AQ19" s="176">
        <v>0</v>
      </c>
    </row>
    <row r="20" spans="1:43" ht="15" customHeight="1">
      <c r="A20" s="183"/>
      <c r="B20" s="179" t="s">
        <v>2</v>
      </c>
      <c r="C20" s="186"/>
      <c r="D20" s="186">
        <f>'Loan schedule'!D20</f>
        <v>23.758228372799998</v>
      </c>
      <c r="E20" s="186">
        <f>'Loan schedule'!E20</f>
        <v>22.543228372799994</v>
      </c>
      <c r="F20" s="186">
        <f>'Loan schedule'!F20</f>
        <v>21.515607308819998</v>
      </c>
      <c r="G20" s="186">
        <f>'Loan schedule'!G20</f>
        <v>18.775284471540001</v>
      </c>
      <c r="H20" s="186">
        <f>'Loan schedule'!H20</f>
        <v>16.034961634260004</v>
      </c>
      <c r="I20" s="186">
        <f>'Loan schedule'!I20</f>
        <v>13.294638796980003</v>
      </c>
      <c r="J20" s="186">
        <f>'Loan schedule'!J20</f>
        <v>10.5543159597</v>
      </c>
      <c r="K20" s="186">
        <f>'Loan schedule'!K20</f>
        <v>7.8139931224199985</v>
      </c>
      <c r="L20" s="186">
        <f>'Loan schedule'!L20</f>
        <v>5.0736702851399995</v>
      </c>
      <c r="M20" s="186">
        <f>'Loan schedule'!M20</f>
        <v>2.3333474478600009</v>
      </c>
      <c r="N20" s="186">
        <f>'Loan schedule'!N20</f>
        <v>0.15516141864000024</v>
      </c>
      <c r="O20" s="186">
        <f>'Loan schedule'!O20</f>
        <v>0</v>
      </c>
      <c r="P20" s="186">
        <f>'Loan schedule'!P20</f>
        <v>0</v>
      </c>
      <c r="Q20" s="186">
        <f>'Loan schedule'!Q20</f>
        <v>0</v>
      </c>
      <c r="R20" s="186">
        <f>'Loan schedule'!R20</f>
        <v>0</v>
      </c>
      <c r="S20" s="186">
        <f>'Loan schedule'!S20</f>
        <v>0</v>
      </c>
      <c r="T20" s="186">
        <f>'Loan schedule'!T20</f>
        <v>0</v>
      </c>
      <c r="U20" s="186">
        <f>'Loan schedule'!U20</f>
        <v>0</v>
      </c>
      <c r="V20" s="186">
        <f>'Loan schedule'!V20</f>
        <v>0</v>
      </c>
      <c r="W20" s="186">
        <f>'Loan schedule'!W20</f>
        <v>0</v>
      </c>
      <c r="X20" s="186">
        <f>'Loan schedule'!X20</f>
        <v>0</v>
      </c>
      <c r="Y20" s="186">
        <f>'Loan schedule'!Y20</f>
        <v>0</v>
      </c>
      <c r="Z20" s="186">
        <f>'Loan schedule'!Z20</f>
        <v>0</v>
      </c>
      <c r="AA20" s="186">
        <f>'Loan schedule'!AA20</f>
        <v>0</v>
      </c>
      <c r="AB20" s="186">
        <f>'Loan schedule'!AB20</f>
        <v>0</v>
      </c>
      <c r="AC20" s="186">
        <f>'Loan schedule'!AC20</f>
        <v>0</v>
      </c>
      <c r="AD20" s="186">
        <f>'Loan schedule'!AD20</f>
        <v>0</v>
      </c>
      <c r="AE20" s="186">
        <f>'Loan schedule'!AE20</f>
        <v>0</v>
      </c>
      <c r="AF20" s="186">
        <f>'Loan schedule'!AF20</f>
        <v>0</v>
      </c>
      <c r="AG20" s="186">
        <f>'Loan schedule'!AG20</f>
        <v>0</v>
      </c>
      <c r="AH20" s="186">
        <f>'Loan schedule'!AH20</f>
        <v>0</v>
      </c>
      <c r="AI20" s="186">
        <f>'Loan schedule'!AI20</f>
        <v>0</v>
      </c>
      <c r="AJ20" s="186">
        <f>'Loan schedule'!AJ20</f>
        <v>0</v>
      </c>
      <c r="AK20" s="186">
        <f>'Loan schedule'!AK20</f>
        <v>0</v>
      </c>
      <c r="AL20" s="186">
        <f>'Loan schedule'!AL20</f>
        <v>0</v>
      </c>
      <c r="AM20" s="186">
        <f>'Loan schedule'!AM20</f>
        <v>0</v>
      </c>
      <c r="AN20" s="186">
        <f>'Loan schedule'!AN20</f>
        <v>0</v>
      </c>
      <c r="AO20" s="186">
        <f>'Loan schedule'!AO20</f>
        <v>0</v>
      </c>
      <c r="AP20" s="186">
        <f>'Loan schedule'!AP20</f>
        <v>0</v>
      </c>
      <c r="AQ20" s="186">
        <f>'Loan schedule'!AQ20</f>
        <v>0</v>
      </c>
    </row>
    <row r="21" spans="1:43" ht="15" customHeight="1">
      <c r="A21" s="183"/>
      <c r="B21" s="179" t="s">
        <v>6</v>
      </c>
      <c r="C21" s="187"/>
      <c r="D21" s="187">
        <f>'INPUT DATA SHEET'!C60*'Project Cost'!G8</f>
        <v>7.3401504569999991</v>
      </c>
      <c r="E21" s="187">
        <f>D21+(D21*'INPUT DATA SHEET'!$C$61)</f>
        <v>7.6337564752799993</v>
      </c>
      <c r="F21" s="187">
        <f>E21+(E21*'INPUT DATA SHEET'!$C$61)</f>
        <v>7.9391067342911992</v>
      </c>
      <c r="G21" s="187">
        <f>F21+(F21*'INPUT DATA SHEET'!$C$61)</f>
        <v>8.2566710036628468</v>
      </c>
      <c r="H21" s="187">
        <f>G21+(G21*'INPUT DATA SHEET'!$C$61)</f>
        <v>8.5869378438093609</v>
      </c>
      <c r="I21" s="187">
        <f>H21+(H21*'INPUT DATA SHEET'!$C$61)</f>
        <v>8.9304153575617349</v>
      </c>
      <c r="J21" s="187">
        <f>I21+(I21*'INPUT DATA SHEET'!$C$61)</f>
        <v>9.2876319718642044</v>
      </c>
      <c r="K21" s="187">
        <f>J21+(J21*'INPUT DATA SHEET'!$C$61)</f>
        <v>9.6591372507387732</v>
      </c>
      <c r="L21" s="187">
        <f>K21+(K21*'INPUT DATA SHEET'!$C$61)</f>
        <v>10.045502740768324</v>
      </c>
      <c r="M21" s="187">
        <f>L21+(L21*'INPUT DATA SHEET'!$C$61)</f>
        <v>10.447322850399058</v>
      </c>
      <c r="N21" s="187">
        <f>M21+(M21*'INPUT DATA SHEET'!$C$61)</f>
        <v>10.865215764415019</v>
      </c>
      <c r="O21" s="187">
        <f>N21+(N21*'INPUT DATA SHEET'!$C$61)</f>
        <v>11.299824394991621</v>
      </c>
      <c r="P21" s="187">
        <f>O21+(O21*'INPUT DATA SHEET'!$C$61)</f>
        <v>11.751817370791287</v>
      </c>
      <c r="Q21" s="187">
        <f>P21+(P21*'INPUT DATA SHEET'!$C$61)</f>
        <v>12.221890065622938</v>
      </c>
      <c r="R21" s="187">
        <f>Q21+(Q21*'INPUT DATA SHEET'!$C$61)</f>
        <v>12.710765668247856</v>
      </c>
      <c r="S21" s="187">
        <f>R21+(R21*'INPUT DATA SHEET'!$C$61)</f>
        <v>13.21919629497777</v>
      </c>
      <c r="T21" s="187">
        <f>S21+(S21*'INPUT DATA SHEET'!$C$61)</f>
        <v>13.747964146776882</v>
      </c>
      <c r="U21" s="187">
        <f>T21+(T21*'INPUT DATA SHEET'!$C$61)</f>
        <v>14.297882712647958</v>
      </c>
      <c r="V21" s="187">
        <f>U21+(U21*'INPUT DATA SHEET'!$C$61)</f>
        <v>14.869798021153876</v>
      </c>
      <c r="W21" s="187">
        <f>V21+(V21*'INPUT DATA SHEET'!$C$61)</f>
        <v>15.464589942000032</v>
      </c>
      <c r="X21" s="187">
        <f>W21+(W21*'INPUT DATA SHEET'!$C$61)</f>
        <v>16.083173539680033</v>
      </c>
      <c r="Y21" s="187">
        <f>X21+(X21*'INPUT DATA SHEET'!$C$61)</f>
        <v>16.726500481267234</v>
      </c>
      <c r="Z21" s="187">
        <f>Y21+(Y21*'INPUT DATA SHEET'!$C$61)</f>
        <v>17.395560500517924</v>
      </c>
      <c r="AA21" s="187">
        <f>Z21+(Z21*'INPUT DATA SHEET'!$C$61)</f>
        <v>18.091382920538642</v>
      </c>
      <c r="AB21" s="187">
        <f>AA21+(AA21*'INPUT DATA SHEET'!$C$61)</f>
        <v>18.815038237360188</v>
      </c>
      <c r="AC21" s="187">
        <f>AB21+(AB21*'INPUT DATA SHEET'!$C$61)</f>
        <v>19.567639766854594</v>
      </c>
      <c r="AD21" s="187">
        <f>AC21+(AC21*'INPUT DATA SHEET'!$C$61)</f>
        <v>20.350345357528777</v>
      </c>
      <c r="AE21" s="187">
        <f>AD21+(AD21*'INPUT DATA SHEET'!$C$61)</f>
        <v>21.164359171829929</v>
      </c>
      <c r="AF21" s="187">
        <f>AE21+(AE21*'INPUT DATA SHEET'!$C$61)</f>
        <v>22.010933538703128</v>
      </c>
      <c r="AG21" s="187">
        <f>AF21+(AF21*'INPUT DATA SHEET'!$C$61)</f>
        <v>22.891370880251252</v>
      </c>
      <c r="AH21" s="187">
        <f>AG21+(AG21*'INPUT DATA SHEET'!$C$61)</f>
        <v>23.8070257154613</v>
      </c>
      <c r="AI21" s="187">
        <f>AH21+(AH21*'INPUT DATA SHEET'!$C$61)</f>
        <v>24.759306744079751</v>
      </c>
      <c r="AJ21" s="187">
        <f>AI21+(AI21*'INPUT DATA SHEET'!$C$61)</f>
        <v>25.74967901384294</v>
      </c>
      <c r="AK21" s="187">
        <f>AJ21+(AJ21*'INPUT DATA SHEET'!$C$61)</f>
        <v>26.779666174396656</v>
      </c>
      <c r="AL21" s="187">
        <f>AK21+(AK21*'INPUT DATA SHEET'!$C$61)</f>
        <v>27.850852821372523</v>
      </c>
      <c r="AM21" s="187">
        <f>AL21+(AL21*'INPUT DATA SHEET'!$C$61)</f>
        <v>28.964886934227426</v>
      </c>
      <c r="AN21" s="187">
        <f>AM21+(AM21*'INPUT DATA SHEET'!$C$61)</f>
        <v>30.123482411596523</v>
      </c>
      <c r="AO21" s="187">
        <f>AN21+(AN21*'INPUT DATA SHEET'!$C$61)</f>
        <v>31.328421708060382</v>
      </c>
      <c r="AP21" s="187">
        <f>AO21+(AO21*'INPUT DATA SHEET'!$C$61)</f>
        <v>32.581558576382797</v>
      </c>
      <c r="AQ21" s="187">
        <f>(AP21+(AP21*'INPUT DATA SHEET'!$C$61))*AQ10/8760</f>
        <v>33.884820919438106</v>
      </c>
    </row>
    <row r="22" spans="1:43" ht="15" customHeight="1">
      <c r="A22" s="183"/>
      <c r="B22" s="179" t="s">
        <v>7</v>
      </c>
      <c r="C22" s="240"/>
      <c r="D22" s="187">
        <f>D41*'INPUT DATA SHEET'!$C$88</f>
        <v>1.17027521389041</v>
      </c>
      <c r="E22" s="187">
        <f>E41*'INPUT DATA SHEET'!$C$88</f>
        <v>1.1887442390402971</v>
      </c>
      <c r="F22" s="187">
        <f>F41*'INPUT DATA SHEET'!$C$88</f>
        <v>1.2082808639366533</v>
      </c>
      <c r="G22" s="187">
        <f>G41*'INPUT DATA SHEET'!$C$88</f>
        <v>1.2312641413239225</v>
      </c>
      <c r="H22" s="187">
        <f>H41*'INPUT DATA SHEET'!$C$88</f>
        <v>1.2508103314179588</v>
      </c>
      <c r="I22" s="187">
        <f>I41*'INPUT DATA SHEET'!$C$88</f>
        <v>1.2739393044844438</v>
      </c>
      <c r="J22" s="187">
        <f>J41*'INPUT DATA SHEET'!$C$88</f>
        <v>1.2984085878069911</v>
      </c>
      <c r="K22" s="187">
        <f>K41*'INPUT DATA SHEET'!$C$88</f>
        <v>1.3266133213060045</v>
      </c>
      <c r="L22" s="187">
        <f>L41*'INPUT DATA SHEET'!$C$88</f>
        <v>1.3516868065856713</v>
      </c>
      <c r="M22" s="187">
        <f>M41*'INPUT DATA SHEET'!$C$88</f>
        <v>1.380666966324392</v>
      </c>
      <c r="N22" s="187">
        <f>N41*'INPUT DATA SHEET'!$C$88</f>
        <v>1.4113304514459968</v>
      </c>
      <c r="O22" s="187">
        <f>O41*'INPUT DATA SHEET'!$C$88</f>
        <v>1.4460926605355569</v>
      </c>
      <c r="P22" s="187">
        <f>P41*'INPUT DATA SHEET'!$C$88</f>
        <v>1.3766404692512235</v>
      </c>
      <c r="Q22" s="187">
        <f>Q41*'INPUT DATA SHEET'!$C$88</f>
        <v>1.4129703103203488</v>
      </c>
      <c r="R22" s="187">
        <f>R41*'INPUT DATA SHEET'!$C$88</f>
        <v>1.4514150331856221</v>
      </c>
      <c r="S22" s="187">
        <f>S41*'INPUT DATA SHEET'!$C$88</f>
        <v>1.4941375586266317</v>
      </c>
      <c r="T22" s="187">
        <f>T41*'INPUT DATA SHEET'!$C$88</f>
        <v>1.5351536644886059</v>
      </c>
      <c r="U22" s="187">
        <f>U41*'INPUT DATA SHEET'!$C$88</f>
        <v>1.5807186649500291</v>
      </c>
      <c r="V22" s="187">
        <f>V41*'INPUT DATA SHEET'!$C$88</f>
        <v>1.6289416314782612</v>
      </c>
      <c r="W22" s="187">
        <f>W41*'INPUT DATA SHEET'!$C$88</f>
        <v>1.6820176288974142</v>
      </c>
      <c r="X22" s="187">
        <f>X41*'INPUT DATA SHEET'!$C$88</f>
        <v>1.733996490099444</v>
      </c>
      <c r="Y22" s="187">
        <f>Y41*'INPUT DATA SHEET'!$C$88</f>
        <v>1.7911696092662783</v>
      </c>
      <c r="Z22" s="187">
        <f>Z41*'INPUT DATA SHEET'!$C$88</f>
        <v>1.8516842835889966</v>
      </c>
      <c r="AA22" s="187">
        <f>AA41*'INPUT DATA SHEET'!$C$88</f>
        <v>1.9177760773157255</v>
      </c>
      <c r="AB22" s="187">
        <f>AB41*'INPUT DATA SHEET'!$C$88</f>
        <v>1.9835377320910228</v>
      </c>
      <c r="AC22" s="187">
        <f>AC41*'INPUT DATA SHEET'!$C$88</f>
        <v>2.0553061039122476</v>
      </c>
      <c r="AD22" s="187">
        <f>AD41*'INPUT DATA SHEET'!$C$88</f>
        <v>2.1312766571740158</v>
      </c>
      <c r="AE22" s="187">
        <f>AE41*'INPUT DATA SHEET'!$C$88</f>
        <v>2.2137359901465485</v>
      </c>
      <c r="AF22" s="187">
        <f>AF41*'INPUT DATA SHEET'!$C$88</f>
        <v>2.2968309163956264</v>
      </c>
      <c r="AG22" s="187">
        <f>AG41*'INPUT DATA SHEET'!$C$88</f>
        <v>2.4217048594995685</v>
      </c>
      <c r="AH22" s="187">
        <f>AH41*'INPUT DATA SHEET'!$C$88</f>
        <v>2.4316322133596207</v>
      </c>
      <c r="AI22" s="187">
        <f>AI41*'INPUT DATA SHEET'!$C$88</f>
        <v>2.5345406132145971</v>
      </c>
      <c r="AJ22" s="187">
        <f>AJ41*'INPUT DATA SHEET'!$C$88</f>
        <v>2.6395787921570286</v>
      </c>
      <c r="AK22" s="187">
        <f>AK41*'INPUT DATA SHEET'!$C$88</f>
        <v>2.7527961138018111</v>
      </c>
      <c r="AL22" s="187">
        <f>AL41*'INPUT DATA SHEET'!$C$88</f>
        <v>2.8726642518606442</v>
      </c>
      <c r="AM22" s="187">
        <f>AM41*'INPUT DATA SHEET'!$C$88</f>
        <v>3.0014761935157157</v>
      </c>
      <c r="AN22" s="187">
        <f>AN41*'INPUT DATA SHEET'!$C$88</f>
        <v>3.1339497915458487</v>
      </c>
      <c r="AO22" s="187">
        <f>AO41*'INPUT DATA SHEET'!$C$88</f>
        <v>3.2762254287943793</v>
      </c>
      <c r="AP22" s="187">
        <f>AP41*'INPUT DATA SHEET'!$C$88</f>
        <v>3.4268712236188033</v>
      </c>
      <c r="AQ22" s="187">
        <f>AQ41*'INPUT DATA SHEET'!$C$88</f>
        <v>3.5863827302473137</v>
      </c>
    </row>
    <row r="23" spans="1:43" ht="15" customHeight="1">
      <c r="A23" s="188"/>
      <c r="B23" s="179" t="s">
        <v>34</v>
      </c>
      <c r="C23" s="187"/>
      <c r="D23" s="187">
        <f t="shared" ref="D23:W23" si="12">SUM(D71:D73)</f>
        <v>6.8717006999999999</v>
      </c>
      <c r="E23" s="187">
        <f t="shared" si="12"/>
        <v>6.8717006999999999</v>
      </c>
      <c r="F23" s="187">
        <f t="shared" si="12"/>
        <v>6.8717006999999999</v>
      </c>
      <c r="G23" s="187">
        <f t="shared" si="12"/>
        <v>6.8717006999999999</v>
      </c>
      <c r="H23" s="187">
        <f t="shared" si="12"/>
        <v>6.8717006999999999</v>
      </c>
      <c r="I23" s="187">
        <f t="shared" si="12"/>
        <v>6.8717006999999999</v>
      </c>
      <c r="J23" s="187">
        <f t="shared" si="12"/>
        <v>6.8717006999999999</v>
      </c>
      <c r="K23" s="187">
        <f t="shared" si="12"/>
        <v>6.8717006999999999</v>
      </c>
      <c r="L23" s="187">
        <f t="shared" si="12"/>
        <v>6.8717006999999999</v>
      </c>
      <c r="M23" s="187">
        <f t="shared" si="12"/>
        <v>6.8717006999999999</v>
      </c>
      <c r="N23" s="187">
        <f t="shared" si="12"/>
        <v>6.8717006999999999</v>
      </c>
      <c r="O23" s="187">
        <f t="shared" si="12"/>
        <v>6.8717006999999999</v>
      </c>
      <c r="P23" s="187">
        <f t="shared" si="12"/>
        <v>6.8717006999999999</v>
      </c>
      <c r="Q23" s="187">
        <f t="shared" si="12"/>
        <v>6.8717006999999999</v>
      </c>
      <c r="R23" s="187">
        <f t="shared" si="12"/>
        <v>6.8717006999999999</v>
      </c>
      <c r="S23" s="187">
        <f t="shared" si="12"/>
        <v>6.8717006999999999</v>
      </c>
      <c r="T23" s="187">
        <f t="shared" si="12"/>
        <v>6.8717006999999999</v>
      </c>
      <c r="U23" s="187">
        <f t="shared" si="12"/>
        <v>6.8717006999999999</v>
      </c>
      <c r="V23" s="187">
        <f t="shared" si="12"/>
        <v>6.8717006999999999</v>
      </c>
      <c r="W23" s="187">
        <f t="shared" si="12"/>
        <v>6.8717006999999999</v>
      </c>
      <c r="X23" s="187">
        <f t="shared" ref="X23:AG23" si="13">SUM(X71:X73)</f>
        <v>6.8717006999999999</v>
      </c>
      <c r="Y23" s="187">
        <f t="shared" si="13"/>
        <v>6.8717006999999999</v>
      </c>
      <c r="Z23" s="187">
        <f t="shared" si="13"/>
        <v>6.8717006999999999</v>
      </c>
      <c r="AA23" s="187">
        <f t="shared" si="13"/>
        <v>6.8717006999999999</v>
      </c>
      <c r="AB23" s="187">
        <f t="shared" si="13"/>
        <v>6.8717006999999999</v>
      </c>
      <c r="AC23" s="187">
        <f t="shared" si="13"/>
        <v>6.8717006999999999</v>
      </c>
      <c r="AD23" s="187">
        <f t="shared" si="13"/>
        <v>6.8717006999999999</v>
      </c>
      <c r="AE23" s="187">
        <f t="shared" si="13"/>
        <v>6.8717006999999999</v>
      </c>
      <c r="AF23" s="187">
        <f t="shared" si="13"/>
        <v>6.8717006999999999</v>
      </c>
      <c r="AG23" s="187">
        <f t="shared" si="13"/>
        <v>6.8717006999999999</v>
      </c>
      <c r="AH23" s="187">
        <f t="shared" ref="AH23:AQ23" si="14">SUM(AH71:AH73)</f>
        <v>6.8717006999999999</v>
      </c>
      <c r="AI23" s="187">
        <f t="shared" si="14"/>
        <v>6.8717006999999999</v>
      </c>
      <c r="AJ23" s="187">
        <f t="shared" si="14"/>
        <v>6.8717006999999999</v>
      </c>
      <c r="AK23" s="187">
        <f t="shared" si="14"/>
        <v>6.8717006999999999</v>
      </c>
      <c r="AL23" s="187">
        <f t="shared" si="14"/>
        <v>6.8717006999999999</v>
      </c>
      <c r="AM23" s="187">
        <f t="shared" si="14"/>
        <v>6.8717006999999999</v>
      </c>
      <c r="AN23" s="187">
        <f t="shared" si="14"/>
        <v>6.8717006999999999</v>
      </c>
      <c r="AO23" s="187">
        <f t="shared" si="14"/>
        <v>6.8717006999999999</v>
      </c>
      <c r="AP23" s="187">
        <f t="shared" si="14"/>
        <v>6.8717006999999999</v>
      </c>
      <c r="AQ23" s="187">
        <f t="shared" si="14"/>
        <v>6.8717006999999839</v>
      </c>
    </row>
    <row r="24" spans="1:43" ht="15" customHeight="1" thickBot="1">
      <c r="A24" s="189"/>
      <c r="B24" s="179" t="s">
        <v>39</v>
      </c>
      <c r="C24" s="180"/>
      <c r="D24" s="180">
        <f t="shared" ref="D24:L24" si="15">SUM(D20:D23)</f>
        <v>39.140354743690409</v>
      </c>
      <c r="E24" s="180">
        <f t="shared" si="15"/>
        <v>38.237429787120291</v>
      </c>
      <c r="F24" s="180">
        <f t="shared" si="15"/>
        <v>37.534695607047851</v>
      </c>
      <c r="G24" s="180">
        <f t="shared" si="15"/>
        <v>35.134920316526774</v>
      </c>
      <c r="H24" s="180">
        <f t="shared" si="15"/>
        <v>32.744410509487324</v>
      </c>
      <c r="I24" s="180">
        <f t="shared" si="15"/>
        <v>30.370694159026179</v>
      </c>
      <c r="J24" s="180">
        <f t="shared" si="15"/>
        <v>28.012057219371201</v>
      </c>
      <c r="K24" s="180">
        <f t="shared" si="15"/>
        <v>25.671444394464778</v>
      </c>
      <c r="L24" s="180">
        <f t="shared" si="15"/>
        <v>23.342560532493998</v>
      </c>
      <c r="M24" s="180">
        <f t="shared" ref="M24:W24" si="16">SUM(M20:M23)</f>
        <v>21.03303796458345</v>
      </c>
      <c r="N24" s="180">
        <f t="shared" si="16"/>
        <v>19.303408334501015</v>
      </c>
      <c r="O24" s="180">
        <f t="shared" si="16"/>
        <v>19.617617755527178</v>
      </c>
      <c r="P24" s="180">
        <f t="shared" si="16"/>
        <v>20.000158540042509</v>
      </c>
      <c r="Q24" s="180">
        <f t="shared" si="16"/>
        <v>20.506561075943289</v>
      </c>
      <c r="R24" s="180">
        <f t="shared" si="16"/>
        <v>21.033881401433476</v>
      </c>
      <c r="S24" s="180">
        <f t="shared" si="16"/>
        <v>21.585034553604402</v>
      </c>
      <c r="T24" s="180">
        <f t="shared" si="16"/>
        <v>22.154818511265489</v>
      </c>
      <c r="U24" s="180">
        <f t="shared" si="16"/>
        <v>22.750302077597986</v>
      </c>
      <c r="V24" s="180">
        <f t="shared" si="16"/>
        <v>23.370440352632137</v>
      </c>
      <c r="W24" s="180">
        <f t="shared" si="16"/>
        <v>24.018308270897442</v>
      </c>
      <c r="X24" s="180">
        <f t="shared" ref="X24:AG24" si="17">SUM(X20:X23)</f>
        <v>24.688870729779474</v>
      </c>
      <c r="Y24" s="180">
        <f t="shared" si="17"/>
        <v>25.389370790533512</v>
      </c>
      <c r="Z24" s="180">
        <f t="shared" si="17"/>
        <v>26.118945484106924</v>
      </c>
      <c r="AA24" s="180">
        <f t="shared" si="17"/>
        <v>26.880859697854369</v>
      </c>
      <c r="AB24" s="180">
        <f t="shared" si="17"/>
        <v>27.670276669451212</v>
      </c>
      <c r="AC24" s="180">
        <f t="shared" si="17"/>
        <v>28.494646570766839</v>
      </c>
      <c r="AD24" s="180">
        <f t="shared" si="17"/>
        <v>29.353322714702792</v>
      </c>
      <c r="AE24" s="180">
        <f t="shared" si="17"/>
        <v>30.24979586197648</v>
      </c>
      <c r="AF24" s="180">
        <f t="shared" si="17"/>
        <v>31.179465155098754</v>
      </c>
      <c r="AG24" s="180">
        <f t="shared" si="17"/>
        <v>32.18477643975082</v>
      </c>
      <c r="AH24" s="180">
        <f t="shared" ref="AH24:AQ24" si="18">SUM(AH20:AH23)</f>
        <v>33.110358628820919</v>
      </c>
      <c r="AI24" s="180">
        <f t="shared" si="18"/>
        <v>34.165548057294345</v>
      </c>
      <c r="AJ24" s="180">
        <f t="shared" si="18"/>
        <v>35.260958505999966</v>
      </c>
      <c r="AK24" s="180">
        <f t="shared" si="18"/>
        <v>36.404162988198465</v>
      </c>
      <c r="AL24" s="180">
        <f t="shared" si="18"/>
        <v>37.595217773233166</v>
      </c>
      <c r="AM24" s="180">
        <f t="shared" si="18"/>
        <v>38.838063827743142</v>
      </c>
      <c r="AN24" s="180">
        <f t="shared" si="18"/>
        <v>40.12913290314237</v>
      </c>
      <c r="AO24" s="180">
        <f t="shared" si="18"/>
        <v>41.476347836854757</v>
      </c>
      <c r="AP24" s="180">
        <f t="shared" si="18"/>
        <v>42.880130500001599</v>
      </c>
      <c r="AQ24" s="180">
        <f t="shared" si="18"/>
        <v>44.342904349685405</v>
      </c>
    </row>
    <row r="25" spans="1:43" ht="15" customHeight="1">
      <c r="A25" s="189"/>
      <c r="B25" s="181"/>
      <c r="C25" s="182"/>
      <c r="D25" s="182"/>
      <c r="E25" s="182"/>
      <c r="F25" s="182"/>
      <c r="G25" s="182"/>
      <c r="H25" s="182"/>
      <c r="I25" s="182"/>
      <c r="J25" s="182"/>
      <c r="K25" s="182"/>
      <c r="L25" s="182"/>
      <c r="M25" s="176">
        <v>0</v>
      </c>
      <c r="N25" s="176">
        <v>0</v>
      </c>
      <c r="O25" s="176">
        <v>0</v>
      </c>
      <c r="P25" s="176">
        <v>0</v>
      </c>
      <c r="Q25" s="176">
        <v>0</v>
      </c>
      <c r="R25" s="176">
        <v>0</v>
      </c>
      <c r="S25" s="176">
        <v>0</v>
      </c>
      <c r="T25" s="176">
        <v>0</v>
      </c>
      <c r="U25" s="176">
        <v>0</v>
      </c>
      <c r="V25" s="176">
        <v>0</v>
      </c>
      <c r="W25" s="176">
        <v>0</v>
      </c>
      <c r="X25" s="176">
        <v>0</v>
      </c>
      <c r="Y25" s="176">
        <v>0</v>
      </c>
      <c r="Z25" s="176">
        <v>0</v>
      </c>
      <c r="AA25" s="176">
        <v>0</v>
      </c>
      <c r="AB25" s="176">
        <v>0</v>
      </c>
      <c r="AC25" s="176">
        <v>0</v>
      </c>
      <c r="AD25" s="176">
        <v>0</v>
      </c>
      <c r="AE25" s="176">
        <v>0</v>
      </c>
      <c r="AF25" s="176">
        <v>0</v>
      </c>
      <c r="AG25" s="176">
        <v>0</v>
      </c>
      <c r="AH25" s="176">
        <v>0</v>
      </c>
      <c r="AI25" s="176">
        <v>0</v>
      </c>
      <c r="AJ25" s="176">
        <v>0</v>
      </c>
      <c r="AK25" s="176">
        <v>0</v>
      </c>
      <c r="AL25" s="176">
        <v>0</v>
      </c>
      <c r="AM25" s="176">
        <v>0</v>
      </c>
      <c r="AN25" s="176">
        <v>0</v>
      </c>
      <c r="AO25" s="176">
        <v>0</v>
      </c>
      <c r="AP25" s="176">
        <v>0</v>
      </c>
      <c r="AQ25" s="176">
        <v>0</v>
      </c>
    </row>
    <row r="26" spans="1:43" ht="15" customHeight="1">
      <c r="B26" s="181" t="s">
        <v>25</v>
      </c>
      <c r="C26" s="187"/>
      <c r="D26" s="187">
        <f t="shared" ref="D26:AQ26" si="19">+D17-D24</f>
        <v>22.096052073301593</v>
      </c>
      <c r="E26" s="187">
        <f t="shared" si="19"/>
        <v>22.99897702987171</v>
      </c>
      <c r="F26" s="187">
        <f t="shared" si="19"/>
        <v>23.70171120994415</v>
      </c>
      <c r="G26" s="187">
        <f t="shared" si="19"/>
        <v>26.269257478046015</v>
      </c>
      <c r="H26" s="187">
        <f t="shared" si="19"/>
        <v>28.491996307504678</v>
      </c>
      <c r="I26" s="187">
        <f t="shared" si="19"/>
        <v>30.865712657965823</v>
      </c>
      <c r="J26" s="187">
        <f t="shared" si="19"/>
        <v>33.224349597620801</v>
      </c>
      <c r="K26" s="187">
        <f t="shared" si="19"/>
        <v>35.73273340010801</v>
      </c>
      <c r="L26" s="187">
        <f t="shared" si="19"/>
        <v>37.893846284498004</v>
      </c>
      <c r="M26" s="187">
        <f t="shared" si="19"/>
        <v>40.203368852408552</v>
      </c>
      <c r="N26" s="187">
        <f t="shared" si="19"/>
        <v>41.932998482490987</v>
      </c>
      <c r="O26" s="187">
        <f t="shared" si="19"/>
        <v>41.786560039045611</v>
      </c>
      <c r="P26" s="187">
        <f t="shared" si="19"/>
        <v>33.887879458910447</v>
      </c>
      <c r="Q26" s="187">
        <f t="shared" si="19"/>
        <v>33.381476923009672</v>
      </c>
      <c r="R26" s="187">
        <f t="shared" si="19"/>
        <v>32.854156597519484</v>
      </c>
      <c r="S26" s="187">
        <f t="shared" si="19"/>
        <v>32.450641905619655</v>
      </c>
      <c r="T26" s="187">
        <f t="shared" si="19"/>
        <v>31.733219487687471</v>
      </c>
      <c r="U26" s="187">
        <f t="shared" si="19"/>
        <v>31.137735921354974</v>
      </c>
      <c r="V26" s="187">
        <f t="shared" si="19"/>
        <v>30.517597646320823</v>
      </c>
      <c r="W26" s="187">
        <f t="shared" si="19"/>
        <v>30.017368188326614</v>
      </c>
      <c r="X26" s="187">
        <f t="shared" si="19"/>
        <v>29.199167269173486</v>
      </c>
      <c r="Y26" s="187">
        <f t="shared" si="19"/>
        <v>28.498667208419448</v>
      </c>
      <c r="Z26" s="187">
        <f t="shared" si="19"/>
        <v>27.769092514846037</v>
      </c>
      <c r="AA26" s="187">
        <f t="shared" si="19"/>
        <v>27.154816761369688</v>
      </c>
      <c r="AB26" s="187">
        <f t="shared" si="19"/>
        <v>26.217761329501748</v>
      </c>
      <c r="AC26" s="187">
        <f t="shared" si="19"/>
        <v>25.393391428186121</v>
      </c>
      <c r="AD26" s="187">
        <f t="shared" si="19"/>
        <v>24.534715284250169</v>
      </c>
      <c r="AE26" s="187">
        <f t="shared" si="19"/>
        <v>23.785880597247576</v>
      </c>
      <c r="AF26" s="187">
        <f t="shared" si="19"/>
        <v>22.708572843854206</v>
      </c>
      <c r="AG26" s="187">
        <f t="shared" si="19"/>
        <v>24.219826222914158</v>
      </c>
      <c r="AH26" s="187">
        <f t="shared" si="19"/>
        <v>17.103494961112524</v>
      </c>
      <c r="AI26" s="187">
        <f t="shared" si="19"/>
        <v>16.185877734255349</v>
      </c>
      <c r="AJ26" s="187">
        <f t="shared" si="19"/>
        <v>14.952895083933477</v>
      </c>
      <c r="AK26" s="187">
        <f t="shared" si="19"/>
        <v>13.809690601734978</v>
      </c>
      <c r="AL26" s="187">
        <f t="shared" si="19"/>
        <v>12.618635816700277</v>
      </c>
      <c r="AM26" s="187">
        <f t="shared" si="19"/>
        <v>11.513361963806553</v>
      </c>
      <c r="AN26" s="187">
        <f t="shared" si="19"/>
        <v>10.084720686791073</v>
      </c>
      <c r="AO26" s="187">
        <f t="shared" si="19"/>
        <v>8.7375057530786862</v>
      </c>
      <c r="AP26" s="187">
        <f t="shared" si="19"/>
        <v>7.3337230899318442</v>
      </c>
      <c r="AQ26" s="187">
        <f t="shared" si="19"/>
        <v>5.8709492402480379</v>
      </c>
    </row>
    <row r="27" spans="1:43" ht="15" customHeight="1">
      <c r="B27" s="184" t="s">
        <v>61</v>
      </c>
      <c r="C27" s="187"/>
      <c r="D27" s="187">
        <f t="shared" ref="D27:W27" si="20">D67</f>
        <v>4.4038536584693739</v>
      </c>
      <c r="E27" s="187">
        <f t="shared" si="20"/>
        <v>4.5838111169385805</v>
      </c>
      <c r="F27" s="187">
        <f t="shared" si="20"/>
        <v>4.7238695526979182</v>
      </c>
      <c r="G27" s="187">
        <f t="shared" si="20"/>
        <v>5.2355943616619607</v>
      </c>
      <c r="H27" s="187">
        <f t="shared" si="20"/>
        <v>5.6785973240672192</v>
      </c>
      <c r="I27" s="187">
        <f t="shared" si="20"/>
        <v>6.1516908612958776</v>
      </c>
      <c r="J27" s="187">
        <f t="shared" si="20"/>
        <v>6.6217789965538127</v>
      </c>
      <c r="K27" s="187">
        <f t="shared" si="20"/>
        <v>7.1217124303085262</v>
      </c>
      <c r="L27" s="187">
        <f t="shared" si="20"/>
        <v>7.5524330337318739</v>
      </c>
      <c r="M27" s="187">
        <f t="shared" si="20"/>
        <v>8.0127324291292865</v>
      </c>
      <c r="N27" s="187">
        <f t="shared" si="20"/>
        <v>8.3574562625528657</v>
      </c>
      <c r="O27" s="187">
        <f t="shared" si="20"/>
        <v>8.3282703485819845</v>
      </c>
      <c r="P27" s="187">
        <f t="shared" si="20"/>
        <v>6.7540238155581465</v>
      </c>
      <c r="Q27" s="187">
        <f t="shared" si="20"/>
        <v>6.6530952581404419</v>
      </c>
      <c r="R27" s="187">
        <f t="shared" si="20"/>
        <v>6.5479976806686206</v>
      </c>
      <c r="S27" s="187">
        <f t="shared" si="20"/>
        <v>6.4675751849995251</v>
      </c>
      <c r="T27" s="187">
        <f t="shared" si="20"/>
        <v>6.3245893099935504</v>
      </c>
      <c r="U27" s="187">
        <f t="shared" si="20"/>
        <v>6.2059064578056526</v>
      </c>
      <c r="V27" s="187">
        <f t="shared" si="20"/>
        <v>6.0823097988999715</v>
      </c>
      <c r="W27" s="187">
        <f t="shared" si="20"/>
        <v>5.9826115667744357</v>
      </c>
      <c r="X27" s="187">
        <f t="shared" ref="X27:AG27" si="21">X67</f>
        <v>5.819540032582621</v>
      </c>
      <c r="Y27" s="187">
        <f t="shared" si="21"/>
        <v>5.6799268679740376</v>
      </c>
      <c r="Z27" s="187">
        <f t="shared" si="21"/>
        <v>5.5345189836713891</v>
      </c>
      <c r="AA27" s="187">
        <f t="shared" si="21"/>
        <v>5.4120907546247849</v>
      </c>
      <c r="AB27" s="187">
        <f t="shared" si="21"/>
        <v>5.2253309217763455</v>
      </c>
      <c r="AC27" s="187">
        <f t="shared" si="21"/>
        <v>5.0610298785946339</v>
      </c>
      <c r="AD27" s="187">
        <f t="shared" si="21"/>
        <v>9.2694290047662129</v>
      </c>
      <c r="AE27" s="187">
        <f t="shared" si="21"/>
        <v>10.42051188293445</v>
      </c>
      <c r="AF27" s="187">
        <f t="shared" si="21"/>
        <v>10.054334977556044</v>
      </c>
      <c r="AG27" s="187">
        <f t="shared" si="21"/>
        <v>10.568010001098521</v>
      </c>
      <c r="AH27" s="187">
        <f t="shared" ref="AH27:AQ27" si="22">AH67</f>
        <v>8.1491690052121459</v>
      </c>
      <c r="AI27" s="187">
        <f t="shared" si="22"/>
        <v>7.8372709098033919</v>
      </c>
      <c r="AJ27" s="187">
        <f t="shared" si="22"/>
        <v>7.4181801069589879</v>
      </c>
      <c r="AK27" s="187">
        <f t="shared" si="22"/>
        <v>7.0296049034597177</v>
      </c>
      <c r="AL27" s="187">
        <f t="shared" si="22"/>
        <v>6.624765382026423</v>
      </c>
      <c r="AM27" s="187">
        <f t="shared" si="22"/>
        <v>6.2490827994278462</v>
      </c>
      <c r="AN27" s="187">
        <f t="shared" si="22"/>
        <v>5.7634876293702844</v>
      </c>
      <c r="AO27" s="187">
        <f t="shared" si="22"/>
        <v>5.3055692734014448</v>
      </c>
      <c r="AP27" s="187">
        <f t="shared" si="22"/>
        <v>4.8284235461978335</v>
      </c>
      <c r="AQ27" s="187">
        <f t="shared" si="22"/>
        <v>4.3312267146903025</v>
      </c>
    </row>
    <row r="28" spans="1:43" ht="15" customHeight="1" thickBot="1">
      <c r="B28" s="190" t="s">
        <v>21</v>
      </c>
      <c r="C28" s="191"/>
      <c r="D28" s="192">
        <f t="shared" ref="D28:L28" si="23">D26-D27</f>
        <v>17.69219841483222</v>
      </c>
      <c r="E28" s="191">
        <f t="shared" si="23"/>
        <v>18.41516591293313</v>
      </c>
      <c r="F28" s="191">
        <f t="shared" si="23"/>
        <v>18.977841657246231</v>
      </c>
      <c r="G28" s="191">
        <f t="shared" si="23"/>
        <v>21.033663116384055</v>
      </c>
      <c r="H28" s="191">
        <f t="shared" si="23"/>
        <v>22.813398983437459</v>
      </c>
      <c r="I28" s="191">
        <f t="shared" si="23"/>
        <v>24.714021796669947</v>
      </c>
      <c r="J28" s="191">
        <f t="shared" si="23"/>
        <v>26.602570601066986</v>
      </c>
      <c r="K28" s="191">
        <f t="shared" si="23"/>
        <v>28.611020969799483</v>
      </c>
      <c r="L28" s="191">
        <f t="shared" si="23"/>
        <v>30.341413250766131</v>
      </c>
      <c r="M28" s="191">
        <f t="shared" ref="M28:W28" si="24">M26-M27</f>
        <v>32.190636423279265</v>
      </c>
      <c r="N28" s="191">
        <f t="shared" si="24"/>
        <v>33.575542219938121</v>
      </c>
      <c r="O28" s="191">
        <f t="shared" si="24"/>
        <v>33.45828969046363</v>
      </c>
      <c r="P28" s="191">
        <f t="shared" si="24"/>
        <v>27.133855643352302</v>
      </c>
      <c r="Q28" s="191">
        <f t="shared" si="24"/>
        <v>26.728381664869229</v>
      </c>
      <c r="R28" s="191">
        <f t="shared" si="24"/>
        <v>26.306158916850862</v>
      </c>
      <c r="S28" s="191">
        <f t="shared" si="24"/>
        <v>25.98306672062013</v>
      </c>
      <c r="T28" s="191">
        <f t="shared" si="24"/>
        <v>25.408630177693922</v>
      </c>
      <c r="U28" s="191">
        <f t="shared" si="24"/>
        <v>24.93182946354932</v>
      </c>
      <c r="V28" s="191">
        <f t="shared" si="24"/>
        <v>24.435287847420852</v>
      </c>
      <c r="W28" s="191">
        <f t="shared" si="24"/>
        <v>24.034756621552177</v>
      </c>
      <c r="X28" s="191">
        <f t="shared" ref="X28:AG28" si="25">X26-X27</f>
        <v>23.379627236590864</v>
      </c>
      <c r="Y28" s="191">
        <f t="shared" si="25"/>
        <v>22.818740340445409</v>
      </c>
      <c r="Z28" s="191">
        <f t="shared" si="25"/>
        <v>22.234573531174647</v>
      </c>
      <c r="AA28" s="191">
        <f t="shared" si="25"/>
        <v>21.742726006744903</v>
      </c>
      <c r="AB28" s="191">
        <f t="shared" si="25"/>
        <v>20.992430407725401</v>
      </c>
      <c r="AC28" s="191">
        <f t="shared" si="25"/>
        <v>20.332361549591486</v>
      </c>
      <c r="AD28" s="191">
        <f t="shared" si="25"/>
        <v>15.265286279483956</v>
      </c>
      <c r="AE28" s="191">
        <f t="shared" si="25"/>
        <v>13.365368714313126</v>
      </c>
      <c r="AF28" s="191">
        <f t="shared" si="25"/>
        <v>12.654237866298162</v>
      </c>
      <c r="AG28" s="191">
        <f t="shared" si="25"/>
        <v>13.651816221815636</v>
      </c>
      <c r="AH28" s="191">
        <f t="shared" ref="AH28:AQ28" si="26">AH26-AH27</f>
        <v>8.9543259559003783</v>
      </c>
      <c r="AI28" s="191">
        <f t="shared" si="26"/>
        <v>8.3486068244519576</v>
      </c>
      <c r="AJ28" s="191">
        <f t="shared" si="26"/>
        <v>7.534714976974489</v>
      </c>
      <c r="AK28" s="191">
        <f t="shared" si="26"/>
        <v>6.7800856982752604</v>
      </c>
      <c r="AL28" s="191">
        <f t="shared" si="26"/>
        <v>5.9938704346738536</v>
      </c>
      <c r="AM28" s="191">
        <f t="shared" si="26"/>
        <v>5.2642791643787064</v>
      </c>
      <c r="AN28" s="191">
        <f t="shared" si="26"/>
        <v>4.3212330574207884</v>
      </c>
      <c r="AO28" s="191">
        <f t="shared" si="26"/>
        <v>3.4319364796772414</v>
      </c>
      <c r="AP28" s="191">
        <f t="shared" si="26"/>
        <v>2.5052995437340106</v>
      </c>
      <c r="AQ28" s="191">
        <f t="shared" si="26"/>
        <v>1.5397225255577354</v>
      </c>
    </row>
    <row r="29" spans="1:43" ht="15" customHeight="1">
      <c r="B29" s="193"/>
      <c r="C29" s="194"/>
      <c r="D29" s="195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4"/>
      <c r="S29" s="194"/>
      <c r="T29" s="194"/>
      <c r="U29" s="194"/>
      <c r="V29" s="196"/>
      <c r="W29" s="196"/>
    </row>
    <row r="30" spans="1:43" ht="15" customHeight="1"/>
    <row r="31" spans="1:43">
      <c r="B31" s="41"/>
      <c r="C31" s="41"/>
      <c r="D31" s="72"/>
      <c r="E31" s="72"/>
      <c r="F31" s="72"/>
      <c r="G31" s="72"/>
      <c r="H31" s="72"/>
      <c r="I31" s="72"/>
      <c r="J31" s="72"/>
      <c r="K31" s="72"/>
      <c r="L31" s="72"/>
      <c r="M31" s="72"/>
    </row>
    <row r="32" spans="1:43">
      <c r="B32" s="169" t="str">
        <f>B2</f>
        <v>ALEO - II HEP 2 X 2400 KW</v>
      </c>
      <c r="C32" s="41"/>
      <c r="D32" s="197"/>
      <c r="E32" s="72"/>
      <c r="F32" s="72"/>
      <c r="G32" s="72"/>
      <c r="H32" s="72"/>
      <c r="I32" s="72"/>
      <c r="J32" s="72"/>
      <c r="K32" s="72"/>
      <c r="L32" s="72"/>
      <c r="M32" s="72"/>
    </row>
    <row r="33" spans="2:43">
      <c r="B33" s="198"/>
      <c r="C33" s="41"/>
      <c r="E33" s="72"/>
      <c r="F33" s="72"/>
      <c r="G33" s="72"/>
      <c r="H33" s="72"/>
      <c r="I33" s="72"/>
      <c r="J33" s="72"/>
      <c r="K33" s="72"/>
      <c r="L33" s="72"/>
      <c r="M33" s="72"/>
    </row>
    <row r="34" spans="2:43" ht="17.25" customHeight="1">
      <c r="B34" s="199" t="s">
        <v>14</v>
      </c>
      <c r="C34" s="41"/>
      <c r="D34" s="72"/>
      <c r="E34" s="72"/>
      <c r="F34" s="72"/>
      <c r="G34" s="72"/>
      <c r="H34" s="72"/>
      <c r="J34" s="72"/>
      <c r="K34" s="72"/>
      <c r="M34" s="72"/>
      <c r="N34" s="72" t="s">
        <v>44</v>
      </c>
      <c r="O34" s="200"/>
      <c r="V34" s="72" t="s">
        <v>44</v>
      </c>
    </row>
    <row r="35" spans="2:43" ht="13.5" thickBot="1">
      <c r="B35" s="201"/>
      <c r="C35" s="202"/>
      <c r="D35" s="202">
        <f t="shared" ref="D35:V35" si="27">D8</f>
        <v>41364</v>
      </c>
      <c r="E35" s="202">
        <f t="shared" si="27"/>
        <v>41729</v>
      </c>
      <c r="F35" s="202">
        <f t="shared" si="27"/>
        <v>42094</v>
      </c>
      <c r="G35" s="202">
        <f t="shared" si="27"/>
        <v>42460</v>
      </c>
      <c r="H35" s="202">
        <f t="shared" si="27"/>
        <v>42825</v>
      </c>
      <c r="I35" s="202">
        <f t="shared" si="27"/>
        <v>43190</v>
      </c>
      <c r="J35" s="202">
        <f t="shared" si="27"/>
        <v>43555</v>
      </c>
      <c r="K35" s="202">
        <f t="shared" si="27"/>
        <v>43921</v>
      </c>
      <c r="L35" s="202">
        <f t="shared" si="27"/>
        <v>44286</v>
      </c>
      <c r="M35" s="202">
        <f t="shared" si="27"/>
        <v>44651</v>
      </c>
      <c r="N35" s="202">
        <f t="shared" si="27"/>
        <v>45016</v>
      </c>
      <c r="O35" s="202">
        <f t="shared" si="27"/>
        <v>45382</v>
      </c>
      <c r="P35" s="202">
        <f t="shared" si="27"/>
        <v>45747</v>
      </c>
      <c r="Q35" s="202">
        <f t="shared" si="27"/>
        <v>46112</v>
      </c>
      <c r="R35" s="202">
        <f t="shared" si="27"/>
        <v>46477</v>
      </c>
      <c r="S35" s="202">
        <f t="shared" si="27"/>
        <v>46843</v>
      </c>
      <c r="T35" s="202">
        <f t="shared" si="27"/>
        <v>47208</v>
      </c>
      <c r="U35" s="202">
        <f t="shared" si="27"/>
        <v>47573</v>
      </c>
      <c r="V35" s="202">
        <f t="shared" si="27"/>
        <v>47938</v>
      </c>
      <c r="W35" s="202">
        <f>W8</f>
        <v>48304</v>
      </c>
      <c r="X35" s="202">
        <f t="shared" ref="X35:AG35" si="28">X8</f>
        <v>48669</v>
      </c>
      <c r="Y35" s="202">
        <f t="shared" si="28"/>
        <v>49034</v>
      </c>
      <c r="Z35" s="202">
        <f t="shared" si="28"/>
        <v>49399</v>
      </c>
      <c r="AA35" s="202">
        <f t="shared" si="28"/>
        <v>49765</v>
      </c>
      <c r="AB35" s="202">
        <f t="shared" si="28"/>
        <v>50130</v>
      </c>
      <c r="AC35" s="202">
        <f t="shared" si="28"/>
        <v>50495</v>
      </c>
      <c r="AD35" s="202">
        <f t="shared" si="28"/>
        <v>50860</v>
      </c>
      <c r="AE35" s="202">
        <f t="shared" si="28"/>
        <v>51226</v>
      </c>
      <c r="AF35" s="202">
        <f t="shared" si="28"/>
        <v>51591</v>
      </c>
      <c r="AG35" s="202">
        <f t="shared" si="28"/>
        <v>51956</v>
      </c>
      <c r="AH35" s="202">
        <f t="shared" ref="AH35:AQ35" si="29">AH8</f>
        <v>52321</v>
      </c>
      <c r="AI35" s="202">
        <f t="shared" si="29"/>
        <v>52687</v>
      </c>
      <c r="AJ35" s="202">
        <f t="shared" si="29"/>
        <v>53052</v>
      </c>
      <c r="AK35" s="202">
        <f t="shared" si="29"/>
        <v>53417</v>
      </c>
      <c r="AL35" s="202">
        <f t="shared" si="29"/>
        <v>53782</v>
      </c>
      <c r="AM35" s="202">
        <f t="shared" si="29"/>
        <v>54148</v>
      </c>
      <c r="AN35" s="202">
        <f t="shared" si="29"/>
        <v>54513</v>
      </c>
      <c r="AO35" s="202">
        <f t="shared" si="29"/>
        <v>54878</v>
      </c>
      <c r="AP35" s="202">
        <f t="shared" si="29"/>
        <v>55243</v>
      </c>
      <c r="AQ35" s="202">
        <f t="shared" si="29"/>
        <v>55609</v>
      </c>
    </row>
    <row r="36" spans="2:43">
      <c r="B36" s="54" t="s">
        <v>67</v>
      </c>
      <c r="C36" s="178"/>
      <c r="D36" s="178">
        <f>D16*'INPUT DATA SHEET'!$C$46/365</f>
        <v>10.066258654847999</v>
      </c>
      <c r="E36" s="178">
        <f>E16*'INPUT DATA SHEET'!$C$46/365</f>
        <v>10.066258654847999</v>
      </c>
      <c r="F36" s="178">
        <f>F16*'INPUT DATA SHEET'!$C$46/365</f>
        <v>10.066258654847999</v>
      </c>
      <c r="G36" s="178">
        <f>G16*'INPUT DATA SHEET'!$C$46/365</f>
        <v>10.093837445683198</v>
      </c>
      <c r="H36" s="178">
        <f>H16*'INPUT DATA SHEET'!$C$46/365</f>
        <v>10.066258654847999</v>
      </c>
      <c r="I36" s="178">
        <f>I16*'INPUT DATA SHEET'!$C$46/365</f>
        <v>10.066258654847999</v>
      </c>
      <c r="J36" s="178">
        <f>J16*'INPUT DATA SHEET'!$C$46/365</f>
        <v>10.066258654847999</v>
      </c>
      <c r="K36" s="178">
        <f>K16*'INPUT DATA SHEET'!$C$46/365</f>
        <v>10.093837445683198</v>
      </c>
      <c r="L36" s="178">
        <f>L16*'INPUT DATA SHEET'!$C$46/365</f>
        <v>10.066258654847999</v>
      </c>
      <c r="M36" s="178">
        <f>M16*'INPUT DATA SHEET'!$C$46/365</f>
        <v>10.066258654847999</v>
      </c>
      <c r="N36" s="178">
        <f>N16*'INPUT DATA SHEET'!$C$46/365</f>
        <v>10.066258654847999</v>
      </c>
      <c r="O36" s="178">
        <f>O16*'INPUT DATA SHEET'!$C$46/365</f>
        <v>10.093837445683198</v>
      </c>
      <c r="P36" s="178">
        <f>P16*'INPUT DATA SHEET'!$C$46/365</f>
        <v>8.8583076162662397</v>
      </c>
      <c r="Q36" s="178">
        <f>Q16*'INPUT DATA SHEET'!$C$46/365</f>
        <v>8.8583076162662397</v>
      </c>
      <c r="R36" s="178">
        <f>R16*'INPUT DATA SHEET'!$C$46/365</f>
        <v>8.8583076162662397</v>
      </c>
      <c r="S36" s="178">
        <f>S16*'INPUT DATA SHEET'!$C$46/365</f>
        <v>8.8825769522012141</v>
      </c>
      <c r="T36" s="178">
        <f>T16*'INPUT DATA SHEET'!$C$46/365</f>
        <v>8.8583076162662397</v>
      </c>
      <c r="U36" s="178">
        <f>U16*'INPUT DATA SHEET'!$C$46/365</f>
        <v>8.8583076162662397</v>
      </c>
      <c r="V36" s="178">
        <f>V16*'INPUT DATA SHEET'!$C$46/365</f>
        <v>8.8583076162662397</v>
      </c>
      <c r="W36" s="178">
        <f>W16*'INPUT DATA SHEET'!$C$46/365</f>
        <v>8.8825769522012141</v>
      </c>
      <c r="X36" s="178">
        <f>X16*'INPUT DATA SHEET'!$C$46/365</f>
        <v>8.8583076162662397</v>
      </c>
      <c r="Y36" s="178">
        <f>Y16*'INPUT DATA SHEET'!$C$46/365</f>
        <v>8.8583076162662397</v>
      </c>
      <c r="Z36" s="178">
        <f>Z16*'INPUT DATA SHEET'!$C$46/365</f>
        <v>8.8583076162662397</v>
      </c>
      <c r="AA36" s="178">
        <f>AA16*'INPUT DATA SHEET'!$C$46/365</f>
        <v>8.8825769522012141</v>
      </c>
      <c r="AB36" s="178">
        <f>AB16*'INPUT DATA SHEET'!$C$46/365</f>
        <v>8.8583076162662397</v>
      </c>
      <c r="AC36" s="178">
        <f>AC16*'INPUT DATA SHEET'!$C$46/365</f>
        <v>8.8583076162662397</v>
      </c>
      <c r="AD36" s="178">
        <f>AD16*'INPUT DATA SHEET'!$C$46/365</f>
        <v>8.8583076162662397</v>
      </c>
      <c r="AE36" s="178">
        <f>AE16*'INPUT DATA SHEET'!$C$46/365</f>
        <v>8.8825769522012141</v>
      </c>
      <c r="AF36" s="178">
        <f>AF16*'INPUT DATA SHEET'!$C$46/365</f>
        <v>8.8583076162662397</v>
      </c>
      <c r="AG36" s="178">
        <f>AG16*'INPUT DATA SHEET'!$C$46/365</f>
        <v>9.271989478794243</v>
      </c>
      <c r="AH36" s="178">
        <f>AH16*'INPUT DATA SHEET'!$C$46/365</f>
        <v>8.2543320969753609</v>
      </c>
      <c r="AI36" s="178">
        <f>AI16*'INPUT DATA SHEET'!$C$46/365</f>
        <v>8.2769467054602242</v>
      </c>
      <c r="AJ36" s="178">
        <f>AJ16*'INPUT DATA SHEET'!$C$46/365</f>
        <v>8.2543320969753609</v>
      </c>
      <c r="AK36" s="178">
        <f>AK16*'INPUT DATA SHEET'!$C$46/365</f>
        <v>8.2543320969753609</v>
      </c>
      <c r="AL36" s="178">
        <f>AL16*'INPUT DATA SHEET'!$C$46/365</f>
        <v>8.2543320969753609</v>
      </c>
      <c r="AM36" s="178">
        <f>AM16*'INPUT DATA SHEET'!$C$46/365</f>
        <v>8.2769467054602242</v>
      </c>
      <c r="AN36" s="178">
        <f>AN16*'INPUT DATA SHEET'!$C$46/365</f>
        <v>8.2543320969753609</v>
      </c>
      <c r="AO36" s="178">
        <f>AO16*'INPUT DATA SHEET'!$C$46/365</f>
        <v>8.2543320969753609</v>
      </c>
      <c r="AP36" s="178">
        <f>AP16*'INPUT DATA SHEET'!$C$46/365</f>
        <v>8.2543320969753609</v>
      </c>
      <c r="AQ36" s="178">
        <f>AQ16*'INPUT DATA SHEET'!$C$46/365</f>
        <v>8.2543320969753609</v>
      </c>
    </row>
    <row r="37" spans="2:43">
      <c r="B37" s="54" t="s">
        <v>87</v>
      </c>
      <c r="C37" s="178"/>
      <c r="D37" s="178">
        <f>('INPUT DATA SHEET'!C47*'Project Cost'!G8)+(C37*'INPUT DATA SHEET'!$C$48)</f>
        <v>3.2622890919999996</v>
      </c>
      <c r="E37" s="178">
        <f>D37+(D37*'INPUT DATA SHEET'!$C$48)</f>
        <v>3.4580264375199996</v>
      </c>
      <c r="F37" s="178">
        <f>E37+(E37*'INPUT DATA SHEET'!$C$48)</f>
        <v>3.6655080237711997</v>
      </c>
      <c r="G37" s="178">
        <f>F37+(F37*'INPUT DATA SHEET'!$C$48)</f>
        <v>3.8854385051974716</v>
      </c>
      <c r="H37" s="178">
        <f>G37+(G37*'INPUT DATA SHEET'!$C$48)</f>
        <v>4.1185648155093197</v>
      </c>
      <c r="I37" s="178">
        <f>H37+(H37*'INPUT DATA SHEET'!$C$48)</f>
        <v>4.3656787044398788</v>
      </c>
      <c r="J37" s="178">
        <f>I37+(I37*'INPUT DATA SHEET'!$C$48)</f>
        <v>4.6276194267062714</v>
      </c>
      <c r="K37" s="178">
        <f>J37+(J37*'INPUT DATA SHEET'!$C$48)</f>
        <v>4.9052765923086472</v>
      </c>
      <c r="L37" s="178">
        <f>K37+(K37*'INPUT DATA SHEET'!$C$48)</f>
        <v>5.1995931878471664</v>
      </c>
      <c r="M37" s="178">
        <f>L37+(L37*'INPUT DATA SHEET'!$C$48)</f>
        <v>5.5115687791179964</v>
      </c>
      <c r="N37" s="178">
        <f>M37+(M37*'INPUT DATA SHEET'!$C$48)</f>
        <v>5.8422629058650761</v>
      </c>
      <c r="O37" s="178">
        <f>N37+(N37*'INPUT DATA SHEET'!$C$48)</f>
        <v>6.1927986802169803</v>
      </c>
      <c r="P37" s="178">
        <f>O37+(O37*'INPUT DATA SHEET'!$C$48)</f>
        <v>6.5643666010299988</v>
      </c>
      <c r="Q37" s="178">
        <f>P37+(P37*'INPUT DATA SHEET'!$C$48)</f>
        <v>6.9582285970917983</v>
      </c>
      <c r="R37" s="178">
        <f>Q37+(Q37*'INPUT DATA SHEET'!$C$48)</f>
        <v>7.375722312917306</v>
      </c>
      <c r="S37" s="178">
        <f>R37+(R37*'INPUT DATA SHEET'!$C$48)</f>
        <v>7.8182656516923439</v>
      </c>
      <c r="T37" s="178">
        <f>S37+(S37*'INPUT DATA SHEET'!$C$48)</f>
        <v>8.2873615907938838</v>
      </c>
      <c r="U37" s="178">
        <f>T37+(T37*'INPUT DATA SHEET'!$C$48)</f>
        <v>8.7846032862415164</v>
      </c>
      <c r="V37" s="178">
        <f>U37+(U37*'INPUT DATA SHEET'!$C$48)</f>
        <v>9.3116794834160075</v>
      </c>
      <c r="W37" s="178">
        <f>V37+(V37*'INPUT DATA SHEET'!$C$48)</f>
        <v>9.8703802524209685</v>
      </c>
      <c r="X37" s="178">
        <f>W37+(W37*'INPUT DATA SHEET'!$C$48)</f>
        <v>10.462603067566226</v>
      </c>
      <c r="Y37" s="178">
        <f>X37+(X37*'INPUT DATA SHEET'!$C$48)</f>
        <v>11.0903592516202</v>
      </c>
      <c r="Z37" s="178">
        <f>Y37+(Y37*'INPUT DATA SHEET'!$C$48)</f>
        <v>11.755780806717411</v>
      </c>
      <c r="AA37" s="178">
        <f>Z37+(Z37*'INPUT DATA SHEET'!$C$48)</f>
        <v>12.461127655120455</v>
      </c>
      <c r="AB37" s="178">
        <f>AA37+(AA37*'INPUT DATA SHEET'!$C$48)</f>
        <v>13.208795314427682</v>
      </c>
      <c r="AC37" s="178">
        <f>AB37+(AB37*'INPUT DATA SHEET'!$C$48)</f>
        <v>14.001323033293342</v>
      </c>
      <c r="AD37" s="178">
        <f>AC37+(AC37*'INPUT DATA SHEET'!$C$48)</f>
        <v>14.841402415290943</v>
      </c>
      <c r="AE37" s="178">
        <f>AD37+(AD37*'INPUT DATA SHEET'!$C$48)</f>
        <v>15.7318865602084</v>
      </c>
      <c r="AF37" s="178">
        <f>AE37+(AE37*'INPUT DATA SHEET'!$C$48)</f>
        <v>16.675799753820904</v>
      </c>
      <c r="AG37" s="178">
        <f>AF37+(AF37*'INPUT DATA SHEET'!$C$48)</f>
        <v>17.676347739050158</v>
      </c>
      <c r="AH37" s="178">
        <f>AG37+(AG37*'INPUT DATA SHEET'!$C$48)</f>
        <v>18.736928603393167</v>
      </c>
      <c r="AI37" s="178">
        <f>AH37+(AH37*'INPUT DATA SHEET'!$C$48)</f>
        <v>19.861144319596757</v>
      </c>
      <c r="AJ37" s="178">
        <f>AI37+(AI37*'INPUT DATA SHEET'!$C$48)</f>
        <v>21.052812978772565</v>
      </c>
      <c r="AK37" s="178">
        <f>AJ37+(AJ37*'INPUT DATA SHEET'!$C$48)</f>
        <v>22.315981757498918</v>
      </c>
      <c r="AL37" s="178">
        <f>AK37+(AK37*'INPUT DATA SHEET'!$C$48)</f>
        <v>23.654940662948853</v>
      </c>
      <c r="AM37" s="178">
        <f>AL37+(AL37*'INPUT DATA SHEET'!$C$48)</f>
        <v>25.074237102725785</v>
      </c>
      <c r="AN37" s="178">
        <f>AM37+(AM37*'INPUT DATA SHEET'!$C$48)</f>
        <v>26.578691328889331</v>
      </c>
      <c r="AO37" s="178">
        <f>AN37+(AN37*'INPUT DATA SHEET'!$C$48)</f>
        <v>28.17341280862269</v>
      </c>
      <c r="AP37" s="178">
        <f>AO37+(AO37*'INPUT DATA SHEET'!$C$48)</f>
        <v>29.86381757714005</v>
      </c>
      <c r="AQ37" s="178">
        <f>AP37+(AP37*'INPUT DATA SHEET'!$C$48)</f>
        <v>31.655646631768455</v>
      </c>
    </row>
    <row r="38" spans="2:43">
      <c r="B38" s="54" t="s">
        <v>15</v>
      </c>
      <c r="C38" s="178"/>
      <c r="D38" s="178">
        <f>D21*'INPUT DATA SHEET'!$C$45/365</f>
        <v>0.60330003756164374</v>
      </c>
      <c r="E38" s="178">
        <f>E21*'INPUT DATA SHEET'!$C$45/365</f>
        <v>0.6274320390641096</v>
      </c>
      <c r="F38" s="178">
        <f>F21*'INPUT DATA SHEET'!$C$45/365</f>
        <v>0.6525293206266739</v>
      </c>
      <c r="G38" s="178">
        <f>G21*'INPUT DATA SHEET'!$C$45/365</f>
        <v>0.67863049345174087</v>
      </c>
      <c r="H38" s="178">
        <f>H21*'INPUT DATA SHEET'!$C$45/365</f>
        <v>0.70577571318981058</v>
      </c>
      <c r="I38" s="178">
        <f>I21*'INPUT DATA SHEET'!$C$45/365</f>
        <v>0.73400674171740288</v>
      </c>
      <c r="J38" s="178">
        <f>J21*'INPUT DATA SHEET'!$C$45/365</f>
        <v>0.76336701138609897</v>
      </c>
      <c r="K38" s="178">
        <f>K21*'INPUT DATA SHEET'!$C$45/365</f>
        <v>0.79390169184154291</v>
      </c>
      <c r="L38" s="178">
        <f>L21*'INPUT DATA SHEET'!$C$45/365</f>
        <v>0.82565775951520481</v>
      </c>
      <c r="M38" s="178">
        <f>M21*'INPUT DATA SHEET'!$C$45/365</f>
        <v>0.85868406989581303</v>
      </c>
      <c r="N38" s="178">
        <f>N21*'INPUT DATA SHEET'!$C$45/365</f>
        <v>0.89303143269164542</v>
      </c>
      <c r="O38" s="178">
        <f>O21*'INPUT DATA SHEET'!$C$45/365</f>
        <v>0.92875268999931138</v>
      </c>
      <c r="P38" s="178">
        <f>P21*'INPUT DATA SHEET'!$C$45/365</f>
        <v>0.96590279759928377</v>
      </c>
      <c r="Q38" s="178">
        <f>Q21*'INPUT DATA SHEET'!$C$45/365</f>
        <v>1.0045389095032551</v>
      </c>
      <c r="R38" s="178">
        <f>R21*'INPUT DATA SHEET'!$C$45/365</f>
        <v>1.0447204658833853</v>
      </c>
      <c r="S38" s="178">
        <f>S21*'INPUT DATA SHEET'!$C$45/365</f>
        <v>1.086509284518721</v>
      </c>
      <c r="T38" s="178">
        <f>T21*'INPUT DATA SHEET'!$C$45/365</f>
        <v>1.1299696558994696</v>
      </c>
      <c r="U38" s="178">
        <f>U21*'INPUT DATA SHEET'!$C$45/365</f>
        <v>1.1751684421354487</v>
      </c>
      <c r="V38" s="178">
        <f>V21*'INPUT DATA SHEET'!$C$45/365</f>
        <v>1.2221751798208664</v>
      </c>
      <c r="W38" s="178">
        <f>W21*'INPUT DATA SHEET'!$C$45/365</f>
        <v>1.2710621870137013</v>
      </c>
      <c r="X38" s="178">
        <f>X21*'INPUT DATA SHEET'!$C$45/365</f>
        <v>1.3219046744942491</v>
      </c>
      <c r="Y38" s="178">
        <f>Y21*'INPUT DATA SHEET'!$C$45/365</f>
        <v>1.3747808614740191</v>
      </c>
      <c r="Z38" s="178">
        <f>Z21*'INPUT DATA SHEET'!$C$45/365</f>
        <v>1.4297720959329798</v>
      </c>
      <c r="AA38" s="178">
        <f>AA21*'INPUT DATA SHEET'!$C$45/365</f>
        <v>1.4869629797702992</v>
      </c>
      <c r="AB38" s="178">
        <f>AB21*'INPUT DATA SHEET'!$C$45/365</f>
        <v>1.5464414989611115</v>
      </c>
      <c r="AC38" s="178">
        <f>AC21*'INPUT DATA SHEET'!$C$45/365</f>
        <v>1.6082991589195557</v>
      </c>
      <c r="AD38" s="178">
        <f>AD21*'INPUT DATA SHEET'!$C$45/365</f>
        <v>1.6726311252763377</v>
      </c>
      <c r="AE38" s="178">
        <f>AE21*'INPUT DATA SHEET'!$C$45/365</f>
        <v>1.7395363702873916</v>
      </c>
      <c r="AF38" s="178">
        <f>AF21*'INPUT DATA SHEET'!$C$45/365</f>
        <v>1.8091178250988873</v>
      </c>
      <c r="AG38" s="178">
        <f>AG21*'INPUT DATA SHEET'!$C$45/365</f>
        <v>1.8814825381028426</v>
      </c>
      <c r="AH38" s="178">
        <f>AH21*'INPUT DATA SHEET'!$C$45/365</f>
        <v>1.9567418396269562</v>
      </c>
      <c r="AI38" s="178">
        <f>AI21*'INPUT DATA SHEET'!$C$45/365</f>
        <v>2.0350115132120341</v>
      </c>
      <c r="AJ38" s="178">
        <f>AJ21*'INPUT DATA SHEET'!$C$45/365</f>
        <v>2.1164119737405156</v>
      </c>
      <c r="AK38" s="178">
        <f>AK21*'INPUT DATA SHEET'!$C$45/365</f>
        <v>2.2010684526901363</v>
      </c>
      <c r="AL38" s="178">
        <f>AL21*'INPUT DATA SHEET'!$C$45/365</f>
        <v>2.2891111907977417</v>
      </c>
      <c r="AM38" s="178">
        <f>AM21*'INPUT DATA SHEET'!$C$45/365</f>
        <v>2.3806756384296515</v>
      </c>
      <c r="AN38" s="178">
        <f>AN21*'INPUT DATA SHEET'!$C$45/365</f>
        <v>2.4759026639668376</v>
      </c>
      <c r="AO38" s="178">
        <f>AO21*'INPUT DATA SHEET'!$C$45/365</f>
        <v>2.5749387705255109</v>
      </c>
      <c r="AP38" s="178">
        <f>AP21*'INPUT DATA SHEET'!$C$45/365</f>
        <v>2.677936321346531</v>
      </c>
      <c r="AQ38" s="178">
        <f>AQ21*'INPUT DATA SHEET'!$C$45/365</f>
        <v>2.7850537742003922</v>
      </c>
    </row>
    <row r="39" spans="2:43">
      <c r="B39" s="54" t="s">
        <v>22</v>
      </c>
      <c r="C39" s="178"/>
      <c r="D39" s="178">
        <f>SUM(D36:D38)</f>
        <v>13.931847784409642</v>
      </c>
      <c r="E39" s="178">
        <f>SUM(E36:E38)</f>
        <v>14.151717131432108</v>
      </c>
      <c r="F39" s="178">
        <f>SUM(F36:F38)</f>
        <v>14.384295999245872</v>
      </c>
      <c r="G39" s="178">
        <f t="shared" ref="G39:W39" si="30">SUM(G36:G38)</f>
        <v>14.657906444332411</v>
      </c>
      <c r="H39" s="178">
        <f t="shared" si="30"/>
        <v>14.890599183547129</v>
      </c>
      <c r="I39" s="178">
        <f t="shared" si="30"/>
        <v>15.165944101005282</v>
      </c>
      <c r="J39" s="178">
        <f t="shared" si="30"/>
        <v>15.45724509294037</v>
      </c>
      <c r="K39" s="178">
        <f t="shared" si="30"/>
        <v>15.793015729833387</v>
      </c>
      <c r="L39" s="178">
        <f t="shared" si="30"/>
        <v>16.091509602210373</v>
      </c>
      <c r="M39" s="178">
        <f t="shared" si="30"/>
        <v>16.436511503861809</v>
      </c>
      <c r="N39" s="178">
        <f t="shared" si="30"/>
        <v>16.801552993404723</v>
      </c>
      <c r="O39" s="178">
        <f t="shared" si="30"/>
        <v>17.215388815899487</v>
      </c>
      <c r="P39" s="178">
        <f t="shared" si="30"/>
        <v>16.388577014895521</v>
      </c>
      <c r="Q39" s="178">
        <f t="shared" si="30"/>
        <v>16.821075122861295</v>
      </c>
      <c r="R39" s="178">
        <f t="shared" si="30"/>
        <v>17.278750395066933</v>
      </c>
      <c r="S39" s="178">
        <f t="shared" si="30"/>
        <v>17.787351888412282</v>
      </c>
      <c r="T39" s="178">
        <f t="shared" si="30"/>
        <v>18.275638862959593</v>
      </c>
      <c r="U39" s="178">
        <f t="shared" si="30"/>
        <v>18.818079344643206</v>
      </c>
      <c r="V39" s="178">
        <f t="shared" si="30"/>
        <v>19.392162279503111</v>
      </c>
      <c r="W39" s="178">
        <f t="shared" si="30"/>
        <v>20.024019391635886</v>
      </c>
      <c r="X39" s="178">
        <f t="shared" ref="X39:AG39" si="31">SUM(X36:X38)</f>
        <v>20.642815358326715</v>
      </c>
      <c r="Y39" s="178">
        <f t="shared" si="31"/>
        <v>21.323447729360456</v>
      </c>
      <c r="Z39" s="178">
        <f t="shared" si="31"/>
        <v>22.043860518916627</v>
      </c>
      <c r="AA39" s="178">
        <f t="shared" si="31"/>
        <v>22.83066758709197</v>
      </c>
      <c r="AB39" s="178">
        <f t="shared" si="31"/>
        <v>23.613544429655033</v>
      </c>
      <c r="AC39" s="178">
        <f t="shared" si="31"/>
        <v>24.467929808479141</v>
      </c>
      <c r="AD39" s="178">
        <f t="shared" si="31"/>
        <v>25.372341156833521</v>
      </c>
      <c r="AE39" s="178">
        <f t="shared" si="31"/>
        <v>26.353999882697007</v>
      </c>
      <c r="AF39" s="178">
        <f t="shared" si="31"/>
        <v>27.343225195186029</v>
      </c>
      <c r="AG39" s="178">
        <f t="shared" si="31"/>
        <v>28.829819755947245</v>
      </c>
      <c r="AH39" s="178">
        <f t="shared" ref="AH39:AQ39" si="32">SUM(AH36:AH38)</f>
        <v>28.948002539995485</v>
      </c>
      <c r="AI39" s="178">
        <f t="shared" si="32"/>
        <v>30.173102538269013</v>
      </c>
      <c r="AJ39" s="178">
        <f t="shared" si="32"/>
        <v>31.423557049488441</v>
      </c>
      <c r="AK39" s="178">
        <f t="shared" si="32"/>
        <v>32.771382307164416</v>
      </c>
      <c r="AL39" s="178">
        <f t="shared" si="32"/>
        <v>34.198383950721954</v>
      </c>
      <c r="AM39" s="178">
        <f t="shared" si="32"/>
        <v>35.731859446615658</v>
      </c>
      <c r="AN39" s="178">
        <f t="shared" si="32"/>
        <v>37.30892608983153</v>
      </c>
      <c r="AO39" s="178">
        <f t="shared" si="32"/>
        <v>39.00268367612356</v>
      </c>
      <c r="AP39" s="178">
        <f t="shared" si="32"/>
        <v>40.796085995461944</v>
      </c>
      <c r="AQ39" s="178">
        <f t="shared" si="32"/>
        <v>42.695032502944208</v>
      </c>
    </row>
    <row r="40" spans="2:43">
      <c r="B40" s="54" t="s">
        <v>16</v>
      </c>
      <c r="C40" s="178"/>
      <c r="D40" s="178">
        <f>D39*'INPUT DATA SHEET'!$C$49</f>
        <v>4.1795543353228926</v>
      </c>
      <c r="E40" s="178">
        <f>E39*'INPUT DATA SHEET'!$C$49</f>
        <v>4.2455151394296324</v>
      </c>
      <c r="F40" s="178">
        <f>F39*'INPUT DATA SHEET'!$C$49</f>
        <v>4.3152887997737617</v>
      </c>
      <c r="G40" s="178">
        <f>G39*'INPUT DATA SHEET'!$C$49</f>
        <v>4.3973719332997234</v>
      </c>
      <c r="H40" s="178">
        <f>H39*'INPUT DATA SHEET'!$C$49</f>
        <v>4.467179755064139</v>
      </c>
      <c r="I40" s="178">
        <f>I39*'INPUT DATA SHEET'!$C$49</f>
        <v>4.5497832303015846</v>
      </c>
      <c r="J40" s="178">
        <f>J39*'INPUT DATA SHEET'!$C$49</f>
        <v>4.6371735278821111</v>
      </c>
      <c r="K40" s="178">
        <f>K39*'INPUT DATA SHEET'!$C$49</f>
        <v>4.7379047189500163</v>
      </c>
      <c r="L40" s="178">
        <f>L39*'INPUT DATA SHEET'!$C$49</f>
        <v>4.8274528806631114</v>
      </c>
      <c r="M40" s="178">
        <f>M39*'INPUT DATA SHEET'!$C$49</f>
        <v>4.9309534511585422</v>
      </c>
      <c r="N40" s="178">
        <f>N39*'INPUT DATA SHEET'!$C$49</f>
        <v>5.0404658980214165</v>
      </c>
      <c r="O40" s="178">
        <f>O39*'INPUT DATA SHEET'!$C$49</f>
        <v>5.1646166447698461</v>
      </c>
      <c r="P40" s="178">
        <f>P39*'INPUT DATA SHEET'!$C$49</f>
        <v>4.9165731044686565</v>
      </c>
      <c r="Q40" s="178">
        <f>Q39*'INPUT DATA SHEET'!$C$49</f>
        <v>5.0463225368583879</v>
      </c>
      <c r="R40" s="178">
        <f>R39*'INPUT DATA SHEET'!$C$49</f>
        <v>5.1836251185200792</v>
      </c>
      <c r="S40" s="178">
        <f>S39*'INPUT DATA SHEET'!$C$49</f>
        <v>5.3362055665236845</v>
      </c>
      <c r="T40" s="178">
        <f>T39*'INPUT DATA SHEET'!$C$49</f>
        <v>5.4826916588878776</v>
      </c>
      <c r="U40" s="178">
        <f>U39*'INPUT DATA SHEET'!$C$49</f>
        <v>5.6454238033929611</v>
      </c>
      <c r="V40" s="178">
        <f>V39*'INPUT DATA SHEET'!$C$49</f>
        <v>5.8176486838509334</v>
      </c>
      <c r="W40" s="178">
        <f>W39*'INPUT DATA SHEET'!$C$49</f>
        <v>6.0072058174907657</v>
      </c>
      <c r="X40" s="178">
        <f>X39*'INPUT DATA SHEET'!$C$49</f>
        <v>6.1928446074980146</v>
      </c>
      <c r="Y40" s="178">
        <f>Y39*'INPUT DATA SHEET'!$C$49</f>
        <v>6.3970343188081369</v>
      </c>
      <c r="Z40" s="178">
        <f>Z39*'INPUT DATA SHEET'!$C$49</f>
        <v>6.6131581556749879</v>
      </c>
      <c r="AA40" s="178">
        <f>AA39*'INPUT DATA SHEET'!$C$49</f>
        <v>6.8492002761275907</v>
      </c>
      <c r="AB40" s="178">
        <f>AB39*'INPUT DATA SHEET'!$C$49</f>
        <v>7.0840633288965096</v>
      </c>
      <c r="AC40" s="178">
        <f>AC39*'INPUT DATA SHEET'!$C$49</f>
        <v>7.340378942543742</v>
      </c>
      <c r="AD40" s="178">
        <f>AD39*'INPUT DATA SHEET'!$C$49</f>
        <v>7.6117023470500556</v>
      </c>
      <c r="AE40" s="178">
        <f>AE39*'INPUT DATA SHEET'!$C$49</f>
        <v>7.9061999648091019</v>
      </c>
      <c r="AF40" s="178">
        <f>AF39*'INPUT DATA SHEET'!$C$49</f>
        <v>8.2029675585558088</v>
      </c>
      <c r="AG40" s="178">
        <f>AG39*'INPUT DATA SHEET'!$C$49</f>
        <v>8.6489459267841724</v>
      </c>
      <c r="AH40" s="178">
        <f>AH39*'INPUT DATA SHEET'!$C$49</f>
        <v>8.6844007619986456</v>
      </c>
      <c r="AI40" s="178">
        <f>AI39*'INPUT DATA SHEET'!$C$49</f>
        <v>9.051930761480703</v>
      </c>
      <c r="AJ40" s="178">
        <f>AJ39*'INPUT DATA SHEET'!$C$49</f>
        <v>9.4270671148465315</v>
      </c>
      <c r="AK40" s="178">
        <f>AK39*'INPUT DATA SHEET'!$C$49</f>
        <v>9.8314146921493251</v>
      </c>
      <c r="AL40" s="178">
        <f>AL39*'INPUT DATA SHEET'!$C$49</f>
        <v>10.259515185216586</v>
      </c>
      <c r="AM40" s="178">
        <f>AM39*'INPUT DATA SHEET'!$C$49</f>
        <v>10.719557833984696</v>
      </c>
      <c r="AN40" s="178">
        <f>AN39*'INPUT DATA SHEET'!$C$49</f>
        <v>11.192677826949458</v>
      </c>
      <c r="AO40" s="178">
        <f>AO39*'INPUT DATA SHEET'!$C$49</f>
        <v>11.700805102837068</v>
      </c>
      <c r="AP40" s="178">
        <f>AP39*'INPUT DATA SHEET'!$C$49</f>
        <v>12.238825798638583</v>
      </c>
      <c r="AQ40" s="178">
        <f>AQ39*'INPUT DATA SHEET'!$C$49</f>
        <v>12.808509750883262</v>
      </c>
    </row>
    <row r="41" spans="2:43" ht="13.5" thickBot="1">
      <c r="B41" s="201" t="s">
        <v>18</v>
      </c>
      <c r="C41" s="203"/>
      <c r="D41" s="203">
        <f>+D39-D40</f>
        <v>9.7522934490867499</v>
      </c>
      <c r="E41" s="203">
        <f t="shared" ref="E41:W41" si="33">+E39-E40</f>
        <v>9.906201992002476</v>
      </c>
      <c r="F41" s="203">
        <f t="shared" si="33"/>
        <v>10.069007199472111</v>
      </c>
      <c r="G41" s="203">
        <f t="shared" si="33"/>
        <v>10.260534511032688</v>
      </c>
      <c r="H41" s="203">
        <f t="shared" si="33"/>
        <v>10.42341942848299</v>
      </c>
      <c r="I41" s="203">
        <f t="shared" si="33"/>
        <v>10.616160870703698</v>
      </c>
      <c r="J41" s="203">
        <f t="shared" si="33"/>
        <v>10.82007156505826</v>
      </c>
      <c r="K41" s="203">
        <f t="shared" si="33"/>
        <v>11.055111010883371</v>
      </c>
      <c r="L41" s="203">
        <f t="shared" si="33"/>
        <v>11.264056721547261</v>
      </c>
      <c r="M41" s="203">
        <f t="shared" si="33"/>
        <v>11.505558052703266</v>
      </c>
      <c r="N41" s="203">
        <f t="shared" si="33"/>
        <v>11.761087095383306</v>
      </c>
      <c r="O41" s="203">
        <f t="shared" si="33"/>
        <v>12.05077217112964</v>
      </c>
      <c r="P41" s="203">
        <f t="shared" si="33"/>
        <v>11.472003910426864</v>
      </c>
      <c r="Q41" s="203">
        <f t="shared" si="33"/>
        <v>11.774752586002908</v>
      </c>
      <c r="R41" s="203">
        <f t="shared" si="33"/>
        <v>12.095125276546852</v>
      </c>
      <c r="S41" s="203">
        <f t="shared" si="33"/>
        <v>12.451146321888597</v>
      </c>
      <c r="T41" s="203">
        <f t="shared" si="33"/>
        <v>12.792947204071716</v>
      </c>
      <c r="U41" s="203">
        <f t="shared" si="33"/>
        <v>13.172655541250244</v>
      </c>
      <c r="V41" s="203">
        <f t="shared" si="33"/>
        <v>13.574513595652178</v>
      </c>
      <c r="W41" s="203">
        <f t="shared" si="33"/>
        <v>14.01681357414512</v>
      </c>
      <c r="X41" s="203">
        <f t="shared" ref="X41:AG41" si="34">+X39-X40</f>
        <v>14.449970750828701</v>
      </c>
      <c r="Y41" s="203">
        <f t="shared" si="34"/>
        <v>14.926413410552319</v>
      </c>
      <c r="Z41" s="203">
        <f t="shared" si="34"/>
        <v>15.43070236324164</v>
      </c>
      <c r="AA41" s="203">
        <f t="shared" si="34"/>
        <v>15.98146731096438</v>
      </c>
      <c r="AB41" s="203">
        <f t="shared" si="34"/>
        <v>16.529481100758524</v>
      </c>
      <c r="AC41" s="203">
        <f t="shared" si="34"/>
        <v>17.127550865935397</v>
      </c>
      <c r="AD41" s="203">
        <f t="shared" si="34"/>
        <v>17.760638809783465</v>
      </c>
      <c r="AE41" s="203">
        <f t="shared" si="34"/>
        <v>18.447799917887906</v>
      </c>
      <c r="AF41" s="203">
        <f t="shared" si="34"/>
        <v>19.140257636630221</v>
      </c>
      <c r="AG41" s="203">
        <f t="shared" si="34"/>
        <v>20.180873829163072</v>
      </c>
      <c r="AH41" s="203">
        <f t="shared" ref="AH41:AQ41" si="35">+AH39-AH40</f>
        <v>20.26360177799684</v>
      </c>
      <c r="AI41" s="203">
        <f t="shared" si="35"/>
        <v>21.121171776788309</v>
      </c>
      <c r="AJ41" s="203">
        <f t="shared" si="35"/>
        <v>21.996489934641907</v>
      </c>
      <c r="AK41" s="203">
        <f t="shared" si="35"/>
        <v>22.939967615015092</v>
      </c>
      <c r="AL41" s="203">
        <f t="shared" si="35"/>
        <v>23.938868765505369</v>
      </c>
      <c r="AM41" s="203">
        <f t="shared" si="35"/>
        <v>25.012301612630964</v>
      </c>
      <c r="AN41" s="203">
        <f t="shared" si="35"/>
        <v>26.116248262882074</v>
      </c>
      <c r="AO41" s="203">
        <f t="shared" si="35"/>
        <v>27.301878573286494</v>
      </c>
      <c r="AP41" s="203">
        <f t="shared" si="35"/>
        <v>28.557260196823361</v>
      </c>
      <c r="AQ41" s="203">
        <f t="shared" si="35"/>
        <v>29.886522752060948</v>
      </c>
    </row>
    <row r="45" spans="2:43">
      <c r="B45" s="169" t="str">
        <f>B32</f>
        <v>ALEO - II HEP 2 X 2400 KW</v>
      </c>
      <c r="C45" s="41"/>
    </row>
    <row r="46" spans="2:43">
      <c r="B46" s="198"/>
      <c r="C46" s="41"/>
      <c r="D46" s="72"/>
    </row>
    <row r="47" spans="2:43" ht="17.25" customHeight="1">
      <c r="B47" s="199" t="s">
        <v>45</v>
      </c>
      <c r="C47" s="41"/>
      <c r="O47" s="200"/>
    </row>
    <row r="48" spans="2:43" ht="13.5" customHeight="1">
      <c r="B48" s="54"/>
      <c r="C48" s="204"/>
      <c r="D48" s="204">
        <f>1</f>
        <v>1</v>
      </c>
      <c r="E48" s="204">
        <f t="shared" ref="E48:V48" si="36">D48+1</f>
        <v>2</v>
      </c>
      <c r="F48" s="204">
        <f t="shared" si="36"/>
        <v>3</v>
      </c>
      <c r="G48" s="204">
        <f t="shared" si="36"/>
        <v>4</v>
      </c>
      <c r="H48" s="204">
        <f t="shared" si="36"/>
        <v>5</v>
      </c>
      <c r="I48" s="204">
        <f t="shared" si="36"/>
        <v>6</v>
      </c>
      <c r="J48" s="204">
        <f t="shared" si="36"/>
        <v>7</v>
      </c>
      <c r="K48" s="204">
        <f t="shared" si="36"/>
        <v>8</v>
      </c>
      <c r="L48" s="204">
        <f t="shared" si="36"/>
        <v>9</v>
      </c>
      <c r="M48" s="204">
        <f t="shared" si="36"/>
        <v>10</v>
      </c>
      <c r="N48" s="204">
        <f t="shared" si="36"/>
        <v>11</v>
      </c>
      <c r="O48" s="204">
        <f t="shared" si="36"/>
        <v>12</v>
      </c>
      <c r="P48" s="204">
        <f t="shared" si="36"/>
        <v>13</v>
      </c>
      <c r="Q48" s="204">
        <f t="shared" si="36"/>
        <v>14</v>
      </c>
      <c r="R48" s="204">
        <f t="shared" si="36"/>
        <v>15</v>
      </c>
      <c r="S48" s="204">
        <f t="shared" si="36"/>
        <v>16</v>
      </c>
      <c r="T48" s="204">
        <f t="shared" si="36"/>
        <v>17</v>
      </c>
      <c r="U48" s="204">
        <f t="shared" si="36"/>
        <v>18</v>
      </c>
      <c r="V48" s="204">
        <f t="shared" si="36"/>
        <v>19</v>
      </c>
      <c r="W48" s="204">
        <f>V48+1</f>
        <v>20</v>
      </c>
      <c r="X48" s="204">
        <f t="shared" ref="X48:AH48" si="37">W48+1</f>
        <v>21</v>
      </c>
      <c r="Y48" s="204">
        <f t="shared" si="37"/>
        <v>22</v>
      </c>
      <c r="Z48" s="204">
        <f t="shared" si="37"/>
        <v>23</v>
      </c>
      <c r="AA48" s="204">
        <f t="shared" si="37"/>
        <v>24</v>
      </c>
      <c r="AB48" s="204">
        <f t="shared" si="37"/>
        <v>25</v>
      </c>
      <c r="AC48" s="204">
        <f t="shared" si="37"/>
        <v>26</v>
      </c>
      <c r="AD48" s="204">
        <f t="shared" si="37"/>
        <v>27</v>
      </c>
      <c r="AE48" s="204">
        <f t="shared" si="37"/>
        <v>28</v>
      </c>
      <c r="AF48" s="204">
        <f t="shared" si="37"/>
        <v>29</v>
      </c>
      <c r="AG48" s="204">
        <f t="shared" si="37"/>
        <v>30</v>
      </c>
      <c r="AH48" s="204">
        <f t="shared" si="37"/>
        <v>31</v>
      </c>
      <c r="AI48" s="204">
        <f t="shared" ref="AI48:AQ48" si="38">AH48+1</f>
        <v>32</v>
      </c>
      <c r="AJ48" s="204">
        <f t="shared" si="38"/>
        <v>33</v>
      </c>
      <c r="AK48" s="204">
        <f t="shared" si="38"/>
        <v>34</v>
      </c>
      <c r="AL48" s="204">
        <f t="shared" si="38"/>
        <v>35</v>
      </c>
      <c r="AM48" s="204">
        <f t="shared" si="38"/>
        <v>36</v>
      </c>
      <c r="AN48" s="204">
        <f t="shared" si="38"/>
        <v>37</v>
      </c>
      <c r="AO48" s="204">
        <f t="shared" si="38"/>
        <v>38</v>
      </c>
      <c r="AP48" s="204">
        <f t="shared" si="38"/>
        <v>39</v>
      </c>
      <c r="AQ48" s="204">
        <f t="shared" si="38"/>
        <v>40</v>
      </c>
    </row>
    <row r="49" spans="2:43" ht="13.5" customHeight="1" thickBot="1">
      <c r="B49" s="205"/>
      <c r="C49" s="206"/>
      <c r="D49" s="206">
        <f>D35</f>
        <v>41364</v>
      </c>
      <c r="E49" s="206">
        <f t="shared" ref="E49:V49" si="39">E35</f>
        <v>41729</v>
      </c>
      <c r="F49" s="206">
        <f t="shared" si="39"/>
        <v>42094</v>
      </c>
      <c r="G49" s="206">
        <f t="shared" si="39"/>
        <v>42460</v>
      </c>
      <c r="H49" s="206">
        <f t="shared" si="39"/>
        <v>42825</v>
      </c>
      <c r="I49" s="206">
        <f t="shared" si="39"/>
        <v>43190</v>
      </c>
      <c r="J49" s="206">
        <f t="shared" si="39"/>
        <v>43555</v>
      </c>
      <c r="K49" s="206">
        <f t="shared" si="39"/>
        <v>43921</v>
      </c>
      <c r="L49" s="206">
        <f t="shared" si="39"/>
        <v>44286</v>
      </c>
      <c r="M49" s="206">
        <f t="shared" si="39"/>
        <v>44651</v>
      </c>
      <c r="N49" s="206">
        <f t="shared" si="39"/>
        <v>45016</v>
      </c>
      <c r="O49" s="206">
        <f t="shared" si="39"/>
        <v>45382</v>
      </c>
      <c r="P49" s="206">
        <f t="shared" si="39"/>
        <v>45747</v>
      </c>
      <c r="Q49" s="206">
        <f t="shared" si="39"/>
        <v>46112</v>
      </c>
      <c r="R49" s="206">
        <f t="shared" si="39"/>
        <v>46477</v>
      </c>
      <c r="S49" s="206">
        <f t="shared" si="39"/>
        <v>46843</v>
      </c>
      <c r="T49" s="206">
        <f t="shared" si="39"/>
        <v>47208</v>
      </c>
      <c r="U49" s="206">
        <f t="shared" si="39"/>
        <v>47573</v>
      </c>
      <c r="V49" s="206">
        <f t="shared" si="39"/>
        <v>47938</v>
      </c>
      <c r="W49" s="206">
        <f>W35</f>
        <v>48304</v>
      </c>
      <c r="X49" s="206">
        <f t="shared" ref="X49:AG49" si="40">X35</f>
        <v>48669</v>
      </c>
      <c r="Y49" s="206">
        <f t="shared" si="40"/>
        <v>49034</v>
      </c>
      <c r="Z49" s="206">
        <f t="shared" si="40"/>
        <v>49399</v>
      </c>
      <c r="AA49" s="206">
        <f t="shared" si="40"/>
        <v>49765</v>
      </c>
      <c r="AB49" s="206">
        <f t="shared" si="40"/>
        <v>50130</v>
      </c>
      <c r="AC49" s="206">
        <f t="shared" si="40"/>
        <v>50495</v>
      </c>
      <c r="AD49" s="206">
        <f t="shared" si="40"/>
        <v>50860</v>
      </c>
      <c r="AE49" s="206">
        <f t="shared" si="40"/>
        <v>51226</v>
      </c>
      <c r="AF49" s="206">
        <f t="shared" si="40"/>
        <v>51591</v>
      </c>
      <c r="AG49" s="206">
        <f t="shared" si="40"/>
        <v>51956</v>
      </c>
      <c r="AH49" s="206">
        <f t="shared" ref="AH49:AQ49" si="41">AH35</f>
        <v>52321</v>
      </c>
      <c r="AI49" s="206">
        <f t="shared" si="41"/>
        <v>52687</v>
      </c>
      <c r="AJ49" s="206">
        <f t="shared" si="41"/>
        <v>53052</v>
      </c>
      <c r="AK49" s="206">
        <f t="shared" si="41"/>
        <v>53417</v>
      </c>
      <c r="AL49" s="206">
        <f t="shared" si="41"/>
        <v>53782</v>
      </c>
      <c r="AM49" s="206">
        <f t="shared" si="41"/>
        <v>54148</v>
      </c>
      <c r="AN49" s="206">
        <f t="shared" si="41"/>
        <v>54513</v>
      </c>
      <c r="AO49" s="206">
        <f t="shared" si="41"/>
        <v>54878</v>
      </c>
      <c r="AP49" s="206">
        <f t="shared" si="41"/>
        <v>55243</v>
      </c>
      <c r="AQ49" s="206">
        <f t="shared" si="41"/>
        <v>55609</v>
      </c>
    </row>
    <row r="50" spans="2:43">
      <c r="B50" s="54" t="s">
        <v>20</v>
      </c>
      <c r="C50" s="178"/>
      <c r="D50" s="178">
        <f t="shared" ref="D50:V50" si="42">D26</f>
        <v>22.096052073301593</v>
      </c>
      <c r="E50" s="178">
        <f t="shared" si="42"/>
        <v>22.99897702987171</v>
      </c>
      <c r="F50" s="178">
        <f t="shared" si="42"/>
        <v>23.70171120994415</v>
      </c>
      <c r="G50" s="178">
        <f t="shared" si="42"/>
        <v>26.269257478046015</v>
      </c>
      <c r="H50" s="178">
        <f t="shared" si="42"/>
        <v>28.491996307504678</v>
      </c>
      <c r="I50" s="178">
        <f t="shared" si="42"/>
        <v>30.865712657965823</v>
      </c>
      <c r="J50" s="178">
        <f t="shared" si="42"/>
        <v>33.224349597620801</v>
      </c>
      <c r="K50" s="178">
        <f t="shared" si="42"/>
        <v>35.73273340010801</v>
      </c>
      <c r="L50" s="178">
        <f t="shared" si="42"/>
        <v>37.893846284498004</v>
      </c>
      <c r="M50" s="178">
        <f t="shared" si="42"/>
        <v>40.203368852408552</v>
      </c>
      <c r="N50" s="178">
        <f t="shared" si="42"/>
        <v>41.932998482490987</v>
      </c>
      <c r="O50" s="178">
        <f t="shared" si="42"/>
        <v>41.786560039045611</v>
      </c>
      <c r="P50" s="178">
        <f t="shared" si="42"/>
        <v>33.887879458910447</v>
      </c>
      <c r="Q50" s="178">
        <f t="shared" si="42"/>
        <v>33.381476923009672</v>
      </c>
      <c r="R50" s="178">
        <f t="shared" si="42"/>
        <v>32.854156597519484</v>
      </c>
      <c r="S50" s="178">
        <f t="shared" si="42"/>
        <v>32.450641905619655</v>
      </c>
      <c r="T50" s="178">
        <f t="shared" si="42"/>
        <v>31.733219487687471</v>
      </c>
      <c r="U50" s="178">
        <f t="shared" si="42"/>
        <v>31.137735921354974</v>
      </c>
      <c r="V50" s="178">
        <f t="shared" si="42"/>
        <v>30.517597646320823</v>
      </c>
      <c r="W50" s="178">
        <f>W26</f>
        <v>30.017368188326614</v>
      </c>
      <c r="X50" s="178">
        <f t="shared" ref="X50:AG50" si="43">X26</f>
        <v>29.199167269173486</v>
      </c>
      <c r="Y50" s="178">
        <f t="shared" si="43"/>
        <v>28.498667208419448</v>
      </c>
      <c r="Z50" s="178">
        <f t="shared" si="43"/>
        <v>27.769092514846037</v>
      </c>
      <c r="AA50" s="178">
        <f t="shared" si="43"/>
        <v>27.154816761369688</v>
      </c>
      <c r="AB50" s="178">
        <f t="shared" si="43"/>
        <v>26.217761329501748</v>
      </c>
      <c r="AC50" s="178">
        <f t="shared" si="43"/>
        <v>25.393391428186121</v>
      </c>
      <c r="AD50" s="178">
        <f t="shared" si="43"/>
        <v>24.534715284250169</v>
      </c>
      <c r="AE50" s="178">
        <f t="shared" si="43"/>
        <v>23.785880597247576</v>
      </c>
      <c r="AF50" s="178">
        <f t="shared" si="43"/>
        <v>22.708572843854206</v>
      </c>
      <c r="AG50" s="178">
        <f t="shared" si="43"/>
        <v>24.219826222914158</v>
      </c>
      <c r="AH50" s="178">
        <f t="shared" ref="AH50:AQ50" si="44">AH26</f>
        <v>17.103494961112524</v>
      </c>
      <c r="AI50" s="178">
        <f t="shared" si="44"/>
        <v>16.185877734255349</v>
      </c>
      <c r="AJ50" s="178">
        <f t="shared" si="44"/>
        <v>14.952895083933477</v>
      </c>
      <c r="AK50" s="178">
        <f t="shared" si="44"/>
        <v>13.809690601734978</v>
      </c>
      <c r="AL50" s="178">
        <f t="shared" si="44"/>
        <v>12.618635816700277</v>
      </c>
      <c r="AM50" s="178">
        <f t="shared" si="44"/>
        <v>11.513361963806553</v>
      </c>
      <c r="AN50" s="178">
        <f t="shared" si="44"/>
        <v>10.084720686791073</v>
      </c>
      <c r="AO50" s="178">
        <f t="shared" si="44"/>
        <v>8.7375057530786862</v>
      </c>
      <c r="AP50" s="178">
        <f t="shared" si="44"/>
        <v>7.3337230899318442</v>
      </c>
      <c r="AQ50" s="178">
        <f t="shared" si="44"/>
        <v>5.8709492402480379</v>
      </c>
    </row>
    <row r="51" spans="2:43">
      <c r="B51" s="54" t="s">
        <v>153</v>
      </c>
      <c r="C51" s="178"/>
      <c r="D51" s="178">
        <f>D26+D23</f>
        <v>28.967752773301591</v>
      </c>
      <c r="E51" s="178">
        <f t="shared" ref="E51:AG51" si="45">E26+E23</f>
        <v>29.870677729871709</v>
      </c>
      <c r="F51" s="178">
        <f t="shared" si="45"/>
        <v>30.573411909944149</v>
      </c>
      <c r="G51" s="178">
        <f t="shared" si="45"/>
        <v>33.140958178046013</v>
      </c>
      <c r="H51" s="178">
        <f t="shared" si="45"/>
        <v>35.363697007504676</v>
      </c>
      <c r="I51" s="178">
        <f t="shared" si="45"/>
        <v>37.737413357965821</v>
      </c>
      <c r="J51" s="178">
        <f t="shared" si="45"/>
        <v>40.096050297620799</v>
      </c>
      <c r="K51" s="178">
        <f t="shared" si="45"/>
        <v>42.604434100108008</v>
      </c>
      <c r="L51" s="178">
        <f t="shared" si="45"/>
        <v>44.765546984498002</v>
      </c>
      <c r="M51" s="178">
        <f t="shared" si="45"/>
        <v>47.07506955240855</v>
      </c>
      <c r="N51" s="178">
        <f t="shared" si="45"/>
        <v>48.804699182490985</v>
      </c>
      <c r="O51" s="178">
        <f t="shared" si="45"/>
        <v>48.658260739045609</v>
      </c>
      <c r="P51" s="178">
        <f t="shared" si="45"/>
        <v>40.759580158910445</v>
      </c>
      <c r="Q51" s="178">
        <f t="shared" si="45"/>
        <v>40.25317762300967</v>
      </c>
      <c r="R51" s="178">
        <f t="shared" si="45"/>
        <v>39.725857297519482</v>
      </c>
      <c r="S51" s="178">
        <f t="shared" si="45"/>
        <v>39.322342605619653</v>
      </c>
      <c r="T51" s="178">
        <f t="shared" si="45"/>
        <v>38.604920187687469</v>
      </c>
      <c r="U51" s="178">
        <f t="shared" si="45"/>
        <v>38.009436621354972</v>
      </c>
      <c r="V51" s="178">
        <f t="shared" si="45"/>
        <v>37.389298346320821</v>
      </c>
      <c r="W51" s="178">
        <f t="shared" si="45"/>
        <v>36.889068888326612</v>
      </c>
      <c r="X51" s="178">
        <f t="shared" si="45"/>
        <v>36.070867969173484</v>
      </c>
      <c r="Y51" s="178">
        <f t="shared" si="45"/>
        <v>35.370367908419446</v>
      </c>
      <c r="Z51" s="178">
        <f t="shared" si="45"/>
        <v>34.640793214846035</v>
      </c>
      <c r="AA51" s="178">
        <f t="shared" si="45"/>
        <v>34.026517461369686</v>
      </c>
      <c r="AB51" s="178">
        <f t="shared" si="45"/>
        <v>33.089462029501746</v>
      </c>
      <c r="AC51" s="178">
        <f t="shared" si="45"/>
        <v>32.265092128186119</v>
      </c>
      <c r="AD51" s="178">
        <f t="shared" si="45"/>
        <v>31.406415984250167</v>
      </c>
      <c r="AE51" s="178">
        <f t="shared" si="45"/>
        <v>30.657581297247575</v>
      </c>
      <c r="AF51" s="178">
        <f t="shared" si="45"/>
        <v>29.580273543854204</v>
      </c>
      <c r="AG51" s="178">
        <f t="shared" si="45"/>
        <v>31.091526922914156</v>
      </c>
      <c r="AH51" s="178">
        <f t="shared" ref="AH51:AQ51" si="46">AH26+AH23</f>
        <v>23.975195661112522</v>
      </c>
      <c r="AI51" s="178">
        <f t="shared" si="46"/>
        <v>23.057578434255348</v>
      </c>
      <c r="AJ51" s="178">
        <f t="shared" si="46"/>
        <v>21.824595783933475</v>
      </c>
      <c r="AK51" s="178">
        <f t="shared" si="46"/>
        <v>20.681391301734976</v>
      </c>
      <c r="AL51" s="178">
        <f t="shared" si="46"/>
        <v>19.490336516700275</v>
      </c>
      <c r="AM51" s="178">
        <f t="shared" si="46"/>
        <v>18.385062663806551</v>
      </c>
      <c r="AN51" s="178">
        <f t="shared" si="46"/>
        <v>16.956421386791071</v>
      </c>
      <c r="AO51" s="178">
        <f t="shared" si="46"/>
        <v>15.609206453078686</v>
      </c>
      <c r="AP51" s="178">
        <f t="shared" si="46"/>
        <v>14.205423789931844</v>
      </c>
      <c r="AQ51" s="178">
        <f t="shared" si="46"/>
        <v>12.742649940248022</v>
      </c>
    </row>
    <row r="52" spans="2:43">
      <c r="B52" s="54" t="s">
        <v>155</v>
      </c>
      <c r="C52" s="178"/>
      <c r="D52" s="178">
        <f>D78</f>
        <v>244.32713600000002</v>
      </c>
      <c r="E52" s="178">
        <f t="shared" ref="E52:AQ52" si="47">E78</f>
        <v>48.865427199999999</v>
      </c>
      <c r="F52" s="178">
        <f t="shared" si="47"/>
        <v>9.773085440000024</v>
      </c>
      <c r="G52" s="178">
        <f t="shared" si="47"/>
        <v>1.9546170879999865</v>
      </c>
      <c r="H52" s="178">
        <f t="shared" si="47"/>
        <v>0.39092341760001548</v>
      </c>
      <c r="I52" s="178">
        <f t="shared" si="47"/>
        <v>7.8184683520021281E-2</v>
      </c>
      <c r="J52" s="178">
        <f t="shared" si="47"/>
        <v>1.5636936704004258E-2</v>
      </c>
      <c r="K52" s="178">
        <f t="shared" si="47"/>
        <v>3.1273873407826613E-3</v>
      </c>
      <c r="L52" s="178">
        <f t="shared" si="47"/>
        <v>6.2547746815653235E-4</v>
      </c>
      <c r="M52" s="178">
        <f t="shared" si="47"/>
        <v>1.2509549364949634E-4</v>
      </c>
      <c r="N52" s="178">
        <f t="shared" si="47"/>
        <v>2.5019098711709378E-5</v>
      </c>
      <c r="O52" s="178">
        <f t="shared" si="47"/>
        <v>5.0038197514368221E-6</v>
      </c>
      <c r="P52" s="178">
        <f t="shared" si="47"/>
        <v>1.0007639502873645E-6</v>
      </c>
      <c r="Q52" s="178">
        <f t="shared" si="47"/>
        <v>2.0015277186757887E-7</v>
      </c>
      <c r="R52" s="178">
        <f t="shared" si="47"/>
        <v>4.0030545278568755E-8</v>
      </c>
      <c r="S52" s="178">
        <f t="shared" si="47"/>
        <v>8.0060999607667337E-9</v>
      </c>
      <c r="T52" s="178">
        <f t="shared" si="47"/>
        <v>1.601210897206329E-9</v>
      </c>
      <c r="U52" s="178">
        <f t="shared" si="47"/>
        <v>3.2023308449424805E-10</v>
      </c>
      <c r="V52" s="178">
        <f t="shared" si="47"/>
        <v>6.4028427004814153E-11</v>
      </c>
      <c r="W52" s="178">
        <f t="shared" si="47"/>
        <v>1.2823875294998289E-11</v>
      </c>
      <c r="X52" s="178">
        <f t="shared" si="47"/>
        <v>2.5465851649641993E-12</v>
      </c>
      <c r="Y52" s="178">
        <f t="shared" si="47"/>
        <v>5.0022208597511057E-13</v>
      </c>
      <c r="Z52" s="178">
        <f t="shared" si="47"/>
        <v>9.0949470177292829E-14</v>
      </c>
      <c r="AA52" s="178">
        <f t="shared" si="47"/>
        <v>0</v>
      </c>
      <c r="AB52" s="178">
        <f t="shared" si="47"/>
        <v>0</v>
      </c>
      <c r="AC52" s="178">
        <f t="shared" si="47"/>
        <v>0</v>
      </c>
      <c r="AD52" s="178">
        <f t="shared" si="47"/>
        <v>0</v>
      </c>
      <c r="AE52" s="178">
        <f t="shared" si="47"/>
        <v>0</v>
      </c>
      <c r="AF52" s="178">
        <f t="shared" si="47"/>
        <v>0</v>
      </c>
      <c r="AG52" s="178">
        <f t="shared" si="47"/>
        <v>0</v>
      </c>
      <c r="AH52" s="178">
        <f t="shared" si="47"/>
        <v>0</v>
      </c>
      <c r="AI52" s="178">
        <f t="shared" si="47"/>
        <v>0</v>
      </c>
      <c r="AJ52" s="178">
        <f t="shared" si="47"/>
        <v>0</v>
      </c>
      <c r="AK52" s="178">
        <f t="shared" si="47"/>
        <v>0</v>
      </c>
      <c r="AL52" s="178">
        <f t="shared" si="47"/>
        <v>0</v>
      </c>
      <c r="AM52" s="178">
        <f t="shared" si="47"/>
        <v>0</v>
      </c>
      <c r="AN52" s="178">
        <f t="shared" si="47"/>
        <v>0</v>
      </c>
      <c r="AO52" s="178">
        <f t="shared" si="47"/>
        <v>0</v>
      </c>
      <c r="AP52" s="178">
        <f t="shared" si="47"/>
        <v>0</v>
      </c>
      <c r="AQ52" s="178">
        <f t="shared" si="47"/>
        <v>0</v>
      </c>
    </row>
    <row r="53" spans="2:43">
      <c r="B53" s="54" t="s">
        <v>32</v>
      </c>
      <c r="C53" s="178"/>
      <c r="D53" s="178">
        <f>D51-D52</f>
        <v>-215.35938322669844</v>
      </c>
      <c r="E53" s="178">
        <f t="shared" ref="E53:AG53" si="48">E51</f>
        <v>29.870677729871709</v>
      </c>
      <c r="F53" s="178">
        <f t="shared" si="48"/>
        <v>30.573411909944149</v>
      </c>
      <c r="G53" s="178">
        <f t="shared" si="48"/>
        <v>33.140958178046013</v>
      </c>
      <c r="H53" s="178">
        <f t="shared" si="48"/>
        <v>35.363697007504676</v>
      </c>
      <c r="I53" s="178">
        <f t="shared" si="48"/>
        <v>37.737413357965821</v>
      </c>
      <c r="J53" s="178">
        <f t="shared" si="48"/>
        <v>40.096050297620799</v>
      </c>
      <c r="K53" s="178">
        <f t="shared" si="48"/>
        <v>42.604434100108008</v>
      </c>
      <c r="L53" s="178">
        <f t="shared" si="48"/>
        <v>44.765546984498002</v>
      </c>
      <c r="M53" s="178">
        <f t="shared" si="48"/>
        <v>47.07506955240855</v>
      </c>
      <c r="N53" s="178">
        <f t="shared" si="48"/>
        <v>48.804699182490985</v>
      </c>
      <c r="O53" s="178">
        <f t="shared" si="48"/>
        <v>48.658260739045609</v>
      </c>
      <c r="P53" s="178">
        <f t="shared" si="48"/>
        <v>40.759580158910445</v>
      </c>
      <c r="Q53" s="178">
        <f t="shared" si="48"/>
        <v>40.25317762300967</v>
      </c>
      <c r="R53" s="178">
        <f t="shared" si="48"/>
        <v>39.725857297519482</v>
      </c>
      <c r="S53" s="178">
        <f t="shared" si="48"/>
        <v>39.322342605619653</v>
      </c>
      <c r="T53" s="178">
        <f t="shared" si="48"/>
        <v>38.604920187687469</v>
      </c>
      <c r="U53" s="178">
        <f t="shared" si="48"/>
        <v>38.009436621354972</v>
      </c>
      <c r="V53" s="178">
        <f t="shared" si="48"/>
        <v>37.389298346320821</v>
      </c>
      <c r="W53" s="178">
        <f t="shared" si="48"/>
        <v>36.889068888326612</v>
      </c>
      <c r="X53" s="178">
        <f t="shared" si="48"/>
        <v>36.070867969173484</v>
      </c>
      <c r="Y53" s="178">
        <f t="shared" si="48"/>
        <v>35.370367908419446</v>
      </c>
      <c r="Z53" s="178">
        <f t="shared" si="48"/>
        <v>34.640793214846035</v>
      </c>
      <c r="AA53" s="178">
        <f t="shared" si="48"/>
        <v>34.026517461369686</v>
      </c>
      <c r="AB53" s="178">
        <f t="shared" si="48"/>
        <v>33.089462029501746</v>
      </c>
      <c r="AC53" s="178">
        <f t="shared" si="48"/>
        <v>32.265092128186119</v>
      </c>
      <c r="AD53" s="178">
        <f t="shared" si="48"/>
        <v>31.406415984250167</v>
      </c>
      <c r="AE53" s="178">
        <f t="shared" si="48"/>
        <v>30.657581297247575</v>
      </c>
      <c r="AF53" s="178">
        <f t="shared" si="48"/>
        <v>29.580273543854204</v>
      </c>
      <c r="AG53" s="178">
        <f t="shared" si="48"/>
        <v>31.091526922914156</v>
      </c>
      <c r="AH53" s="178">
        <f t="shared" ref="AH53:AQ53" si="49">AH51</f>
        <v>23.975195661112522</v>
      </c>
      <c r="AI53" s="178">
        <f t="shared" si="49"/>
        <v>23.057578434255348</v>
      </c>
      <c r="AJ53" s="178">
        <f t="shared" si="49"/>
        <v>21.824595783933475</v>
      </c>
      <c r="AK53" s="178">
        <f t="shared" si="49"/>
        <v>20.681391301734976</v>
      </c>
      <c r="AL53" s="178">
        <f t="shared" si="49"/>
        <v>19.490336516700275</v>
      </c>
      <c r="AM53" s="178">
        <f t="shared" si="49"/>
        <v>18.385062663806551</v>
      </c>
      <c r="AN53" s="178">
        <f t="shared" si="49"/>
        <v>16.956421386791071</v>
      </c>
      <c r="AO53" s="178">
        <f t="shared" si="49"/>
        <v>15.609206453078686</v>
      </c>
      <c r="AP53" s="178">
        <f t="shared" si="49"/>
        <v>14.205423789931844</v>
      </c>
      <c r="AQ53" s="178">
        <f t="shared" si="49"/>
        <v>12.742649940248022</v>
      </c>
    </row>
    <row r="54" spans="2:43">
      <c r="B54" s="54" t="s">
        <v>23</v>
      </c>
      <c r="C54" s="178"/>
      <c r="D54" s="178">
        <f>MIN(C55,0)</f>
        <v>0</v>
      </c>
      <c r="E54" s="178">
        <f>MIN(D55,0)</f>
        <v>-215.35938322669844</v>
      </c>
      <c r="F54" s="178">
        <f>MIN(E55,0)</f>
        <v>-185.48870549682673</v>
      </c>
      <c r="G54" s="178">
        <f>MIN(F55,0)</f>
        <v>-154.91529358688257</v>
      </c>
      <c r="H54" s="178">
        <f t="shared" ref="H54:W54" si="50">MIN(G55,0)</f>
        <v>-121.77433540883655</v>
      </c>
      <c r="I54" s="178">
        <f t="shared" si="50"/>
        <v>-86.41063840133188</v>
      </c>
      <c r="J54" s="178">
        <f t="shared" si="50"/>
        <v>-48.67322504336606</v>
      </c>
      <c r="K54" s="178">
        <f t="shared" si="50"/>
        <v>-8.5771747457452605</v>
      </c>
      <c r="L54" s="178">
        <f t="shared" si="50"/>
        <v>0</v>
      </c>
      <c r="M54" s="178">
        <f t="shared" si="50"/>
        <v>0</v>
      </c>
      <c r="N54" s="178">
        <f t="shared" si="50"/>
        <v>0</v>
      </c>
      <c r="O54" s="178">
        <f t="shared" si="50"/>
        <v>0</v>
      </c>
      <c r="P54" s="178">
        <f t="shared" si="50"/>
        <v>0</v>
      </c>
      <c r="Q54" s="178">
        <f t="shared" si="50"/>
        <v>0</v>
      </c>
      <c r="R54" s="178">
        <f t="shared" si="50"/>
        <v>0</v>
      </c>
      <c r="S54" s="178">
        <f t="shared" si="50"/>
        <v>0</v>
      </c>
      <c r="T54" s="178">
        <f t="shared" si="50"/>
        <v>0</v>
      </c>
      <c r="U54" s="178">
        <f t="shared" si="50"/>
        <v>0</v>
      </c>
      <c r="V54" s="178">
        <f t="shared" si="50"/>
        <v>0</v>
      </c>
      <c r="W54" s="178">
        <f t="shared" si="50"/>
        <v>0</v>
      </c>
      <c r="X54" s="178">
        <f t="shared" ref="X54:AH54" si="51">MIN(W55,0)</f>
        <v>0</v>
      </c>
      <c r="Y54" s="178">
        <f t="shared" si="51"/>
        <v>0</v>
      </c>
      <c r="Z54" s="178">
        <f t="shared" si="51"/>
        <v>0</v>
      </c>
      <c r="AA54" s="178">
        <f t="shared" si="51"/>
        <v>0</v>
      </c>
      <c r="AB54" s="178">
        <f t="shared" si="51"/>
        <v>0</v>
      </c>
      <c r="AC54" s="178">
        <f t="shared" si="51"/>
        <v>0</v>
      </c>
      <c r="AD54" s="178">
        <f t="shared" si="51"/>
        <v>0</v>
      </c>
      <c r="AE54" s="178">
        <f t="shared" si="51"/>
        <v>0</v>
      </c>
      <c r="AF54" s="178">
        <f t="shared" si="51"/>
        <v>0</v>
      </c>
      <c r="AG54" s="178">
        <f t="shared" si="51"/>
        <v>0</v>
      </c>
      <c r="AH54" s="178">
        <f t="shared" si="51"/>
        <v>0</v>
      </c>
      <c r="AI54" s="178">
        <f t="shared" ref="AI54:AQ54" si="52">MIN(AH55,0)</f>
        <v>0</v>
      </c>
      <c r="AJ54" s="178">
        <f t="shared" si="52"/>
        <v>0</v>
      </c>
      <c r="AK54" s="178">
        <f t="shared" si="52"/>
        <v>0</v>
      </c>
      <c r="AL54" s="178">
        <f t="shared" si="52"/>
        <v>0</v>
      </c>
      <c r="AM54" s="178">
        <f t="shared" si="52"/>
        <v>0</v>
      </c>
      <c r="AN54" s="178">
        <f t="shared" si="52"/>
        <v>0</v>
      </c>
      <c r="AO54" s="178">
        <f t="shared" si="52"/>
        <v>0</v>
      </c>
      <c r="AP54" s="178">
        <f t="shared" si="52"/>
        <v>0</v>
      </c>
      <c r="AQ54" s="178">
        <f t="shared" si="52"/>
        <v>0</v>
      </c>
    </row>
    <row r="55" spans="2:43">
      <c r="B55" s="207" t="s">
        <v>65</v>
      </c>
      <c r="C55" s="208"/>
      <c r="D55" s="208">
        <f>D53+D54</f>
        <v>-215.35938322669844</v>
      </c>
      <c r="E55" s="208">
        <f>E53+E54</f>
        <v>-185.48870549682673</v>
      </c>
      <c r="F55" s="208">
        <f t="shared" ref="F55:W55" si="53">+F53+F54</f>
        <v>-154.91529358688257</v>
      </c>
      <c r="G55" s="208">
        <f t="shared" si="53"/>
        <v>-121.77433540883655</v>
      </c>
      <c r="H55" s="208">
        <f t="shared" si="53"/>
        <v>-86.41063840133188</v>
      </c>
      <c r="I55" s="208">
        <f t="shared" si="53"/>
        <v>-48.67322504336606</v>
      </c>
      <c r="J55" s="208">
        <f t="shared" si="53"/>
        <v>-8.5771747457452605</v>
      </c>
      <c r="K55" s="208">
        <f t="shared" si="53"/>
        <v>34.027259354362748</v>
      </c>
      <c r="L55" s="208">
        <f t="shared" si="53"/>
        <v>44.765546984498002</v>
      </c>
      <c r="M55" s="208">
        <f t="shared" si="53"/>
        <v>47.07506955240855</v>
      </c>
      <c r="N55" s="208">
        <f t="shared" si="53"/>
        <v>48.804699182490985</v>
      </c>
      <c r="O55" s="208">
        <f t="shared" si="53"/>
        <v>48.658260739045609</v>
      </c>
      <c r="P55" s="208">
        <f t="shared" si="53"/>
        <v>40.759580158910445</v>
      </c>
      <c r="Q55" s="208">
        <f t="shared" si="53"/>
        <v>40.25317762300967</v>
      </c>
      <c r="R55" s="208">
        <f t="shared" si="53"/>
        <v>39.725857297519482</v>
      </c>
      <c r="S55" s="208">
        <f t="shared" si="53"/>
        <v>39.322342605619653</v>
      </c>
      <c r="T55" s="208">
        <f t="shared" si="53"/>
        <v>38.604920187687469</v>
      </c>
      <c r="U55" s="208">
        <f t="shared" si="53"/>
        <v>38.009436621354972</v>
      </c>
      <c r="V55" s="208">
        <f t="shared" si="53"/>
        <v>37.389298346320821</v>
      </c>
      <c r="W55" s="208">
        <f t="shared" si="53"/>
        <v>36.889068888326612</v>
      </c>
      <c r="X55" s="208">
        <f t="shared" ref="X55:AG55" si="54">+X53+X54</f>
        <v>36.070867969173484</v>
      </c>
      <c r="Y55" s="208">
        <f t="shared" si="54"/>
        <v>35.370367908419446</v>
      </c>
      <c r="Z55" s="208">
        <f t="shared" si="54"/>
        <v>34.640793214846035</v>
      </c>
      <c r="AA55" s="208">
        <f t="shared" si="54"/>
        <v>34.026517461369686</v>
      </c>
      <c r="AB55" s="208">
        <f t="shared" si="54"/>
        <v>33.089462029501746</v>
      </c>
      <c r="AC55" s="208">
        <f t="shared" si="54"/>
        <v>32.265092128186119</v>
      </c>
      <c r="AD55" s="208">
        <f t="shared" si="54"/>
        <v>31.406415984250167</v>
      </c>
      <c r="AE55" s="208">
        <f t="shared" si="54"/>
        <v>30.657581297247575</v>
      </c>
      <c r="AF55" s="208">
        <f t="shared" si="54"/>
        <v>29.580273543854204</v>
      </c>
      <c r="AG55" s="208">
        <f t="shared" si="54"/>
        <v>31.091526922914156</v>
      </c>
      <c r="AH55" s="208">
        <f t="shared" ref="AH55:AQ55" si="55">+AH53+AH54</f>
        <v>23.975195661112522</v>
      </c>
      <c r="AI55" s="208">
        <f t="shared" si="55"/>
        <v>23.057578434255348</v>
      </c>
      <c r="AJ55" s="208">
        <f t="shared" si="55"/>
        <v>21.824595783933475</v>
      </c>
      <c r="AK55" s="208">
        <f t="shared" si="55"/>
        <v>20.681391301734976</v>
      </c>
      <c r="AL55" s="208">
        <f t="shared" si="55"/>
        <v>19.490336516700275</v>
      </c>
      <c r="AM55" s="208">
        <f t="shared" si="55"/>
        <v>18.385062663806551</v>
      </c>
      <c r="AN55" s="208">
        <f t="shared" si="55"/>
        <v>16.956421386791071</v>
      </c>
      <c r="AO55" s="208">
        <f t="shared" si="55"/>
        <v>15.609206453078686</v>
      </c>
      <c r="AP55" s="208">
        <f t="shared" si="55"/>
        <v>14.205423789931844</v>
      </c>
      <c r="AQ55" s="208">
        <f t="shared" si="55"/>
        <v>12.742649940248022</v>
      </c>
    </row>
    <row r="56" spans="2:43">
      <c r="B56" s="207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09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  <c r="AD56" s="209"/>
      <c r="AE56" s="209"/>
      <c r="AF56" s="209"/>
      <c r="AG56" s="209"/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</row>
    <row r="57" spans="2:43">
      <c r="B57" s="54" t="s">
        <v>196</v>
      </c>
      <c r="C57" s="178"/>
      <c r="D57" s="178">
        <f>IF(D55&lt;0,0,1)*IF(D48&lt;=15,1,0)</f>
        <v>0</v>
      </c>
      <c r="E57" s="178">
        <f>IF(E55&lt;0,0,1)*IF(E48&lt;=15,1,0)*IF(SUM($C$57:D$57)&lt;10,1,0)</f>
        <v>0</v>
      </c>
      <c r="F57" s="178">
        <f>IF(F55&lt;0,0,1)*IF(F48&lt;=15,1,0)*IF(SUM($C$57:E$57)&lt;10,1,0)</f>
        <v>0</v>
      </c>
      <c r="G57" s="178">
        <f>IF(G55&lt;0,0,1)*IF(G48&lt;=15,1,0)*IF(SUM($C$57:F$57)&lt;10,1,0)</f>
        <v>0</v>
      </c>
      <c r="H57" s="178">
        <f>IF(H55&lt;0,0,1)*IF(H48&lt;=15,1,0)*IF(SUM($C$57:G$57)&lt;10,1,0)</f>
        <v>0</v>
      </c>
      <c r="I57" s="178">
        <f>IF(I55&lt;0,0,1)*IF(I48&lt;=15,1,0)*IF(SUM($C$57:H$57)&lt;10,1,0)</f>
        <v>0</v>
      </c>
      <c r="J57" s="178">
        <f>IF(J55&lt;0,0,1)*IF(J48&lt;=15,1,0)*IF(SUM($C$57:I$57)&lt;10,1,0)</f>
        <v>0</v>
      </c>
      <c r="K57" s="178">
        <f>IF(K55&lt;0,0,1)*IF(K48&lt;=15,1,0)*IF(SUM($C$57:J$57)&lt;10,1,0)</f>
        <v>1</v>
      </c>
      <c r="L57" s="178">
        <f>IF(L55&lt;0,0,1)*IF(L48&lt;=15,1,0)*IF(SUM($C$57:K$57)&lt;10,1,0)</f>
        <v>1</v>
      </c>
      <c r="M57" s="178">
        <f>IF(M55&lt;0,0,1)*IF(M48&lt;=15,1,0)*IF(SUM($C$57:L$57)&lt;10,1,0)</f>
        <v>1</v>
      </c>
      <c r="N57" s="178">
        <f>IF(N55&lt;0,0,1)*IF(N48&lt;=15,1,0)*IF(SUM($C$57:M$57)&lt;10,1,0)</f>
        <v>1</v>
      </c>
      <c r="O57" s="178">
        <f>IF(O55&lt;0,0,1)*IF(O48&lt;=15,1,0)*IF(SUM($C$57:N$57)&lt;10,1,0)</f>
        <v>1</v>
      </c>
      <c r="P57" s="178">
        <f>IF(P55&lt;0,0,1)*IF(P48&lt;=15,1,0)*IF(SUM($C$57:O$57)&lt;10,1,0)</f>
        <v>1</v>
      </c>
      <c r="Q57" s="178">
        <f>IF(Q55&lt;0,0,1)*IF(Q48&lt;=15,1,0)*IF(SUM($C$57:P$57)&lt;10,1,0)</f>
        <v>1</v>
      </c>
      <c r="R57" s="178">
        <f>IF(R55&lt;0,0,1)*IF(R48&lt;=15,1,0)*IF(SUM($C$57:Q$57)&lt;10,1,0)</f>
        <v>1</v>
      </c>
      <c r="S57" s="178">
        <f>IF(S55&lt;0,0,1)*IF(S48&lt;=15,1,0)*IF(SUM($C$57:R$57)&lt;10,1,0)</f>
        <v>0</v>
      </c>
      <c r="T57" s="178">
        <f>IF(T55&lt;0,0,1)*IF(T48&lt;=15,1,0)*IF(SUM($C$57:S$57)&lt;10,1,0)</f>
        <v>0</v>
      </c>
      <c r="U57" s="178">
        <f>IF(U55&lt;0,0,1)*IF(U48&lt;=15,1,0)*IF(SUM($C$57:T$57)&lt;10,1,0)</f>
        <v>0</v>
      </c>
      <c r="V57" s="178">
        <f>IF(V55&lt;0,0,1)*IF(V48&lt;=15,1,0)*IF(SUM($C$57:U$57)&lt;10,1,0)</f>
        <v>0</v>
      </c>
      <c r="W57" s="178">
        <f>IF(W55&lt;0,0,1)*IF(W48&lt;=15,1,0)*IF(SUM($C$57:V$57)&lt;10,1,0)</f>
        <v>0</v>
      </c>
      <c r="X57" s="178">
        <f>IF(X55&lt;0,0,1)*IF(X48&lt;=15,1,0)*IF(SUM($C$57:W$57)&lt;10,1,0)</f>
        <v>0</v>
      </c>
      <c r="Y57" s="178">
        <f>IF(Y55&lt;0,0,1)*IF(Y48&lt;=15,1,0)*IF(SUM($C$57:X$57)&lt;10,1,0)</f>
        <v>0</v>
      </c>
      <c r="Z57" s="178">
        <f>IF(Z55&lt;0,0,1)*IF(Z48&lt;=15,1,0)*IF(SUM($C$57:Y$57)&lt;10,1,0)</f>
        <v>0</v>
      </c>
      <c r="AA57" s="178">
        <f>IF(AA55&lt;0,0,1)*IF(AA48&lt;=15,1,0)*IF(SUM($C$57:Z$57)&lt;10,1,0)</f>
        <v>0</v>
      </c>
      <c r="AB57" s="178">
        <f>IF(AB55&lt;0,0,1)*IF(AB48&lt;=15,1,0)*IF(SUM($C$57:AA$57)&lt;10,1,0)</f>
        <v>0</v>
      </c>
      <c r="AC57" s="178">
        <f>IF(AC55&lt;0,0,1)*IF(AC48&lt;=15,1,0)*IF(SUM($C$57:AB$57)&lt;10,1,0)</f>
        <v>0</v>
      </c>
      <c r="AD57" s="178">
        <f>IF(AD55&lt;0,0,1)*IF(AD48&lt;=15,1,0)*IF(SUM($C$57:AC$57)&lt;10,1,0)</f>
        <v>0</v>
      </c>
      <c r="AE57" s="178">
        <f>IF(AE55&lt;0,0,1)*IF(AE48&lt;=15,1,0)*IF(SUM($C$57:AD$57)&lt;10,1,0)</f>
        <v>0</v>
      </c>
      <c r="AF57" s="178">
        <f>IF(AF55&lt;0,0,1)*IF(AF48&lt;=15,1,0)*IF(SUM($C$57:AE$57)&lt;10,1,0)</f>
        <v>0</v>
      </c>
      <c r="AG57" s="178">
        <f>IF(AG55&lt;0,0,1)*IF(AG48&lt;=15,1,0)*IF(SUM($C$57:AF$57)&lt;10,1,0)</f>
        <v>0</v>
      </c>
      <c r="AH57" s="178">
        <f>IF(AH55&lt;0,0,1)*IF(AH48&lt;=15,1,0)*IF(SUM($C$57:AG$57)&lt;10,1,0)</f>
        <v>0</v>
      </c>
      <c r="AI57" s="178">
        <f>IF(AI55&lt;0,0,1)*IF(AI48&lt;=15,1,0)*IF(SUM($C$57:AH$57)&lt;10,1,0)</f>
        <v>0</v>
      </c>
      <c r="AJ57" s="178">
        <f>IF(AJ55&lt;0,0,1)*IF(AJ48&lt;=15,1,0)*IF(SUM($C$57:AI$57)&lt;10,1,0)</f>
        <v>0</v>
      </c>
      <c r="AK57" s="178">
        <f>IF(AK55&lt;0,0,1)*IF(AK48&lt;=15,1,0)*IF(SUM($C$57:AJ$57)&lt;10,1,0)</f>
        <v>0</v>
      </c>
      <c r="AL57" s="178">
        <f>IF(AL55&lt;0,0,1)*IF(AL48&lt;=15,1,0)*IF(SUM($C$57:AK$57)&lt;10,1,0)</f>
        <v>0</v>
      </c>
      <c r="AM57" s="178">
        <f>IF(AM55&lt;0,0,1)*IF(AM48&lt;=15,1,0)*IF(SUM($C$57:AL$57)&lt;10,1,0)</f>
        <v>0</v>
      </c>
      <c r="AN57" s="178">
        <f>IF(AN55&lt;0,0,1)*IF(AN48&lt;=15,1,0)*IF(SUM($C$57:AM$57)&lt;10,1,0)</f>
        <v>0</v>
      </c>
      <c r="AO57" s="178">
        <f>IF(AO55&lt;0,0,1)*IF(AO48&lt;=15,1,0)*IF(SUM($C$57:AN$57)&lt;10,1,0)</f>
        <v>0</v>
      </c>
      <c r="AP57" s="178">
        <f>IF(AP55&lt;0,0,1)*IF(AP48&lt;=15,1,0)*IF(SUM($C$57:AO$57)&lt;10,1,0)</f>
        <v>0</v>
      </c>
      <c r="AQ57" s="178">
        <f>IF(AQ55&lt;0,0,1)*IF(AQ48&lt;=15,1,0)*IF(SUM($C$57:AP$57)&lt;10,1,0)</f>
        <v>0</v>
      </c>
    </row>
    <row r="58" spans="2:43">
      <c r="B58" s="210" t="s">
        <v>197</v>
      </c>
      <c r="C58" s="211"/>
      <c r="D58" s="330">
        <f>IF(AND(SUM($D$57:D57)&lt;=10,D48&lt;=15),MAX(D55,0),0)</f>
        <v>0</v>
      </c>
      <c r="E58" s="312">
        <f>IF(AND(SUM($D$57:E57)&lt;=10,E48&lt;=15),MAX(E55,0),0)</f>
        <v>0</v>
      </c>
      <c r="F58" s="312">
        <f>IF(AND(SUM($D$57:F57)&lt;=10,F48&lt;=15),MAX(F55,0),0)</f>
        <v>0</v>
      </c>
      <c r="G58" s="312">
        <f>IF(AND(SUM($D$57:G57)&lt;=10,G48&lt;=15),MAX(G55,0),0)</f>
        <v>0</v>
      </c>
      <c r="H58" s="312">
        <f>IF(AND(SUM($D$57:H57)&lt;=10,H48&lt;=15),MAX(H55,0),0)</f>
        <v>0</v>
      </c>
      <c r="I58" s="312">
        <f>IF(AND(SUM($D$57:I57)&lt;=10,I48&lt;=15),MAX(I55,0),0)</f>
        <v>0</v>
      </c>
      <c r="J58" s="312">
        <f>IF(AND(SUM($D$57:J57)&lt;=10,J48&lt;=15),MAX(J55,0),0)</f>
        <v>0</v>
      </c>
      <c r="K58" s="312">
        <f>IF(AND(SUM($D$57:K57)&lt;=10,K48&lt;=15),MAX(K55,0),0)</f>
        <v>34.027259354362748</v>
      </c>
      <c r="L58" s="312">
        <f>IF(AND(SUM($D$57:L57)&lt;=10,L48&lt;=15),MAX(L55,0),0)</f>
        <v>44.765546984498002</v>
      </c>
      <c r="M58" s="312">
        <f>IF(AND(SUM($D$57:M57)&lt;=10,M48&lt;=15),MAX(M55,0),0)</f>
        <v>47.07506955240855</v>
      </c>
      <c r="N58" s="312">
        <f>IF(AND(SUM($D$57:N57)&lt;=10,N48&lt;=15),MAX(N55,0),0)</f>
        <v>48.804699182490985</v>
      </c>
      <c r="O58" s="312">
        <f>IF(AND(SUM($D$57:O57)&lt;=10,O48&lt;=15),MAX(O55,0),0)</f>
        <v>48.658260739045609</v>
      </c>
      <c r="P58" s="312">
        <f>IF(AND(SUM($D$57:P57)&lt;=10,P48&lt;=15),MAX(P55,0),0)</f>
        <v>40.759580158910445</v>
      </c>
      <c r="Q58" s="312">
        <f>IF(AND(SUM($D$57:Q57)&lt;=10,Q48&lt;=15),MAX(Q55,0),0)</f>
        <v>40.25317762300967</v>
      </c>
      <c r="R58" s="312">
        <f>IF(AND(SUM($D$57:R57)&lt;=10,R48&lt;=15),MAX(R55,0),0)</f>
        <v>39.725857297519482</v>
      </c>
      <c r="S58" s="312">
        <f>IF(AND(SUM($D$57:S57)&lt;=10,S48&lt;=15),MAX(S55,0),0)</f>
        <v>0</v>
      </c>
      <c r="T58" s="312">
        <f>IF(AND(SUM($D$57:T57)&lt;=10,T48&lt;=15),MAX(T55,0),0)</f>
        <v>0</v>
      </c>
      <c r="U58" s="312">
        <f>IF(AND(SUM($D$57:U57)&lt;=10,U48&lt;=15),MAX(U55,0),0)</f>
        <v>0</v>
      </c>
      <c r="V58" s="312">
        <f>IF(AND(SUM($D$57:V57)&lt;=10,V48&lt;=15),MAX(V55,0),0)</f>
        <v>0</v>
      </c>
      <c r="W58" s="312">
        <f>IF(AND(SUM($D$57:W57)&lt;=10,W48&lt;=15),MAX(W55,0),0)</f>
        <v>0</v>
      </c>
      <c r="X58" s="312">
        <f>IF(AND(SUM($D$57:X57)&lt;=10,X48&lt;=15),MAX(X55,0),0)</f>
        <v>0</v>
      </c>
      <c r="Y58" s="312">
        <f>IF(AND(SUM($D$57:Y57)&lt;=10,Y48&lt;=15),MAX(Y55,0),0)</f>
        <v>0</v>
      </c>
      <c r="Z58" s="312">
        <f>IF(AND(SUM($D$57:Z57)&lt;=10,Z48&lt;=15),MAX(Z55,0),0)</f>
        <v>0</v>
      </c>
      <c r="AA58" s="312">
        <f>IF(AND(SUM($D$57:AA57)&lt;=10,AA48&lt;=15),MAX(AA55,0),0)</f>
        <v>0</v>
      </c>
      <c r="AB58" s="312">
        <f>IF(AND(SUM($D$57:AB57)&lt;=10,AB48&lt;=15),MAX(AB55,0),0)</f>
        <v>0</v>
      </c>
      <c r="AC58" s="312">
        <f>IF(AND(SUM($D$57:AC57)&lt;=10,AC48&lt;=15),MAX(AC55,0),0)</f>
        <v>0</v>
      </c>
      <c r="AD58" s="312">
        <f>IF(AND(SUM($D$57:AD57)&lt;=10,AD48&lt;=15),MAX(AD55,0),0)</f>
        <v>0</v>
      </c>
      <c r="AE58" s="312">
        <f>IF(AND(SUM($D$57:AE57)&lt;=10,AE48&lt;=15),MAX(AE55,0),0)</f>
        <v>0</v>
      </c>
      <c r="AF58" s="312">
        <f>IF(AND(SUM($D$57:AF57)&lt;=10,AF48&lt;=15),MAX(AF55,0),0)</f>
        <v>0</v>
      </c>
      <c r="AG58" s="312">
        <f>IF(AND(SUM($D$57:AG57)&lt;=10,AG48&lt;=15),MAX(AG55,0),0)</f>
        <v>0</v>
      </c>
      <c r="AH58" s="312">
        <f>IF(AND(SUM($D$57:AH57)&lt;=10,AH48&lt;=15),MAX(AH55,0),0)</f>
        <v>0</v>
      </c>
      <c r="AI58" s="312">
        <f>IF(AND(SUM($D$57:AI57)&lt;=10,AI48&lt;=15),MAX(AI55,0),0)</f>
        <v>0</v>
      </c>
      <c r="AJ58" s="312">
        <f>IF(AND(SUM($D$57:AJ57)&lt;=10,AJ48&lt;=15),MAX(AJ55,0),0)</f>
        <v>0</v>
      </c>
      <c r="AK58" s="312">
        <f>IF(AND(SUM($D$57:AK57)&lt;=10,AK48&lt;=15),MAX(AK55,0),0)</f>
        <v>0</v>
      </c>
      <c r="AL58" s="312">
        <f>IF(AND(SUM($D$57:AL57)&lt;=10,AL48&lt;=15),MAX(AL55,0),0)</f>
        <v>0</v>
      </c>
      <c r="AM58" s="312">
        <f>IF(AND(SUM($D$57:AM57)&lt;=10,AM48&lt;=15),MAX(AM55,0),0)</f>
        <v>0</v>
      </c>
      <c r="AN58" s="312">
        <f>IF(AND(SUM($D$57:AN57)&lt;=10,AN48&lt;=15),MAX(AN55,0),0)</f>
        <v>0</v>
      </c>
      <c r="AO58" s="312">
        <f>IF(AND(SUM($D$57:AO57)&lt;=10,AO48&lt;=15),MAX(AO55,0),0)</f>
        <v>0</v>
      </c>
      <c r="AP58" s="312">
        <f>IF(AND(SUM($D$57:AP57)&lt;=10,AP48&lt;=15),MAX(AP55,0),0)</f>
        <v>0</v>
      </c>
      <c r="AQ58" s="312">
        <f>IF(AND(SUM($D$57:AQ57)&lt;=10,AQ48&lt;=15),MAX(AQ55,0),0)</f>
        <v>0</v>
      </c>
    </row>
    <row r="59" spans="2:43">
      <c r="B59" s="54" t="s">
        <v>46</v>
      </c>
      <c r="C59" s="178"/>
      <c r="D59" s="178">
        <f>MAX(D55-D58,0)</f>
        <v>0</v>
      </c>
      <c r="E59" s="178">
        <f>MAX(E55-E58,0)</f>
        <v>0</v>
      </c>
      <c r="F59" s="178">
        <f>MAX(F55-F58,0)</f>
        <v>0</v>
      </c>
      <c r="G59" s="178">
        <f t="shared" ref="G59:O59" si="56">MAX(G55-G58,0)</f>
        <v>0</v>
      </c>
      <c r="H59" s="178">
        <f t="shared" si="56"/>
        <v>0</v>
      </c>
      <c r="I59" s="178">
        <f t="shared" si="56"/>
        <v>0</v>
      </c>
      <c r="J59" s="178">
        <f t="shared" si="56"/>
        <v>0</v>
      </c>
      <c r="K59" s="178">
        <f t="shared" si="56"/>
        <v>0</v>
      </c>
      <c r="L59" s="178">
        <f t="shared" si="56"/>
        <v>0</v>
      </c>
      <c r="M59" s="178">
        <f t="shared" si="56"/>
        <v>0</v>
      </c>
      <c r="N59" s="178">
        <f t="shared" si="56"/>
        <v>0</v>
      </c>
      <c r="O59" s="178">
        <f t="shared" si="56"/>
        <v>0</v>
      </c>
      <c r="P59" s="178">
        <f t="shared" ref="P59:W59" si="57">MAX(P55-P58,0)</f>
        <v>0</v>
      </c>
      <c r="Q59" s="178">
        <f t="shared" si="57"/>
        <v>0</v>
      </c>
      <c r="R59" s="178">
        <f t="shared" si="57"/>
        <v>0</v>
      </c>
      <c r="S59" s="178">
        <f t="shared" si="57"/>
        <v>39.322342605619653</v>
      </c>
      <c r="T59" s="178">
        <f t="shared" si="57"/>
        <v>38.604920187687469</v>
      </c>
      <c r="U59" s="178">
        <f t="shared" si="57"/>
        <v>38.009436621354972</v>
      </c>
      <c r="V59" s="178">
        <f t="shared" si="57"/>
        <v>37.389298346320821</v>
      </c>
      <c r="W59" s="178">
        <f t="shared" si="57"/>
        <v>36.889068888326612</v>
      </c>
      <c r="X59" s="178">
        <f t="shared" ref="X59:AG59" si="58">MAX(X55-X58,0)</f>
        <v>36.070867969173484</v>
      </c>
      <c r="Y59" s="178">
        <f t="shared" si="58"/>
        <v>35.370367908419446</v>
      </c>
      <c r="Z59" s="178">
        <f t="shared" si="58"/>
        <v>34.640793214846035</v>
      </c>
      <c r="AA59" s="178">
        <f t="shared" si="58"/>
        <v>34.026517461369686</v>
      </c>
      <c r="AB59" s="178">
        <f t="shared" si="58"/>
        <v>33.089462029501746</v>
      </c>
      <c r="AC59" s="178">
        <f t="shared" si="58"/>
        <v>32.265092128186119</v>
      </c>
      <c r="AD59" s="178">
        <f t="shared" si="58"/>
        <v>31.406415984250167</v>
      </c>
      <c r="AE59" s="178">
        <f t="shared" si="58"/>
        <v>30.657581297247575</v>
      </c>
      <c r="AF59" s="178">
        <f t="shared" si="58"/>
        <v>29.580273543854204</v>
      </c>
      <c r="AG59" s="178">
        <f t="shared" si="58"/>
        <v>31.091526922914156</v>
      </c>
      <c r="AH59" s="178">
        <f t="shared" ref="AH59:AQ59" si="59">MAX(AH55-AH58,0)</f>
        <v>23.975195661112522</v>
      </c>
      <c r="AI59" s="178">
        <f t="shared" si="59"/>
        <v>23.057578434255348</v>
      </c>
      <c r="AJ59" s="178">
        <f t="shared" si="59"/>
        <v>21.824595783933475</v>
      </c>
      <c r="AK59" s="178">
        <f t="shared" si="59"/>
        <v>20.681391301734976</v>
      </c>
      <c r="AL59" s="178">
        <f t="shared" si="59"/>
        <v>19.490336516700275</v>
      </c>
      <c r="AM59" s="178">
        <f t="shared" si="59"/>
        <v>18.385062663806551</v>
      </c>
      <c r="AN59" s="178">
        <f t="shared" si="59"/>
        <v>16.956421386791071</v>
      </c>
      <c r="AO59" s="178">
        <f t="shared" si="59"/>
        <v>15.609206453078686</v>
      </c>
      <c r="AP59" s="178">
        <f t="shared" si="59"/>
        <v>14.205423789931844</v>
      </c>
      <c r="AQ59" s="178">
        <f t="shared" si="59"/>
        <v>12.742649940248022</v>
      </c>
    </row>
    <row r="60" spans="2:43">
      <c r="B60" s="54"/>
      <c r="C60" s="178"/>
      <c r="D60" s="178"/>
      <c r="E60" s="178"/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8"/>
      <c r="Q60" s="178"/>
      <c r="R60" s="178"/>
      <c r="S60" s="178"/>
      <c r="T60" s="178"/>
      <c r="U60" s="178"/>
      <c r="V60" s="178"/>
      <c r="W60" s="178"/>
      <c r="X60" s="178"/>
      <c r="Y60" s="178"/>
      <c r="Z60" s="178"/>
      <c r="AA60" s="178"/>
      <c r="AB60" s="178"/>
      <c r="AC60" s="178"/>
      <c r="AD60" s="178"/>
      <c r="AE60" s="178"/>
      <c r="AF60" s="178"/>
      <c r="AG60" s="178"/>
      <c r="AH60" s="178"/>
      <c r="AI60" s="178"/>
      <c r="AJ60" s="178"/>
      <c r="AK60" s="178"/>
      <c r="AL60" s="178"/>
      <c r="AM60" s="178"/>
      <c r="AN60" s="178"/>
      <c r="AO60" s="178"/>
      <c r="AP60" s="178"/>
      <c r="AQ60" s="178"/>
    </row>
    <row r="61" spans="2:43">
      <c r="B61" s="54" t="str">
        <f>"Income Tax at "&amp;'INPUT DATA SHEET'!C105&amp;" on above"</f>
        <v>Income Tax at 0.3399 on above</v>
      </c>
      <c r="C61" s="178"/>
      <c r="D61" s="178">
        <f>D59*'INPUT DATA SHEET'!$C$105</f>
        <v>0</v>
      </c>
      <c r="E61" s="178">
        <f>E59*'INPUT DATA SHEET'!$C$105</f>
        <v>0</v>
      </c>
      <c r="F61" s="178">
        <f>F59*'INPUT DATA SHEET'!$C$105</f>
        <v>0</v>
      </c>
      <c r="G61" s="178">
        <f>G59*'INPUT DATA SHEET'!$C$105</f>
        <v>0</v>
      </c>
      <c r="H61" s="178">
        <f>H59*'INPUT DATA SHEET'!$C$105</f>
        <v>0</v>
      </c>
      <c r="I61" s="178">
        <f>I59*'INPUT DATA SHEET'!$C$105</f>
        <v>0</v>
      </c>
      <c r="J61" s="178">
        <f>J59*'INPUT DATA SHEET'!$C$105</f>
        <v>0</v>
      </c>
      <c r="K61" s="178">
        <f>K59*'INPUT DATA SHEET'!$C$105</f>
        <v>0</v>
      </c>
      <c r="L61" s="178">
        <f>L59*'INPUT DATA SHEET'!$C$105</f>
        <v>0</v>
      </c>
      <c r="M61" s="178">
        <f>M59*'INPUT DATA SHEET'!$C$105</f>
        <v>0</v>
      </c>
      <c r="N61" s="178">
        <f>N59*'INPUT DATA SHEET'!$C$105</f>
        <v>0</v>
      </c>
      <c r="O61" s="178">
        <f>O59*'INPUT DATA SHEET'!$C$105</f>
        <v>0</v>
      </c>
      <c r="P61" s="178">
        <f>P59*'INPUT DATA SHEET'!$C$105</f>
        <v>0</v>
      </c>
      <c r="Q61" s="178">
        <f>Q59*'INPUT DATA SHEET'!$C$105</f>
        <v>0</v>
      </c>
      <c r="R61" s="178">
        <f>R59*'INPUT DATA SHEET'!$C$105</f>
        <v>0</v>
      </c>
      <c r="S61" s="178">
        <f>S59*'INPUT DATA SHEET'!$C$105</f>
        <v>13.36566425165012</v>
      </c>
      <c r="T61" s="178">
        <f>T59*'INPUT DATA SHEET'!$C$105</f>
        <v>13.12181237179497</v>
      </c>
      <c r="U61" s="178">
        <f>U59*'INPUT DATA SHEET'!$C$105</f>
        <v>12.919407507598555</v>
      </c>
      <c r="V61" s="178">
        <f>V59*'INPUT DATA SHEET'!$C$105</f>
        <v>12.708622507914447</v>
      </c>
      <c r="W61" s="178">
        <f>W59*'INPUT DATA SHEET'!$C$105</f>
        <v>12.538594515142215</v>
      </c>
      <c r="X61" s="178">
        <f>X59*'INPUT DATA SHEET'!$C$105</f>
        <v>12.260488022722067</v>
      </c>
      <c r="Y61" s="178">
        <f>Y59*'INPUT DATA SHEET'!$C$105</f>
        <v>12.022388052071769</v>
      </c>
      <c r="Z61" s="178">
        <f>Z59*'INPUT DATA SHEET'!$C$105</f>
        <v>11.774405613726167</v>
      </c>
      <c r="AA61" s="178">
        <f>AA59*'INPUT DATA SHEET'!$C$105</f>
        <v>11.565613285119555</v>
      </c>
      <c r="AB61" s="178">
        <f>AB59*'INPUT DATA SHEET'!$C$105</f>
        <v>11.247108143827642</v>
      </c>
      <c r="AC61" s="178">
        <f>AC59*'INPUT DATA SHEET'!$C$105</f>
        <v>10.96690481437046</v>
      </c>
      <c r="AD61" s="178">
        <f>AD59*'INPUT DATA SHEET'!$C$105</f>
        <v>10.67504079304663</v>
      </c>
      <c r="AE61" s="178">
        <f>AE59*'INPUT DATA SHEET'!$C$105</f>
        <v>10.42051188293445</v>
      </c>
      <c r="AF61" s="178">
        <f>AF59*'INPUT DATA SHEET'!$C$105</f>
        <v>10.054334977556044</v>
      </c>
      <c r="AG61" s="178">
        <f>AG59*'INPUT DATA SHEET'!$C$105</f>
        <v>10.568010001098521</v>
      </c>
      <c r="AH61" s="178">
        <f>AH59*'INPUT DATA SHEET'!$C$105</f>
        <v>8.1491690052121459</v>
      </c>
      <c r="AI61" s="178">
        <f>AI59*'INPUT DATA SHEET'!$C$105</f>
        <v>7.8372709098033919</v>
      </c>
      <c r="AJ61" s="178">
        <f>AJ59*'INPUT DATA SHEET'!$C$105</f>
        <v>7.4181801069589879</v>
      </c>
      <c r="AK61" s="178">
        <f>AK59*'INPUT DATA SHEET'!$C$105</f>
        <v>7.0296049034597177</v>
      </c>
      <c r="AL61" s="178">
        <f>AL59*'INPUT DATA SHEET'!$C$105</f>
        <v>6.624765382026423</v>
      </c>
      <c r="AM61" s="178">
        <f>AM59*'INPUT DATA SHEET'!$C$105</f>
        <v>6.2490827994278462</v>
      </c>
      <c r="AN61" s="178">
        <f>AN59*'INPUT DATA SHEET'!$C$105</f>
        <v>5.7634876293702844</v>
      </c>
      <c r="AO61" s="178">
        <f>AO59*'INPUT DATA SHEET'!$C$105</f>
        <v>5.3055692734014448</v>
      </c>
      <c r="AP61" s="178">
        <f>AP59*'INPUT DATA SHEET'!$C$105</f>
        <v>4.8284235461978335</v>
      </c>
      <c r="AQ61" s="178">
        <f>AQ59*'INPUT DATA SHEET'!$C$105</f>
        <v>4.3312267146903025</v>
      </c>
    </row>
    <row r="62" spans="2:43">
      <c r="B62" s="54" t="s">
        <v>24</v>
      </c>
      <c r="C62" s="178"/>
      <c r="D62" s="178">
        <f>MAX(D26*'INPUT DATA SHEET'!$C$106,0)</f>
        <v>4.4038536584693739</v>
      </c>
      <c r="E62" s="178">
        <f>MAX(E26*'INPUT DATA SHEET'!$C$106,0)</f>
        <v>4.5838111169385805</v>
      </c>
      <c r="F62" s="178">
        <f>MAX(F26*'INPUT DATA SHEET'!$C$106,0)</f>
        <v>4.7238695526979182</v>
      </c>
      <c r="G62" s="178">
        <f>MAX(G26*'INPUT DATA SHEET'!$C$106,0)</f>
        <v>5.2355943616619607</v>
      </c>
      <c r="H62" s="178">
        <f>MAX(H26*'INPUT DATA SHEET'!$C$106,0)</f>
        <v>5.6785973240672192</v>
      </c>
      <c r="I62" s="178">
        <f>MAX(I26*'INPUT DATA SHEET'!$C$106,0)</f>
        <v>6.1516908612958776</v>
      </c>
      <c r="J62" s="178">
        <f>MAX(J26*'INPUT DATA SHEET'!$C$106,0)</f>
        <v>6.6217789965538127</v>
      </c>
      <c r="K62" s="178">
        <f>MAX(K26*'INPUT DATA SHEET'!$C$106,0)</f>
        <v>7.1217124303085262</v>
      </c>
      <c r="L62" s="178">
        <f>MAX(L26*'INPUT DATA SHEET'!$C$106,0)</f>
        <v>7.5524330337318739</v>
      </c>
      <c r="M62" s="178">
        <f>MAX(M26*'INPUT DATA SHEET'!$C$106,0)</f>
        <v>8.0127324291292865</v>
      </c>
      <c r="N62" s="178">
        <f>MAX(N26*'INPUT DATA SHEET'!$C$106,0)</f>
        <v>8.3574562625528657</v>
      </c>
      <c r="O62" s="178">
        <f>MAX(O26*'INPUT DATA SHEET'!$C$106,0)</f>
        <v>8.3282703485819845</v>
      </c>
      <c r="P62" s="178">
        <f>MAX(P26*'INPUT DATA SHEET'!$C$106,0)</f>
        <v>6.7540238155581465</v>
      </c>
      <c r="Q62" s="178">
        <f>MAX(Q26*'INPUT DATA SHEET'!$C$106,0)</f>
        <v>6.6530952581404419</v>
      </c>
      <c r="R62" s="178">
        <f>MAX(R26*'INPUT DATA SHEET'!$C$106,0)</f>
        <v>6.5479976806686206</v>
      </c>
      <c r="S62" s="178">
        <f>MAX(S26*'INPUT DATA SHEET'!$C$106,0)</f>
        <v>6.4675751849995251</v>
      </c>
      <c r="T62" s="178">
        <f>MAX(T26*'INPUT DATA SHEET'!$C$106,0)</f>
        <v>6.3245893099935504</v>
      </c>
      <c r="U62" s="178">
        <f>MAX(U26*'INPUT DATA SHEET'!$C$106,0)</f>
        <v>6.2059064578056526</v>
      </c>
      <c r="V62" s="178">
        <f>MAX(V26*'INPUT DATA SHEET'!$C$106,0)</f>
        <v>6.0823097988999715</v>
      </c>
      <c r="W62" s="178">
        <f>MAX(W26*'INPUT DATA SHEET'!$C$106,0)</f>
        <v>5.9826115667744357</v>
      </c>
      <c r="X62" s="178">
        <f>MAX(X26*'INPUT DATA SHEET'!$C$106,0)</f>
        <v>5.819540032582621</v>
      </c>
      <c r="Y62" s="178">
        <f>MAX(Y26*'INPUT DATA SHEET'!$C$106,0)</f>
        <v>5.6799268679740376</v>
      </c>
      <c r="Z62" s="178">
        <f>MAX(Z26*'INPUT DATA SHEET'!$C$106,0)</f>
        <v>5.5345189836713891</v>
      </c>
      <c r="AA62" s="178">
        <f>MAX(AA26*'INPUT DATA SHEET'!$C$106,0)</f>
        <v>5.4120907546247849</v>
      </c>
      <c r="AB62" s="178">
        <f>MAX(AB26*'INPUT DATA SHEET'!$C$106,0)</f>
        <v>5.2253309217763455</v>
      </c>
      <c r="AC62" s="178">
        <f>MAX(AC26*'INPUT DATA SHEET'!$C$106,0)</f>
        <v>5.0610298785946339</v>
      </c>
      <c r="AD62" s="178">
        <f>MAX(AD26*'INPUT DATA SHEET'!$C$106,0)</f>
        <v>4.8898914297274798</v>
      </c>
      <c r="AE62" s="178">
        <f>MAX(AE26*'INPUT DATA SHEET'!$C$106,0)</f>
        <v>4.740644932434428</v>
      </c>
      <c r="AF62" s="178">
        <f>MAX(AF26*'INPUT DATA SHEET'!$C$106,0)</f>
        <v>4.5259321106443622</v>
      </c>
      <c r="AG62" s="178">
        <f>MAX(AG26*'INPUT DATA SHEET'!$C$106,0)</f>
        <v>4.8271324653579057</v>
      </c>
      <c r="AH62" s="178">
        <f>MAX(AH26*'INPUT DATA SHEET'!$C$106,0)</f>
        <v>3.4088120632245311</v>
      </c>
      <c r="AI62" s="178">
        <f>MAX(AI26*'INPUT DATA SHEET'!$C$106,0)</f>
        <v>3.2259263618257621</v>
      </c>
      <c r="AJ62" s="178">
        <f>MAX(AJ26*'INPUT DATA SHEET'!$C$106,0)</f>
        <v>2.9801867547033614</v>
      </c>
      <c r="AK62" s="178">
        <f>MAX(AK26*'INPUT DATA SHEET'!$C$106,0)</f>
        <v>2.7523403853787896</v>
      </c>
      <c r="AL62" s="178">
        <f>MAX(AL26*'INPUT DATA SHEET'!$C$106,0)</f>
        <v>2.5149572114474483</v>
      </c>
      <c r="AM62" s="178">
        <f>MAX(AM26*'INPUT DATA SHEET'!$C$106,0)</f>
        <v>2.2946706061964646</v>
      </c>
      <c r="AN62" s="178">
        <f>MAX(AN26*'INPUT DATA SHEET'!$C$106,0)</f>
        <v>2.0099352564808948</v>
      </c>
      <c r="AO62" s="178">
        <f>MAX(AO26*'INPUT DATA SHEET'!$C$106,0)</f>
        <v>1.7414285841173474</v>
      </c>
      <c r="AP62" s="178">
        <f>MAX(AP26*'INPUT DATA SHEET'!$C$106,0)</f>
        <v>1.4616476804388661</v>
      </c>
      <c r="AQ62" s="178">
        <f>MAX(AQ26*'INPUT DATA SHEET'!$C$106,0)</f>
        <v>1.170109538327635</v>
      </c>
    </row>
    <row r="63" spans="2:43">
      <c r="B63" s="54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8"/>
      <c r="W63" s="178"/>
      <c r="X63" s="178"/>
      <c r="Y63" s="178"/>
      <c r="Z63" s="178"/>
      <c r="AA63" s="178"/>
      <c r="AB63" s="178"/>
      <c r="AC63" s="178"/>
      <c r="AD63" s="178"/>
      <c r="AE63" s="178"/>
      <c r="AF63" s="178"/>
      <c r="AG63" s="178"/>
      <c r="AH63" s="178"/>
      <c r="AI63" s="178"/>
      <c r="AJ63" s="178"/>
      <c r="AK63" s="178"/>
      <c r="AL63" s="178"/>
      <c r="AM63" s="178"/>
      <c r="AN63" s="178"/>
      <c r="AO63" s="178"/>
      <c r="AP63" s="178"/>
      <c r="AQ63" s="178"/>
    </row>
    <row r="64" spans="2:43">
      <c r="B64" s="54" t="s">
        <v>158</v>
      </c>
      <c r="C64" s="178"/>
      <c r="D64" s="178">
        <f>MAX(D62-MAX(0,'INPUT DATA SHEET'!$C$105*D55),0)</f>
        <v>4.4038536584693739</v>
      </c>
      <c r="E64" s="178">
        <f>MAX(E62-MAX(0,'INPUT DATA SHEET'!$C$105*E55),0)</f>
        <v>4.5838111169385805</v>
      </c>
      <c r="F64" s="178">
        <f>MAX(F62-MAX(0,'INPUT DATA SHEET'!$C$105*F55),0)</f>
        <v>4.7238695526979182</v>
      </c>
      <c r="G64" s="178">
        <f>MAX(G62-MAX(0,'INPUT DATA SHEET'!$C$105*G55),0)</f>
        <v>5.2355943616619607</v>
      </c>
      <c r="H64" s="178">
        <f>MAX(H62-MAX(0,'INPUT DATA SHEET'!$C$105*H55),0)</f>
        <v>5.6785973240672192</v>
      </c>
      <c r="I64" s="178">
        <f>MAX(I62-MAX(0,'INPUT DATA SHEET'!$C$105*I55),0)</f>
        <v>6.1516908612958776</v>
      </c>
      <c r="J64" s="178">
        <f>MAX(J62-MAX(0,'INPUT DATA SHEET'!$C$105*J55),0)</f>
        <v>6.6217789965538127</v>
      </c>
      <c r="K64" s="178">
        <f>MAX(K62-MAX(0,'INPUT DATA SHEET'!$C$105*K55),0)</f>
        <v>0</v>
      </c>
      <c r="L64" s="178">
        <f>MAX(L62-MAX(0,'INPUT DATA SHEET'!$C$105*L55),0)</f>
        <v>0</v>
      </c>
      <c r="M64" s="178">
        <f>MAX(M62-MAX(0,'INPUT DATA SHEET'!$C$105*M55),0)</f>
        <v>0</v>
      </c>
      <c r="N64" s="178">
        <f>MAX(N62-MAX(0,'INPUT DATA SHEET'!$C$105*N55),0)</f>
        <v>0</v>
      </c>
      <c r="O64" s="178">
        <f>MAX(O62-MAX(0,'INPUT DATA SHEET'!$C$105*O55),0)</f>
        <v>0</v>
      </c>
      <c r="P64" s="178">
        <f>MAX(P62-MAX(0,'INPUT DATA SHEET'!$C$105*P55),0)</f>
        <v>0</v>
      </c>
      <c r="Q64" s="178">
        <f>MAX(Q62-MAX(0,'INPUT DATA SHEET'!$C$105*Q55),0)</f>
        <v>0</v>
      </c>
      <c r="R64" s="178">
        <f>MAX(R62-MAX(0,'INPUT DATA SHEET'!$C$105*R55),0)</f>
        <v>0</v>
      </c>
      <c r="S64" s="178">
        <f>MAX(S62-MAX(0,'INPUT DATA SHEET'!$C$105*S55),0)</f>
        <v>0</v>
      </c>
      <c r="T64" s="178">
        <f>MAX(T62-MAX(0,'INPUT DATA SHEET'!$C$105*T55),0)</f>
        <v>0</v>
      </c>
      <c r="U64" s="178">
        <f>MAX(U62-MAX(0,'INPUT DATA SHEET'!$C$105*U55),0)</f>
        <v>0</v>
      </c>
      <c r="V64" s="178">
        <f>MAX(V62-MAX(0,'INPUT DATA SHEET'!$C$105*V55),0)</f>
        <v>0</v>
      </c>
      <c r="W64" s="178">
        <f>MAX(W62-MAX(0,'INPUT DATA SHEET'!$C$105*W55),0)</f>
        <v>0</v>
      </c>
      <c r="X64" s="178">
        <f>MAX(X62-MAX(0,'INPUT DATA SHEET'!$C$105*X55),0)</f>
        <v>0</v>
      </c>
      <c r="Y64" s="178">
        <f>MAX(Y62-MAX(0,'INPUT DATA SHEET'!$C$105*Y55),0)</f>
        <v>0</v>
      </c>
      <c r="Z64" s="178">
        <f>MAX(Z62-MAX(0,'INPUT DATA SHEET'!$C$105*Z55),0)</f>
        <v>0</v>
      </c>
      <c r="AA64" s="178">
        <f>MAX(AA62-MAX(0,'INPUT DATA SHEET'!$C$105*AA55),0)</f>
        <v>0</v>
      </c>
      <c r="AB64" s="178">
        <f>MAX(AB62-MAX(0,'INPUT DATA SHEET'!$C$105*AB55),0)</f>
        <v>0</v>
      </c>
      <c r="AC64" s="178">
        <f>MAX(AC62-MAX(0,'INPUT DATA SHEET'!$C$105*AC55),0)</f>
        <v>0</v>
      </c>
      <c r="AD64" s="178">
        <f>MAX(AD62-MAX(0,'INPUT DATA SHEET'!$C$105*AD55),0)</f>
        <v>0</v>
      </c>
      <c r="AE64" s="178">
        <f>MAX(AE62-MAX(0,'INPUT DATA SHEET'!$C$105*AE55),0)</f>
        <v>0</v>
      </c>
      <c r="AF64" s="178">
        <f>MAX(AF62-MAX(0,'INPUT DATA SHEET'!$C$105*AF55),0)</f>
        <v>0</v>
      </c>
      <c r="AG64" s="178">
        <f>MAX(AG62-MAX(0,'INPUT DATA SHEET'!$C$105*AG55),0)</f>
        <v>0</v>
      </c>
      <c r="AH64" s="178">
        <f>MAX(AH62-MAX(0,'INPUT DATA SHEET'!$C$105*AH55),0)</f>
        <v>0</v>
      </c>
      <c r="AI64" s="178">
        <f>MAX(AI62-MAX(0,'INPUT DATA SHEET'!$C$105*AI55),0)</f>
        <v>0</v>
      </c>
      <c r="AJ64" s="178">
        <f>MAX(AJ62-MAX(0,'INPUT DATA SHEET'!$C$105*AJ55),0)</f>
        <v>0</v>
      </c>
      <c r="AK64" s="178">
        <f>MAX(AK62-MAX(0,'INPUT DATA SHEET'!$C$105*AK55),0)</f>
        <v>0</v>
      </c>
      <c r="AL64" s="178">
        <f>MAX(AL62-MAX(0,'INPUT DATA SHEET'!$C$105*AL55),0)</f>
        <v>0</v>
      </c>
      <c r="AM64" s="178">
        <f>MAX(AM62-MAX(0,'INPUT DATA SHEET'!$C$105*AM55),0)</f>
        <v>0</v>
      </c>
      <c r="AN64" s="178">
        <f>MAX(AN62-MAX(0,'INPUT DATA SHEET'!$C$105*AN55),0)</f>
        <v>0</v>
      </c>
      <c r="AO64" s="178">
        <f>MAX(AO62-MAX(0,'INPUT DATA SHEET'!$C$105*AO55),0)</f>
        <v>0</v>
      </c>
      <c r="AP64" s="178">
        <f>MAX(AP62-MAX(0,'INPUT DATA SHEET'!$C$105*AP55),0)</f>
        <v>0</v>
      </c>
      <c r="AQ64" s="178">
        <f>MAX(AQ62-MAX(0,'INPUT DATA SHEET'!$C$105*AQ55),0)</f>
        <v>0</v>
      </c>
    </row>
    <row r="65" spans="2:43">
      <c r="B65" s="54" t="s">
        <v>159</v>
      </c>
      <c r="C65" s="178"/>
      <c r="D65" s="178">
        <v>0</v>
      </c>
      <c r="E65" s="178">
        <f>SUM($D$64:D64)</f>
        <v>4.4038536584693739</v>
      </c>
      <c r="F65" s="178">
        <f>SUM($D$64:E64)</f>
        <v>8.9876647754079535</v>
      </c>
      <c r="G65" s="178">
        <f>SUM($D$64:F64)</f>
        <v>13.711534328105872</v>
      </c>
      <c r="H65" s="178">
        <f>SUM($D$64:G64)</f>
        <v>18.947128689767833</v>
      </c>
      <c r="I65" s="178">
        <f>SUM($D$64:H64)</f>
        <v>24.625726013835052</v>
      </c>
      <c r="J65" s="178">
        <f>SUM($D$64:I64)</f>
        <v>30.777416875130932</v>
      </c>
      <c r="K65" s="178">
        <f t="shared" ref="K65:R65" si="60">SUM(A62:J62)</f>
        <v>37.399195871684746</v>
      </c>
      <c r="L65" s="178">
        <f t="shared" si="60"/>
        <v>44.520908301993273</v>
      </c>
      <c r="M65" s="178">
        <f t="shared" si="60"/>
        <v>52.073341335725146</v>
      </c>
      <c r="N65" s="178">
        <f t="shared" si="60"/>
        <v>60.086073764854433</v>
      </c>
      <c r="O65" s="178">
        <f t="shared" si="60"/>
        <v>64.039676368937933</v>
      </c>
      <c r="P65" s="178">
        <f t="shared" si="60"/>
        <v>67.784135600581322</v>
      </c>
      <c r="Q65" s="178">
        <f t="shared" si="60"/>
        <v>69.814289863441545</v>
      </c>
      <c r="R65" s="178">
        <f t="shared" si="60"/>
        <v>71.231790759920031</v>
      </c>
      <c r="S65" s="178">
        <f>SUM(I62:R62)</f>
        <v>72.101191116521434</v>
      </c>
      <c r="T65" s="178">
        <f>S65-(S61-S62)</f>
        <v>65.203102049870836</v>
      </c>
      <c r="U65" s="178">
        <f t="shared" ref="U65:AD65" si="61">T65-(T61-T62)</f>
        <v>58.405878988069418</v>
      </c>
      <c r="V65" s="178">
        <f t="shared" si="61"/>
        <v>51.692377938276515</v>
      </c>
      <c r="W65" s="178">
        <f t="shared" si="61"/>
        <v>45.066065229262037</v>
      </c>
      <c r="X65" s="178">
        <f t="shared" si="61"/>
        <v>38.51008228089426</v>
      </c>
      <c r="Y65" s="178">
        <f t="shared" si="61"/>
        <v>32.069134290754818</v>
      </c>
      <c r="Z65" s="178">
        <f t="shared" si="61"/>
        <v>25.726673106657088</v>
      </c>
      <c r="AA65" s="178">
        <f t="shared" si="61"/>
        <v>19.486786476602312</v>
      </c>
      <c r="AB65" s="178">
        <f t="shared" si="61"/>
        <v>13.333263946107541</v>
      </c>
      <c r="AC65" s="178">
        <f t="shared" si="61"/>
        <v>7.3114867240562447</v>
      </c>
      <c r="AD65" s="178">
        <f t="shared" si="61"/>
        <v>1.4056117882804182</v>
      </c>
      <c r="AE65" s="178"/>
      <c r="AF65" s="178"/>
      <c r="AG65" s="178"/>
      <c r="AH65" s="178"/>
      <c r="AI65" s="178"/>
      <c r="AJ65" s="178"/>
      <c r="AK65" s="178"/>
      <c r="AL65" s="178"/>
      <c r="AM65" s="178"/>
      <c r="AN65" s="178"/>
      <c r="AO65" s="178"/>
      <c r="AP65" s="178"/>
      <c r="AQ65" s="178"/>
    </row>
    <row r="66" spans="2:43">
      <c r="B66" s="169" t="s">
        <v>40</v>
      </c>
      <c r="C66" s="212"/>
      <c r="D66" s="212">
        <f t="shared" ref="D66:AQ66" si="62">MAX(D61-D65,D62)</f>
        <v>4.4038536584693739</v>
      </c>
      <c r="E66" s="212">
        <f t="shared" si="62"/>
        <v>4.5838111169385805</v>
      </c>
      <c r="F66" s="212">
        <f t="shared" si="62"/>
        <v>4.7238695526979182</v>
      </c>
      <c r="G66" s="212">
        <f t="shared" si="62"/>
        <v>5.2355943616619607</v>
      </c>
      <c r="H66" s="212">
        <f t="shared" si="62"/>
        <v>5.6785973240672192</v>
      </c>
      <c r="I66" s="212">
        <f t="shared" si="62"/>
        <v>6.1516908612958776</v>
      </c>
      <c r="J66" s="212">
        <f t="shared" si="62"/>
        <v>6.6217789965538127</v>
      </c>
      <c r="K66" s="212">
        <f t="shared" si="62"/>
        <v>7.1217124303085262</v>
      </c>
      <c r="L66" s="212">
        <f t="shared" si="62"/>
        <v>7.5524330337318739</v>
      </c>
      <c r="M66" s="212">
        <f t="shared" si="62"/>
        <v>8.0127324291292865</v>
      </c>
      <c r="N66" s="212">
        <f t="shared" si="62"/>
        <v>8.3574562625528657</v>
      </c>
      <c r="O66" s="212">
        <f t="shared" si="62"/>
        <v>8.3282703485819845</v>
      </c>
      <c r="P66" s="212">
        <f t="shared" si="62"/>
        <v>6.7540238155581465</v>
      </c>
      <c r="Q66" s="212">
        <f t="shared" si="62"/>
        <v>6.6530952581404419</v>
      </c>
      <c r="R66" s="212">
        <f t="shared" si="62"/>
        <v>6.5479976806686206</v>
      </c>
      <c r="S66" s="212">
        <f t="shared" si="62"/>
        <v>6.4675751849995251</v>
      </c>
      <c r="T66" s="212">
        <f t="shared" si="62"/>
        <v>6.3245893099935504</v>
      </c>
      <c r="U66" s="212">
        <f t="shared" si="62"/>
        <v>6.2059064578056526</v>
      </c>
      <c r="V66" s="212">
        <f t="shared" si="62"/>
        <v>6.0823097988999715</v>
      </c>
      <c r="W66" s="212">
        <f t="shared" si="62"/>
        <v>5.9826115667744357</v>
      </c>
      <c r="X66" s="212">
        <f t="shared" si="62"/>
        <v>5.819540032582621</v>
      </c>
      <c r="Y66" s="212">
        <f t="shared" si="62"/>
        <v>5.6799268679740376</v>
      </c>
      <c r="Z66" s="212">
        <f t="shared" si="62"/>
        <v>5.5345189836713891</v>
      </c>
      <c r="AA66" s="212">
        <f t="shared" si="62"/>
        <v>5.4120907546247849</v>
      </c>
      <c r="AB66" s="212">
        <f t="shared" si="62"/>
        <v>5.2253309217763455</v>
      </c>
      <c r="AC66" s="212">
        <f t="shared" si="62"/>
        <v>5.0610298785946339</v>
      </c>
      <c r="AD66" s="212">
        <f t="shared" si="62"/>
        <v>9.2694290047662129</v>
      </c>
      <c r="AE66" s="212">
        <f t="shared" si="62"/>
        <v>10.42051188293445</v>
      </c>
      <c r="AF66" s="212">
        <f t="shared" si="62"/>
        <v>10.054334977556044</v>
      </c>
      <c r="AG66" s="212">
        <f t="shared" si="62"/>
        <v>10.568010001098521</v>
      </c>
      <c r="AH66" s="212">
        <f t="shared" si="62"/>
        <v>8.1491690052121459</v>
      </c>
      <c r="AI66" s="212">
        <f t="shared" si="62"/>
        <v>7.8372709098033919</v>
      </c>
      <c r="AJ66" s="212">
        <f t="shared" si="62"/>
        <v>7.4181801069589879</v>
      </c>
      <c r="AK66" s="212">
        <f t="shared" si="62"/>
        <v>7.0296049034597177</v>
      </c>
      <c r="AL66" s="212">
        <f t="shared" si="62"/>
        <v>6.624765382026423</v>
      </c>
      <c r="AM66" s="212">
        <f t="shared" si="62"/>
        <v>6.2490827994278462</v>
      </c>
      <c r="AN66" s="212">
        <f t="shared" si="62"/>
        <v>5.7634876293702844</v>
      </c>
      <c r="AO66" s="212">
        <f t="shared" si="62"/>
        <v>5.3055692734014448</v>
      </c>
      <c r="AP66" s="212">
        <f t="shared" si="62"/>
        <v>4.8284235461978335</v>
      </c>
      <c r="AQ66" s="212">
        <f t="shared" si="62"/>
        <v>4.3312267146903025</v>
      </c>
    </row>
    <row r="67" spans="2:43" ht="14.25" thickBot="1">
      <c r="B67" s="213" t="s">
        <v>26</v>
      </c>
      <c r="C67" s="214"/>
      <c r="D67" s="214">
        <f t="shared" ref="D67:W67" si="63">SUM(D66:D66)</f>
        <v>4.4038536584693739</v>
      </c>
      <c r="E67" s="214">
        <f t="shared" si="63"/>
        <v>4.5838111169385805</v>
      </c>
      <c r="F67" s="214">
        <f t="shared" si="63"/>
        <v>4.7238695526979182</v>
      </c>
      <c r="G67" s="214">
        <f t="shared" si="63"/>
        <v>5.2355943616619607</v>
      </c>
      <c r="H67" s="214">
        <f t="shared" si="63"/>
        <v>5.6785973240672192</v>
      </c>
      <c r="I67" s="214">
        <f t="shared" si="63"/>
        <v>6.1516908612958776</v>
      </c>
      <c r="J67" s="214">
        <f t="shared" si="63"/>
        <v>6.6217789965538127</v>
      </c>
      <c r="K67" s="214">
        <f t="shared" si="63"/>
        <v>7.1217124303085262</v>
      </c>
      <c r="L67" s="214">
        <f t="shared" si="63"/>
        <v>7.5524330337318739</v>
      </c>
      <c r="M67" s="214">
        <f t="shared" si="63"/>
        <v>8.0127324291292865</v>
      </c>
      <c r="N67" s="214">
        <f t="shared" si="63"/>
        <v>8.3574562625528657</v>
      </c>
      <c r="O67" s="214">
        <f t="shared" si="63"/>
        <v>8.3282703485819845</v>
      </c>
      <c r="P67" s="214">
        <f t="shared" si="63"/>
        <v>6.7540238155581465</v>
      </c>
      <c r="Q67" s="214">
        <f t="shared" si="63"/>
        <v>6.6530952581404419</v>
      </c>
      <c r="R67" s="214">
        <f t="shared" si="63"/>
        <v>6.5479976806686206</v>
      </c>
      <c r="S67" s="214">
        <f t="shared" si="63"/>
        <v>6.4675751849995251</v>
      </c>
      <c r="T67" s="214">
        <f t="shared" si="63"/>
        <v>6.3245893099935504</v>
      </c>
      <c r="U67" s="214">
        <f t="shared" si="63"/>
        <v>6.2059064578056526</v>
      </c>
      <c r="V67" s="214">
        <f t="shared" si="63"/>
        <v>6.0823097988999715</v>
      </c>
      <c r="W67" s="214">
        <f t="shared" si="63"/>
        <v>5.9826115667744357</v>
      </c>
      <c r="X67" s="214">
        <f t="shared" ref="X67:AG67" si="64">SUM(X66:X66)</f>
        <v>5.819540032582621</v>
      </c>
      <c r="Y67" s="214">
        <f t="shared" si="64"/>
        <v>5.6799268679740376</v>
      </c>
      <c r="Z67" s="214">
        <f t="shared" si="64"/>
        <v>5.5345189836713891</v>
      </c>
      <c r="AA67" s="214">
        <f t="shared" si="64"/>
        <v>5.4120907546247849</v>
      </c>
      <c r="AB67" s="214">
        <f t="shared" si="64"/>
        <v>5.2253309217763455</v>
      </c>
      <c r="AC67" s="214">
        <f t="shared" si="64"/>
        <v>5.0610298785946339</v>
      </c>
      <c r="AD67" s="214">
        <f t="shared" si="64"/>
        <v>9.2694290047662129</v>
      </c>
      <c r="AE67" s="214">
        <f t="shared" si="64"/>
        <v>10.42051188293445</v>
      </c>
      <c r="AF67" s="214">
        <f t="shared" si="64"/>
        <v>10.054334977556044</v>
      </c>
      <c r="AG67" s="214">
        <f t="shared" si="64"/>
        <v>10.568010001098521</v>
      </c>
      <c r="AH67" s="214">
        <f t="shared" ref="AH67:AQ67" si="65">SUM(AH66:AH66)</f>
        <v>8.1491690052121459</v>
      </c>
      <c r="AI67" s="214">
        <f t="shared" si="65"/>
        <v>7.8372709098033919</v>
      </c>
      <c r="AJ67" s="214">
        <f t="shared" si="65"/>
        <v>7.4181801069589879</v>
      </c>
      <c r="AK67" s="214">
        <f t="shared" si="65"/>
        <v>7.0296049034597177</v>
      </c>
      <c r="AL67" s="214">
        <f t="shared" si="65"/>
        <v>6.624765382026423</v>
      </c>
      <c r="AM67" s="214">
        <f t="shared" si="65"/>
        <v>6.2490827994278462</v>
      </c>
      <c r="AN67" s="214">
        <f t="shared" si="65"/>
        <v>5.7634876293702844</v>
      </c>
      <c r="AO67" s="214">
        <f t="shared" si="65"/>
        <v>5.3055692734014448</v>
      </c>
      <c r="AP67" s="214">
        <f t="shared" si="65"/>
        <v>4.8284235461978335</v>
      </c>
      <c r="AQ67" s="214">
        <f t="shared" si="65"/>
        <v>4.3312267146903025</v>
      </c>
    </row>
    <row r="68" spans="2:43">
      <c r="B68" s="41" t="s">
        <v>63</v>
      </c>
      <c r="C68" s="73"/>
      <c r="D68" s="215"/>
      <c r="E68" s="215"/>
      <c r="F68" s="215"/>
      <c r="G68" s="215"/>
      <c r="H68" s="215"/>
      <c r="I68" s="215"/>
      <c r="J68" s="215"/>
      <c r="K68" s="215"/>
      <c r="L68" s="215"/>
      <c r="M68" s="215"/>
      <c r="N68" s="215"/>
      <c r="O68" s="215"/>
      <c r="P68" s="215"/>
      <c r="Q68" s="215"/>
      <c r="R68" s="215"/>
      <c r="S68" s="215"/>
      <c r="T68" s="215"/>
      <c r="U68" s="215"/>
      <c r="V68" s="215"/>
      <c r="W68" s="215"/>
    </row>
    <row r="69" spans="2:43">
      <c r="B69" s="73"/>
      <c r="C69" s="216"/>
      <c r="D69" s="216"/>
      <c r="E69" s="216"/>
      <c r="F69" s="216"/>
      <c r="G69" s="216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</row>
    <row r="70" spans="2:43">
      <c r="B70" s="166" t="s">
        <v>34</v>
      </c>
      <c r="C70" s="217"/>
      <c r="D70" s="217">
        <f t="shared" ref="D70:W70" si="66">D8</f>
        <v>41364</v>
      </c>
      <c r="E70" s="217">
        <f t="shared" si="66"/>
        <v>41729</v>
      </c>
      <c r="F70" s="217">
        <f t="shared" si="66"/>
        <v>42094</v>
      </c>
      <c r="G70" s="217">
        <f t="shared" si="66"/>
        <v>42460</v>
      </c>
      <c r="H70" s="217">
        <f t="shared" si="66"/>
        <v>42825</v>
      </c>
      <c r="I70" s="217">
        <f t="shared" si="66"/>
        <v>43190</v>
      </c>
      <c r="J70" s="217">
        <f t="shared" si="66"/>
        <v>43555</v>
      </c>
      <c r="K70" s="217">
        <f t="shared" si="66"/>
        <v>43921</v>
      </c>
      <c r="L70" s="217">
        <f t="shared" si="66"/>
        <v>44286</v>
      </c>
      <c r="M70" s="217">
        <f t="shared" si="66"/>
        <v>44651</v>
      </c>
      <c r="N70" s="217">
        <f t="shared" si="66"/>
        <v>45016</v>
      </c>
      <c r="O70" s="217">
        <f t="shared" si="66"/>
        <v>45382</v>
      </c>
      <c r="P70" s="217">
        <f t="shared" si="66"/>
        <v>45747</v>
      </c>
      <c r="Q70" s="217">
        <f t="shared" si="66"/>
        <v>46112</v>
      </c>
      <c r="R70" s="217">
        <f t="shared" si="66"/>
        <v>46477</v>
      </c>
      <c r="S70" s="217">
        <f t="shared" si="66"/>
        <v>46843</v>
      </c>
      <c r="T70" s="217">
        <f t="shared" si="66"/>
        <v>47208</v>
      </c>
      <c r="U70" s="217">
        <f t="shared" si="66"/>
        <v>47573</v>
      </c>
      <c r="V70" s="217">
        <f t="shared" si="66"/>
        <v>47938</v>
      </c>
      <c r="W70" s="217">
        <f t="shared" si="66"/>
        <v>48304</v>
      </c>
      <c r="X70" s="217">
        <f t="shared" ref="X70:AG70" si="67">X8</f>
        <v>48669</v>
      </c>
      <c r="Y70" s="217">
        <f t="shared" si="67"/>
        <v>49034</v>
      </c>
      <c r="Z70" s="217">
        <f t="shared" si="67"/>
        <v>49399</v>
      </c>
      <c r="AA70" s="217">
        <f t="shared" si="67"/>
        <v>49765</v>
      </c>
      <c r="AB70" s="217">
        <f t="shared" si="67"/>
        <v>50130</v>
      </c>
      <c r="AC70" s="217">
        <f t="shared" si="67"/>
        <v>50495</v>
      </c>
      <c r="AD70" s="217">
        <f t="shared" si="67"/>
        <v>50860</v>
      </c>
      <c r="AE70" s="217">
        <f t="shared" si="67"/>
        <v>51226</v>
      </c>
      <c r="AF70" s="217">
        <f t="shared" si="67"/>
        <v>51591</v>
      </c>
      <c r="AG70" s="217">
        <f t="shared" si="67"/>
        <v>51956</v>
      </c>
      <c r="AH70" s="217">
        <f t="shared" ref="AH70:AQ70" si="68">AH8</f>
        <v>52321</v>
      </c>
      <c r="AI70" s="217">
        <f t="shared" si="68"/>
        <v>52687</v>
      </c>
      <c r="AJ70" s="217">
        <f t="shared" si="68"/>
        <v>53052</v>
      </c>
      <c r="AK70" s="217">
        <f t="shared" si="68"/>
        <v>53417</v>
      </c>
      <c r="AL70" s="217">
        <f t="shared" si="68"/>
        <v>53782</v>
      </c>
      <c r="AM70" s="217">
        <f t="shared" si="68"/>
        <v>54148</v>
      </c>
      <c r="AN70" s="217">
        <f t="shared" si="68"/>
        <v>54513</v>
      </c>
      <c r="AO70" s="217">
        <f t="shared" si="68"/>
        <v>54878</v>
      </c>
      <c r="AP70" s="217">
        <f t="shared" si="68"/>
        <v>55243</v>
      </c>
      <c r="AQ70" s="217">
        <f t="shared" si="68"/>
        <v>55609</v>
      </c>
    </row>
    <row r="71" spans="2:43">
      <c r="B71" s="218" t="s">
        <v>85</v>
      </c>
      <c r="C71" s="239"/>
      <c r="D71" s="239">
        <f>MIN(('INPUT DATA SHEET'!$C$11+'INPUT DATA SHEET'!$C$36+'INPUT DATA SHEET'!$C$23)*'INPUT DATA SHEET'!$C$99,('INPUT DATA SHEET'!$C$11+'INPUT DATA SHEET'!$C$36+'INPUT DATA SHEET'!$C$23)*'INPUT DATA SHEET'!$C$102-SUM('p&amp;l'!$B$71:'p&amp;l'!C71))</f>
        <v>3.9241107000000004</v>
      </c>
      <c r="E71" s="239">
        <f>MIN(('INPUT DATA SHEET'!$C$11+'INPUT DATA SHEET'!$C$36+'INPUT DATA SHEET'!$C$23)*'INPUT DATA SHEET'!$C$99,('INPUT DATA SHEET'!$C$11+'INPUT DATA SHEET'!$C$36+'INPUT DATA SHEET'!$C$23)*'INPUT DATA SHEET'!$C$102-SUM('p&amp;l'!$B$71:'p&amp;l'!D71))</f>
        <v>3.9241107000000004</v>
      </c>
      <c r="F71" s="239">
        <f>MIN(('INPUT DATA SHEET'!$C$11+'INPUT DATA SHEET'!$C$36+'INPUT DATA SHEET'!$C$23)*'INPUT DATA SHEET'!$C$99,('INPUT DATA SHEET'!$C$11+'INPUT DATA SHEET'!$C$36+'INPUT DATA SHEET'!$C$23)*'INPUT DATA SHEET'!$C$102-SUM('p&amp;l'!$B$71:'p&amp;l'!E71))</f>
        <v>3.9241107000000004</v>
      </c>
      <c r="G71" s="239">
        <f>MIN(('INPUT DATA SHEET'!$C$11+'INPUT DATA SHEET'!$C$36+'INPUT DATA SHEET'!$C$23)*'INPUT DATA SHEET'!$C$99,('INPUT DATA SHEET'!$C$11+'INPUT DATA SHEET'!$C$36+'INPUT DATA SHEET'!$C$23)*'INPUT DATA SHEET'!$C$102-SUM('p&amp;l'!$B$71:'p&amp;l'!F71))</f>
        <v>3.9241107000000004</v>
      </c>
      <c r="H71" s="239">
        <f>MIN(('INPUT DATA SHEET'!$C$11+'INPUT DATA SHEET'!$C$36+'INPUT DATA SHEET'!$C$23)*'INPUT DATA SHEET'!$C$99,('INPUT DATA SHEET'!$C$11+'INPUT DATA SHEET'!$C$36+'INPUT DATA SHEET'!$C$23)*'INPUT DATA SHEET'!$C$102-SUM('p&amp;l'!$B$71:'p&amp;l'!G71))</f>
        <v>3.9241107000000004</v>
      </c>
      <c r="I71" s="239">
        <f>MIN(('INPUT DATA SHEET'!$C$11+'INPUT DATA SHEET'!$C$36+'INPUT DATA SHEET'!$C$23)*'INPUT DATA SHEET'!$C$99,('INPUT DATA SHEET'!$C$11+'INPUT DATA SHEET'!$C$36+'INPUT DATA SHEET'!$C$23)*'INPUT DATA SHEET'!$C$102-SUM('p&amp;l'!$B$71:'p&amp;l'!H71))</f>
        <v>3.9241107000000004</v>
      </c>
      <c r="J71" s="239">
        <f>MIN(('INPUT DATA SHEET'!$C$11+'INPUT DATA SHEET'!$C$36+'INPUT DATA SHEET'!$C$23)*'INPUT DATA SHEET'!$C$99,('INPUT DATA SHEET'!$C$11+'INPUT DATA SHEET'!$C$36+'INPUT DATA SHEET'!$C$23)*'INPUT DATA SHEET'!$C$102-SUM('p&amp;l'!$B$71:'p&amp;l'!I71))</f>
        <v>3.9241107000000004</v>
      </c>
      <c r="K71" s="239">
        <f>MIN(('INPUT DATA SHEET'!$C$11+'INPUT DATA SHEET'!$C$36+'INPUT DATA SHEET'!$C$23)*'INPUT DATA SHEET'!$C$99,('INPUT DATA SHEET'!$C$11+'INPUT DATA SHEET'!$C$36+'INPUT DATA SHEET'!$C$23)*'INPUT DATA SHEET'!$C$102-SUM('p&amp;l'!$B$71:'p&amp;l'!J71))</f>
        <v>3.9241107000000004</v>
      </c>
      <c r="L71" s="239">
        <f>MIN(('INPUT DATA SHEET'!$C$11+'INPUT DATA SHEET'!$C$36+'INPUT DATA SHEET'!$C$23)*'INPUT DATA SHEET'!$C$99,('INPUT DATA SHEET'!$C$11+'INPUT DATA SHEET'!$C$36+'INPUT DATA SHEET'!$C$23)*'INPUT DATA SHEET'!$C$102-SUM('p&amp;l'!$B$71:'p&amp;l'!K71))</f>
        <v>3.9241107000000004</v>
      </c>
      <c r="M71" s="239">
        <f>MIN(('INPUT DATA SHEET'!$C$11+'INPUT DATA SHEET'!$C$36+'INPUT DATA SHEET'!$C$23)*'INPUT DATA SHEET'!$C$99,('INPUT DATA SHEET'!$C$11+'INPUT DATA SHEET'!$C$36+'INPUT DATA SHEET'!$C$23)*'INPUT DATA SHEET'!$C$102-SUM('p&amp;l'!$B$71:'p&amp;l'!L71))</f>
        <v>3.9241107000000004</v>
      </c>
      <c r="N71" s="239">
        <f>MIN(('INPUT DATA SHEET'!$C$11+'INPUT DATA SHEET'!$C$36+'INPUT DATA SHEET'!$C$23)*'INPUT DATA SHEET'!$C$99,('INPUT DATA SHEET'!$C$11+'INPUT DATA SHEET'!$C$36+'INPUT DATA SHEET'!$C$23)*'INPUT DATA SHEET'!$C$102-SUM('p&amp;l'!$B$71:'p&amp;l'!M71))</f>
        <v>3.9241107000000004</v>
      </c>
      <c r="O71" s="239">
        <f>MIN(('INPUT DATA SHEET'!$C$11+'INPUT DATA SHEET'!$C$36+'INPUT DATA SHEET'!$C$23)*'INPUT DATA SHEET'!$C$99,('INPUT DATA SHEET'!$C$11+'INPUT DATA SHEET'!$C$36+'INPUT DATA SHEET'!$C$23)*'INPUT DATA SHEET'!$C$102-SUM('p&amp;l'!$B$71:'p&amp;l'!N71))</f>
        <v>3.9241107000000004</v>
      </c>
      <c r="P71" s="239">
        <f>MIN(('INPUT DATA SHEET'!$C$11+'INPUT DATA SHEET'!$C$36+'INPUT DATA SHEET'!$C$23)*'INPUT DATA SHEET'!$C$99,('INPUT DATA SHEET'!$C$11+'INPUT DATA SHEET'!$C$36+'INPUT DATA SHEET'!$C$23)*'INPUT DATA SHEET'!$C$102-SUM('p&amp;l'!$B$71:'p&amp;l'!O71))</f>
        <v>3.9241107000000004</v>
      </c>
      <c r="Q71" s="239">
        <f>MIN(('INPUT DATA SHEET'!$C$11+'INPUT DATA SHEET'!$C$36+'INPUT DATA SHEET'!$C$23)*'INPUT DATA SHEET'!$C$99,('INPUT DATA SHEET'!$C$11+'INPUT DATA SHEET'!$C$36+'INPUT DATA SHEET'!$C$23)*'INPUT DATA SHEET'!$C$102-SUM('p&amp;l'!$B$71:'p&amp;l'!P71))</f>
        <v>3.9241107000000004</v>
      </c>
      <c r="R71" s="239">
        <f>MIN(('INPUT DATA SHEET'!$C$11+'INPUT DATA SHEET'!$C$36+'INPUT DATA SHEET'!$C$23)*'INPUT DATA SHEET'!$C$99,('INPUT DATA SHEET'!$C$11+'INPUT DATA SHEET'!$C$36+'INPUT DATA SHEET'!$C$23)*'INPUT DATA SHEET'!$C$102-SUM('p&amp;l'!$B$71:'p&amp;l'!Q71))</f>
        <v>3.9241107000000004</v>
      </c>
      <c r="S71" s="239">
        <f>MIN(('INPUT DATA SHEET'!$C$11+'INPUT DATA SHEET'!$C$36+'INPUT DATA SHEET'!$C$23)*'INPUT DATA SHEET'!$C$99,('INPUT DATA SHEET'!$C$11+'INPUT DATA SHEET'!$C$36+'INPUT DATA SHEET'!$C$23)*'INPUT DATA SHEET'!$C$102-SUM('p&amp;l'!$B$71:'p&amp;l'!R71))</f>
        <v>3.9241107000000004</v>
      </c>
      <c r="T71" s="239">
        <f>MIN(('INPUT DATA SHEET'!$C$11+'INPUT DATA SHEET'!$C$36+'INPUT DATA SHEET'!$C$23)*'INPUT DATA SHEET'!$C$99,('INPUT DATA SHEET'!$C$11+'INPUT DATA SHEET'!$C$36+'INPUT DATA SHEET'!$C$23)*'INPUT DATA SHEET'!$C$102-SUM('p&amp;l'!$B$71:'p&amp;l'!S71))</f>
        <v>3.9241107000000004</v>
      </c>
      <c r="U71" s="239">
        <f>MIN(('INPUT DATA SHEET'!$C$11+'INPUT DATA SHEET'!$C$36+'INPUT DATA SHEET'!$C$23)*'INPUT DATA SHEET'!$C$99,('INPUT DATA SHEET'!$C$11+'INPUT DATA SHEET'!$C$36+'INPUT DATA SHEET'!$C$23)*'INPUT DATA SHEET'!$C$102-SUM('p&amp;l'!$B$71:'p&amp;l'!T71))</f>
        <v>3.9241107000000004</v>
      </c>
      <c r="V71" s="239">
        <f>MIN(('INPUT DATA SHEET'!$C$11+'INPUT DATA SHEET'!$C$36+'INPUT DATA SHEET'!$C$23)*'INPUT DATA SHEET'!$C$99,('INPUT DATA SHEET'!$C$11+'INPUT DATA SHEET'!$C$36+'INPUT DATA SHEET'!$C$23)*'INPUT DATA SHEET'!$C$102-SUM('p&amp;l'!$B$71:'p&amp;l'!U71))</f>
        <v>3.9241107000000004</v>
      </c>
      <c r="W71" s="239">
        <f>MIN(('INPUT DATA SHEET'!$C$11+'INPUT DATA SHEET'!$C$36+'INPUT DATA SHEET'!$C$23)*'INPUT DATA SHEET'!$C$99,('INPUT DATA SHEET'!$C$11+'INPUT DATA SHEET'!$C$36+'INPUT DATA SHEET'!$C$23)*'INPUT DATA SHEET'!$C$102-SUM('p&amp;l'!$B$71:'p&amp;l'!V71))</f>
        <v>3.9241107000000004</v>
      </c>
      <c r="X71" s="239">
        <f>MIN(('INPUT DATA SHEET'!$C$11+'INPUT DATA SHEET'!$C$36+'INPUT DATA SHEET'!$C$23)*'INPUT DATA SHEET'!$C$99,('INPUT DATA SHEET'!$C$11+'INPUT DATA SHEET'!$C$36+'INPUT DATA SHEET'!$C$23)*'INPUT DATA SHEET'!$C$102-SUM('p&amp;l'!$B$71:'p&amp;l'!W71))</f>
        <v>3.9241107000000004</v>
      </c>
      <c r="Y71" s="239">
        <f>MIN(('INPUT DATA SHEET'!$C$11+'INPUT DATA SHEET'!$C$36+'INPUT DATA SHEET'!$C$23)*'INPUT DATA SHEET'!$C$99,('INPUT DATA SHEET'!$C$11+'INPUT DATA SHEET'!$C$36+'INPUT DATA SHEET'!$C$23)*'INPUT DATA SHEET'!$C$102-SUM('p&amp;l'!$B$71:'p&amp;l'!X71))</f>
        <v>3.9241107000000004</v>
      </c>
      <c r="Z71" s="239">
        <f>MIN(('INPUT DATA SHEET'!$C$11+'INPUT DATA SHEET'!$C$36+'INPUT DATA SHEET'!$C$23)*'INPUT DATA SHEET'!$C$99,('INPUT DATA SHEET'!$C$11+'INPUT DATA SHEET'!$C$36+'INPUT DATA SHEET'!$C$23)*'INPUT DATA SHEET'!$C$102-SUM('p&amp;l'!$B$71:'p&amp;l'!Y71))</f>
        <v>3.9241107000000004</v>
      </c>
      <c r="AA71" s="239">
        <f>MIN(('INPUT DATA SHEET'!$C$11+'INPUT DATA SHEET'!$C$36+'INPUT DATA SHEET'!$C$23)*'INPUT DATA SHEET'!$C$99,('INPUT DATA SHEET'!$C$11+'INPUT DATA SHEET'!$C$36+'INPUT DATA SHEET'!$C$23)*'INPUT DATA SHEET'!$C$102-SUM('p&amp;l'!$B$71:'p&amp;l'!Z71))</f>
        <v>3.9241107000000004</v>
      </c>
      <c r="AB71" s="239">
        <f>MIN(('INPUT DATA SHEET'!$C$11+'INPUT DATA SHEET'!$C$36+'INPUT DATA SHEET'!$C$23)*'INPUT DATA SHEET'!$C$99,('INPUT DATA SHEET'!$C$11+'INPUT DATA SHEET'!$C$36+'INPUT DATA SHEET'!$C$23)*'INPUT DATA SHEET'!$C$102-SUM('p&amp;l'!$B$71:'p&amp;l'!AA71))</f>
        <v>3.9241107000000004</v>
      </c>
      <c r="AC71" s="239">
        <f>MIN(('INPUT DATA SHEET'!$C$11+'INPUT DATA SHEET'!$C$36+'INPUT DATA SHEET'!$C$23)*'INPUT DATA SHEET'!$C$99,('INPUT DATA SHEET'!$C$11+'INPUT DATA SHEET'!$C$36+'INPUT DATA SHEET'!$C$23)*'INPUT DATA SHEET'!$C$102-SUM('p&amp;l'!$B$71:'p&amp;l'!AB71))</f>
        <v>3.9241107000000004</v>
      </c>
      <c r="AD71" s="239">
        <f>MIN(('INPUT DATA SHEET'!$C$11+'INPUT DATA SHEET'!$C$36+'INPUT DATA SHEET'!$C$23)*'INPUT DATA SHEET'!$C$99,('INPUT DATA SHEET'!$C$11+'INPUT DATA SHEET'!$C$36+'INPUT DATA SHEET'!$C$23)*'INPUT DATA SHEET'!$C$102-SUM('p&amp;l'!$B$71:'p&amp;l'!AC71))</f>
        <v>3.9241107000000004</v>
      </c>
      <c r="AE71" s="239">
        <f>MIN(('INPUT DATA SHEET'!$C$11+'INPUT DATA SHEET'!$C$36+'INPUT DATA SHEET'!$C$23)*'INPUT DATA SHEET'!$C$99,('INPUT DATA SHEET'!$C$11+'INPUT DATA SHEET'!$C$36+'INPUT DATA SHEET'!$C$23)*'INPUT DATA SHEET'!$C$102-SUM('p&amp;l'!$B$71:'p&amp;l'!AD71))</f>
        <v>3.9241107000000004</v>
      </c>
      <c r="AF71" s="239">
        <f>MIN(('INPUT DATA SHEET'!$C$11+'INPUT DATA SHEET'!$C$36+'INPUT DATA SHEET'!$C$23)*'INPUT DATA SHEET'!$C$99,('INPUT DATA SHEET'!$C$11+'INPUT DATA SHEET'!$C$36+'INPUT DATA SHEET'!$C$23)*'INPUT DATA SHEET'!$C$102-SUM('p&amp;l'!$B$71:'p&amp;l'!AE71))</f>
        <v>3.9241107000000004</v>
      </c>
      <c r="AG71" s="239">
        <f>MIN(('INPUT DATA SHEET'!$C$11+'INPUT DATA SHEET'!$C$36+'INPUT DATA SHEET'!$C$23)*'INPUT DATA SHEET'!$C$99,('INPUT DATA SHEET'!$C$11+'INPUT DATA SHEET'!$C$36+'INPUT DATA SHEET'!$C$23)*'INPUT DATA SHEET'!$C$102-SUM('p&amp;l'!$B$71:'p&amp;l'!AF71))</f>
        <v>3.9241107000000004</v>
      </c>
      <c r="AH71" s="239">
        <f>MIN(('INPUT DATA SHEET'!$C$11+'INPUT DATA SHEET'!$C$36+'INPUT DATA SHEET'!$C$23)*'INPUT DATA SHEET'!$C$99,('INPUT DATA SHEET'!$C$11+'INPUT DATA SHEET'!$C$36+'INPUT DATA SHEET'!$C$23)*'INPUT DATA SHEET'!$C$102-SUM('p&amp;l'!$B$71:'p&amp;l'!AG71))</f>
        <v>3.9241107000000004</v>
      </c>
      <c r="AI71" s="239">
        <f>MIN(('INPUT DATA SHEET'!$C$11+'INPUT DATA SHEET'!$C$36+'INPUT DATA SHEET'!$C$23)*'INPUT DATA SHEET'!$C$99,('INPUT DATA SHEET'!$C$11+'INPUT DATA SHEET'!$C$36+'INPUT DATA SHEET'!$C$23)*'INPUT DATA SHEET'!$C$102-SUM('p&amp;l'!$B$71:'p&amp;l'!AH71))</f>
        <v>3.9241107000000004</v>
      </c>
      <c r="AJ71" s="239">
        <f>MIN(('INPUT DATA SHEET'!$C$11+'INPUT DATA SHEET'!$C$36+'INPUT DATA SHEET'!$C$23)*'INPUT DATA SHEET'!$C$99,('INPUT DATA SHEET'!$C$11+'INPUT DATA SHEET'!$C$36+'INPUT DATA SHEET'!$C$23)*'INPUT DATA SHEET'!$C$102-SUM('p&amp;l'!$B$71:'p&amp;l'!AI71))</f>
        <v>3.9241107000000004</v>
      </c>
      <c r="AK71" s="239">
        <f>MIN(('INPUT DATA SHEET'!$C$11+'INPUT DATA SHEET'!$C$36+'INPUT DATA SHEET'!$C$23)*'INPUT DATA SHEET'!$C$99,('INPUT DATA SHEET'!$C$11+'INPUT DATA SHEET'!$C$36+'INPUT DATA SHEET'!$C$23)*'INPUT DATA SHEET'!$C$102-SUM('p&amp;l'!$B$71:'p&amp;l'!AJ71))</f>
        <v>3.9241107000000004</v>
      </c>
      <c r="AL71" s="239">
        <f>MIN(('INPUT DATA SHEET'!$C$11+'INPUT DATA SHEET'!$C$36+'INPUT DATA SHEET'!$C$23)*'INPUT DATA SHEET'!$C$99,('INPUT DATA SHEET'!$C$11+'INPUT DATA SHEET'!$C$36+'INPUT DATA SHEET'!$C$23)*'INPUT DATA SHEET'!$C$102-SUM('p&amp;l'!$B$71:'p&amp;l'!AK71))</f>
        <v>3.9241107000000004</v>
      </c>
      <c r="AM71" s="239">
        <f>MIN(('INPUT DATA SHEET'!$C$11+'INPUT DATA SHEET'!$C$36+'INPUT DATA SHEET'!$C$23)*'INPUT DATA SHEET'!$C$99,('INPUT DATA SHEET'!$C$11+'INPUT DATA SHEET'!$C$36+'INPUT DATA SHEET'!$C$23)*'INPUT DATA SHEET'!$C$102-SUM('p&amp;l'!$B$71:'p&amp;l'!AL71))</f>
        <v>3.9241107000000004</v>
      </c>
      <c r="AN71" s="239">
        <f>MIN(('INPUT DATA SHEET'!$C$11+'INPUT DATA SHEET'!$C$36+'INPUT DATA SHEET'!$C$23)*'INPUT DATA SHEET'!$C$99,('INPUT DATA SHEET'!$C$11+'INPUT DATA SHEET'!$C$36+'INPUT DATA SHEET'!$C$23)*'INPUT DATA SHEET'!$C$102-SUM('p&amp;l'!$B$71:'p&amp;l'!AM71))</f>
        <v>3.9241107000000004</v>
      </c>
      <c r="AO71" s="239">
        <f>MIN(('INPUT DATA SHEET'!$C$11+'INPUT DATA SHEET'!$C$36+'INPUT DATA SHEET'!$C$23)*'INPUT DATA SHEET'!$C$99,('INPUT DATA SHEET'!$C$11+'INPUT DATA SHEET'!$C$36+'INPUT DATA SHEET'!$C$23)*'INPUT DATA SHEET'!$C$102-SUM('p&amp;l'!$B$71:'p&amp;l'!AN71))</f>
        <v>3.9241107000000004</v>
      </c>
      <c r="AP71" s="239">
        <f>MIN(('INPUT DATA SHEET'!$C$11+'INPUT DATA SHEET'!$C$36+'INPUT DATA SHEET'!$C$23)*'INPUT DATA SHEET'!$C$99,('INPUT DATA SHEET'!$C$11+'INPUT DATA SHEET'!$C$36+'INPUT DATA SHEET'!$C$23)*'INPUT DATA SHEET'!$C$102-SUM('p&amp;l'!$B$71:'p&amp;l'!AO71))</f>
        <v>3.9241107000000004</v>
      </c>
      <c r="AQ71" s="239">
        <f>MIN(('INPUT DATA SHEET'!$C$11+'INPUT DATA SHEET'!$C$36+'INPUT DATA SHEET'!$C$23)*'INPUT DATA SHEET'!$C$99,('INPUT DATA SHEET'!$C$11+'INPUT DATA SHEET'!$C$36+'INPUT DATA SHEET'!$C$23)*'INPUT DATA SHEET'!$C$102-SUM('p&amp;l'!$B$71:'p&amp;l'!AP71))</f>
        <v>3.9241107</v>
      </c>
    </row>
    <row r="72" spans="2:43">
      <c r="B72" s="218" t="s">
        <v>82</v>
      </c>
      <c r="C72" s="239"/>
      <c r="D72" s="239">
        <f>MIN('INPUT DATA SHEET'!$C$19*'INPUT DATA SHEET'!$C$100,'INPUT DATA SHEET'!$C$19*'INPUT DATA SHEET'!$C$102-SUM('p&amp;l'!$B$72:C72))</f>
        <v>2.3247899999999997</v>
      </c>
      <c r="E72" s="239">
        <f>MIN('INPUT DATA SHEET'!$C$19*'INPUT DATA SHEET'!$C$100,'INPUT DATA SHEET'!$C$19*'INPUT DATA SHEET'!$C$102-SUM('p&amp;l'!$B$72:D72))</f>
        <v>2.3247899999999997</v>
      </c>
      <c r="F72" s="239">
        <f>MIN('INPUT DATA SHEET'!$C$19*'INPUT DATA SHEET'!$C$100,'INPUT DATA SHEET'!$C$19*'INPUT DATA SHEET'!$C$102-SUM('p&amp;l'!$B$72:E72))</f>
        <v>2.3247899999999997</v>
      </c>
      <c r="G72" s="239">
        <f>MIN('INPUT DATA SHEET'!$C$19*'INPUT DATA SHEET'!$C$100,'INPUT DATA SHEET'!$C$19*'INPUT DATA SHEET'!$C$102-SUM('p&amp;l'!$B$72:F72))</f>
        <v>2.3247899999999997</v>
      </c>
      <c r="H72" s="239">
        <f>MIN('INPUT DATA SHEET'!$C$19*'INPUT DATA SHEET'!$C$100,'INPUT DATA SHEET'!$C$19*'INPUT DATA SHEET'!$C$102-SUM('p&amp;l'!$B$72:G72))</f>
        <v>2.3247899999999997</v>
      </c>
      <c r="I72" s="239">
        <f>MIN('INPUT DATA SHEET'!$C$19*'INPUT DATA SHEET'!$C$100,'INPUT DATA SHEET'!$C$19*'INPUT DATA SHEET'!$C$102-SUM('p&amp;l'!$B$72:H72))</f>
        <v>2.3247899999999997</v>
      </c>
      <c r="J72" s="239">
        <f>MIN('INPUT DATA SHEET'!$C$19*'INPUT DATA SHEET'!$C$100,'INPUT DATA SHEET'!$C$19*'INPUT DATA SHEET'!$C$102-SUM('p&amp;l'!$B$72:I72))</f>
        <v>2.3247899999999997</v>
      </c>
      <c r="K72" s="239">
        <f>MIN('INPUT DATA SHEET'!$C$19*'INPUT DATA SHEET'!$C$100,'INPUT DATA SHEET'!$C$19*'INPUT DATA SHEET'!$C$102-SUM('p&amp;l'!$B$72:J72))</f>
        <v>2.3247899999999997</v>
      </c>
      <c r="L72" s="239">
        <f>MIN('INPUT DATA SHEET'!$C$19*'INPUT DATA SHEET'!$C$100,'INPUT DATA SHEET'!$C$19*'INPUT DATA SHEET'!$C$102-SUM('p&amp;l'!$B$72:K72))</f>
        <v>2.3247899999999997</v>
      </c>
      <c r="M72" s="239">
        <f>MIN('INPUT DATA SHEET'!$C$19*'INPUT DATA SHEET'!$C$100,'INPUT DATA SHEET'!$C$19*'INPUT DATA SHEET'!$C$102-SUM('p&amp;l'!$B$72:L72))</f>
        <v>2.3247899999999997</v>
      </c>
      <c r="N72" s="239">
        <f>MIN('INPUT DATA SHEET'!$C$19*'INPUT DATA SHEET'!$C$100,'INPUT DATA SHEET'!$C$19*'INPUT DATA SHEET'!$C$102-SUM('p&amp;l'!$B$72:M72))</f>
        <v>2.3247899999999997</v>
      </c>
      <c r="O72" s="239">
        <f>MIN('INPUT DATA SHEET'!$C$19*'INPUT DATA SHEET'!$C$100,'INPUT DATA SHEET'!$C$19*'INPUT DATA SHEET'!$C$102-SUM('p&amp;l'!$B$72:N72))</f>
        <v>2.3247899999999997</v>
      </c>
      <c r="P72" s="239">
        <f>MIN('INPUT DATA SHEET'!$C$19*'INPUT DATA SHEET'!$C$100,'INPUT DATA SHEET'!$C$19*'INPUT DATA SHEET'!$C$102-SUM('p&amp;l'!$B$72:O72))</f>
        <v>2.3247899999999997</v>
      </c>
      <c r="Q72" s="239">
        <f>MIN('INPUT DATA SHEET'!$C$19*'INPUT DATA SHEET'!$C$100,'INPUT DATA SHEET'!$C$19*'INPUT DATA SHEET'!$C$102-SUM('p&amp;l'!$B$72:P72))</f>
        <v>2.3247899999999997</v>
      </c>
      <c r="R72" s="239">
        <f>MIN('INPUT DATA SHEET'!$C$19*'INPUT DATA SHEET'!$C$100,'INPUT DATA SHEET'!$C$19*'INPUT DATA SHEET'!$C$102-SUM('p&amp;l'!$B$72:Q72))</f>
        <v>2.3247899999999997</v>
      </c>
      <c r="S72" s="239">
        <f>MIN('INPUT DATA SHEET'!$C$19*'INPUT DATA SHEET'!$C$100,'INPUT DATA SHEET'!$C$19*'INPUT DATA SHEET'!$C$102-SUM('p&amp;l'!$B$72:R72))</f>
        <v>2.3247899999999997</v>
      </c>
      <c r="T72" s="239">
        <f>MIN('INPUT DATA SHEET'!$C$19*'INPUT DATA SHEET'!$C$100,'INPUT DATA SHEET'!$C$19*'INPUT DATA SHEET'!$C$102-SUM('p&amp;l'!$B$72:S72))</f>
        <v>2.3247899999999997</v>
      </c>
      <c r="U72" s="239">
        <f>MIN('INPUT DATA SHEET'!$C$19*'INPUT DATA SHEET'!$C$100,'INPUT DATA SHEET'!$C$19*'INPUT DATA SHEET'!$C$102-SUM('p&amp;l'!$B$72:T72))</f>
        <v>2.3247899999999997</v>
      </c>
      <c r="V72" s="239">
        <f>MIN('INPUT DATA SHEET'!$C$19*'INPUT DATA SHEET'!$C$100,'INPUT DATA SHEET'!$C$19*'INPUT DATA SHEET'!$C$102-SUM('p&amp;l'!$B$72:U72))</f>
        <v>2.3247899999999997</v>
      </c>
      <c r="W72" s="239">
        <f>MIN('INPUT DATA SHEET'!$C$19*'INPUT DATA SHEET'!$C$100,'INPUT DATA SHEET'!$C$19*'INPUT DATA SHEET'!$C$102-SUM('p&amp;l'!$B$72:V72))</f>
        <v>2.3247899999999997</v>
      </c>
      <c r="X72" s="239">
        <f>MIN('INPUT DATA SHEET'!$C$19*'INPUT DATA SHEET'!$C$100,'INPUT DATA SHEET'!$C$19*'INPUT DATA SHEET'!$C$102-SUM('p&amp;l'!$B$72:W72))</f>
        <v>2.3247899999999997</v>
      </c>
      <c r="Y72" s="239">
        <f>MIN('INPUT DATA SHEET'!$C$19*'INPUT DATA SHEET'!$C$100,'INPUT DATA SHEET'!$C$19*'INPUT DATA SHEET'!$C$102-SUM('p&amp;l'!$B$72:X72))</f>
        <v>2.3247899999999997</v>
      </c>
      <c r="Z72" s="239">
        <f>MIN('INPUT DATA SHEET'!$C$19*'INPUT DATA SHEET'!$C$100,'INPUT DATA SHEET'!$C$19*'INPUT DATA SHEET'!$C$102-SUM('p&amp;l'!$B$72:Y72))</f>
        <v>2.3247899999999997</v>
      </c>
      <c r="AA72" s="239">
        <f>MIN('INPUT DATA SHEET'!$C$19*'INPUT DATA SHEET'!$C$100,'INPUT DATA SHEET'!$C$19*'INPUT DATA SHEET'!$C$102-SUM('p&amp;l'!$B$72:Z72))</f>
        <v>2.3247899999999997</v>
      </c>
      <c r="AB72" s="239">
        <f>MIN('INPUT DATA SHEET'!$C$19*'INPUT DATA SHEET'!$C$100,'INPUT DATA SHEET'!$C$19*'INPUT DATA SHEET'!$C$102-SUM('p&amp;l'!$B$72:AA72))</f>
        <v>2.3247899999999997</v>
      </c>
      <c r="AC72" s="239">
        <f>MIN('INPUT DATA SHEET'!$C$19*'INPUT DATA SHEET'!$C$100,'INPUT DATA SHEET'!$C$19*'INPUT DATA SHEET'!$C$102-SUM('p&amp;l'!$B$72:AB72))</f>
        <v>2.3247899999999997</v>
      </c>
      <c r="AD72" s="239">
        <f>MIN('INPUT DATA SHEET'!$C$19*'INPUT DATA SHEET'!$C$100,'INPUT DATA SHEET'!$C$19*'INPUT DATA SHEET'!$C$102-SUM('p&amp;l'!$B$72:AC72))</f>
        <v>2.3247899999999997</v>
      </c>
      <c r="AE72" s="239">
        <f>MIN('INPUT DATA SHEET'!$C$19*'INPUT DATA SHEET'!$C$100,'INPUT DATA SHEET'!$C$19*'INPUT DATA SHEET'!$C$102-SUM('p&amp;l'!$B$72:AD72))</f>
        <v>2.3247899999999997</v>
      </c>
      <c r="AF72" s="239">
        <f>MIN('INPUT DATA SHEET'!$C$19*'INPUT DATA SHEET'!$C$100,'INPUT DATA SHEET'!$C$19*'INPUT DATA SHEET'!$C$102-SUM('p&amp;l'!$B$72:AE72))</f>
        <v>2.3247899999999997</v>
      </c>
      <c r="AG72" s="239">
        <f>MIN('INPUT DATA SHEET'!$C$19*'INPUT DATA SHEET'!$C$100,'INPUT DATA SHEET'!$C$19*'INPUT DATA SHEET'!$C$102-SUM('p&amp;l'!$B$72:AF72))</f>
        <v>2.3247899999999997</v>
      </c>
      <c r="AH72" s="239">
        <f>MIN('INPUT DATA SHEET'!$C$19*'INPUT DATA SHEET'!$C$100,'INPUT DATA SHEET'!$C$19*'INPUT DATA SHEET'!$C$102-SUM('p&amp;l'!$B$72:AG72))</f>
        <v>2.3247899999999997</v>
      </c>
      <c r="AI72" s="239">
        <f>MIN('INPUT DATA SHEET'!$C$19*'INPUT DATA SHEET'!$C$100,'INPUT DATA SHEET'!$C$19*'INPUT DATA SHEET'!$C$102-SUM('p&amp;l'!$B$72:AH72))</f>
        <v>2.3247899999999997</v>
      </c>
      <c r="AJ72" s="239">
        <f>MIN('INPUT DATA SHEET'!$C$19*'INPUT DATA SHEET'!$C$100,'INPUT DATA SHEET'!$C$19*'INPUT DATA SHEET'!$C$102-SUM('p&amp;l'!$B$72:AI72))</f>
        <v>2.3247899999999997</v>
      </c>
      <c r="AK72" s="239">
        <f>MIN('INPUT DATA SHEET'!$C$19*'INPUT DATA SHEET'!$C$100,'INPUT DATA SHEET'!$C$19*'INPUT DATA SHEET'!$C$102-SUM('p&amp;l'!$B$72:AJ72))</f>
        <v>2.3247899999999997</v>
      </c>
      <c r="AL72" s="239">
        <f>MIN('INPUT DATA SHEET'!$C$19*'INPUT DATA SHEET'!$C$100,'INPUT DATA SHEET'!$C$19*'INPUT DATA SHEET'!$C$102-SUM('p&amp;l'!$B$72:AK72))</f>
        <v>2.3247899999999997</v>
      </c>
      <c r="AM72" s="239">
        <f>MIN('INPUT DATA SHEET'!$C$19*'INPUT DATA SHEET'!$C$100,'INPUT DATA SHEET'!$C$19*'INPUT DATA SHEET'!$C$102-SUM('p&amp;l'!$B$72:AL72))</f>
        <v>2.3247899999999997</v>
      </c>
      <c r="AN72" s="239">
        <f>MIN('INPUT DATA SHEET'!$C$19*'INPUT DATA SHEET'!$C$100,'INPUT DATA SHEET'!$C$19*'INPUT DATA SHEET'!$C$102-SUM('p&amp;l'!$B$72:AM72))</f>
        <v>2.3247899999999997</v>
      </c>
      <c r="AO72" s="239">
        <f>MIN('INPUT DATA SHEET'!$C$19*'INPUT DATA SHEET'!$C$100,'INPUT DATA SHEET'!$C$19*'INPUT DATA SHEET'!$C$102-SUM('p&amp;l'!$B$72:AN72))</f>
        <v>2.3247899999999997</v>
      </c>
      <c r="AP72" s="239">
        <f>MIN('INPUT DATA SHEET'!$C$19*'INPUT DATA SHEET'!$C$100,'INPUT DATA SHEET'!$C$19*'INPUT DATA SHEET'!$C$102-SUM('p&amp;l'!$B$72:AO72))</f>
        <v>2.3247899999999997</v>
      </c>
      <c r="AQ72" s="239">
        <f>MIN('INPUT DATA SHEET'!$C$19*'INPUT DATA SHEET'!$C$100,'INPUT DATA SHEET'!$C$19*'INPUT DATA SHEET'!$C$102-SUM('p&amp;l'!$B$72:AP72))</f>
        <v>2.3247899999999997</v>
      </c>
    </row>
    <row r="73" spans="2:43">
      <c r="B73" s="218" t="s">
        <v>84</v>
      </c>
      <c r="C73" s="239"/>
      <c r="D73" s="239">
        <f>MIN(SUM('INPUT DATA SHEET'!$C$37+'INPUT DATA SHEET'!$C$38+'INPUT DATA SHEET'!$C$39)*'INPUT DATA SHEET'!$C$101,SUM('INPUT DATA SHEET'!$C$37+'INPUT DATA SHEET'!$C$38+'INPUT DATA SHEET'!$C$39)*'INPUT DATA SHEET'!$C$102-SUM('p&amp;l'!$B$73:C73))</f>
        <v>0.62280000000000002</v>
      </c>
      <c r="E73" s="239">
        <f>MIN(SUM('INPUT DATA SHEET'!$C$37+'INPUT DATA SHEET'!$C$38+'INPUT DATA SHEET'!$C$39)*'INPUT DATA SHEET'!$C$101,SUM('INPUT DATA SHEET'!$C$37+'INPUT DATA SHEET'!$C$38+'INPUT DATA SHEET'!$C$39)*'INPUT DATA SHEET'!$C$102-SUM('p&amp;l'!$B$73:D73))</f>
        <v>0.62280000000000002</v>
      </c>
      <c r="F73" s="239">
        <f>MIN(SUM('INPUT DATA SHEET'!$C$37+'INPUT DATA SHEET'!$C$38+'INPUT DATA SHEET'!$C$39)*'INPUT DATA SHEET'!$C$101,SUM('INPUT DATA SHEET'!$C$37+'INPUT DATA SHEET'!$C$38+'INPUT DATA SHEET'!$C$39)*'INPUT DATA SHEET'!$C$102-SUM('p&amp;l'!$B$73:E73))</f>
        <v>0.62280000000000002</v>
      </c>
      <c r="G73" s="239">
        <f>MIN(SUM('INPUT DATA SHEET'!$C$37+'INPUT DATA SHEET'!$C$38+'INPUT DATA SHEET'!$C$39)*'INPUT DATA SHEET'!$C$101,SUM('INPUT DATA SHEET'!$C$37+'INPUT DATA SHEET'!$C$38+'INPUT DATA SHEET'!$C$39)*'INPUT DATA SHEET'!$C$102-SUM('p&amp;l'!$B$73:F73))</f>
        <v>0.62280000000000002</v>
      </c>
      <c r="H73" s="239">
        <f>MIN(SUM('INPUT DATA SHEET'!$C$37+'INPUT DATA SHEET'!$C$38+'INPUT DATA SHEET'!$C$39)*'INPUT DATA SHEET'!$C$101,SUM('INPUT DATA SHEET'!$C$37+'INPUT DATA SHEET'!$C$38+'INPUT DATA SHEET'!$C$39)*'INPUT DATA SHEET'!$C$102-SUM('p&amp;l'!$B$73:G73))</f>
        <v>0.62280000000000002</v>
      </c>
      <c r="I73" s="239">
        <f>MIN(SUM('INPUT DATA SHEET'!$C$37+'INPUT DATA SHEET'!$C$38+'INPUT DATA SHEET'!$C$39)*'INPUT DATA SHEET'!$C$101,SUM('INPUT DATA SHEET'!$C$37+'INPUT DATA SHEET'!$C$38+'INPUT DATA SHEET'!$C$39)*'INPUT DATA SHEET'!$C$102-SUM('p&amp;l'!$B$73:H73))</f>
        <v>0.62280000000000002</v>
      </c>
      <c r="J73" s="239">
        <f>MIN(SUM('INPUT DATA SHEET'!$C$37+'INPUT DATA SHEET'!$C$38+'INPUT DATA SHEET'!$C$39)*'INPUT DATA SHEET'!$C$101,SUM('INPUT DATA SHEET'!$C$37+'INPUT DATA SHEET'!$C$38+'INPUT DATA SHEET'!$C$39)*'INPUT DATA SHEET'!$C$102-SUM('p&amp;l'!$B$73:I73))</f>
        <v>0.62280000000000002</v>
      </c>
      <c r="K73" s="239">
        <f>MIN(SUM('INPUT DATA SHEET'!$C$37+'INPUT DATA SHEET'!$C$38+'INPUT DATA SHEET'!$C$39)*'INPUT DATA SHEET'!$C$101,SUM('INPUT DATA SHEET'!$C$37+'INPUT DATA SHEET'!$C$38+'INPUT DATA SHEET'!$C$39)*'INPUT DATA SHEET'!$C$102-SUM('p&amp;l'!$B$73:J73))</f>
        <v>0.62280000000000002</v>
      </c>
      <c r="L73" s="239">
        <f>MIN(SUM('INPUT DATA SHEET'!$C$37+'INPUT DATA SHEET'!$C$38+'INPUT DATA SHEET'!$C$39)*'INPUT DATA SHEET'!$C$101,SUM('INPUT DATA SHEET'!$C$37+'INPUT DATA SHEET'!$C$38+'INPUT DATA SHEET'!$C$39)*'INPUT DATA SHEET'!$C$102-SUM('p&amp;l'!$B$73:K73))</f>
        <v>0.62280000000000002</v>
      </c>
      <c r="M73" s="239">
        <f>MIN(SUM('INPUT DATA SHEET'!$C$37+'INPUT DATA SHEET'!$C$38+'INPUT DATA SHEET'!$C$39)*'INPUT DATA SHEET'!$C$101,SUM('INPUT DATA SHEET'!$C$37+'INPUT DATA SHEET'!$C$38+'INPUT DATA SHEET'!$C$39)*'INPUT DATA SHEET'!$C$102-SUM('p&amp;l'!$B$73:L73))</f>
        <v>0.62280000000000002</v>
      </c>
      <c r="N73" s="239">
        <f>MIN(SUM('INPUT DATA SHEET'!$C$37+'INPUT DATA SHEET'!$C$38+'INPUT DATA SHEET'!$C$39)*'INPUT DATA SHEET'!$C$101,SUM('INPUT DATA SHEET'!$C$37+'INPUT DATA SHEET'!$C$38+'INPUT DATA SHEET'!$C$39)*'INPUT DATA SHEET'!$C$102-SUM('p&amp;l'!$B$73:M73))</f>
        <v>0.62280000000000002</v>
      </c>
      <c r="O73" s="239">
        <f>MIN(SUM('INPUT DATA SHEET'!$C$37+'INPUT DATA SHEET'!$C$38+'INPUT DATA SHEET'!$C$39)*'INPUT DATA SHEET'!$C$101,SUM('INPUT DATA SHEET'!$C$37+'INPUT DATA SHEET'!$C$38+'INPUT DATA SHEET'!$C$39)*'INPUT DATA SHEET'!$C$102-SUM('p&amp;l'!$B$73:N73))</f>
        <v>0.62280000000000002</v>
      </c>
      <c r="P73" s="239">
        <f>MIN(SUM('INPUT DATA SHEET'!$C$37+'INPUT DATA SHEET'!$C$38+'INPUT DATA SHEET'!$C$39)*'INPUT DATA SHEET'!$C$101,SUM('INPUT DATA SHEET'!$C$37+'INPUT DATA SHEET'!$C$38+'INPUT DATA SHEET'!$C$39)*'INPUT DATA SHEET'!$C$102-SUM('p&amp;l'!$B$73:O73))</f>
        <v>0.62280000000000002</v>
      </c>
      <c r="Q73" s="239">
        <f>MIN(SUM('INPUT DATA SHEET'!$C$37+'INPUT DATA SHEET'!$C$38+'INPUT DATA SHEET'!$C$39)*'INPUT DATA SHEET'!$C$101,SUM('INPUT DATA SHEET'!$C$37+'INPUT DATA SHEET'!$C$38+'INPUT DATA SHEET'!$C$39)*'INPUT DATA SHEET'!$C$102-SUM('p&amp;l'!$B$73:P73))</f>
        <v>0.62280000000000002</v>
      </c>
      <c r="R73" s="239">
        <f>MIN(SUM('INPUT DATA SHEET'!$C$37+'INPUT DATA SHEET'!$C$38+'INPUT DATA SHEET'!$C$39)*'INPUT DATA SHEET'!$C$101,SUM('INPUT DATA SHEET'!$C$37+'INPUT DATA SHEET'!$C$38+'INPUT DATA SHEET'!$C$39)*'INPUT DATA SHEET'!$C$102-SUM('p&amp;l'!$B$73:Q73))</f>
        <v>0.62280000000000002</v>
      </c>
      <c r="S73" s="239">
        <f>MIN(SUM('INPUT DATA SHEET'!$C$37+'INPUT DATA SHEET'!$C$38+'INPUT DATA SHEET'!$C$39)*'INPUT DATA SHEET'!$C$101,SUM('INPUT DATA SHEET'!$C$37+'INPUT DATA SHEET'!$C$38+'INPUT DATA SHEET'!$C$39)*'INPUT DATA SHEET'!$C$102-SUM('p&amp;l'!$B$73:R73))</f>
        <v>0.62280000000000002</v>
      </c>
      <c r="T73" s="239">
        <f>MIN(SUM('INPUT DATA SHEET'!$C$37+'INPUT DATA SHEET'!$C$38+'INPUT DATA SHEET'!$C$39)*'INPUT DATA SHEET'!$C$101,SUM('INPUT DATA SHEET'!$C$37+'INPUT DATA SHEET'!$C$38+'INPUT DATA SHEET'!$C$39)*'INPUT DATA SHEET'!$C$102-SUM('p&amp;l'!$B$73:S73))</f>
        <v>0.62280000000000002</v>
      </c>
      <c r="U73" s="239">
        <f>MIN(SUM('INPUT DATA SHEET'!$C$37+'INPUT DATA SHEET'!$C$38+'INPUT DATA SHEET'!$C$39)*'INPUT DATA SHEET'!$C$101,SUM('INPUT DATA SHEET'!$C$37+'INPUT DATA SHEET'!$C$38+'INPUT DATA SHEET'!$C$39)*'INPUT DATA SHEET'!$C$102-SUM('p&amp;l'!$B$73:T73))</f>
        <v>0.62280000000000002</v>
      </c>
      <c r="V73" s="239">
        <f>MIN(SUM('INPUT DATA SHEET'!$C$37+'INPUT DATA SHEET'!$C$38+'INPUT DATA SHEET'!$C$39)*'INPUT DATA SHEET'!$C$101,SUM('INPUT DATA SHEET'!$C$37+'INPUT DATA SHEET'!$C$38+'INPUT DATA SHEET'!$C$39)*'INPUT DATA SHEET'!$C$102-SUM('p&amp;l'!$B$73:U73))</f>
        <v>0.62280000000000002</v>
      </c>
      <c r="W73" s="239">
        <f>MIN(SUM('INPUT DATA SHEET'!$C$37+'INPUT DATA SHEET'!$C$38+'INPUT DATA SHEET'!$C$39)*'INPUT DATA SHEET'!$C$101,SUM('INPUT DATA SHEET'!$C$37+'INPUT DATA SHEET'!$C$38+'INPUT DATA SHEET'!$C$39)*'INPUT DATA SHEET'!$C$102-SUM('p&amp;l'!$B$73:V73))</f>
        <v>0.62280000000000002</v>
      </c>
      <c r="X73" s="239">
        <f>MIN(SUM('INPUT DATA SHEET'!$C$37+'INPUT DATA SHEET'!$C$38+'INPUT DATA SHEET'!$C$39)*'INPUT DATA SHEET'!$C$101,SUM('INPUT DATA SHEET'!$C$37+'INPUT DATA SHEET'!$C$38+'INPUT DATA SHEET'!$C$39)*'INPUT DATA SHEET'!$C$102-SUM('p&amp;l'!$B$73:W73))</f>
        <v>0.62280000000000002</v>
      </c>
      <c r="Y73" s="239">
        <f>MIN(SUM('INPUT DATA SHEET'!$C$37+'INPUT DATA SHEET'!$C$38+'INPUT DATA SHEET'!$C$39)*'INPUT DATA SHEET'!$C$101,SUM('INPUT DATA SHEET'!$C$37+'INPUT DATA SHEET'!$C$38+'INPUT DATA SHEET'!$C$39)*'INPUT DATA SHEET'!$C$102-SUM('p&amp;l'!$B$73:X73))</f>
        <v>0.62280000000000002</v>
      </c>
      <c r="Z73" s="239">
        <f>MIN(SUM('INPUT DATA SHEET'!$C$37+'INPUT DATA SHEET'!$C$38+'INPUT DATA SHEET'!$C$39)*'INPUT DATA SHEET'!$C$101,SUM('INPUT DATA SHEET'!$C$37+'INPUT DATA SHEET'!$C$38+'INPUT DATA SHEET'!$C$39)*'INPUT DATA SHEET'!$C$102-SUM('p&amp;l'!$B$73:Y73))</f>
        <v>0.62280000000000002</v>
      </c>
      <c r="AA73" s="239">
        <f>MIN(SUM('INPUT DATA SHEET'!$C$37+'INPUT DATA SHEET'!$C$38+'INPUT DATA SHEET'!$C$39)*'INPUT DATA SHEET'!$C$101,SUM('INPUT DATA SHEET'!$C$37+'INPUT DATA SHEET'!$C$38+'INPUT DATA SHEET'!$C$39)*'INPUT DATA SHEET'!$C$102-SUM('p&amp;l'!$B$73:Z73))</f>
        <v>0.62280000000000002</v>
      </c>
      <c r="AB73" s="239">
        <f>MIN(SUM('INPUT DATA SHEET'!$C$37+'INPUT DATA SHEET'!$C$38+'INPUT DATA SHEET'!$C$39)*'INPUT DATA SHEET'!$C$101,SUM('INPUT DATA SHEET'!$C$37+'INPUT DATA SHEET'!$C$38+'INPUT DATA SHEET'!$C$39)*'INPUT DATA SHEET'!$C$102-SUM('p&amp;l'!$B$73:AA73))</f>
        <v>0.62280000000000002</v>
      </c>
      <c r="AC73" s="239">
        <f>MIN(SUM('INPUT DATA SHEET'!$C$37+'INPUT DATA SHEET'!$C$38+'INPUT DATA SHEET'!$C$39)*'INPUT DATA SHEET'!$C$101,SUM('INPUT DATA SHEET'!$C$37+'INPUT DATA SHEET'!$C$38+'INPUT DATA SHEET'!$C$39)*'INPUT DATA SHEET'!$C$102-SUM('p&amp;l'!$B$73:AB73))</f>
        <v>0.62280000000000002</v>
      </c>
      <c r="AD73" s="239">
        <f>MIN(SUM('INPUT DATA SHEET'!$C$37+'INPUT DATA SHEET'!$C$38+'INPUT DATA SHEET'!$C$39)*'INPUT DATA SHEET'!$C$101,SUM('INPUT DATA SHEET'!$C$37+'INPUT DATA SHEET'!$C$38+'INPUT DATA SHEET'!$C$39)*'INPUT DATA SHEET'!$C$102-SUM('p&amp;l'!$B$73:AC73))</f>
        <v>0.62280000000000002</v>
      </c>
      <c r="AE73" s="239">
        <f>MIN(SUM('INPUT DATA SHEET'!$C$37+'INPUT DATA SHEET'!$C$38+'INPUT DATA SHEET'!$C$39)*'INPUT DATA SHEET'!$C$101,SUM('INPUT DATA SHEET'!$C$37+'INPUT DATA SHEET'!$C$38+'INPUT DATA SHEET'!$C$39)*'INPUT DATA SHEET'!$C$102-SUM('p&amp;l'!$B$73:AD73))</f>
        <v>0.62280000000000002</v>
      </c>
      <c r="AF73" s="239">
        <f>MIN(SUM('INPUT DATA SHEET'!$C$37+'INPUT DATA SHEET'!$C$38+'INPUT DATA SHEET'!$C$39)*'INPUT DATA SHEET'!$C$101,SUM('INPUT DATA SHEET'!$C$37+'INPUT DATA SHEET'!$C$38+'INPUT DATA SHEET'!$C$39)*'INPUT DATA SHEET'!$C$102-SUM('p&amp;l'!$B$73:AE73))</f>
        <v>0.62280000000000002</v>
      </c>
      <c r="AG73" s="239">
        <f>MIN(SUM('INPUT DATA SHEET'!$C$37+'INPUT DATA SHEET'!$C$38+'INPUT DATA SHEET'!$C$39)*'INPUT DATA SHEET'!$C$101,SUM('INPUT DATA SHEET'!$C$37+'INPUT DATA SHEET'!$C$38+'INPUT DATA SHEET'!$C$39)*'INPUT DATA SHEET'!$C$102-SUM('p&amp;l'!$B$73:AF73))</f>
        <v>0.62280000000000002</v>
      </c>
      <c r="AH73" s="239">
        <f>MIN(SUM('INPUT DATA SHEET'!$C$37+'INPUT DATA SHEET'!$C$38+'INPUT DATA SHEET'!$C$39)*'INPUT DATA SHEET'!$C$101,SUM('INPUT DATA SHEET'!$C$37+'INPUT DATA SHEET'!$C$38+'INPUT DATA SHEET'!$C$39)*'INPUT DATA SHEET'!$C$102-SUM('p&amp;l'!$B$73:AG73))</f>
        <v>0.62280000000000002</v>
      </c>
      <c r="AI73" s="239">
        <f>MIN(SUM('INPUT DATA SHEET'!$C$37+'INPUT DATA SHEET'!$C$38+'INPUT DATA SHEET'!$C$39)*'INPUT DATA SHEET'!$C$101,SUM('INPUT DATA SHEET'!$C$37+'INPUT DATA SHEET'!$C$38+'INPUT DATA SHEET'!$C$39)*'INPUT DATA SHEET'!$C$102-SUM('p&amp;l'!$B$73:AH73))</f>
        <v>0.62280000000000002</v>
      </c>
      <c r="AJ73" s="239">
        <f>MIN(SUM('INPUT DATA SHEET'!$C$37+'INPUT DATA SHEET'!$C$38+'INPUT DATA SHEET'!$C$39)*'INPUT DATA SHEET'!$C$101,SUM('INPUT DATA SHEET'!$C$37+'INPUT DATA SHEET'!$C$38+'INPUT DATA SHEET'!$C$39)*'INPUT DATA SHEET'!$C$102-SUM('p&amp;l'!$B$73:AI73))</f>
        <v>0.62280000000000002</v>
      </c>
      <c r="AK73" s="239">
        <f>MIN(SUM('INPUT DATA SHEET'!$C$37+'INPUT DATA SHEET'!$C$38+'INPUT DATA SHEET'!$C$39)*'INPUT DATA SHEET'!$C$101,SUM('INPUT DATA SHEET'!$C$37+'INPUT DATA SHEET'!$C$38+'INPUT DATA SHEET'!$C$39)*'INPUT DATA SHEET'!$C$102-SUM('p&amp;l'!$B$73:AJ73))</f>
        <v>0.62280000000000002</v>
      </c>
      <c r="AL73" s="239">
        <f>MIN(SUM('INPUT DATA SHEET'!$C$37+'INPUT DATA SHEET'!$C$38+'INPUT DATA SHEET'!$C$39)*'INPUT DATA SHEET'!$C$101,SUM('INPUT DATA SHEET'!$C$37+'INPUT DATA SHEET'!$C$38+'INPUT DATA SHEET'!$C$39)*'INPUT DATA SHEET'!$C$102-SUM('p&amp;l'!$B$73:AK73))</f>
        <v>0.62280000000000002</v>
      </c>
      <c r="AM73" s="239">
        <f>MIN(SUM('INPUT DATA SHEET'!$C$37+'INPUT DATA SHEET'!$C$38+'INPUT DATA SHEET'!$C$39)*'INPUT DATA SHEET'!$C$101,SUM('INPUT DATA SHEET'!$C$37+'INPUT DATA SHEET'!$C$38+'INPUT DATA SHEET'!$C$39)*'INPUT DATA SHEET'!$C$102-SUM('p&amp;l'!$B$73:AL73))</f>
        <v>0.62280000000000002</v>
      </c>
      <c r="AN73" s="239">
        <f>MIN(SUM('INPUT DATA SHEET'!$C$37+'INPUT DATA SHEET'!$C$38+'INPUT DATA SHEET'!$C$39)*'INPUT DATA SHEET'!$C$101,SUM('INPUT DATA SHEET'!$C$37+'INPUT DATA SHEET'!$C$38+'INPUT DATA SHEET'!$C$39)*'INPUT DATA SHEET'!$C$102-SUM('p&amp;l'!$B$73:AM73))</f>
        <v>0.62280000000000002</v>
      </c>
      <c r="AO73" s="239">
        <f>MIN(SUM('INPUT DATA SHEET'!$C$37+'INPUT DATA SHEET'!$C$38+'INPUT DATA SHEET'!$C$39)*'INPUT DATA SHEET'!$C$101,SUM('INPUT DATA SHEET'!$C$37+'INPUT DATA SHEET'!$C$38+'INPUT DATA SHEET'!$C$39)*'INPUT DATA SHEET'!$C$102-SUM('p&amp;l'!$B$73:AN73))</f>
        <v>0.62280000000000002</v>
      </c>
      <c r="AP73" s="239">
        <f>MIN(SUM('INPUT DATA SHEET'!$C$37+'INPUT DATA SHEET'!$C$38+'INPUT DATA SHEET'!$C$39)*'INPUT DATA SHEET'!$C$101,SUM('INPUT DATA SHEET'!$C$37+'INPUT DATA SHEET'!$C$38+'INPUT DATA SHEET'!$C$39)*'INPUT DATA SHEET'!$C$102-SUM('p&amp;l'!$B$73:AO73))</f>
        <v>0.62280000000000002</v>
      </c>
      <c r="AQ73" s="239">
        <f>MIN(SUM('INPUT DATA SHEET'!$C$37+'INPUT DATA SHEET'!$C$38+'INPUT DATA SHEET'!$C$39)*'INPUT DATA SHEET'!$C$101,SUM('INPUT DATA SHEET'!$C$37+'INPUT DATA SHEET'!$C$38+'INPUT DATA SHEET'!$C$39)*'INPUT DATA SHEET'!$C$102-SUM('p&amp;l'!$B$73:AP73))</f>
        <v>0.62279999999998381</v>
      </c>
    </row>
    <row r="74" spans="2:43">
      <c r="B74" s="41"/>
      <c r="C74" s="42"/>
    </row>
    <row r="75" spans="2:43">
      <c r="B75" s="218" t="s">
        <v>157</v>
      </c>
      <c r="C75" s="239">
        <f>'INPUT DATA SHEET'!C36+'INPUT DATA SHEET'!C11+'INPUT DATA SHEET'!C19+'INPUT DATA SHEET'!C23+'INPUT DATA SHEET'!C37+'INPUT DATA SHEET'!C38+'INPUT DATA SHEET'!C39</f>
        <v>305.40892000000002</v>
      </c>
      <c r="D75" s="218"/>
      <c r="E75" s="218"/>
      <c r="F75" s="218"/>
      <c r="G75" s="218"/>
      <c r="H75" s="218"/>
      <c r="I75" s="218"/>
      <c r="J75" s="218"/>
      <c r="K75" s="218"/>
      <c r="L75" s="218"/>
      <c r="M75" s="218"/>
      <c r="N75" s="218"/>
      <c r="O75" s="218"/>
      <c r="P75" s="218"/>
      <c r="Q75" s="218"/>
      <c r="R75" s="218"/>
      <c r="S75" s="218"/>
      <c r="T75" s="218"/>
      <c r="U75" s="218"/>
      <c r="V75" s="218"/>
      <c r="W75" s="218"/>
      <c r="X75" s="218"/>
      <c r="Y75" s="218"/>
      <c r="Z75" s="218"/>
      <c r="AA75" s="218"/>
      <c r="AB75" s="218"/>
      <c r="AC75" s="218"/>
      <c r="AD75" s="218"/>
      <c r="AE75" s="218"/>
      <c r="AF75" s="218"/>
      <c r="AG75" s="218"/>
      <c r="AH75" s="218"/>
      <c r="AI75" s="218"/>
      <c r="AJ75" s="218"/>
      <c r="AK75" s="218"/>
      <c r="AL75" s="218"/>
      <c r="AM75" s="218"/>
      <c r="AN75" s="218"/>
      <c r="AO75" s="218"/>
      <c r="AP75" s="218"/>
      <c r="AQ75" s="218"/>
    </row>
    <row r="76" spans="2:43">
      <c r="B76" s="218"/>
      <c r="C76" s="239"/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218"/>
      <c r="S76" s="218"/>
      <c r="T76" s="218"/>
      <c r="U76" s="218"/>
      <c r="V76" s="218"/>
      <c r="W76" s="218"/>
      <c r="X76" s="218"/>
      <c r="Y76" s="218"/>
      <c r="Z76" s="218"/>
      <c r="AA76" s="218"/>
      <c r="AB76" s="218"/>
      <c r="AC76" s="218"/>
      <c r="AD76" s="218"/>
      <c r="AE76" s="218"/>
      <c r="AF76" s="218"/>
      <c r="AG76" s="218"/>
      <c r="AH76" s="218"/>
      <c r="AI76" s="218"/>
      <c r="AJ76" s="218"/>
      <c r="AK76" s="218"/>
      <c r="AL76" s="218"/>
      <c r="AM76" s="218"/>
      <c r="AN76" s="218"/>
      <c r="AO76" s="218"/>
      <c r="AP76" s="218"/>
      <c r="AQ76" s="218"/>
    </row>
    <row r="77" spans="2:43">
      <c r="B77" s="313" t="s">
        <v>154</v>
      </c>
      <c r="C77" s="218"/>
      <c r="D77" s="218"/>
      <c r="E77" s="218"/>
      <c r="F77" s="218"/>
      <c r="G77" s="218"/>
      <c r="H77" s="218"/>
      <c r="I77" s="218"/>
      <c r="J77" s="218"/>
      <c r="K77" s="218"/>
      <c r="L77" s="218"/>
      <c r="M77" s="218"/>
      <c r="N77" s="218"/>
      <c r="O77" s="218"/>
      <c r="P77" s="218"/>
      <c r="Q77" s="218"/>
      <c r="R77" s="218"/>
      <c r="S77" s="218"/>
      <c r="T77" s="218"/>
      <c r="U77" s="218"/>
      <c r="V77" s="218"/>
      <c r="W77" s="218"/>
      <c r="X77" s="218"/>
      <c r="Y77" s="218"/>
      <c r="Z77" s="218"/>
      <c r="AA77" s="218"/>
      <c r="AB77" s="218"/>
      <c r="AC77" s="218"/>
      <c r="AD77" s="218"/>
      <c r="AE77" s="218"/>
      <c r="AF77" s="218"/>
      <c r="AG77" s="218"/>
      <c r="AH77" s="218"/>
      <c r="AI77" s="218"/>
      <c r="AJ77" s="218"/>
      <c r="AK77" s="218"/>
      <c r="AL77" s="218"/>
      <c r="AM77" s="218"/>
      <c r="AN77" s="218"/>
      <c r="AO77" s="218"/>
      <c r="AP77" s="218"/>
      <c r="AQ77" s="218"/>
    </row>
    <row r="78" spans="2:43">
      <c r="B78" s="218"/>
      <c r="C78" s="218"/>
      <c r="D78" s="314">
        <f>'INPUT DATA SHEET'!C107*C75</f>
        <v>244.32713600000002</v>
      </c>
      <c r="E78" s="315">
        <f>(($C$75)-SUM($D78:D78))*'INPUT DATA SHEET'!$C$107</f>
        <v>48.865427199999999</v>
      </c>
      <c r="F78" s="315">
        <f>(($C$75)-SUM($D78:E78))*'INPUT DATA SHEET'!$C$107</f>
        <v>9.773085440000024</v>
      </c>
      <c r="G78" s="315">
        <f>(($C$75)-SUM($D78:F78))*'INPUT DATA SHEET'!$C$107</f>
        <v>1.9546170879999865</v>
      </c>
      <c r="H78" s="315">
        <f>(($C$75)-SUM($D78:G78))*'INPUT DATA SHEET'!$C$107</f>
        <v>0.39092341760001548</v>
      </c>
      <c r="I78" s="315">
        <f>(($C$75)-SUM($D78:H78))*'INPUT DATA SHEET'!$C$107</f>
        <v>7.8184683520021281E-2</v>
      </c>
      <c r="J78" s="315">
        <f>(($C$75)-SUM($D78:I78))*'INPUT DATA SHEET'!$C$107</f>
        <v>1.5636936704004258E-2</v>
      </c>
      <c r="K78" s="315">
        <f>(($C$75)-SUM($D78:J78))*'INPUT DATA SHEET'!$C$107</f>
        <v>3.1273873407826613E-3</v>
      </c>
      <c r="L78" s="315">
        <f>(($C$75)-SUM($D78:K78))*'INPUT DATA SHEET'!$C$107</f>
        <v>6.2547746815653235E-4</v>
      </c>
      <c r="M78" s="315">
        <f>(($C$75)-SUM($D78:L78))*'INPUT DATA SHEET'!$C$107</f>
        <v>1.2509549364949634E-4</v>
      </c>
      <c r="N78" s="315">
        <f>(($C$75)-SUM($D78:M78))*'INPUT DATA SHEET'!$C$107</f>
        <v>2.5019098711709378E-5</v>
      </c>
      <c r="O78" s="315">
        <f>(($C$75)-SUM($D78:N78))*'INPUT DATA SHEET'!$C$107</f>
        <v>5.0038197514368221E-6</v>
      </c>
      <c r="P78" s="315">
        <f>(($C$75)-SUM($D78:O78))*'INPUT DATA SHEET'!$C$107</f>
        <v>1.0007639502873645E-6</v>
      </c>
      <c r="Q78" s="315">
        <f>(($C$75)-SUM($D78:P78))*'INPUT DATA SHEET'!$C$107</f>
        <v>2.0015277186757887E-7</v>
      </c>
      <c r="R78" s="315">
        <f>(($C$75)-SUM($D78:Q78))*'INPUT DATA SHEET'!$C$107</f>
        <v>4.0030545278568755E-8</v>
      </c>
      <c r="S78" s="315">
        <f>(($C$75)-SUM($D78:R78))*'INPUT DATA SHEET'!$C$107</f>
        <v>8.0060999607667337E-9</v>
      </c>
      <c r="T78" s="315">
        <f>(($C$75)-SUM($D78:S78))*'INPUT DATA SHEET'!$C$107</f>
        <v>1.601210897206329E-9</v>
      </c>
      <c r="U78" s="315">
        <f>(($C$75)-SUM($D78:T78))*'INPUT DATA SHEET'!$C$107</f>
        <v>3.2023308449424805E-10</v>
      </c>
      <c r="V78" s="315">
        <f>(($C$75)-SUM($D78:U78))*'INPUT DATA SHEET'!$C$107</f>
        <v>6.4028427004814153E-11</v>
      </c>
      <c r="W78" s="315">
        <f>(($C$75)-SUM($D78:V78))*'INPUT DATA SHEET'!$C$107</f>
        <v>1.2823875294998289E-11</v>
      </c>
      <c r="X78" s="315">
        <f>(($C$75)-SUM($D78:W78))*'INPUT DATA SHEET'!$C$107</f>
        <v>2.5465851649641993E-12</v>
      </c>
      <c r="Y78" s="315">
        <f>(($C$75)-SUM($D78:X78))*'INPUT DATA SHEET'!$C$107</f>
        <v>5.0022208597511057E-13</v>
      </c>
      <c r="Z78" s="315">
        <f>(($C$75)-SUM($D78:Y78))*'INPUT DATA SHEET'!$C$107</f>
        <v>9.0949470177292829E-14</v>
      </c>
      <c r="AA78" s="315">
        <f>(($C$75)-SUM($D78:Z78))*'INPUT DATA SHEET'!$C$107</f>
        <v>0</v>
      </c>
      <c r="AB78" s="315">
        <f>(($C$75)-SUM($D78:AA78))*'INPUT DATA SHEET'!$C$107</f>
        <v>0</v>
      </c>
      <c r="AC78" s="315">
        <f>(($C$75)-SUM($D78:AB78))*'INPUT DATA SHEET'!$C$107</f>
        <v>0</v>
      </c>
      <c r="AD78" s="315">
        <f>(($C$75)-SUM($D78:AC78))*'INPUT DATA SHEET'!$C$107</f>
        <v>0</v>
      </c>
      <c r="AE78" s="315">
        <f>(($C$75)-SUM($D78:AD78))*'INPUT DATA SHEET'!$C$107</f>
        <v>0</v>
      </c>
      <c r="AF78" s="315">
        <f>(($C$75)-SUM($D78:AE78))*'INPUT DATA SHEET'!$C$107</f>
        <v>0</v>
      </c>
      <c r="AG78" s="315">
        <f>(($C$75)-SUM($D78:AF78))*'INPUT DATA SHEET'!$C$107</f>
        <v>0</v>
      </c>
      <c r="AH78" s="315">
        <f>(($C$75)-SUM($D78:AG78))*'INPUT DATA SHEET'!$C$107</f>
        <v>0</v>
      </c>
      <c r="AI78" s="315">
        <f>(($C$75)-SUM($D78:AH78))*'INPUT DATA SHEET'!$C$107</f>
        <v>0</v>
      </c>
      <c r="AJ78" s="315">
        <f>(($C$75)-SUM($D78:AI78))*'INPUT DATA SHEET'!$C$107</f>
        <v>0</v>
      </c>
      <c r="AK78" s="315">
        <f>(($C$75)-SUM($D78:AJ78))*'INPUT DATA SHEET'!$C$107</f>
        <v>0</v>
      </c>
      <c r="AL78" s="315">
        <f>(($C$75)-SUM($D78:AK78))*'INPUT DATA SHEET'!$C$107</f>
        <v>0</v>
      </c>
      <c r="AM78" s="315">
        <f>(($C$75)-SUM($D78:AL78))*'INPUT DATA SHEET'!$C$107</f>
        <v>0</v>
      </c>
      <c r="AN78" s="315">
        <f>(($C$75)-SUM($D78:AM78))*'INPUT DATA SHEET'!$C$107</f>
        <v>0</v>
      </c>
      <c r="AO78" s="315">
        <f>(($C$75)-SUM($D78:AN78))*'INPUT DATA SHEET'!$C$107</f>
        <v>0</v>
      </c>
      <c r="AP78" s="315">
        <f>(($C$75)-SUM($D78:AO78))*'INPUT DATA SHEET'!$C$107</f>
        <v>0</v>
      </c>
      <c r="AQ78" s="315">
        <f>(($C$75)-SUM($D78:AP78))*'INPUT DATA SHEET'!$C$107</f>
        <v>0</v>
      </c>
    </row>
  </sheetData>
  <phoneticPr fontId="0" type="noConversion"/>
  <printOptions horizontalCentered="1" verticalCentered="1"/>
  <pageMargins left="0.48" right="0" top="0.43307086614173229" bottom="0.39370078740157483" header="0.35433070866141736" footer="0.31496062992125984"/>
  <pageSetup paperSize="9" scale="95" orientation="landscape" horizontalDpi="4294967294" verticalDpi="300" r:id="rId1"/>
  <headerFooter alignWithMargins="0">
    <oddFooter>&amp;L&amp;B Confidential&amp;B&amp;C&amp;D&amp;RPage &amp;P</oddFooter>
  </headerFooter>
  <ignoredErrors>
    <ignoredError sqref="D5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4:AH22"/>
  <sheetViews>
    <sheetView zoomScale="90" zoomScaleNormal="90" workbookViewId="0">
      <selection activeCell="C27" sqref="C27"/>
    </sheetView>
  </sheetViews>
  <sheetFormatPr defaultRowHeight="12.75"/>
  <cols>
    <col min="1" max="1" width="9.140625" style="4"/>
    <col min="2" max="2" width="43.28515625" style="4" bestFit="1" customWidth="1"/>
    <col min="3" max="3" width="18.28515625" style="4" customWidth="1"/>
    <col min="4" max="8" width="11" style="4" bestFit="1" customWidth="1"/>
    <col min="9" max="16384" width="9.140625" style="4"/>
  </cols>
  <sheetData>
    <row r="4" spans="1:34">
      <c r="B4" s="169" t="str">
        <f>'p&amp;l'!B2</f>
        <v>ALEO - II HEP 2 X 2400 KW</v>
      </c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16"/>
      <c r="N4" s="16"/>
      <c r="O4" s="16"/>
      <c r="P4" s="16"/>
      <c r="Q4" s="16"/>
      <c r="R4" s="16"/>
      <c r="S4" s="16"/>
      <c r="T4" s="16"/>
      <c r="U4" s="16"/>
      <c r="V4" s="16"/>
    </row>
    <row r="5" spans="1:34" ht="13.5" customHeight="1">
      <c r="B5" s="198"/>
      <c r="C5" s="225"/>
      <c r="D5" s="224"/>
      <c r="E5" s="224"/>
      <c r="F5" s="224"/>
      <c r="G5" s="224"/>
      <c r="H5" s="224"/>
      <c r="I5" s="224"/>
      <c r="J5" s="224"/>
      <c r="K5" s="224"/>
      <c r="L5" s="224"/>
      <c r="M5" s="16"/>
      <c r="N5" s="16"/>
      <c r="O5" s="16"/>
      <c r="P5" s="16"/>
      <c r="Q5" s="16"/>
      <c r="R5" s="16"/>
      <c r="S5" s="16"/>
      <c r="T5" s="16"/>
      <c r="U5" s="16"/>
      <c r="V5" s="16"/>
    </row>
    <row r="6" spans="1:34" ht="20.100000000000001" customHeight="1">
      <c r="B6" s="199" t="s">
        <v>3</v>
      </c>
      <c r="C6" s="200"/>
      <c r="D6" s="200"/>
      <c r="E6" s="16"/>
      <c r="F6" s="226"/>
      <c r="G6" s="16"/>
      <c r="H6" s="16"/>
      <c r="I6" s="16"/>
      <c r="J6" s="226"/>
      <c r="K6" s="226"/>
      <c r="L6" s="226"/>
      <c r="M6" s="16"/>
      <c r="N6" s="16"/>
      <c r="O6" s="16"/>
      <c r="P6" s="16"/>
      <c r="Q6" s="16"/>
      <c r="R6" s="16"/>
      <c r="S6" s="16"/>
      <c r="T6" s="16"/>
      <c r="U6" s="16"/>
      <c r="V6" s="16"/>
    </row>
    <row r="7" spans="1:34">
      <c r="B7" s="16"/>
      <c r="C7" s="16"/>
      <c r="D7" s="200"/>
      <c r="E7" s="200"/>
      <c r="F7" s="200"/>
      <c r="G7" s="200"/>
      <c r="H7" s="16"/>
      <c r="I7" s="200"/>
      <c r="J7" s="200"/>
      <c r="K7" s="16"/>
      <c r="L7" s="200"/>
      <c r="M7" s="16"/>
      <c r="N7" s="16"/>
      <c r="O7" s="16"/>
      <c r="P7" s="16"/>
      <c r="Q7" s="16"/>
      <c r="R7" s="16"/>
      <c r="S7" s="16"/>
      <c r="T7" s="16"/>
      <c r="U7" s="16"/>
      <c r="V7" s="16"/>
    </row>
    <row r="8" spans="1:34">
      <c r="B8" s="166" t="s">
        <v>71</v>
      </c>
      <c r="C8" s="227"/>
      <c r="D8" s="227">
        <f>'cash flow'!F1</f>
        <v>41364</v>
      </c>
      <c r="E8" s="227">
        <f>'cash flow'!G1</f>
        <v>41729</v>
      </c>
      <c r="F8" s="227">
        <f>'cash flow'!H1</f>
        <v>42094</v>
      </c>
      <c r="G8" s="227">
        <f>'cash flow'!I1</f>
        <v>42460</v>
      </c>
      <c r="H8" s="227">
        <f>'cash flow'!J1</f>
        <v>42825</v>
      </c>
      <c r="I8" s="227">
        <f>'cash flow'!K1</f>
        <v>43190</v>
      </c>
      <c r="J8" s="227">
        <f>'cash flow'!L1</f>
        <v>43555</v>
      </c>
      <c r="K8" s="227">
        <f>'cash flow'!M1</f>
        <v>43921</v>
      </c>
      <c r="L8" s="227">
        <f>'cash flow'!N1</f>
        <v>44286</v>
      </c>
      <c r="M8" s="227">
        <f>'cash flow'!O1</f>
        <v>44651</v>
      </c>
      <c r="N8" s="227">
        <f>'cash flow'!P1</f>
        <v>45016</v>
      </c>
      <c r="O8" s="227">
        <f>'cash flow'!Q1</f>
        <v>45382</v>
      </c>
      <c r="P8" s="227">
        <f>'cash flow'!R1</f>
        <v>45747</v>
      </c>
      <c r="Q8" s="227">
        <f>'cash flow'!S1</f>
        <v>46112</v>
      </c>
      <c r="R8" s="227">
        <f>'cash flow'!T1</f>
        <v>46477</v>
      </c>
      <c r="S8" s="227">
        <f>'cash flow'!U1</f>
        <v>46843</v>
      </c>
      <c r="T8" s="227">
        <f>'cash flow'!V1</f>
        <v>47208</v>
      </c>
      <c r="U8" s="227">
        <f>'cash flow'!W1</f>
        <v>47573</v>
      </c>
      <c r="V8" s="227">
        <f>'cash flow'!X1</f>
        <v>47938</v>
      </c>
      <c r="W8" s="227">
        <f>'cash flow'!Y1</f>
        <v>48304</v>
      </c>
      <c r="X8" s="227">
        <f>'cash flow'!Z1</f>
        <v>48669</v>
      </c>
      <c r="Y8" s="227">
        <f>'cash flow'!AA1</f>
        <v>49034</v>
      </c>
      <c r="Z8" s="227">
        <f>'cash flow'!AB1</f>
        <v>49399</v>
      </c>
      <c r="AA8" s="227">
        <f>'cash flow'!AC1</f>
        <v>49765</v>
      </c>
      <c r="AB8" s="227">
        <f>'cash flow'!AD1</f>
        <v>50130</v>
      </c>
      <c r="AC8" s="227">
        <f>'cash flow'!AE1</f>
        <v>50495</v>
      </c>
      <c r="AD8" s="227">
        <f>'cash flow'!AF1</f>
        <v>50860</v>
      </c>
      <c r="AE8" s="227">
        <f>'cash flow'!AG1</f>
        <v>51226</v>
      </c>
      <c r="AF8" s="227">
        <f>'cash flow'!AH1</f>
        <v>51591</v>
      </c>
      <c r="AG8" s="227">
        <f>'cash flow'!AI1</f>
        <v>51956</v>
      </c>
      <c r="AH8" s="227">
        <f>'cash flow'!AJ1</f>
        <v>52321</v>
      </c>
    </row>
    <row r="9" spans="1:34">
      <c r="B9" s="228" t="s">
        <v>47</v>
      </c>
      <c r="C9" s="228"/>
      <c r="D9" s="54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8"/>
      <c r="AD9" s="228"/>
      <c r="AE9" s="228"/>
      <c r="AF9" s="228"/>
      <c r="AG9" s="228"/>
      <c r="AH9" s="228"/>
    </row>
    <row r="10" spans="1:34">
      <c r="A10" s="229"/>
      <c r="B10" s="207" t="s">
        <v>4</v>
      </c>
      <c r="C10" s="209"/>
      <c r="D10" s="209">
        <f>'Project Cost'!$G$7</f>
        <v>228.36023643999997</v>
      </c>
      <c r="E10" s="209">
        <f t="shared" ref="E10:T10" si="0">D18</f>
        <v>187.86023643999997</v>
      </c>
      <c r="F10" s="209">
        <f t="shared" si="0"/>
        <v>187.86023643999997</v>
      </c>
      <c r="G10" s="209">
        <f t="shared" si="0"/>
        <v>165.024212796</v>
      </c>
      <c r="H10" s="209">
        <f t="shared" si="0"/>
        <v>142.18818915200004</v>
      </c>
      <c r="I10" s="209">
        <f t="shared" si="0"/>
        <v>119.35216550800004</v>
      </c>
      <c r="J10" s="209">
        <f t="shared" si="0"/>
        <v>96.516141864000019</v>
      </c>
      <c r="K10" s="209">
        <f t="shared" si="0"/>
        <v>73.680118219999997</v>
      </c>
      <c r="L10" s="209">
        <f t="shared" si="0"/>
        <v>50.844094575999996</v>
      </c>
      <c r="M10" s="209">
        <f t="shared" si="0"/>
        <v>28.008070932000003</v>
      </c>
      <c r="N10" s="209">
        <f t="shared" si="0"/>
        <v>5.1720472880000079</v>
      </c>
      <c r="O10" s="209">
        <f t="shared" si="0"/>
        <v>0</v>
      </c>
      <c r="P10" s="209">
        <f t="shared" si="0"/>
        <v>0</v>
      </c>
      <c r="Q10" s="209">
        <f t="shared" si="0"/>
        <v>0</v>
      </c>
      <c r="R10" s="209">
        <f t="shared" si="0"/>
        <v>0</v>
      </c>
      <c r="S10" s="209">
        <f t="shared" si="0"/>
        <v>0</v>
      </c>
      <c r="T10" s="209">
        <f t="shared" si="0"/>
        <v>0</v>
      </c>
      <c r="U10" s="209">
        <f t="shared" ref="U10:AH10" si="1">T18</f>
        <v>0</v>
      </c>
      <c r="V10" s="209">
        <f t="shared" si="1"/>
        <v>0</v>
      </c>
      <c r="W10" s="209">
        <f t="shared" si="1"/>
        <v>0</v>
      </c>
      <c r="X10" s="209">
        <f t="shared" si="1"/>
        <v>0</v>
      </c>
      <c r="Y10" s="209">
        <f t="shared" si="1"/>
        <v>0</v>
      </c>
      <c r="Z10" s="209">
        <f t="shared" si="1"/>
        <v>0</v>
      </c>
      <c r="AA10" s="209">
        <f t="shared" si="1"/>
        <v>0</v>
      </c>
      <c r="AB10" s="209">
        <f t="shared" si="1"/>
        <v>0</v>
      </c>
      <c r="AC10" s="209">
        <f t="shared" si="1"/>
        <v>0</v>
      </c>
      <c r="AD10" s="209">
        <f t="shared" si="1"/>
        <v>0</v>
      </c>
      <c r="AE10" s="209">
        <f t="shared" si="1"/>
        <v>0</v>
      </c>
      <c r="AF10" s="209">
        <f t="shared" si="1"/>
        <v>0</v>
      </c>
      <c r="AG10" s="209">
        <f t="shared" si="1"/>
        <v>0</v>
      </c>
      <c r="AH10" s="209">
        <f t="shared" si="1"/>
        <v>0</v>
      </c>
    </row>
    <row r="11" spans="1:34">
      <c r="B11" s="174" t="s">
        <v>48</v>
      </c>
      <c r="C11" s="178"/>
      <c r="D11" s="178">
        <f>'INPUT DATA SHEET'!C42</f>
        <v>40.5</v>
      </c>
      <c r="E11" s="178">
        <f>MIN(IF(EDATE('INPUT DATA SHEET'!$C$67,'INPUT DATA SHEET'!$C$90)&lt;EDATE('Loan schedule'!E$8,-9),'Loan schedule'!$C$10/('INPUT DATA SHEET'!$C$89*4-'INPUT DATA SHEET'!$C$90/3),0),E10)</f>
        <v>0</v>
      </c>
      <c r="F11" s="178">
        <f>MIN(IF(EDATE('INPUT DATA SHEET'!$C$67,'INPUT DATA SHEET'!$C$90)&lt;EDATE('Loan schedule'!F$8,-9),'Loan schedule'!$D$10/('INPUT DATA SHEET'!$C$89*4-'INPUT DATA SHEET'!$C$90/3),0),F10)</f>
        <v>5.7090059109999993</v>
      </c>
      <c r="G11" s="178">
        <f>MIN(IF(EDATE('INPUT DATA SHEET'!$C$67,'INPUT DATA SHEET'!$C$90)&lt;EDATE('Loan schedule'!G$8,-9),'Loan schedule'!$D$10/('INPUT DATA SHEET'!$C$89*4-'INPUT DATA SHEET'!$C$90/3),0),G10)</f>
        <v>5.7090059109999993</v>
      </c>
      <c r="H11" s="178">
        <f>MIN(IF(EDATE('INPUT DATA SHEET'!$C$67,'INPUT DATA SHEET'!$C$90)&lt;EDATE('Loan schedule'!H$8,-9),'Loan schedule'!$D$10/('INPUT DATA SHEET'!$C$89*4-'INPUT DATA SHEET'!$C$90/3),0),H10)</f>
        <v>5.7090059109999993</v>
      </c>
      <c r="I11" s="178">
        <f>MIN(IF(EDATE('INPUT DATA SHEET'!$C$67,'INPUT DATA SHEET'!$C$90)&lt;EDATE('Loan schedule'!I$8,-9),'Loan schedule'!$D$10/('INPUT DATA SHEET'!$C$89*4-'INPUT DATA SHEET'!$C$90/3),0),I10)</f>
        <v>5.7090059109999993</v>
      </c>
      <c r="J11" s="178">
        <f>MIN(IF(EDATE('INPUT DATA SHEET'!$C$67,'INPUT DATA SHEET'!$C$90)&lt;EDATE('Loan schedule'!J$8,-9),'Loan schedule'!$D$10/('INPUT DATA SHEET'!$C$89*4-'INPUT DATA SHEET'!$C$90/3),0),J10)</f>
        <v>5.7090059109999993</v>
      </c>
      <c r="K11" s="178">
        <f>MIN(IF(EDATE('INPUT DATA SHEET'!$C$67,'INPUT DATA SHEET'!$C$90)&lt;EDATE('Loan schedule'!K$8,-9),'Loan schedule'!$D$10/('INPUT DATA SHEET'!$C$89*4-'INPUT DATA SHEET'!$C$90/3),0),K10)</f>
        <v>5.7090059109999993</v>
      </c>
      <c r="L11" s="178">
        <f>MIN(IF(EDATE('INPUT DATA SHEET'!$C$67,'INPUT DATA SHEET'!$C$90)&lt;EDATE('Loan schedule'!L$8,-9),'Loan schedule'!$D$10/('INPUT DATA SHEET'!$C$89*4-'INPUT DATA SHEET'!$C$90/3),0),L10)</f>
        <v>5.7090059109999993</v>
      </c>
      <c r="M11" s="178">
        <f>MIN(IF(EDATE('INPUT DATA SHEET'!$C$67,'INPUT DATA SHEET'!$C$90)&lt;EDATE('Loan schedule'!M$8,-9),'Loan schedule'!$D$10/('INPUT DATA SHEET'!$C$89*4-'INPUT DATA SHEET'!$C$90/3),0),M10)</f>
        <v>5.7090059109999993</v>
      </c>
      <c r="N11" s="178">
        <f>MIN(IF(EDATE('INPUT DATA SHEET'!$C$67,'INPUT DATA SHEET'!$C$90)&lt;EDATE('Loan schedule'!N$8,-9),'Loan schedule'!$D$10/('INPUT DATA SHEET'!$C$89*4-'INPUT DATA SHEET'!$C$90/3),0),N10)</f>
        <v>5.1720472880000079</v>
      </c>
      <c r="O11" s="178">
        <f>MIN(IF(EDATE('INPUT DATA SHEET'!$C$67,'INPUT DATA SHEET'!$C$90)&lt;EDATE('Loan schedule'!O$8,-9),'Loan schedule'!$D$10/('INPUT DATA SHEET'!$C$89*4-'INPUT DATA SHEET'!$C$90/3),0),O10)</f>
        <v>0</v>
      </c>
      <c r="P11" s="178">
        <f>MIN(IF(EDATE('INPUT DATA SHEET'!$C$67,'INPUT DATA SHEET'!$C$90)&lt;EDATE('Loan schedule'!P$8,-9),'Loan schedule'!$D$10/('INPUT DATA SHEET'!$C$89*4-'INPUT DATA SHEET'!$C$90/3),0),P10)</f>
        <v>0</v>
      </c>
      <c r="Q11" s="178">
        <f>MIN(IF(EDATE('INPUT DATA SHEET'!$C$67,'INPUT DATA SHEET'!$C$90)&lt;EDATE('Loan schedule'!Q$8,-9),'Loan schedule'!$C$10/('INPUT DATA SHEET'!$C$89*4-'INPUT DATA SHEET'!$C$90/3),0),Q10)</f>
        <v>0</v>
      </c>
      <c r="R11" s="178">
        <f>MIN(IF(EDATE('INPUT DATA SHEET'!$C$67,'INPUT DATA SHEET'!$C$90)&lt;EDATE('Loan schedule'!R$8,-9),'Loan schedule'!$C$10/('INPUT DATA SHEET'!$C$89*4-'INPUT DATA SHEET'!$C$90/3),0),R10)</f>
        <v>0</v>
      </c>
      <c r="S11" s="178">
        <f>MIN(IF(EDATE('INPUT DATA SHEET'!$C$67,'INPUT DATA SHEET'!$C$90)&lt;EDATE('Loan schedule'!S$8,-9),'Loan schedule'!$C$10/('INPUT DATA SHEET'!$C$89*4-'INPUT DATA SHEET'!$C$90/3),0),S10)</f>
        <v>0</v>
      </c>
      <c r="T11" s="178">
        <f>MIN(IF(EDATE('INPUT DATA SHEET'!$C$67,'INPUT DATA SHEET'!$C$90)&lt;EDATE('Loan schedule'!T$8,-9),'Loan schedule'!$C$10/('INPUT DATA SHEET'!$C$89*4-'INPUT DATA SHEET'!$C$90/3),0),T10)</f>
        <v>0</v>
      </c>
      <c r="U11" s="178">
        <f>MIN(IF(EDATE('INPUT DATA SHEET'!$C$67,'INPUT DATA SHEET'!$C$90)&lt;EDATE('Loan schedule'!U$8,-9),'Loan schedule'!$C$10/('INPUT DATA SHEET'!$C$89*4-'INPUT DATA SHEET'!$C$90/3),0),U10)</f>
        <v>0</v>
      </c>
      <c r="V11" s="178">
        <f>MIN(IF(EDATE('INPUT DATA SHEET'!$C$67,'INPUT DATA SHEET'!$C$90)&lt;EDATE('Loan schedule'!V$8,-9),'Loan schedule'!$C$10/('INPUT DATA SHEET'!$C$89*4-'INPUT DATA SHEET'!$C$90/3),0),V10)</f>
        <v>0</v>
      </c>
      <c r="W11" s="178">
        <f>MIN(IF(EDATE('INPUT DATA SHEET'!$C$67,'INPUT DATA SHEET'!$C$90)&lt;EDATE('Loan schedule'!W$8,-9),'Loan schedule'!$C$10/('INPUT DATA SHEET'!$C$89*4-'INPUT DATA SHEET'!$C$90/3),0),W10)</f>
        <v>0</v>
      </c>
      <c r="X11" s="178">
        <f>MIN(IF(EDATE('INPUT DATA SHEET'!$C$67,'INPUT DATA SHEET'!$C$90)&lt;EDATE('Loan schedule'!X$8,-9),'Loan schedule'!$C$10/('INPUT DATA SHEET'!$C$89*4-'INPUT DATA SHEET'!$C$90/3),0),X10)</f>
        <v>0</v>
      </c>
      <c r="Y11" s="178">
        <f>MIN(IF(EDATE('INPUT DATA SHEET'!$C$67,'INPUT DATA SHEET'!$C$90)&lt;EDATE('Loan schedule'!Y$8,-9),'Loan schedule'!$C$10/('INPUT DATA SHEET'!$C$89*4-'INPUT DATA SHEET'!$C$90/3),0),Y10)</f>
        <v>0</v>
      </c>
      <c r="Z11" s="178">
        <f>MIN(IF(EDATE('INPUT DATA SHEET'!$C$67,'INPUT DATA SHEET'!$C$90)&lt;EDATE('Loan schedule'!Z$8,-9),'Loan schedule'!$C$10/('INPUT DATA SHEET'!$C$89*4-'INPUT DATA SHEET'!$C$90/3),0),Z10)</f>
        <v>0</v>
      </c>
      <c r="AA11" s="178">
        <f>MIN(IF(EDATE('INPUT DATA SHEET'!$C$67,'INPUT DATA SHEET'!$C$90)&lt;EDATE('Loan schedule'!AA$8,-9),'Loan schedule'!$C$10/('INPUT DATA SHEET'!$C$89*4-'INPUT DATA SHEET'!$C$90/3),0),AA10)</f>
        <v>0</v>
      </c>
      <c r="AB11" s="178">
        <f>MIN(IF(EDATE('INPUT DATA SHEET'!$C$67,'INPUT DATA SHEET'!$C$90)&lt;EDATE('Loan schedule'!AB$8,-9),'Loan schedule'!$C$10/('INPUT DATA SHEET'!$C$89*4-'INPUT DATA SHEET'!$C$90/3),0),AB10)</f>
        <v>0</v>
      </c>
      <c r="AC11" s="178">
        <f>MIN(IF(EDATE('INPUT DATA SHEET'!$C$67,'INPUT DATA SHEET'!$C$90)&lt;EDATE('Loan schedule'!AC$8,-9),'Loan schedule'!$C$10/('INPUT DATA SHEET'!$C$89*4-'INPUT DATA SHEET'!$C$90/3),0),AC10)</f>
        <v>0</v>
      </c>
      <c r="AD11" s="178">
        <f>MIN(IF(EDATE('INPUT DATA SHEET'!$C$67,'INPUT DATA SHEET'!$C$90)&lt;EDATE('Loan schedule'!AD$8,-9),'Loan schedule'!$C$10/('INPUT DATA SHEET'!$C$89*4-'INPUT DATA SHEET'!$C$90/3),0),AD10)</f>
        <v>0</v>
      </c>
      <c r="AE11" s="178">
        <f>MIN(IF(EDATE('INPUT DATA SHEET'!$C$67,'INPUT DATA SHEET'!$C$90)&lt;EDATE('Loan schedule'!AE$8,-9),'Loan schedule'!$C$10/('INPUT DATA SHEET'!$C$89*4-'INPUT DATA SHEET'!$C$90/3),0),AE10)</f>
        <v>0</v>
      </c>
      <c r="AF11" s="178">
        <f>MIN(IF(EDATE('INPUT DATA SHEET'!$C$67,'INPUT DATA SHEET'!$C$90)&lt;EDATE('Loan schedule'!AF$8,-9),'Loan schedule'!$C$10/('INPUT DATA SHEET'!$C$89*4-'INPUT DATA SHEET'!$C$90/3),0),AF10)</f>
        <v>0</v>
      </c>
      <c r="AG11" s="178">
        <f>MIN(IF(EDATE('INPUT DATA SHEET'!$C$67,'INPUT DATA SHEET'!$C$90)&lt;EDATE('Loan schedule'!AG$8,-9),'Loan schedule'!$C$10/('INPUT DATA SHEET'!$C$89*4-'INPUT DATA SHEET'!$C$90/3),0),AG10)</f>
        <v>0</v>
      </c>
      <c r="AH11" s="178">
        <f>MIN(IF(EDATE('INPUT DATA SHEET'!$C$67,'INPUT DATA SHEET'!$C$90)&lt;EDATE('Loan schedule'!AH$8,-9),'Loan schedule'!$C$10/('INPUT DATA SHEET'!$C$89*4-'INPUT DATA SHEET'!$C$90/3),0),AH10)</f>
        <v>0</v>
      </c>
    </row>
    <row r="12" spans="1:34">
      <c r="A12" s="229"/>
      <c r="B12" s="230" t="s">
        <v>49</v>
      </c>
      <c r="C12" s="231"/>
      <c r="D12" s="231">
        <f t="shared" ref="D12:T12" si="2">D10-D11</f>
        <v>187.86023643999997</v>
      </c>
      <c r="E12" s="231">
        <f t="shared" si="2"/>
        <v>187.86023643999997</v>
      </c>
      <c r="F12" s="231">
        <f t="shared" si="2"/>
        <v>182.15123052899997</v>
      </c>
      <c r="G12" s="231">
        <f t="shared" si="2"/>
        <v>159.31520688500001</v>
      </c>
      <c r="H12" s="231">
        <f t="shared" si="2"/>
        <v>136.47918324100004</v>
      </c>
      <c r="I12" s="231">
        <f t="shared" si="2"/>
        <v>113.64315959700004</v>
      </c>
      <c r="J12" s="231">
        <f t="shared" si="2"/>
        <v>90.807135953000014</v>
      </c>
      <c r="K12" s="231">
        <f t="shared" si="2"/>
        <v>67.971112308999992</v>
      </c>
      <c r="L12" s="231">
        <f t="shared" si="2"/>
        <v>45.135088664999998</v>
      </c>
      <c r="M12" s="231">
        <f t="shared" si="2"/>
        <v>22.299065021000004</v>
      </c>
      <c r="N12" s="231">
        <f t="shared" si="2"/>
        <v>0</v>
      </c>
      <c r="O12" s="231">
        <f t="shared" si="2"/>
        <v>0</v>
      </c>
      <c r="P12" s="231">
        <f t="shared" si="2"/>
        <v>0</v>
      </c>
      <c r="Q12" s="231">
        <f t="shared" si="2"/>
        <v>0</v>
      </c>
      <c r="R12" s="231">
        <f t="shared" si="2"/>
        <v>0</v>
      </c>
      <c r="S12" s="231">
        <f t="shared" si="2"/>
        <v>0</v>
      </c>
      <c r="T12" s="231">
        <f t="shared" si="2"/>
        <v>0</v>
      </c>
      <c r="U12" s="231">
        <f t="shared" ref="U12:AH12" si="3">U10-U11</f>
        <v>0</v>
      </c>
      <c r="V12" s="231">
        <f t="shared" si="3"/>
        <v>0</v>
      </c>
      <c r="W12" s="231">
        <f t="shared" si="3"/>
        <v>0</v>
      </c>
      <c r="X12" s="231">
        <f t="shared" si="3"/>
        <v>0</v>
      </c>
      <c r="Y12" s="231">
        <f t="shared" si="3"/>
        <v>0</v>
      </c>
      <c r="Z12" s="231">
        <f t="shared" si="3"/>
        <v>0</v>
      </c>
      <c r="AA12" s="231">
        <f t="shared" si="3"/>
        <v>0</v>
      </c>
      <c r="AB12" s="231">
        <f t="shared" si="3"/>
        <v>0</v>
      </c>
      <c r="AC12" s="231">
        <f t="shared" si="3"/>
        <v>0</v>
      </c>
      <c r="AD12" s="231">
        <f t="shared" si="3"/>
        <v>0</v>
      </c>
      <c r="AE12" s="231">
        <f t="shared" si="3"/>
        <v>0</v>
      </c>
      <c r="AF12" s="231">
        <f t="shared" si="3"/>
        <v>0</v>
      </c>
      <c r="AG12" s="231">
        <f t="shared" si="3"/>
        <v>0</v>
      </c>
      <c r="AH12" s="231">
        <f t="shared" si="3"/>
        <v>0</v>
      </c>
    </row>
    <row r="13" spans="1:34">
      <c r="B13" s="174" t="s">
        <v>50</v>
      </c>
      <c r="C13" s="178"/>
      <c r="D13" s="178">
        <f>MIN(IF(EDATE('INPUT DATA SHEET'!$C$67,'INPUT DATA SHEET'!$C$90)&lt;EDATE('Loan schedule'!D$8,-9),'Loan schedule'!$C$10/('INPUT DATA SHEET'!$C$89*4-'INPUT DATA SHEET'!$C$90/3),0),D12)</f>
        <v>0</v>
      </c>
      <c r="E13" s="178">
        <f>MIN(IF(EDATE('INPUT DATA SHEET'!$C$67,'INPUT DATA SHEET'!$C$90)&lt;EDATE('Loan schedule'!E$8,-9),'Loan schedule'!$C$10/('INPUT DATA SHEET'!$C$89*4-'INPUT DATA SHEET'!$C$90/3),0),E12)</f>
        <v>0</v>
      </c>
      <c r="F13" s="178">
        <f>MIN(IF(EDATE('INPUT DATA SHEET'!$C$67,'INPUT DATA SHEET'!$C$90)&lt;EDATE('Loan schedule'!F$8,-9),'Loan schedule'!$D$10/('INPUT DATA SHEET'!$C$89*4-'INPUT DATA SHEET'!$C$90/3),0),F12)</f>
        <v>5.7090059109999993</v>
      </c>
      <c r="G13" s="178">
        <f>MIN(IF(EDATE('INPUT DATA SHEET'!$C$67,'INPUT DATA SHEET'!$C$90)&lt;EDATE('Loan schedule'!G$8,-9),'Loan schedule'!$D$10/('INPUT DATA SHEET'!$C$89*4-'INPUT DATA SHEET'!$C$90/3),0),G12)</f>
        <v>5.7090059109999993</v>
      </c>
      <c r="H13" s="178">
        <f>MIN(IF(EDATE('INPUT DATA SHEET'!$C$67,'INPUT DATA SHEET'!$C$90)&lt;EDATE('Loan schedule'!H$8,-9),'Loan schedule'!$D$10/('INPUT DATA SHEET'!$C$89*4-'INPUT DATA SHEET'!$C$90/3),0),H12)</f>
        <v>5.7090059109999993</v>
      </c>
      <c r="I13" s="178">
        <f>MIN(IF(EDATE('INPUT DATA SHEET'!$C$67,'INPUT DATA SHEET'!$C$90)&lt;EDATE('Loan schedule'!I$8,-9),'Loan schedule'!$D$10/('INPUT DATA SHEET'!$C$89*4-'INPUT DATA SHEET'!$C$90/3),0),I12)</f>
        <v>5.7090059109999993</v>
      </c>
      <c r="J13" s="178">
        <f>MIN(IF(EDATE('INPUT DATA SHEET'!$C$67,'INPUT DATA SHEET'!$C$90)&lt;EDATE('Loan schedule'!J$8,-9),'Loan schedule'!$D$10/('INPUT DATA SHEET'!$C$89*4-'INPUT DATA SHEET'!$C$90/3),0),J12)</f>
        <v>5.7090059109999993</v>
      </c>
      <c r="K13" s="178">
        <f>MIN(IF(EDATE('INPUT DATA SHEET'!$C$67,'INPUT DATA SHEET'!$C$90)&lt;EDATE('Loan schedule'!K$8,-9),'Loan schedule'!$D$10/('INPUT DATA SHEET'!$C$89*4-'INPUT DATA SHEET'!$C$90/3),0),K12)</f>
        <v>5.7090059109999993</v>
      </c>
      <c r="L13" s="178">
        <f>MIN(IF(EDATE('INPUT DATA SHEET'!$C$67,'INPUT DATA SHEET'!$C$90)&lt;EDATE('Loan schedule'!L$8,-9),'Loan schedule'!$D$10/('INPUT DATA SHEET'!$C$89*4-'INPUT DATA SHEET'!$C$90/3),0),L12)</f>
        <v>5.7090059109999993</v>
      </c>
      <c r="M13" s="178">
        <f>MIN(IF(EDATE('INPUT DATA SHEET'!$C$67,'INPUT DATA SHEET'!$C$90)&lt;EDATE('Loan schedule'!M$8,-9),'Loan schedule'!$D$10/('INPUT DATA SHEET'!$C$89*4-'INPUT DATA SHEET'!$C$90/3),0),M12)</f>
        <v>5.7090059109999993</v>
      </c>
      <c r="N13" s="178">
        <f>MIN(IF(EDATE('INPUT DATA SHEET'!$C$67,'INPUT DATA SHEET'!$C$90)&lt;EDATE('Loan schedule'!N$8,-9),'Loan schedule'!$D$10/('INPUT DATA SHEET'!$C$89*4-'INPUT DATA SHEET'!$C$90/3),0),N12)</f>
        <v>0</v>
      </c>
      <c r="O13" s="178">
        <f>MIN(IF(EDATE('INPUT DATA SHEET'!$C$67,'INPUT DATA SHEET'!$C$90)&lt;EDATE('Loan schedule'!O$8,-9),'Loan schedule'!$D$10/('INPUT DATA SHEET'!$C$89*4-'INPUT DATA SHEET'!$C$90/3),0),O12)</f>
        <v>0</v>
      </c>
      <c r="P13" s="178">
        <f>MIN(IF(EDATE('INPUT DATA SHEET'!$C$67,'INPUT DATA SHEET'!$C$90)&lt;EDATE('Loan schedule'!P$8,-9),'Loan schedule'!$C$10/('INPUT DATA SHEET'!$C$89*4-'INPUT DATA SHEET'!$C$90/3),0),P12)</f>
        <v>0</v>
      </c>
      <c r="Q13" s="178">
        <f>MIN(IF(EDATE('INPUT DATA SHEET'!$C$67,'INPUT DATA SHEET'!$C$90)&lt;EDATE('Loan schedule'!Q$8,-9),'Loan schedule'!$C$10/('INPUT DATA SHEET'!$C$89*4-'INPUT DATA SHEET'!$C$90/3),0),Q12)</f>
        <v>0</v>
      </c>
      <c r="R13" s="178">
        <f>MIN(IF(EDATE('INPUT DATA SHEET'!$C$67,'INPUT DATA SHEET'!$C$90)&lt;EDATE('Loan schedule'!R$8,-9),'Loan schedule'!$C$10/('INPUT DATA SHEET'!$C$89*4-'INPUT DATA SHEET'!$C$90/3),0),R12)</f>
        <v>0</v>
      </c>
      <c r="S13" s="178">
        <f>MIN(IF(EDATE('INPUT DATA SHEET'!$C$67,'INPUT DATA SHEET'!$C$90)&lt;EDATE('Loan schedule'!S$8,-9),'Loan schedule'!$C$10/('INPUT DATA SHEET'!$C$89*4-'INPUT DATA SHEET'!$C$90/3),0),S12)</f>
        <v>0</v>
      </c>
      <c r="T13" s="178">
        <f>MIN(IF(EDATE('INPUT DATA SHEET'!$C$67,'INPUT DATA SHEET'!$C$90)&lt;EDATE('Loan schedule'!T$8,-9),'Loan schedule'!$C$10/('INPUT DATA SHEET'!$C$89*4-'INPUT DATA SHEET'!$C$90/3),0),T12)</f>
        <v>0</v>
      </c>
      <c r="U13" s="178">
        <f>MIN(IF(EDATE('INPUT DATA SHEET'!$C$67,'INPUT DATA SHEET'!$C$90)&lt;EDATE('Loan schedule'!U$8,-9),'Loan schedule'!$C$10/('INPUT DATA SHEET'!$C$89*4-'INPUT DATA SHEET'!$C$90/3),0),U12)</f>
        <v>0</v>
      </c>
      <c r="V13" s="178">
        <f>MIN(IF(EDATE('INPUT DATA SHEET'!$C$67,'INPUT DATA SHEET'!$C$90)&lt;EDATE('Loan schedule'!V$8,-9),'Loan schedule'!$C$10/('INPUT DATA SHEET'!$C$89*4-'INPUT DATA SHEET'!$C$90/3),0),V12)</f>
        <v>0</v>
      </c>
      <c r="W13" s="178">
        <f>MIN(IF(EDATE('INPUT DATA SHEET'!$C$67,'INPUT DATA SHEET'!$C$90)&lt;EDATE('Loan schedule'!W$8,-9),'Loan schedule'!$C$10/('INPUT DATA SHEET'!$C$89*4-'INPUT DATA SHEET'!$C$90/3),0),W12)</f>
        <v>0</v>
      </c>
      <c r="X13" s="178">
        <f>MIN(IF(EDATE('INPUT DATA SHEET'!$C$67,'INPUT DATA SHEET'!$C$90)&lt;EDATE('Loan schedule'!X$8,-9),'Loan schedule'!$C$10/('INPUT DATA SHEET'!$C$89*4-'INPUT DATA SHEET'!$C$90/3),0),X12)</f>
        <v>0</v>
      </c>
      <c r="Y13" s="178">
        <f>MIN(IF(EDATE('INPUT DATA SHEET'!$C$67,'INPUT DATA SHEET'!$C$90)&lt;EDATE('Loan schedule'!Y$8,-9),'Loan schedule'!$C$10/('INPUT DATA SHEET'!$C$89*4-'INPUT DATA SHEET'!$C$90/3),0),Y12)</f>
        <v>0</v>
      </c>
      <c r="Z13" s="178">
        <f>MIN(IF(EDATE('INPUT DATA SHEET'!$C$67,'INPUT DATA SHEET'!$C$90)&lt;EDATE('Loan schedule'!Z$8,-9),'Loan schedule'!$C$10/('INPUT DATA SHEET'!$C$89*4-'INPUT DATA SHEET'!$C$90/3),0),Z12)</f>
        <v>0</v>
      </c>
      <c r="AA13" s="178">
        <f>MIN(IF(EDATE('INPUT DATA SHEET'!$C$67,'INPUT DATA SHEET'!$C$90)&lt;EDATE('Loan schedule'!AA$8,-9),'Loan schedule'!$C$10/('INPUT DATA SHEET'!$C$89*4-'INPUT DATA SHEET'!$C$90/3),0),AA12)</f>
        <v>0</v>
      </c>
      <c r="AB13" s="178">
        <f>MIN(IF(EDATE('INPUT DATA SHEET'!$C$67,'INPUT DATA SHEET'!$C$90)&lt;EDATE('Loan schedule'!AB$8,-9),'Loan schedule'!$C$10/('INPUT DATA SHEET'!$C$89*4-'INPUT DATA SHEET'!$C$90/3),0),AB12)</f>
        <v>0</v>
      </c>
      <c r="AC13" s="178">
        <f>MIN(IF(EDATE('INPUT DATA SHEET'!$C$67,'INPUT DATA SHEET'!$C$90)&lt;EDATE('Loan schedule'!AC$8,-9),'Loan schedule'!$C$10/('INPUT DATA SHEET'!$C$89*4-'INPUT DATA SHEET'!$C$90/3),0),AC12)</f>
        <v>0</v>
      </c>
      <c r="AD13" s="178">
        <f>MIN(IF(EDATE('INPUT DATA SHEET'!$C$67,'INPUT DATA SHEET'!$C$90)&lt;EDATE('Loan schedule'!AD$8,-9),'Loan schedule'!$C$10/('INPUT DATA SHEET'!$C$89*4-'INPUT DATA SHEET'!$C$90/3),0),AD12)</f>
        <v>0</v>
      </c>
      <c r="AE13" s="178">
        <f>MIN(IF(EDATE('INPUT DATA SHEET'!$C$67,'INPUT DATA SHEET'!$C$90)&lt;EDATE('Loan schedule'!AE$8,-9),'Loan schedule'!$C$10/('INPUT DATA SHEET'!$C$89*4-'INPUT DATA SHEET'!$C$90/3),0),AE12)</f>
        <v>0</v>
      </c>
      <c r="AF13" s="178">
        <f>MIN(IF(EDATE('INPUT DATA SHEET'!$C$67,'INPUT DATA SHEET'!$C$90)&lt;EDATE('Loan schedule'!AF$8,-9),'Loan schedule'!$C$10/('INPUT DATA SHEET'!$C$89*4-'INPUT DATA SHEET'!$C$90/3),0),AF12)</f>
        <v>0</v>
      </c>
      <c r="AG13" s="178">
        <f>MIN(IF(EDATE('INPUT DATA SHEET'!$C$67,'INPUT DATA SHEET'!$C$90)&lt;EDATE('Loan schedule'!AG$8,-9),'Loan schedule'!$C$10/('INPUT DATA SHEET'!$C$89*4-'INPUT DATA SHEET'!$C$90/3),0),AG12)</f>
        <v>0</v>
      </c>
      <c r="AH13" s="178">
        <f>MIN(IF(EDATE('INPUT DATA SHEET'!$C$67,'INPUT DATA SHEET'!$C$90)&lt;EDATE('Loan schedule'!AH$8,-9),'Loan schedule'!$C$10/('INPUT DATA SHEET'!$C$89*4-'INPUT DATA SHEET'!$C$90/3),0),AH12)</f>
        <v>0</v>
      </c>
    </row>
    <row r="14" spans="1:34">
      <c r="A14" s="229"/>
      <c r="B14" s="230" t="s">
        <v>51</v>
      </c>
      <c r="C14" s="231"/>
      <c r="D14" s="231">
        <f t="shared" ref="D14:T14" si="4">D12-D13</f>
        <v>187.86023643999997</v>
      </c>
      <c r="E14" s="231">
        <f t="shared" si="4"/>
        <v>187.86023643999997</v>
      </c>
      <c r="F14" s="231">
        <f t="shared" si="4"/>
        <v>176.44222461799998</v>
      </c>
      <c r="G14" s="231">
        <f t="shared" si="4"/>
        <v>153.60620097400002</v>
      </c>
      <c r="H14" s="231">
        <f t="shared" si="4"/>
        <v>130.77017733000005</v>
      </c>
      <c r="I14" s="231">
        <f t="shared" si="4"/>
        <v>107.93415368600003</v>
      </c>
      <c r="J14" s="231">
        <f t="shared" si="4"/>
        <v>85.098130042000008</v>
      </c>
      <c r="K14" s="231">
        <f t="shared" si="4"/>
        <v>62.262106397999993</v>
      </c>
      <c r="L14" s="231">
        <f t="shared" si="4"/>
        <v>39.426082753999999</v>
      </c>
      <c r="M14" s="231">
        <f t="shared" si="4"/>
        <v>16.590059110000006</v>
      </c>
      <c r="N14" s="231">
        <f t="shared" si="4"/>
        <v>0</v>
      </c>
      <c r="O14" s="231">
        <f t="shared" si="4"/>
        <v>0</v>
      </c>
      <c r="P14" s="231">
        <f t="shared" si="4"/>
        <v>0</v>
      </c>
      <c r="Q14" s="231">
        <f t="shared" si="4"/>
        <v>0</v>
      </c>
      <c r="R14" s="231">
        <f t="shared" si="4"/>
        <v>0</v>
      </c>
      <c r="S14" s="231">
        <f t="shared" si="4"/>
        <v>0</v>
      </c>
      <c r="T14" s="231">
        <f t="shared" si="4"/>
        <v>0</v>
      </c>
      <c r="U14" s="231">
        <f t="shared" ref="U14:AH14" si="5">U12-U13</f>
        <v>0</v>
      </c>
      <c r="V14" s="231">
        <f t="shared" si="5"/>
        <v>0</v>
      </c>
      <c r="W14" s="231">
        <f t="shared" si="5"/>
        <v>0</v>
      </c>
      <c r="X14" s="231">
        <f t="shared" si="5"/>
        <v>0</v>
      </c>
      <c r="Y14" s="231">
        <f t="shared" si="5"/>
        <v>0</v>
      </c>
      <c r="Z14" s="231">
        <f t="shared" si="5"/>
        <v>0</v>
      </c>
      <c r="AA14" s="231">
        <f t="shared" si="5"/>
        <v>0</v>
      </c>
      <c r="AB14" s="231">
        <f t="shared" si="5"/>
        <v>0</v>
      </c>
      <c r="AC14" s="231">
        <f t="shared" si="5"/>
        <v>0</v>
      </c>
      <c r="AD14" s="231">
        <f t="shared" si="5"/>
        <v>0</v>
      </c>
      <c r="AE14" s="231">
        <f t="shared" si="5"/>
        <v>0</v>
      </c>
      <c r="AF14" s="231">
        <f t="shared" si="5"/>
        <v>0</v>
      </c>
      <c r="AG14" s="231">
        <f t="shared" si="5"/>
        <v>0</v>
      </c>
      <c r="AH14" s="231">
        <f t="shared" si="5"/>
        <v>0</v>
      </c>
    </row>
    <row r="15" spans="1:34">
      <c r="B15" s="174" t="s">
        <v>52</v>
      </c>
      <c r="C15" s="178"/>
      <c r="D15" s="178">
        <f>MIN(IF(EDATE('INPUT DATA SHEET'!$C$67,'INPUT DATA SHEET'!$C$90)&lt;EDATE('Loan schedule'!D$8,-9),'Loan schedule'!$C$10/('INPUT DATA SHEET'!$C$89*4-'INPUT DATA SHEET'!$C$90/3),0),D14)</f>
        <v>0</v>
      </c>
      <c r="E15" s="178">
        <f>MIN(IF(EDATE('INPUT DATA SHEET'!$C$67,'INPUT DATA SHEET'!$C$90)&lt;EDATE('Loan schedule'!E$8,-9),'Loan schedule'!$C$10/('INPUT DATA SHEET'!$C$89*4-'INPUT DATA SHEET'!$C$90/3),0),E14)</f>
        <v>0</v>
      </c>
      <c r="F15" s="178">
        <f>MIN(IF(EDATE('INPUT DATA SHEET'!$C$67,'INPUT DATA SHEET'!$C$90)&lt;EDATE('Loan schedule'!F$8,-9),'Loan schedule'!$D$10/('INPUT DATA SHEET'!$C$89*4-'INPUT DATA SHEET'!$C$90/3),0),F14)</f>
        <v>5.7090059109999993</v>
      </c>
      <c r="G15" s="178">
        <f>MIN(IF(EDATE('INPUT DATA SHEET'!$C$67,'INPUT DATA SHEET'!$C$90)&lt;EDATE('Loan schedule'!G$8,-9),'Loan schedule'!$D$10/('INPUT DATA SHEET'!$C$89*4-'INPUT DATA SHEET'!$C$90/3),0),G14)</f>
        <v>5.7090059109999993</v>
      </c>
      <c r="H15" s="178">
        <f>MIN(IF(EDATE('INPUT DATA SHEET'!$C$67,'INPUT DATA SHEET'!$C$90)&lt;EDATE('Loan schedule'!H$8,-9),'Loan schedule'!$D$10/('INPUT DATA SHEET'!$C$89*4-'INPUT DATA SHEET'!$C$90/3),0),H14)</f>
        <v>5.7090059109999993</v>
      </c>
      <c r="I15" s="178">
        <f>MIN(IF(EDATE('INPUT DATA SHEET'!$C$67,'INPUT DATA SHEET'!$C$90)&lt;EDATE('Loan schedule'!I$8,-9),'Loan schedule'!$D$10/('INPUT DATA SHEET'!$C$89*4-'INPUT DATA SHEET'!$C$90/3),0),I14)</f>
        <v>5.7090059109999993</v>
      </c>
      <c r="J15" s="178">
        <f>MIN(IF(EDATE('INPUT DATA SHEET'!$C$67,'INPUT DATA SHEET'!$C$90)&lt;EDATE('Loan schedule'!J$8,-9),'Loan schedule'!$D$10/('INPUT DATA SHEET'!$C$89*4-'INPUT DATA SHEET'!$C$90/3),0),J14)</f>
        <v>5.7090059109999993</v>
      </c>
      <c r="K15" s="178">
        <f>MIN(IF(EDATE('INPUT DATA SHEET'!$C$67,'INPUT DATA SHEET'!$C$90)&lt;EDATE('Loan schedule'!K$8,-9),'Loan schedule'!$D$10/('INPUT DATA SHEET'!$C$89*4-'INPUT DATA SHEET'!$C$90/3),0),K14)</f>
        <v>5.7090059109999993</v>
      </c>
      <c r="L15" s="178">
        <f>MIN(IF(EDATE('INPUT DATA SHEET'!$C$67,'INPUT DATA SHEET'!$C$90)&lt;EDATE('Loan schedule'!L$8,-9),'Loan schedule'!$D$10/('INPUT DATA SHEET'!$C$89*4-'INPUT DATA SHEET'!$C$90/3),0),L14)</f>
        <v>5.7090059109999993</v>
      </c>
      <c r="M15" s="178">
        <f>MIN(IF(EDATE('INPUT DATA SHEET'!$C$67,'INPUT DATA SHEET'!$C$90)&lt;EDATE('Loan schedule'!M$8,-9),'Loan schedule'!$D$10/('INPUT DATA SHEET'!$C$89*4-'INPUT DATA SHEET'!$C$90/3),0),M14)</f>
        <v>5.7090059109999993</v>
      </c>
      <c r="N15" s="178">
        <f>MIN(IF(EDATE('INPUT DATA SHEET'!$C$67,'INPUT DATA SHEET'!$C$90)&lt;EDATE('Loan schedule'!N$8,-9),'Loan schedule'!$D$10/('INPUT DATA SHEET'!$C$89*4-'INPUT DATA SHEET'!$C$90/3),0),N14)</f>
        <v>0</v>
      </c>
      <c r="O15" s="178">
        <f>MIN(IF(EDATE('INPUT DATA SHEET'!$C$67,'INPUT DATA SHEET'!$C$90)&lt;EDATE('Loan schedule'!O$8,-9),'Loan schedule'!$D$10/('INPUT DATA SHEET'!$C$89*4-'INPUT DATA SHEET'!$C$90/3),0),O14)</f>
        <v>0</v>
      </c>
      <c r="P15" s="178">
        <f>MIN(IF(EDATE('INPUT DATA SHEET'!$C$67,'INPUT DATA SHEET'!$C$90)&lt;EDATE('Loan schedule'!P$8,-9),'Loan schedule'!$C$10/('INPUT DATA SHEET'!$C$89*4-'INPUT DATA SHEET'!$C$90/3),0),P14)</f>
        <v>0</v>
      </c>
      <c r="Q15" s="178">
        <f>MIN(IF(EDATE('INPUT DATA SHEET'!$C$67,'INPUT DATA SHEET'!$C$90)&lt;EDATE('Loan schedule'!Q$8,-9),'Loan schedule'!$C$10/('INPUT DATA SHEET'!$C$89*4-'INPUT DATA SHEET'!$C$90/3),0),Q14)</f>
        <v>0</v>
      </c>
      <c r="R15" s="178">
        <f>MIN(IF(EDATE('INPUT DATA SHEET'!$C$67,'INPUT DATA SHEET'!$C$90)&lt;EDATE('Loan schedule'!R$8,-9),'Loan schedule'!$C$10/('INPUT DATA SHEET'!$C$89*4-'INPUT DATA SHEET'!$C$90/3),0),R14)</f>
        <v>0</v>
      </c>
      <c r="S15" s="178">
        <f>MIN(IF(EDATE('INPUT DATA SHEET'!$C$67,'INPUT DATA SHEET'!$C$90)&lt;EDATE('Loan schedule'!S$8,-9),'Loan schedule'!$C$10/('INPUT DATA SHEET'!$C$89*4-'INPUT DATA SHEET'!$C$90/3),0),S14)</f>
        <v>0</v>
      </c>
      <c r="T15" s="178">
        <f>MIN(IF(EDATE('INPUT DATA SHEET'!$C$67,'INPUT DATA SHEET'!$C$90)&lt;EDATE('Loan schedule'!T$8,-9),'Loan schedule'!$C$10/('INPUT DATA SHEET'!$C$89*4-'INPUT DATA SHEET'!$C$90/3),0),T14)</f>
        <v>0</v>
      </c>
      <c r="U15" s="178">
        <f>MIN(IF(EDATE('INPUT DATA SHEET'!$C$67,'INPUT DATA SHEET'!$C$90)&lt;EDATE('Loan schedule'!U$8,-9),'Loan schedule'!$C$10/('INPUT DATA SHEET'!$C$89*4-'INPUT DATA SHEET'!$C$90/3),0),U14)</f>
        <v>0</v>
      </c>
      <c r="V15" s="178">
        <f>MIN(IF(EDATE('INPUT DATA SHEET'!$C$67,'INPUT DATA SHEET'!$C$90)&lt;EDATE('Loan schedule'!V$8,-9),'Loan schedule'!$C$10/('INPUT DATA SHEET'!$C$89*4-'INPUT DATA SHEET'!$C$90/3),0),V14)</f>
        <v>0</v>
      </c>
      <c r="W15" s="178">
        <f>MIN(IF(EDATE('INPUT DATA SHEET'!$C$67,'INPUT DATA SHEET'!$C$90)&lt;EDATE('Loan schedule'!W$8,-9),'Loan schedule'!$C$10/('INPUT DATA SHEET'!$C$89*4-'INPUT DATA SHEET'!$C$90/3),0),W14)</f>
        <v>0</v>
      </c>
      <c r="X15" s="178">
        <f>MIN(IF(EDATE('INPUT DATA SHEET'!$C$67,'INPUT DATA SHEET'!$C$90)&lt;EDATE('Loan schedule'!X$8,-9),'Loan schedule'!$C$10/('INPUT DATA SHEET'!$C$89*4-'INPUT DATA SHEET'!$C$90/3),0),X14)</f>
        <v>0</v>
      </c>
      <c r="Y15" s="178">
        <f>MIN(IF(EDATE('INPUT DATA SHEET'!$C$67,'INPUT DATA SHEET'!$C$90)&lt;EDATE('Loan schedule'!Y$8,-9),'Loan schedule'!$C$10/('INPUT DATA SHEET'!$C$89*4-'INPUT DATA SHEET'!$C$90/3),0),Y14)</f>
        <v>0</v>
      </c>
      <c r="Z15" s="178">
        <f>MIN(IF(EDATE('INPUT DATA SHEET'!$C$67,'INPUT DATA SHEET'!$C$90)&lt;EDATE('Loan schedule'!Z$8,-9),'Loan schedule'!$C$10/('INPUT DATA SHEET'!$C$89*4-'INPUT DATA SHEET'!$C$90/3),0),Z14)</f>
        <v>0</v>
      </c>
      <c r="AA15" s="178">
        <f>MIN(IF(EDATE('INPUT DATA SHEET'!$C$67,'INPUT DATA SHEET'!$C$90)&lt;EDATE('Loan schedule'!AA$8,-9),'Loan schedule'!$C$10/('INPUT DATA SHEET'!$C$89*4-'INPUT DATA SHEET'!$C$90/3),0),AA14)</f>
        <v>0</v>
      </c>
      <c r="AB15" s="178">
        <f>MIN(IF(EDATE('INPUT DATA SHEET'!$C$67,'INPUT DATA SHEET'!$C$90)&lt;EDATE('Loan schedule'!AB$8,-9),'Loan schedule'!$C$10/('INPUT DATA SHEET'!$C$89*4-'INPUT DATA SHEET'!$C$90/3),0),AB14)</f>
        <v>0</v>
      </c>
      <c r="AC15" s="178">
        <f>MIN(IF(EDATE('INPUT DATA SHEET'!$C$67,'INPUT DATA SHEET'!$C$90)&lt;EDATE('Loan schedule'!AC$8,-9),'Loan schedule'!$C$10/('INPUT DATA SHEET'!$C$89*4-'INPUT DATA SHEET'!$C$90/3),0),AC14)</f>
        <v>0</v>
      </c>
      <c r="AD15" s="178">
        <f>MIN(IF(EDATE('INPUT DATA SHEET'!$C$67,'INPUT DATA SHEET'!$C$90)&lt;EDATE('Loan schedule'!AD$8,-9),'Loan schedule'!$C$10/('INPUT DATA SHEET'!$C$89*4-'INPUT DATA SHEET'!$C$90/3),0),AD14)</f>
        <v>0</v>
      </c>
      <c r="AE15" s="178">
        <f>MIN(IF(EDATE('INPUT DATA SHEET'!$C$67,'INPUT DATA SHEET'!$C$90)&lt;EDATE('Loan schedule'!AE$8,-9),'Loan schedule'!$C$10/('INPUT DATA SHEET'!$C$89*4-'INPUT DATA SHEET'!$C$90/3),0),AE14)</f>
        <v>0</v>
      </c>
      <c r="AF15" s="178">
        <f>MIN(IF(EDATE('INPUT DATA SHEET'!$C$67,'INPUT DATA SHEET'!$C$90)&lt;EDATE('Loan schedule'!AF$8,-9),'Loan schedule'!$C$10/('INPUT DATA SHEET'!$C$89*4-'INPUT DATA SHEET'!$C$90/3),0),AF14)</f>
        <v>0</v>
      </c>
      <c r="AG15" s="178">
        <f>MIN(IF(EDATE('INPUT DATA SHEET'!$C$67,'INPUT DATA SHEET'!$C$90)&lt;EDATE('Loan schedule'!AG$8,-9),'Loan schedule'!$C$10/('INPUT DATA SHEET'!$C$89*4-'INPUT DATA SHEET'!$C$90/3),0),AG14)</f>
        <v>0</v>
      </c>
      <c r="AH15" s="178">
        <f>MIN(IF(EDATE('INPUT DATA SHEET'!$C$67,'INPUT DATA SHEET'!$C$90)&lt;EDATE('Loan schedule'!AH$8,-9),'Loan schedule'!$C$10/('INPUT DATA SHEET'!$C$89*4-'INPUT DATA SHEET'!$C$90/3),0),AH14)</f>
        <v>0</v>
      </c>
    </row>
    <row r="16" spans="1:34">
      <c r="A16" s="229"/>
      <c r="B16" s="230" t="s">
        <v>53</v>
      </c>
      <c r="C16" s="231"/>
      <c r="D16" s="231">
        <f t="shared" ref="D16:T16" si="6">D14-D15</f>
        <v>187.86023643999997</v>
      </c>
      <c r="E16" s="231">
        <f t="shared" si="6"/>
        <v>187.86023643999997</v>
      </c>
      <c r="F16" s="231">
        <f t="shared" si="6"/>
        <v>170.73321870699999</v>
      </c>
      <c r="G16" s="231">
        <f t="shared" si="6"/>
        <v>147.89719506300003</v>
      </c>
      <c r="H16" s="231">
        <f t="shared" si="6"/>
        <v>125.06117141900005</v>
      </c>
      <c r="I16" s="231">
        <f t="shared" si="6"/>
        <v>102.22514777500002</v>
      </c>
      <c r="J16" s="231">
        <f t="shared" si="6"/>
        <v>79.389124131000003</v>
      </c>
      <c r="K16" s="231">
        <f t="shared" si="6"/>
        <v>56.553100486999995</v>
      </c>
      <c r="L16" s="231">
        <f t="shared" si="6"/>
        <v>33.717076843000001</v>
      </c>
      <c r="M16" s="231">
        <f t="shared" si="6"/>
        <v>10.881053199000007</v>
      </c>
      <c r="N16" s="231">
        <f t="shared" si="6"/>
        <v>0</v>
      </c>
      <c r="O16" s="231">
        <f t="shared" si="6"/>
        <v>0</v>
      </c>
      <c r="P16" s="231">
        <f t="shared" si="6"/>
        <v>0</v>
      </c>
      <c r="Q16" s="231">
        <f t="shared" si="6"/>
        <v>0</v>
      </c>
      <c r="R16" s="231">
        <f t="shared" si="6"/>
        <v>0</v>
      </c>
      <c r="S16" s="231">
        <f t="shared" si="6"/>
        <v>0</v>
      </c>
      <c r="T16" s="231">
        <f t="shared" si="6"/>
        <v>0</v>
      </c>
      <c r="U16" s="231">
        <f t="shared" ref="U16:AH16" si="7">U14-U15</f>
        <v>0</v>
      </c>
      <c r="V16" s="231">
        <f t="shared" si="7"/>
        <v>0</v>
      </c>
      <c r="W16" s="231">
        <f t="shared" si="7"/>
        <v>0</v>
      </c>
      <c r="X16" s="231">
        <f t="shared" si="7"/>
        <v>0</v>
      </c>
      <c r="Y16" s="231">
        <f t="shared" si="7"/>
        <v>0</v>
      </c>
      <c r="Z16" s="231">
        <f t="shared" si="7"/>
        <v>0</v>
      </c>
      <c r="AA16" s="231">
        <f t="shared" si="7"/>
        <v>0</v>
      </c>
      <c r="AB16" s="231">
        <f t="shared" si="7"/>
        <v>0</v>
      </c>
      <c r="AC16" s="231">
        <f t="shared" si="7"/>
        <v>0</v>
      </c>
      <c r="AD16" s="231">
        <f t="shared" si="7"/>
        <v>0</v>
      </c>
      <c r="AE16" s="231">
        <f t="shared" si="7"/>
        <v>0</v>
      </c>
      <c r="AF16" s="231">
        <f t="shared" si="7"/>
        <v>0</v>
      </c>
      <c r="AG16" s="231">
        <f t="shared" si="7"/>
        <v>0</v>
      </c>
      <c r="AH16" s="231">
        <f t="shared" si="7"/>
        <v>0</v>
      </c>
    </row>
    <row r="17" spans="2:34">
      <c r="B17" s="174" t="s">
        <v>54</v>
      </c>
      <c r="C17" s="178"/>
      <c r="D17" s="178">
        <f>MIN(IF(EDATE('INPUT DATA SHEET'!$C$67,'INPUT DATA SHEET'!$C$90)&lt;EDATE('Loan schedule'!D$8,-9),'Loan schedule'!$C$10/('INPUT DATA SHEET'!$C$89*4-'INPUT DATA SHEET'!$C$90/3),0),D16)</f>
        <v>0</v>
      </c>
      <c r="E17" s="178">
        <f>MIN(IF(EDATE('INPUT DATA SHEET'!$C$67,'INPUT DATA SHEET'!$C$90)&lt;EDATE('Loan schedule'!E$8,-9),'Loan schedule'!$C$10/('INPUT DATA SHEET'!$C$89*4-'INPUT DATA SHEET'!$C$90/3),0),E16)</f>
        <v>0</v>
      </c>
      <c r="F17" s="178">
        <f>MIN(IF(EDATE('INPUT DATA SHEET'!$C$67,'INPUT DATA SHEET'!$C$90)&lt;EDATE('Loan schedule'!F$8,-9),'Loan schedule'!$D$10/('INPUT DATA SHEET'!$C$89*4-'INPUT DATA SHEET'!$C$90/3),0),F16)</f>
        <v>5.7090059109999993</v>
      </c>
      <c r="G17" s="178">
        <f>MIN(IF(EDATE('INPUT DATA SHEET'!$C$67,'INPUT DATA SHEET'!$C$90)&lt;EDATE('Loan schedule'!G$8,-9),'Loan schedule'!$D$10/('INPUT DATA SHEET'!$C$89*4-'INPUT DATA SHEET'!$C$90/3),0),G16)</f>
        <v>5.7090059109999993</v>
      </c>
      <c r="H17" s="178">
        <f>MIN(IF(EDATE('INPUT DATA SHEET'!$C$67,'INPUT DATA SHEET'!$C$90)&lt;EDATE('Loan schedule'!H$8,-9),'Loan schedule'!$D$10/('INPUT DATA SHEET'!$C$89*4-'INPUT DATA SHEET'!$C$90/3),0),H16)</f>
        <v>5.7090059109999993</v>
      </c>
      <c r="I17" s="178">
        <f>MIN(IF(EDATE('INPUT DATA SHEET'!$C$67,'INPUT DATA SHEET'!$C$90)&lt;EDATE('Loan schedule'!I$8,-9),'Loan schedule'!$D$10/('INPUT DATA SHEET'!$C$89*4-'INPUT DATA SHEET'!$C$90/3),0),I16)</f>
        <v>5.7090059109999993</v>
      </c>
      <c r="J17" s="178">
        <f>MIN(IF(EDATE('INPUT DATA SHEET'!$C$67,'INPUT DATA SHEET'!$C$90)&lt;EDATE('Loan schedule'!J$8,-9),'Loan schedule'!$D$10/('INPUT DATA SHEET'!$C$89*4-'INPUT DATA SHEET'!$C$90/3),0),J16)</f>
        <v>5.7090059109999993</v>
      </c>
      <c r="K17" s="178">
        <f>MIN(IF(EDATE('INPUT DATA SHEET'!$C$67,'INPUT DATA SHEET'!$C$90)&lt;EDATE('Loan schedule'!K$8,-9),'Loan schedule'!$D$10/('INPUT DATA SHEET'!$C$89*4-'INPUT DATA SHEET'!$C$90/3),0),K16)</f>
        <v>5.7090059109999993</v>
      </c>
      <c r="L17" s="178">
        <f>MIN(IF(EDATE('INPUT DATA SHEET'!$C$67,'INPUT DATA SHEET'!$C$90)&lt;EDATE('Loan schedule'!L$8,-9),'Loan schedule'!$D$10/('INPUT DATA SHEET'!$C$89*4-'INPUT DATA SHEET'!$C$90/3),0),L16)</f>
        <v>5.7090059109999993</v>
      </c>
      <c r="M17" s="178">
        <f>MIN(IF(EDATE('INPUT DATA SHEET'!$C$67,'INPUT DATA SHEET'!$C$90)&lt;EDATE('Loan schedule'!M$8,-9),'Loan schedule'!$D$10/('INPUT DATA SHEET'!$C$89*4-'INPUT DATA SHEET'!$C$90/3),0),M16)</f>
        <v>5.7090059109999993</v>
      </c>
      <c r="N17" s="178">
        <f>MIN(IF(EDATE('INPUT DATA SHEET'!$C$67,'INPUT DATA SHEET'!$C$90)&lt;EDATE('Loan schedule'!N$8,-9),'Loan schedule'!$D$10/('INPUT DATA SHEET'!$C$89*4-'INPUT DATA SHEET'!$C$90/3),0),N16)</f>
        <v>0</v>
      </c>
      <c r="O17" s="178">
        <f>MIN(IF(EDATE('INPUT DATA SHEET'!$C$67,'INPUT DATA SHEET'!$C$90)&lt;EDATE('Loan schedule'!O$8,-9),'Loan schedule'!$D$10/('INPUT DATA SHEET'!$C$89*4-'INPUT DATA SHEET'!$C$90/3),0),O16)</f>
        <v>0</v>
      </c>
      <c r="P17" s="178">
        <f>MIN(IF(EDATE('INPUT DATA SHEET'!$C$67,'INPUT DATA SHEET'!$C$90)&lt;EDATE('Loan schedule'!P$8,-9),'Loan schedule'!$C$10/('INPUT DATA SHEET'!$C$89*4-'INPUT DATA SHEET'!$C$90/3),0),P16)</f>
        <v>0</v>
      </c>
      <c r="Q17" s="178">
        <f>MIN(IF(EDATE('INPUT DATA SHEET'!$C$67,'INPUT DATA SHEET'!$C$90)&lt;EDATE('Loan schedule'!Q$8,-9),'Loan schedule'!$C$10/('INPUT DATA SHEET'!$C$89*4-'INPUT DATA SHEET'!$C$90/3),0),Q16)</f>
        <v>0</v>
      </c>
      <c r="R17" s="178">
        <f>MIN(IF(EDATE('INPUT DATA SHEET'!$C$67,'INPUT DATA SHEET'!$C$90)&lt;EDATE('Loan schedule'!R$8,-9),'Loan schedule'!$C$10/('INPUT DATA SHEET'!$C$89*4-'INPUT DATA SHEET'!$C$90/3),0),R16)</f>
        <v>0</v>
      </c>
      <c r="S17" s="178">
        <f>MIN(IF(EDATE('INPUT DATA SHEET'!$C$67,'INPUT DATA SHEET'!$C$90)&lt;EDATE('Loan schedule'!S$8,-9),'Loan schedule'!$C$10/('INPUT DATA SHEET'!$C$89*4-'INPUT DATA SHEET'!$C$90/3),0),S16)</f>
        <v>0</v>
      </c>
      <c r="T17" s="178">
        <f>MIN(IF(EDATE('INPUT DATA SHEET'!$C$67,'INPUT DATA SHEET'!$C$90)&lt;EDATE('Loan schedule'!T$8,-9),'Loan schedule'!$C$10/('INPUT DATA SHEET'!$C$89*4-'INPUT DATA SHEET'!$C$90/3),0),T16)</f>
        <v>0</v>
      </c>
      <c r="U17" s="178">
        <f>MIN(IF(EDATE('INPUT DATA SHEET'!$C$67,'INPUT DATA SHEET'!$C$90)&lt;EDATE('Loan schedule'!U$8,-9),'Loan schedule'!$C$10/('INPUT DATA SHEET'!$C$89*4-'INPUT DATA SHEET'!$C$90/3),0),U16)</f>
        <v>0</v>
      </c>
      <c r="V17" s="178">
        <f>MIN(IF(EDATE('INPUT DATA SHEET'!$C$67,'INPUT DATA SHEET'!$C$90)&lt;EDATE('Loan schedule'!V$8,-9),'Loan schedule'!$C$10/('INPUT DATA SHEET'!$C$89*4-'INPUT DATA SHEET'!$C$90/3),0),V16)</f>
        <v>0</v>
      </c>
      <c r="W17" s="178">
        <f>MIN(IF(EDATE('INPUT DATA SHEET'!$C$67,'INPUT DATA SHEET'!$C$90)&lt;EDATE('Loan schedule'!W$8,-9),'Loan schedule'!$C$10/('INPUT DATA SHEET'!$C$89*4-'INPUT DATA SHEET'!$C$90/3),0),W16)</f>
        <v>0</v>
      </c>
      <c r="X17" s="178">
        <f>MIN(IF(EDATE('INPUT DATA SHEET'!$C$67,'INPUT DATA SHEET'!$C$90)&lt;EDATE('Loan schedule'!X$8,-9),'Loan schedule'!$C$10/('INPUT DATA SHEET'!$C$89*4-'INPUT DATA SHEET'!$C$90/3),0),X16)</f>
        <v>0</v>
      </c>
      <c r="Y17" s="178">
        <f>MIN(IF(EDATE('INPUT DATA SHEET'!$C$67,'INPUT DATA SHEET'!$C$90)&lt;EDATE('Loan schedule'!Y$8,-9),'Loan schedule'!$C$10/('INPUT DATA SHEET'!$C$89*4-'INPUT DATA SHEET'!$C$90/3),0),Y16)</f>
        <v>0</v>
      </c>
      <c r="Z17" s="178">
        <f>MIN(IF(EDATE('INPUT DATA SHEET'!$C$67,'INPUT DATA SHEET'!$C$90)&lt;EDATE('Loan schedule'!Z$8,-9),'Loan schedule'!$C$10/('INPUT DATA SHEET'!$C$89*4-'INPUT DATA SHEET'!$C$90/3),0),Z16)</f>
        <v>0</v>
      </c>
      <c r="AA17" s="178">
        <f>MIN(IF(EDATE('INPUT DATA SHEET'!$C$67,'INPUT DATA SHEET'!$C$90)&lt;EDATE('Loan schedule'!AA$8,-9),'Loan schedule'!$C$10/('INPUT DATA SHEET'!$C$89*4-'INPUT DATA SHEET'!$C$90/3),0),AA16)</f>
        <v>0</v>
      </c>
      <c r="AB17" s="178">
        <f>MIN(IF(EDATE('INPUT DATA SHEET'!$C$67,'INPUT DATA SHEET'!$C$90)&lt;EDATE('Loan schedule'!AB$8,-9),'Loan schedule'!$C$10/('INPUT DATA SHEET'!$C$89*4-'INPUT DATA SHEET'!$C$90/3),0),AB16)</f>
        <v>0</v>
      </c>
      <c r="AC17" s="178">
        <f>MIN(IF(EDATE('INPUT DATA SHEET'!$C$67,'INPUT DATA SHEET'!$C$90)&lt;EDATE('Loan schedule'!AC$8,-9),'Loan schedule'!$C$10/('INPUT DATA SHEET'!$C$89*4-'INPUT DATA SHEET'!$C$90/3),0),AC16)</f>
        <v>0</v>
      </c>
      <c r="AD17" s="178">
        <f>MIN(IF(EDATE('INPUT DATA SHEET'!$C$67,'INPUT DATA SHEET'!$C$90)&lt;EDATE('Loan schedule'!AD$8,-9),'Loan schedule'!$C$10/('INPUT DATA SHEET'!$C$89*4-'INPUT DATA SHEET'!$C$90/3),0),AD16)</f>
        <v>0</v>
      </c>
      <c r="AE17" s="178">
        <f>MIN(IF(EDATE('INPUT DATA SHEET'!$C$67,'INPUT DATA SHEET'!$C$90)&lt;EDATE('Loan schedule'!AE$8,-9),'Loan schedule'!$C$10/('INPUT DATA SHEET'!$C$89*4-'INPUT DATA SHEET'!$C$90/3),0),AE16)</f>
        <v>0</v>
      </c>
      <c r="AF17" s="178">
        <f>MIN(IF(EDATE('INPUT DATA SHEET'!$C$67,'INPUT DATA SHEET'!$C$90)&lt;EDATE('Loan schedule'!AF$8,-9),'Loan schedule'!$C$10/('INPUT DATA SHEET'!$C$89*4-'INPUT DATA SHEET'!$C$90/3),0),AF16)</f>
        <v>0</v>
      </c>
      <c r="AG17" s="178">
        <f>MIN(IF(EDATE('INPUT DATA SHEET'!$C$67,'INPUT DATA SHEET'!$C$90)&lt;EDATE('Loan schedule'!AG$8,-9),'Loan schedule'!$C$10/('INPUT DATA SHEET'!$C$89*4-'INPUT DATA SHEET'!$C$90/3),0),AG16)</f>
        <v>0</v>
      </c>
      <c r="AH17" s="178">
        <f>MIN(IF(EDATE('INPUT DATA SHEET'!$C$67,'INPUT DATA SHEET'!$C$90)&lt;EDATE('Loan schedule'!AH$8,-9),'Loan schedule'!$C$10/('INPUT DATA SHEET'!$C$89*4-'INPUT DATA SHEET'!$C$90/3),0),AH16)</f>
        <v>0</v>
      </c>
    </row>
    <row r="18" spans="2:34">
      <c r="B18" s="232" t="s">
        <v>5</v>
      </c>
      <c r="C18" s="208"/>
      <c r="D18" s="208">
        <f t="shared" ref="D18:T18" si="8">D16-D17</f>
        <v>187.86023643999997</v>
      </c>
      <c r="E18" s="208">
        <f t="shared" si="8"/>
        <v>187.86023643999997</v>
      </c>
      <c r="F18" s="208">
        <f t="shared" si="8"/>
        <v>165.024212796</v>
      </c>
      <c r="G18" s="208">
        <f t="shared" si="8"/>
        <v>142.18818915200004</v>
      </c>
      <c r="H18" s="208">
        <f t="shared" si="8"/>
        <v>119.35216550800004</v>
      </c>
      <c r="I18" s="208">
        <f t="shared" si="8"/>
        <v>96.516141864000019</v>
      </c>
      <c r="J18" s="208">
        <f t="shared" si="8"/>
        <v>73.680118219999997</v>
      </c>
      <c r="K18" s="208">
        <f t="shared" si="8"/>
        <v>50.844094575999996</v>
      </c>
      <c r="L18" s="208">
        <f t="shared" si="8"/>
        <v>28.008070932000003</v>
      </c>
      <c r="M18" s="208">
        <f t="shared" si="8"/>
        <v>5.1720472880000079</v>
      </c>
      <c r="N18" s="208">
        <f t="shared" si="8"/>
        <v>0</v>
      </c>
      <c r="O18" s="208">
        <f t="shared" si="8"/>
        <v>0</v>
      </c>
      <c r="P18" s="208">
        <f t="shared" si="8"/>
        <v>0</v>
      </c>
      <c r="Q18" s="208">
        <f t="shared" si="8"/>
        <v>0</v>
      </c>
      <c r="R18" s="208">
        <f t="shared" si="8"/>
        <v>0</v>
      </c>
      <c r="S18" s="208">
        <f t="shared" si="8"/>
        <v>0</v>
      </c>
      <c r="T18" s="208">
        <f t="shared" si="8"/>
        <v>0</v>
      </c>
      <c r="U18" s="208">
        <f t="shared" ref="U18:AH18" si="9">U16-U17</f>
        <v>0</v>
      </c>
      <c r="V18" s="208">
        <f t="shared" si="9"/>
        <v>0</v>
      </c>
      <c r="W18" s="208">
        <f t="shared" si="9"/>
        <v>0</v>
      </c>
      <c r="X18" s="208">
        <f t="shared" si="9"/>
        <v>0</v>
      </c>
      <c r="Y18" s="208">
        <f t="shared" si="9"/>
        <v>0</v>
      </c>
      <c r="Z18" s="208">
        <f t="shared" si="9"/>
        <v>0</v>
      </c>
      <c r="AA18" s="208">
        <f t="shared" si="9"/>
        <v>0</v>
      </c>
      <c r="AB18" s="208">
        <f t="shared" si="9"/>
        <v>0</v>
      </c>
      <c r="AC18" s="208">
        <f t="shared" si="9"/>
        <v>0</v>
      </c>
      <c r="AD18" s="208">
        <f t="shared" si="9"/>
        <v>0</v>
      </c>
      <c r="AE18" s="208">
        <f t="shared" si="9"/>
        <v>0</v>
      </c>
      <c r="AF18" s="208">
        <f t="shared" si="9"/>
        <v>0</v>
      </c>
      <c r="AG18" s="208">
        <f t="shared" si="9"/>
        <v>0</v>
      </c>
      <c r="AH18" s="208">
        <f t="shared" si="9"/>
        <v>0</v>
      </c>
    </row>
    <row r="19" spans="2:34">
      <c r="B19" s="54" t="s">
        <v>13</v>
      </c>
      <c r="C19" s="178"/>
      <c r="D19" s="178">
        <f t="shared" ref="D19:T19" si="10">D17+D15+D13+D11</f>
        <v>40.5</v>
      </c>
      <c r="E19" s="178">
        <f t="shared" si="10"/>
        <v>0</v>
      </c>
      <c r="F19" s="178">
        <f t="shared" si="10"/>
        <v>22.836023643999997</v>
      </c>
      <c r="G19" s="178">
        <f t="shared" si="10"/>
        <v>22.836023643999997</v>
      </c>
      <c r="H19" s="178">
        <f t="shared" si="10"/>
        <v>22.836023643999997</v>
      </c>
      <c r="I19" s="178">
        <f t="shared" si="10"/>
        <v>22.836023643999997</v>
      </c>
      <c r="J19" s="178">
        <f t="shared" si="10"/>
        <v>22.836023643999997</v>
      </c>
      <c r="K19" s="178">
        <f t="shared" si="10"/>
        <v>22.836023643999997</v>
      </c>
      <c r="L19" s="178">
        <f t="shared" si="10"/>
        <v>22.836023643999997</v>
      </c>
      <c r="M19" s="178">
        <f t="shared" si="10"/>
        <v>22.836023643999997</v>
      </c>
      <c r="N19" s="178">
        <f t="shared" si="10"/>
        <v>5.1720472880000079</v>
      </c>
      <c r="O19" s="178">
        <f t="shared" si="10"/>
        <v>0</v>
      </c>
      <c r="P19" s="178">
        <f t="shared" si="10"/>
        <v>0</v>
      </c>
      <c r="Q19" s="178">
        <f t="shared" si="10"/>
        <v>0</v>
      </c>
      <c r="R19" s="178">
        <f t="shared" si="10"/>
        <v>0</v>
      </c>
      <c r="S19" s="178">
        <f t="shared" si="10"/>
        <v>0</v>
      </c>
      <c r="T19" s="178">
        <f t="shared" si="10"/>
        <v>0</v>
      </c>
      <c r="U19" s="178">
        <f t="shared" ref="U19:AH19" si="11">U17+U15+U13+U11</f>
        <v>0</v>
      </c>
      <c r="V19" s="178">
        <f t="shared" si="11"/>
        <v>0</v>
      </c>
      <c r="W19" s="178">
        <f t="shared" si="11"/>
        <v>0</v>
      </c>
      <c r="X19" s="178">
        <f t="shared" si="11"/>
        <v>0</v>
      </c>
      <c r="Y19" s="178">
        <f t="shared" si="11"/>
        <v>0</v>
      </c>
      <c r="Z19" s="178">
        <f t="shared" si="11"/>
        <v>0</v>
      </c>
      <c r="AA19" s="178">
        <f t="shared" si="11"/>
        <v>0</v>
      </c>
      <c r="AB19" s="178">
        <f t="shared" si="11"/>
        <v>0</v>
      </c>
      <c r="AC19" s="178">
        <f t="shared" si="11"/>
        <v>0</v>
      </c>
      <c r="AD19" s="178">
        <f t="shared" si="11"/>
        <v>0</v>
      </c>
      <c r="AE19" s="178">
        <f t="shared" si="11"/>
        <v>0</v>
      </c>
      <c r="AF19" s="178">
        <f t="shared" si="11"/>
        <v>0</v>
      </c>
      <c r="AG19" s="178">
        <f t="shared" si="11"/>
        <v>0</v>
      </c>
      <c r="AH19" s="178">
        <f t="shared" si="11"/>
        <v>0</v>
      </c>
    </row>
    <row r="20" spans="2:34" ht="13.5" thickBot="1">
      <c r="B20" s="219" t="s">
        <v>33</v>
      </c>
      <c r="C20" s="233"/>
      <c r="D20" s="233">
        <f>D10*'INPUT DATA SHEET'!$C$87/4+D12*'INPUT DATA SHEET'!$C$87/4+D14*'INPUT DATA SHEET'!$C$87/4+D16*'INPUT DATA SHEET'!$C$87/4</f>
        <v>23.758228372799998</v>
      </c>
      <c r="E20" s="233">
        <f>E10*'INPUT DATA SHEET'!$C$87/4+E12*'INPUT DATA SHEET'!$C$87/4+E14*'INPUT DATA SHEET'!$C$87/4+E16*'INPUT DATA SHEET'!$C$87/4</f>
        <v>22.543228372799994</v>
      </c>
      <c r="F20" s="233">
        <f>F10*'INPUT DATA SHEET'!$C$87/4+F12*'INPUT DATA SHEET'!$C$87/4+F14*'INPUT DATA SHEET'!$C$87/4+F16*'INPUT DATA SHEET'!$C$87/4</f>
        <v>21.515607308819998</v>
      </c>
      <c r="G20" s="233">
        <f>G10*'INPUT DATA SHEET'!$C$87/4+G12*'INPUT DATA SHEET'!$C$87/4+G14*'INPUT DATA SHEET'!$C$87/4+G16*'INPUT DATA SHEET'!$C$87/4</f>
        <v>18.775284471540001</v>
      </c>
      <c r="H20" s="233">
        <f>H10*'INPUT DATA SHEET'!$C$87/4+H12*'INPUT DATA SHEET'!$C$87/4+H14*'INPUT DATA SHEET'!$C$87/4+H16*'INPUT DATA SHEET'!$C$87/4</f>
        <v>16.034961634260004</v>
      </c>
      <c r="I20" s="233">
        <f>I10*'INPUT DATA SHEET'!$C$87/4+I12*'INPUT DATA SHEET'!$C$87/4+I14*'INPUT DATA SHEET'!$C$87/4+I16*'INPUT DATA SHEET'!$C$87/4</f>
        <v>13.294638796980003</v>
      </c>
      <c r="J20" s="233">
        <f>J10*'INPUT DATA SHEET'!$C$87/4+J12*'INPUT DATA SHEET'!$C$87/4+J14*'INPUT DATA SHEET'!$C$87/4+J16*'INPUT DATA SHEET'!$C$87/4</f>
        <v>10.5543159597</v>
      </c>
      <c r="K20" s="233">
        <f>K10*'INPUT DATA SHEET'!$C$87/4+K12*'INPUT DATA SHEET'!$C$87/4+K14*'INPUT DATA SHEET'!$C$87/4+K16*'INPUT DATA SHEET'!$C$87/4</f>
        <v>7.8139931224199985</v>
      </c>
      <c r="L20" s="233">
        <f>L10*'INPUT DATA SHEET'!$C$87/4+L12*'INPUT DATA SHEET'!$C$87/4+L14*'INPUT DATA SHEET'!$C$87/4+L16*'INPUT DATA SHEET'!$C$87/4</f>
        <v>5.0736702851399995</v>
      </c>
      <c r="M20" s="233">
        <f>M10*'INPUT DATA SHEET'!$C$87/4+M12*'INPUT DATA SHEET'!$C$87/4+M14*'INPUT DATA SHEET'!$C$87/4+M16*'INPUT DATA SHEET'!$C$87/4</f>
        <v>2.3333474478600009</v>
      </c>
      <c r="N20" s="233">
        <f>N10*'INPUT DATA SHEET'!$C$87/4+N12*'INPUT DATA SHEET'!$C$87/4+N14*'INPUT DATA SHEET'!$C$87/4+N16*'INPUT DATA SHEET'!$C$87/4</f>
        <v>0.15516141864000024</v>
      </c>
      <c r="O20" s="233">
        <f>O10*'INPUT DATA SHEET'!$C$87/4+O12*'INPUT DATA SHEET'!$C$87/4+O14*'INPUT DATA SHEET'!$C$87/4+O16*'INPUT DATA SHEET'!$C$87/4</f>
        <v>0</v>
      </c>
      <c r="P20" s="233">
        <f>P10*'INPUT DATA SHEET'!$C$87/4+P12*'INPUT DATA SHEET'!$C$87/4+P14*'INPUT DATA SHEET'!$C$87/4+P16*'INPUT DATA SHEET'!$C$87/4</f>
        <v>0</v>
      </c>
      <c r="Q20" s="233">
        <f>Q10*'INPUT DATA SHEET'!$C$87/4+Q12*'INPUT DATA SHEET'!$C$87/4+Q14*'INPUT DATA SHEET'!$C$87/4+Q16*'INPUT DATA SHEET'!$C$87/4</f>
        <v>0</v>
      </c>
      <c r="R20" s="233">
        <f>R10*'INPUT DATA SHEET'!$C$87/4+R12*'INPUT DATA SHEET'!$C$87/4+R14*'INPUT DATA SHEET'!$C$87/4+R16*'INPUT DATA SHEET'!$C$87/4</f>
        <v>0</v>
      </c>
      <c r="S20" s="233">
        <f>S10*'INPUT DATA SHEET'!$C$87/4+S12*'INPUT DATA SHEET'!$C$87/4+S14*'INPUT DATA SHEET'!$C$87/4+S16*'INPUT DATA SHEET'!$C$87/4</f>
        <v>0</v>
      </c>
      <c r="T20" s="233">
        <f>T10*'INPUT DATA SHEET'!$C$87/4+T12*'INPUT DATA SHEET'!$C$87/4+T14*'INPUT DATA SHEET'!$C$87/4+T16*'INPUT DATA SHEET'!$C$87/4</f>
        <v>0</v>
      </c>
      <c r="U20" s="233">
        <f>U10*'INPUT DATA SHEET'!$C$87/4+U12*'INPUT DATA SHEET'!$C$87/4+U14*'INPUT DATA SHEET'!$C$87/4+U16*'INPUT DATA SHEET'!$C$87/4</f>
        <v>0</v>
      </c>
      <c r="V20" s="233">
        <f>V10*'INPUT DATA SHEET'!$C$87/4+V12*'INPUT DATA SHEET'!$C$87/4+V14*'INPUT DATA SHEET'!$C$87/4+V16*'INPUT DATA SHEET'!$C$87/4</f>
        <v>0</v>
      </c>
      <c r="W20" s="233">
        <f>W10*'INPUT DATA SHEET'!$C$87/4+W12*'INPUT DATA SHEET'!$C$87/4+W14*'INPUT DATA SHEET'!$C$87/4+W16*'INPUT DATA SHEET'!$C$87/4</f>
        <v>0</v>
      </c>
      <c r="X20" s="233">
        <f>X10*'INPUT DATA SHEET'!$C$87/4+X12*'INPUT DATA SHEET'!$C$87/4+X14*'INPUT DATA SHEET'!$C$87/4+X16*'INPUT DATA SHEET'!$C$87/4</f>
        <v>0</v>
      </c>
      <c r="Y20" s="233">
        <f>Y10*'INPUT DATA SHEET'!$C$87/4+Y12*'INPUT DATA SHEET'!$C$87/4+Y14*'INPUT DATA SHEET'!$C$87/4+Y16*'INPUT DATA SHEET'!$C$87/4</f>
        <v>0</v>
      </c>
      <c r="Z20" s="233">
        <f>Z10*'INPUT DATA SHEET'!$C$87/4+Z12*'INPUT DATA SHEET'!$C$87/4+Z14*'INPUT DATA SHEET'!$C$87/4+Z16*'INPUT DATA SHEET'!$C$87/4</f>
        <v>0</v>
      </c>
      <c r="AA20" s="233">
        <f>AA10*'INPUT DATA SHEET'!$C$87/4+AA12*'INPUT DATA SHEET'!$C$87/4+AA14*'INPUT DATA SHEET'!$C$87/4+AA16*'INPUT DATA SHEET'!$C$87/4</f>
        <v>0</v>
      </c>
      <c r="AB20" s="233">
        <f>AB10*'INPUT DATA SHEET'!$C$87/4+AB12*'INPUT DATA SHEET'!$C$87/4+AB14*'INPUT DATA SHEET'!$C$87/4+AB16*'INPUT DATA SHEET'!$C$87/4</f>
        <v>0</v>
      </c>
      <c r="AC20" s="233">
        <f>AC10*'INPUT DATA SHEET'!$C$87/4+AC12*'INPUT DATA SHEET'!$C$87/4+AC14*'INPUT DATA SHEET'!$C$87/4+AC16*'INPUT DATA SHEET'!$C$87/4</f>
        <v>0</v>
      </c>
      <c r="AD20" s="233">
        <f>AD10*'INPUT DATA SHEET'!$C$87/4+AD12*'INPUT DATA SHEET'!$C$87/4+AD14*'INPUT DATA SHEET'!$C$87/4+AD16*'INPUT DATA SHEET'!$C$87/4</f>
        <v>0</v>
      </c>
      <c r="AE20" s="233">
        <f>AE10*'INPUT DATA SHEET'!$C$87/4+AE12*'INPUT DATA SHEET'!$C$87/4+AE14*'INPUT DATA SHEET'!$C$87/4+AE16*'INPUT DATA SHEET'!$C$87/4</f>
        <v>0</v>
      </c>
      <c r="AF20" s="233">
        <f>AF10*'INPUT DATA SHEET'!$C$87/4+AF12*'INPUT DATA SHEET'!$C$87/4+AF14*'INPUT DATA SHEET'!$C$87/4+AF16*'INPUT DATA SHEET'!$C$87/4</f>
        <v>0</v>
      </c>
      <c r="AG20" s="233">
        <f>AG10*'INPUT DATA SHEET'!$C$87/4+AG12*'INPUT DATA SHEET'!$C$87/4+AG14*'INPUT DATA SHEET'!$C$87/4+AG16*'INPUT DATA SHEET'!$C$87/4</f>
        <v>0</v>
      </c>
      <c r="AH20" s="233">
        <f>AH10*'INPUT DATA SHEET'!$C$87/4+AH12*'INPUT DATA SHEET'!$C$87/4+AH14*'INPUT DATA SHEET'!$C$87/4+AH16*'INPUT DATA SHEET'!$C$87/4</f>
        <v>0</v>
      </c>
    </row>
    <row r="21" spans="2:34">
      <c r="B21" s="199"/>
      <c r="C21" s="199"/>
      <c r="D21" s="199"/>
      <c r="E21" s="199"/>
      <c r="F21" s="199"/>
      <c r="G21" s="199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  <c r="AF21" s="199"/>
      <c r="AG21" s="199"/>
      <c r="AH21" s="199"/>
    </row>
    <row r="22" spans="2:34"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</row>
  </sheetData>
  <phoneticPr fontId="2" type="noConversion"/>
  <pageMargins left="0.75" right="0.75" top="1" bottom="1" header="0.5" footer="0.5"/>
  <pageSetup orientation="portrait" r:id="rId1"/>
  <headerFooter alignWithMargins="0"/>
  <ignoredErrors>
    <ignoredError sqref="D12:AH12 D14:AH14 D13:E13 P13:AH13 D16:AH16 D15:E15 P15:AH15 D17:E17 P17:AH17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AT69"/>
  <sheetViews>
    <sheetView zoomScaleNormal="100" workbookViewId="0">
      <selection activeCell="B1" sqref="B1"/>
    </sheetView>
  </sheetViews>
  <sheetFormatPr defaultRowHeight="12.75"/>
  <cols>
    <col min="1" max="1" width="9.140625" style="16"/>
    <col min="2" max="2" width="18.7109375" style="252" customWidth="1"/>
    <col min="3" max="45" width="7.7109375" style="252" customWidth="1"/>
    <col min="46" max="16384" width="9.140625" style="16"/>
  </cols>
  <sheetData>
    <row r="1" spans="2:46" ht="15" customHeight="1" thickBot="1">
      <c r="B1" s="284" t="s">
        <v>66</v>
      </c>
      <c r="C1" s="253">
        <f>'Project Cost'!D5</f>
        <v>40268</v>
      </c>
      <c r="D1" s="253">
        <f>'Project Cost'!E5</f>
        <v>40633</v>
      </c>
      <c r="E1" s="253">
        <f>'Project Cost'!F5</f>
        <v>40999</v>
      </c>
      <c r="F1" s="254">
        <f>'p&amp;l'!D8</f>
        <v>41364</v>
      </c>
      <c r="G1" s="254">
        <f>'p&amp;l'!E8</f>
        <v>41729</v>
      </c>
      <c r="H1" s="254">
        <f>'p&amp;l'!F8</f>
        <v>42094</v>
      </c>
      <c r="I1" s="254">
        <f>'p&amp;l'!G8</f>
        <v>42460</v>
      </c>
      <c r="J1" s="254">
        <f>'p&amp;l'!H8</f>
        <v>42825</v>
      </c>
      <c r="K1" s="254">
        <f>'p&amp;l'!I8</f>
        <v>43190</v>
      </c>
      <c r="L1" s="254">
        <f>'p&amp;l'!J8</f>
        <v>43555</v>
      </c>
      <c r="M1" s="254">
        <f>'p&amp;l'!K8</f>
        <v>43921</v>
      </c>
      <c r="N1" s="254">
        <f>'p&amp;l'!L8</f>
        <v>44286</v>
      </c>
      <c r="O1" s="254">
        <f>'p&amp;l'!M8</f>
        <v>44651</v>
      </c>
      <c r="P1" s="254">
        <f>'p&amp;l'!N8</f>
        <v>45016</v>
      </c>
      <c r="Q1" s="254">
        <f>'p&amp;l'!O8</f>
        <v>45382</v>
      </c>
      <c r="R1" s="254">
        <f>'p&amp;l'!P8</f>
        <v>45747</v>
      </c>
      <c r="S1" s="254">
        <f>'p&amp;l'!Q8</f>
        <v>46112</v>
      </c>
      <c r="T1" s="254">
        <f>'p&amp;l'!R8</f>
        <v>46477</v>
      </c>
      <c r="U1" s="254">
        <f>'p&amp;l'!S8</f>
        <v>46843</v>
      </c>
      <c r="V1" s="254">
        <f>'p&amp;l'!T8</f>
        <v>47208</v>
      </c>
      <c r="W1" s="254">
        <f>'p&amp;l'!U8</f>
        <v>47573</v>
      </c>
      <c r="X1" s="254">
        <f>'p&amp;l'!V8</f>
        <v>47938</v>
      </c>
      <c r="Y1" s="254">
        <f>'p&amp;l'!W8</f>
        <v>48304</v>
      </c>
      <c r="Z1" s="254">
        <f>'p&amp;l'!X8</f>
        <v>48669</v>
      </c>
      <c r="AA1" s="254">
        <f>'p&amp;l'!Y8</f>
        <v>49034</v>
      </c>
      <c r="AB1" s="254">
        <f>'p&amp;l'!Z8</f>
        <v>49399</v>
      </c>
      <c r="AC1" s="254">
        <f>'p&amp;l'!AA8</f>
        <v>49765</v>
      </c>
      <c r="AD1" s="254">
        <f>'p&amp;l'!AB8</f>
        <v>50130</v>
      </c>
      <c r="AE1" s="254">
        <f>'p&amp;l'!AC8</f>
        <v>50495</v>
      </c>
      <c r="AF1" s="254">
        <f>'p&amp;l'!AD8</f>
        <v>50860</v>
      </c>
      <c r="AG1" s="254">
        <f>'p&amp;l'!AE8</f>
        <v>51226</v>
      </c>
      <c r="AH1" s="254">
        <f>'p&amp;l'!AF8</f>
        <v>51591</v>
      </c>
      <c r="AI1" s="254">
        <f>'p&amp;l'!AG8</f>
        <v>51956</v>
      </c>
      <c r="AJ1" s="254">
        <f>'p&amp;l'!AH8</f>
        <v>52321</v>
      </c>
      <c r="AK1" s="254">
        <f>'p&amp;l'!AI8</f>
        <v>52687</v>
      </c>
      <c r="AL1" s="254">
        <f>'p&amp;l'!AJ8</f>
        <v>53052</v>
      </c>
      <c r="AM1" s="254">
        <f>'p&amp;l'!AK8</f>
        <v>53417</v>
      </c>
      <c r="AN1" s="254">
        <f>'p&amp;l'!AL8</f>
        <v>53782</v>
      </c>
      <c r="AO1" s="254">
        <f>'p&amp;l'!AM8</f>
        <v>54148</v>
      </c>
      <c r="AP1" s="254">
        <f>'p&amp;l'!AN8</f>
        <v>54513</v>
      </c>
      <c r="AQ1" s="254">
        <f>'p&amp;l'!AO8</f>
        <v>54878</v>
      </c>
      <c r="AR1" s="254">
        <f>'p&amp;l'!AP8</f>
        <v>55243</v>
      </c>
      <c r="AS1" s="254">
        <f>'p&amp;l'!AQ8</f>
        <v>55609</v>
      </c>
    </row>
    <row r="2" spans="2:46">
      <c r="B2" s="285" t="s">
        <v>10</v>
      </c>
      <c r="C2" s="255"/>
      <c r="D2" s="256"/>
      <c r="E2" s="256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  <c r="AF2" s="257"/>
      <c r="AG2" s="257"/>
      <c r="AH2" s="257"/>
      <c r="AI2" s="257"/>
      <c r="AJ2" s="257"/>
      <c r="AK2" s="257"/>
      <c r="AL2" s="257"/>
      <c r="AM2" s="257"/>
      <c r="AN2" s="257"/>
      <c r="AO2" s="257"/>
      <c r="AP2" s="257"/>
      <c r="AQ2" s="257"/>
      <c r="AR2" s="257"/>
      <c r="AS2" s="257"/>
    </row>
    <row r="3" spans="2:46">
      <c r="B3" s="286" t="s">
        <v>8</v>
      </c>
      <c r="C3" s="258">
        <f>'Project Cost'!D7</f>
        <v>11.418011821999999</v>
      </c>
      <c r="D3" s="258">
        <f>'Project Cost'!E7</f>
        <v>102.76210639799999</v>
      </c>
      <c r="E3" s="258">
        <f>'Project Cost'!F7</f>
        <v>114.18011821999998</v>
      </c>
      <c r="F3" s="257"/>
      <c r="G3" s="257"/>
      <c r="H3" s="257"/>
      <c r="I3" s="257"/>
      <c r="J3" s="257"/>
      <c r="K3" s="257"/>
      <c r="L3" s="257"/>
      <c r="M3" s="257"/>
      <c r="N3" s="257"/>
      <c r="O3" s="257"/>
      <c r="P3" s="257"/>
      <c r="Q3" s="257"/>
      <c r="R3" s="257"/>
      <c r="S3" s="257"/>
      <c r="T3" s="257"/>
      <c r="U3" s="257"/>
      <c r="V3" s="257"/>
      <c r="W3" s="257"/>
      <c r="X3" s="257"/>
      <c r="Y3" s="257"/>
      <c r="Z3" s="257"/>
      <c r="AA3" s="257"/>
      <c r="AB3" s="257"/>
      <c r="AC3" s="257"/>
      <c r="AD3" s="257"/>
      <c r="AE3" s="257"/>
      <c r="AF3" s="257"/>
      <c r="AG3" s="257"/>
      <c r="AH3" s="257"/>
      <c r="AI3" s="257"/>
      <c r="AJ3" s="257"/>
      <c r="AK3" s="257"/>
      <c r="AL3" s="257"/>
      <c r="AM3" s="257"/>
      <c r="AN3" s="257"/>
      <c r="AO3" s="257"/>
      <c r="AP3" s="257"/>
      <c r="AQ3" s="257"/>
      <c r="AR3" s="257"/>
      <c r="AS3" s="257"/>
    </row>
    <row r="4" spans="2:46">
      <c r="B4" s="286" t="s">
        <v>9</v>
      </c>
      <c r="C4" s="258">
        <f>'Project Cost'!D6</f>
        <v>4.8934336380000003</v>
      </c>
      <c r="D4" s="258">
        <f>'Project Cost'!E6</f>
        <v>44.040902742000007</v>
      </c>
      <c r="E4" s="258">
        <f>'Project Cost'!F6</f>
        <v>48.934336380000005</v>
      </c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257"/>
      <c r="AC4" s="257"/>
      <c r="AD4" s="257"/>
      <c r="AE4" s="257"/>
      <c r="AF4" s="257"/>
      <c r="AG4" s="257"/>
      <c r="AH4" s="257"/>
      <c r="AI4" s="257"/>
      <c r="AJ4" s="257"/>
      <c r="AK4" s="257"/>
      <c r="AL4" s="257"/>
      <c r="AM4" s="257"/>
      <c r="AN4" s="257"/>
      <c r="AO4" s="257"/>
      <c r="AP4" s="257"/>
      <c r="AQ4" s="257"/>
      <c r="AR4" s="257"/>
      <c r="AS4" s="257"/>
    </row>
    <row r="5" spans="2:46">
      <c r="B5" s="286" t="s">
        <v>21</v>
      </c>
      <c r="C5" s="260"/>
      <c r="D5" s="261"/>
      <c r="E5" s="261"/>
      <c r="F5" s="261">
        <f>'p&amp;l'!D28</f>
        <v>17.69219841483222</v>
      </c>
      <c r="G5" s="261">
        <f>'p&amp;l'!E28</f>
        <v>18.41516591293313</v>
      </c>
      <c r="H5" s="261">
        <f>'p&amp;l'!F28</f>
        <v>18.977841657246231</v>
      </c>
      <c r="I5" s="261">
        <f>'p&amp;l'!G28</f>
        <v>21.033663116384055</v>
      </c>
      <c r="J5" s="261">
        <f>'p&amp;l'!H28</f>
        <v>22.813398983437459</v>
      </c>
      <c r="K5" s="261">
        <f>'p&amp;l'!I28</f>
        <v>24.714021796669947</v>
      </c>
      <c r="L5" s="261">
        <f>'p&amp;l'!J28</f>
        <v>26.602570601066986</v>
      </c>
      <c r="M5" s="261">
        <f>'p&amp;l'!K28</f>
        <v>28.611020969799483</v>
      </c>
      <c r="N5" s="261">
        <f>'p&amp;l'!L28</f>
        <v>30.341413250766131</v>
      </c>
      <c r="O5" s="261">
        <f>'p&amp;l'!M28</f>
        <v>32.190636423279265</v>
      </c>
      <c r="P5" s="261">
        <f>'p&amp;l'!N28</f>
        <v>33.575542219938121</v>
      </c>
      <c r="Q5" s="261">
        <f>'p&amp;l'!O28</f>
        <v>33.45828969046363</v>
      </c>
      <c r="R5" s="261">
        <f>'p&amp;l'!P28</f>
        <v>27.133855643352302</v>
      </c>
      <c r="S5" s="261">
        <f>'p&amp;l'!Q28</f>
        <v>26.728381664869229</v>
      </c>
      <c r="T5" s="261">
        <f>'p&amp;l'!R28</f>
        <v>26.306158916850862</v>
      </c>
      <c r="U5" s="261">
        <f>'p&amp;l'!S28</f>
        <v>25.98306672062013</v>
      </c>
      <c r="V5" s="261">
        <f>'p&amp;l'!T28</f>
        <v>25.408630177693922</v>
      </c>
      <c r="W5" s="261">
        <f>'p&amp;l'!U28</f>
        <v>24.93182946354932</v>
      </c>
      <c r="X5" s="261">
        <f>'p&amp;l'!V28</f>
        <v>24.435287847420852</v>
      </c>
      <c r="Y5" s="261">
        <f>'p&amp;l'!W28</f>
        <v>24.034756621552177</v>
      </c>
      <c r="Z5" s="261">
        <f>'p&amp;l'!X28</f>
        <v>23.379627236590864</v>
      </c>
      <c r="AA5" s="261">
        <f>'p&amp;l'!Y28</f>
        <v>22.818740340445409</v>
      </c>
      <c r="AB5" s="261">
        <f>'p&amp;l'!Z28</f>
        <v>22.234573531174647</v>
      </c>
      <c r="AC5" s="261">
        <f>'p&amp;l'!AA28</f>
        <v>21.742726006744903</v>
      </c>
      <c r="AD5" s="261">
        <f>'p&amp;l'!AB28</f>
        <v>20.992430407725401</v>
      </c>
      <c r="AE5" s="261">
        <f>'p&amp;l'!AC28</f>
        <v>20.332361549591486</v>
      </c>
      <c r="AF5" s="261">
        <f>'p&amp;l'!AD28</f>
        <v>15.265286279483956</v>
      </c>
      <c r="AG5" s="261">
        <f>'p&amp;l'!AE28</f>
        <v>13.365368714313126</v>
      </c>
      <c r="AH5" s="261">
        <f>'p&amp;l'!AF28</f>
        <v>12.654237866298162</v>
      </c>
      <c r="AI5" s="261">
        <f>'p&amp;l'!AG28</f>
        <v>13.651816221815636</v>
      </c>
      <c r="AJ5" s="261">
        <f>'p&amp;l'!AH28</f>
        <v>8.9543259559003783</v>
      </c>
      <c r="AK5" s="261">
        <f>'p&amp;l'!AI28</f>
        <v>8.3486068244519576</v>
      </c>
      <c r="AL5" s="261">
        <f>'p&amp;l'!AJ28</f>
        <v>7.534714976974489</v>
      </c>
      <c r="AM5" s="261">
        <f>'p&amp;l'!AK28</f>
        <v>6.7800856982752604</v>
      </c>
      <c r="AN5" s="261">
        <f>'p&amp;l'!AL28</f>
        <v>5.9938704346738536</v>
      </c>
      <c r="AO5" s="261">
        <f>'p&amp;l'!AM28</f>
        <v>5.2642791643787064</v>
      </c>
      <c r="AP5" s="261">
        <f>'p&amp;l'!AN28</f>
        <v>4.3212330574207884</v>
      </c>
      <c r="AQ5" s="261">
        <f>'p&amp;l'!AO28</f>
        <v>3.4319364796772414</v>
      </c>
      <c r="AR5" s="261">
        <f>'p&amp;l'!AP28</f>
        <v>2.5052995437340106</v>
      </c>
      <c r="AS5" s="261">
        <f>'p&amp;l'!AQ28</f>
        <v>1.5397225255577354</v>
      </c>
    </row>
    <row r="6" spans="2:46">
      <c r="B6" s="286" t="s">
        <v>18</v>
      </c>
      <c r="C6" s="260"/>
      <c r="D6" s="261"/>
      <c r="E6" s="261"/>
      <c r="F6" s="261">
        <f>'p&amp;l'!D41-'p&amp;l'!C41</f>
        <v>9.7522934490867499</v>
      </c>
      <c r="G6" s="261">
        <f>'p&amp;l'!E41-'p&amp;l'!D41</f>
        <v>0.15390854291572609</v>
      </c>
      <c r="H6" s="261">
        <f>'p&amp;l'!F41-'p&amp;l'!E41</f>
        <v>0.16280520746963489</v>
      </c>
      <c r="I6" s="261">
        <f>'p&amp;l'!G41-'p&amp;l'!F41</f>
        <v>0.19152731156057712</v>
      </c>
      <c r="J6" s="261">
        <f>'p&amp;l'!H41-'p&amp;l'!G41</f>
        <v>0.16288491745030242</v>
      </c>
      <c r="K6" s="261">
        <f>'p&amp;l'!I41-'p&amp;l'!H41</f>
        <v>0.19274144222070788</v>
      </c>
      <c r="L6" s="261">
        <f>'p&amp;l'!J41-'p&amp;l'!I41</f>
        <v>0.20391069435456188</v>
      </c>
      <c r="M6" s="261">
        <f>'p&amp;l'!K41-'p&amp;l'!J41</f>
        <v>0.2350394458251106</v>
      </c>
      <c r="N6" s="261">
        <f>'p&amp;l'!L41-'p&amp;l'!K41</f>
        <v>0.20894571066389034</v>
      </c>
      <c r="O6" s="261">
        <f>'p&amp;l'!M41-'p&amp;l'!L41</f>
        <v>0.24150133115600525</v>
      </c>
      <c r="P6" s="261">
        <f>'p&amp;l'!N41-'p&amp;l'!M41</f>
        <v>0.25552904268004006</v>
      </c>
      <c r="Q6" s="261">
        <f>'p&amp;l'!O41-'p&amp;l'!N41</f>
        <v>0.28968507574633406</v>
      </c>
      <c r="R6" s="261">
        <f>'p&amp;l'!P41-'p&amp;l'!O41</f>
        <v>-0.57876826070277687</v>
      </c>
      <c r="S6" s="261">
        <f>'p&amp;l'!Q41-'p&amp;l'!P41</f>
        <v>0.30274867557604423</v>
      </c>
      <c r="T6" s="261">
        <f>'p&amp;l'!R41-'p&amp;l'!Q41</f>
        <v>0.32037269054394457</v>
      </c>
      <c r="U6" s="261">
        <f>'p&amp;l'!S41-'p&amp;l'!R41</f>
        <v>0.35602104534174472</v>
      </c>
      <c r="V6" s="261">
        <f>'p&amp;l'!T41-'p&amp;l'!S41</f>
        <v>0.34180088218311866</v>
      </c>
      <c r="W6" s="261">
        <f>'p&amp;l'!U41-'p&amp;l'!T41</f>
        <v>0.3797083371785277</v>
      </c>
      <c r="X6" s="261">
        <f>'p&amp;l'!V41-'p&amp;l'!U41</f>
        <v>0.40185805440193434</v>
      </c>
      <c r="Y6" s="261">
        <f>'p&amp;l'!W41-'p&amp;l'!V41</f>
        <v>0.442299978492942</v>
      </c>
      <c r="Z6" s="261">
        <f>'p&amp;l'!X41-'p&amp;l'!W41</f>
        <v>0.43315717668358111</v>
      </c>
      <c r="AA6" s="261">
        <f>'p&amp;l'!Y41-'p&amp;l'!X41</f>
        <v>0.47644265972361843</v>
      </c>
      <c r="AB6" s="261">
        <f>'p&amp;l'!Z41-'p&amp;l'!Y41</f>
        <v>0.50428895268932017</v>
      </c>
      <c r="AC6" s="261">
        <f>'p&amp;l'!AA41-'p&amp;l'!Z41</f>
        <v>0.55076494772274032</v>
      </c>
      <c r="AD6" s="261">
        <f>'p&amp;l'!AB41-'p&amp;l'!AA41</f>
        <v>0.54801378979414395</v>
      </c>
      <c r="AE6" s="261">
        <f>'p&amp;l'!AC41-'p&amp;l'!AB41</f>
        <v>0.5980697651768736</v>
      </c>
      <c r="AF6" s="261">
        <f>'p&amp;l'!AD41-'p&amp;l'!AC41</f>
        <v>0.63308794384806788</v>
      </c>
      <c r="AG6" s="261">
        <f>'p&amp;l'!AE41-'p&amp;l'!AD41</f>
        <v>0.68716110810444064</v>
      </c>
      <c r="AH6" s="261">
        <f>'p&amp;l'!AF41-'p&amp;l'!AE41</f>
        <v>0.69245771874231465</v>
      </c>
      <c r="AI6" s="261">
        <f>'p&amp;l'!AG41-'p&amp;l'!AF41</f>
        <v>1.0406161925328519</v>
      </c>
      <c r="AJ6" s="261">
        <f>'p&amp;l'!AH41-'p&amp;l'!AG41</f>
        <v>8.2727948833767329E-2</v>
      </c>
      <c r="AK6" s="261">
        <f>'p&amp;l'!AI41-'p&amp;l'!AH41</f>
        <v>0.85756999879146889</v>
      </c>
      <c r="AL6" s="261">
        <f>'p&amp;l'!AJ41-'p&amp;l'!AI41</f>
        <v>0.87531815785359868</v>
      </c>
      <c r="AM6" s="261">
        <f>'p&amp;l'!AK41-'p&amp;l'!AJ41</f>
        <v>0.94347768037318502</v>
      </c>
      <c r="AN6" s="261">
        <f>'p&amp;l'!AL41-'p&amp;l'!AK41</f>
        <v>0.99890115049027628</v>
      </c>
      <c r="AO6" s="261">
        <f>'p&amp;l'!AM41-'p&amp;l'!AL41</f>
        <v>1.0734328471255949</v>
      </c>
      <c r="AP6" s="261">
        <f>'p&amp;l'!AN41-'p&amp;l'!AM41</f>
        <v>1.1039466502511104</v>
      </c>
      <c r="AQ6" s="261">
        <f>'p&amp;l'!AO41-'p&amp;l'!AN41</f>
        <v>1.1856303104044201</v>
      </c>
      <c r="AR6" s="261">
        <f>'p&amp;l'!AP41-'p&amp;l'!AO41</f>
        <v>1.2553816235368664</v>
      </c>
      <c r="AS6" s="261">
        <f>'p&amp;l'!AQ41-'p&amp;l'!AP41</f>
        <v>1.3292625552375874</v>
      </c>
    </row>
    <row r="7" spans="2:46">
      <c r="B7" s="286" t="s">
        <v>16</v>
      </c>
      <c r="C7" s="260"/>
      <c r="D7" s="261"/>
      <c r="E7" s="261"/>
      <c r="F7" s="261">
        <f>'p&amp;l'!D40-'p&amp;l'!C40</f>
        <v>4.1795543353228926</v>
      </c>
      <c r="G7" s="261">
        <f>'p&amp;l'!E40-'p&amp;l'!D40</f>
        <v>6.5960804106739879E-2</v>
      </c>
      <c r="H7" s="261">
        <f>'p&amp;l'!F40-'p&amp;l'!E40</f>
        <v>6.977366034412924E-2</v>
      </c>
      <c r="I7" s="261">
        <f>'p&amp;l'!G40-'p&amp;l'!F40</f>
        <v>8.2083133525961749E-2</v>
      </c>
      <c r="J7" s="261">
        <f>'p&amp;l'!H40-'p&amp;l'!G40</f>
        <v>6.9807821764415579E-2</v>
      </c>
      <c r="K7" s="261">
        <f>'p&amp;l'!I40-'p&amp;l'!H40</f>
        <v>8.26034752374456E-2</v>
      </c>
      <c r="L7" s="261">
        <f>'p&amp;l'!J40-'p&amp;l'!I40</f>
        <v>8.7390297580526521E-2</v>
      </c>
      <c r="M7" s="261">
        <f>'p&amp;l'!K40-'p&amp;l'!J40</f>
        <v>0.10073119106790518</v>
      </c>
      <c r="N7" s="261">
        <f>'p&amp;l'!L40-'p&amp;l'!K40</f>
        <v>8.9548161713095098E-2</v>
      </c>
      <c r="O7" s="261">
        <f>'p&amp;l'!M40-'p&amp;l'!L40</f>
        <v>0.10350057049543082</v>
      </c>
      <c r="P7" s="261">
        <f>'p&amp;l'!N40-'p&amp;l'!M40</f>
        <v>0.10951244686287431</v>
      </c>
      <c r="Q7" s="261">
        <f>'p&amp;l'!O40-'p&amp;l'!N40</f>
        <v>0.12415074674842952</v>
      </c>
      <c r="R7" s="261">
        <f>'p&amp;l'!P40-'p&amp;l'!O40</f>
        <v>-0.24804354030118958</v>
      </c>
      <c r="S7" s="261">
        <f>'p&amp;l'!Q40-'p&amp;l'!P40</f>
        <v>0.12974943238973147</v>
      </c>
      <c r="T7" s="261">
        <f>'p&amp;l'!R40-'p&amp;l'!Q40</f>
        <v>0.13730258166169129</v>
      </c>
      <c r="U7" s="261">
        <f>'p&amp;l'!S40-'p&amp;l'!R40</f>
        <v>0.15258044800360526</v>
      </c>
      <c r="V7" s="261">
        <f>'p&amp;l'!T40-'p&amp;l'!S40</f>
        <v>0.14648609236419308</v>
      </c>
      <c r="W7" s="261">
        <f>'p&amp;l'!U40-'p&amp;l'!T40</f>
        <v>0.16273214450508355</v>
      </c>
      <c r="X7" s="261">
        <f>'p&amp;l'!V40-'p&amp;l'!U40</f>
        <v>0.17222488045797224</v>
      </c>
      <c r="Y7" s="261">
        <f>'p&amp;l'!W40-'p&amp;l'!V40</f>
        <v>0.18955713363983229</v>
      </c>
      <c r="Z7" s="261">
        <f>'p&amp;l'!X40-'p&amp;l'!W40</f>
        <v>0.18563879000724892</v>
      </c>
      <c r="AA7" s="261">
        <f>'p&amp;l'!Y40-'p&amp;l'!X40</f>
        <v>0.20418971131012231</v>
      </c>
      <c r="AB7" s="261">
        <f>'p&amp;l'!Z40-'p&amp;l'!Y40</f>
        <v>0.21612383686685099</v>
      </c>
      <c r="AC7" s="261">
        <f>'p&amp;l'!AA40-'p&amp;l'!Z40</f>
        <v>0.23604212045260287</v>
      </c>
      <c r="AD7" s="261">
        <f>'p&amp;l'!AB40-'p&amp;l'!AA40</f>
        <v>0.23486305276891883</v>
      </c>
      <c r="AE7" s="261">
        <f>'p&amp;l'!AC40-'p&amp;l'!AB40</f>
        <v>0.25631561364723243</v>
      </c>
      <c r="AF7" s="261">
        <f>'p&amp;l'!AD40-'p&amp;l'!AC40</f>
        <v>0.27132340450631354</v>
      </c>
      <c r="AG7" s="261">
        <f>'p&amp;l'!AE40-'p&amp;l'!AD40</f>
        <v>0.29449761775904637</v>
      </c>
      <c r="AH7" s="261">
        <f>'p&amp;l'!AF40-'p&amp;l'!AE40</f>
        <v>0.29676759374670691</v>
      </c>
      <c r="AI7" s="261">
        <f>'p&amp;l'!AG40-'p&amp;l'!AF40</f>
        <v>0.44597836822836356</v>
      </c>
      <c r="AJ7" s="261">
        <f>'p&amp;l'!AH40-'p&amp;l'!AG40</f>
        <v>3.5454835214473235E-2</v>
      </c>
      <c r="AK7" s="261">
        <f>'p&amp;l'!AI40-'p&amp;l'!AH40</f>
        <v>0.36752999948205733</v>
      </c>
      <c r="AL7" s="261">
        <f>'p&amp;l'!AJ40-'p&amp;l'!AI40</f>
        <v>0.37513635336582851</v>
      </c>
      <c r="AM7" s="261">
        <f>'p&amp;l'!AK40-'p&amp;l'!AJ40</f>
        <v>0.40434757730279358</v>
      </c>
      <c r="AN7" s="261">
        <f>'p&amp;l'!AL40-'p&amp;l'!AK40</f>
        <v>0.4281004930672605</v>
      </c>
      <c r="AO7" s="261">
        <f>'p&amp;l'!AM40-'p&amp;l'!AL40</f>
        <v>0.46004264876811085</v>
      </c>
      <c r="AP7" s="261">
        <f>'p&amp;l'!AN40-'p&amp;l'!AM40</f>
        <v>0.47311999296476159</v>
      </c>
      <c r="AQ7" s="261">
        <f>'p&amp;l'!AO40-'p&amp;l'!AN40</f>
        <v>0.50812727588760964</v>
      </c>
      <c r="AR7" s="261">
        <f>'p&amp;l'!AP40-'p&amp;l'!AO40</f>
        <v>0.53802069580151546</v>
      </c>
      <c r="AS7" s="261">
        <f>'p&amp;l'!AQ40-'p&amp;l'!AP40</f>
        <v>0.56968395224467905</v>
      </c>
    </row>
    <row r="8" spans="2:46">
      <c r="B8" s="286" t="s">
        <v>88</v>
      </c>
      <c r="C8" s="260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1"/>
      <c r="AD8" s="261"/>
      <c r="AE8" s="261"/>
      <c r="AF8" s="261"/>
      <c r="AG8" s="261"/>
      <c r="AH8" s="261"/>
      <c r="AI8" s="261"/>
      <c r="AJ8" s="261"/>
      <c r="AK8" s="261"/>
      <c r="AL8" s="261"/>
      <c r="AM8" s="261"/>
      <c r="AN8" s="261"/>
      <c r="AO8" s="261"/>
      <c r="AP8" s="261"/>
      <c r="AQ8" s="261"/>
      <c r="AR8" s="261"/>
      <c r="AS8" s="261">
        <f>(1-'INPUT DATA SHEET'!$C$102)*('INPUT DATA SHEET'!C11+'INPUT DATA SHEET'!C19+'INPUT DATA SHEET'!C23+'INPUT DATA SHEET'!C36+'INPUT DATA SHEET'!C37+'INPUT DATA SHEET'!C38)+'INPUT DATA SHEET'!$C$10</f>
        <v>48.139891999999996</v>
      </c>
      <c r="AT8" s="168"/>
    </row>
    <row r="9" spans="2:46" ht="25.5">
      <c r="B9" s="286" t="s">
        <v>35</v>
      </c>
      <c r="C9" s="260"/>
      <c r="D9" s="261"/>
      <c r="E9" s="261"/>
      <c r="F9" s="261">
        <f>'p&amp;l'!D23</f>
        <v>6.8717006999999999</v>
      </c>
      <c r="G9" s="261">
        <f>'p&amp;l'!E23</f>
        <v>6.8717006999999999</v>
      </c>
      <c r="H9" s="261">
        <f>'p&amp;l'!F23</f>
        <v>6.8717006999999999</v>
      </c>
      <c r="I9" s="261">
        <f>'p&amp;l'!G23</f>
        <v>6.8717006999999999</v>
      </c>
      <c r="J9" s="261">
        <f>'p&amp;l'!H23</f>
        <v>6.8717006999999999</v>
      </c>
      <c r="K9" s="261">
        <f>'p&amp;l'!I23</f>
        <v>6.8717006999999999</v>
      </c>
      <c r="L9" s="261">
        <f>'p&amp;l'!J23</f>
        <v>6.8717006999999999</v>
      </c>
      <c r="M9" s="261">
        <f>'p&amp;l'!K23</f>
        <v>6.8717006999999999</v>
      </c>
      <c r="N9" s="261">
        <f>'p&amp;l'!L23</f>
        <v>6.8717006999999999</v>
      </c>
      <c r="O9" s="261">
        <f>'p&amp;l'!M23</f>
        <v>6.8717006999999999</v>
      </c>
      <c r="P9" s="261">
        <f>'p&amp;l'!N23</f>
        <v>6.8717006999999999</v>
      </c>
      <c r="Q9" s="261">
        <f>'p&amp;l'!O23</f>
        <v>6.8717006999999999</v>
      </c>
      <c r="R9" s="261">
        <f>'p&amp;l'!P23</f>
        <v>6.8717006999999999</v>
      </c>
      <c r="S9" s="261">
        <f>'p&amp;l'!Q23</f>
        <v>6.8717006999999999</v>
      </c>
      <c r="T9" s="261">
        <f>'p&amp;l'!R23</f>
        <v>6.8717006999999999</v>
      </c>
      <c r="U9" s="261">
        <f>'p&amp;l'!S23</f>
        <v>6.8717006999999999</v>
      </c>
      <c r="V9" s="261">
        <f>'p&amp;l'!T23</f>
        <v>6.8717006999999999</v>
      </c>
      <c r="W9" s="261">
        <f>'p&amp;l'!U23</f>
        <v>6.8717006999999999</v>
      </c>
      <c r="X9" s="261">
        <f>'p&amp;l'!V23</f>
        <v>6.8717006999999999</v>
      </c>
      <c r="Y9" s="261">
        <f>'p&amp;l'!W23</f>
        <v>6.8717006999999999</v>
      </c>
      <c r="Z9" s="261">
        <f>'p&amp;l'!X23</f>
        <v>6.8717006999999999</v>
      </c>
      <c r="AA9" s="261">
        <f>'p&amp;l'!Y23</f>
        <v>6.8717006999999999</v>
      </c>
      <c r="AB9" s="261">
        <f>'p&amp;l'!Z23</f>
        <v>6.8717006999999999</v>
      </c>
      <c r="AC9" s="261">
        <f>'p&amp;l'!AA23</f>
        <v>6.8717006999999999</v>
      </c>
      <c r="AD9" s="261">
        <f>'p&amp;l'!AB23</f>
        <v>6.8717006999999999</v>
      </c>
      <c r="AE9" s="261">
        <f>'p&amp;l'!AC23</f>
        <v>6.8717006999999999</v>
      </c>
      <c r="AF9" s="261">
        <f>'p&amp;l'!AD23</f>
        <v>6.8717006999999999</v>
      </c>
      <c r="AG9" s="261">
        <f>'p&amp;l'!AE23</f>
        <v>6.8717006999999999</v>
      </c>
      <c r="AH9" s="261">
        <f>'p&amp;l'!AF23</f>
        <v>6.8717006999999999</v>
      </c>
      <c r="AI9" s="261">
        <f>'p&amp;l'!AG23</f>
        <v>6.8717006999999999</v>
      </c>
      <c r="AJ9" s="261">
        <f>'p&amp;l'!AH23</f>
        <v>6.8717006999999999</v>
      </c>
      <c r="AK9" s="261">
        <f>'p&amp;l'!AI23</f>
        <v>6.8717006999999999</v>
      </c>
      <c r="AL9" s="261">
        <f>'p&amp;l'!AJ23</f>
        <v>6.8717006999999999</v>
      </c>
      <c r="AM9" s="261">
        <f>'p&amp;l'!AK23</f>
        <v>6.8717006999999999</v>
      </c>
      <c r="AN9" s="261">
        <f>'p&amp;l'!AL23</f>
        <v>6.8717006999999999</v>
      </c>
      <c r="AO9" s="261">
        <f>'p&amp;l'!AM23</f>
        <v>6.8717006999999999</v>
      </c>
      <c r="AP9" s="261">
        <f>'p&amp;l'!AN23</f>
        <v>6.8717006999999999</v>
      </c>
      <c r="AQ9" s="261">
        <f>'p&amp;l'!AO23</f>
        <v>6.8717006999999999</v>
      </c>
      <c r="AR9" s="261">
        <f>'p&amp;l'!AP23</f>
        <v>6.8717006999999999</v>
      </c>
      <c r="AS9" s="261">
        <f>'p&amp;l'!AQ23</f>
        <v>6.8717006999999839</v>
      </c>
      <c r="AT9" s="168"/>
    </row>
    <row r="10" spans="2:46">
      <c r="B10" s="286" t="s">
        <v>103</v>
      </c>
      <c r="C10" s="260"/>
      <c r="D10" s="261"/>
      <c r="E10" s="261"/>
      <c r="F10" s="261">
        <f>'p&amp;l'!D12*'INPUT DATA SHEET'!$C$111*'INPUT DATA SHEET'!$C$112*'INPUT DATA SHEET'!$C$113/10^6</f>
        <v>0</v>
      </c>
      <c r="G10" s="261">
        <f>'p&amp;l'!E12*'INPUT DATA SHEET'!$C$111*'INPUT DATA SHEET'!$C$112*'INPUT DATA SHEET'!$C$113/10^6</f>
        <v>0</v>
      </c>
      <c r="H10" s="261">
        <f>'p&amp;l'!F12*'INPUT DATA SHEET'!$C$111*'INPUT DATA SHEET'!$C$112*'INPUT DATA SHEET'!$C$113/10^6</f>
        <v>0</v>
      </c>
      <c r="I10" s="261">
        <f>'p&amp;l'!G12*'INPUT DATA SHEET'!$C$111*'INPUT DATA SHEET'!$C$112*'INPUT DATA SHEET'!$C$113/10^6</f>
        <v>0</v>
      </c>
      <c r="J10" s="261">
        <f>'p&amp;l'!H12*'INPUT DATA SHEET'!$C$111*'INPUT DATA SHEET'!$C$112*'INPUT DATA SHEET'!$C$113/10^6</f>
        <v>0</v>
      </c>
      <c r="K10" s="261">
        <f>'p&amp;l'!I12*'INPUT DATA SHEET'!$C$111*'INPUT DATA SHEET'!$C$112*'INPUT DATA SHEET'!$C$113/10^6</f>
        <v>0</v>
      </c>
      <c r="L10" s="261">
        <f>'p&amp;l'!J12*'INPUT DATA SHEET'!$C$111*'INPUT DATA SHEET'!$C$112*'INPUT DATA SHEET'!$C$113/10^6</f>
        <v>0</v>
      </c>
      <c r="M10" s="261">
        <f>'p&amp;l'!K12*'INPUT DATA SHEET'!$C$111*'INPUT DATA SHEET'!$C$112*'INPUT DATA SHEET'!$C$113/10^6</f>
        <v>0</v>
      </c>
      <c r="N10" s="261">
        <f>'p&amp;l'!L12*'INPUT DATA SHEET'!$C$111*'INPUT DATA SHEET'!$C$112*'INPUT DATA SHEET'!$C$113/10^6</f>
        <v>0</v>
      </c>
      <c r="O10" s="261">
        <f>'p&amp;l'!M12*'INPUT DATA SHEET'!$C$111*'INPUT DATA SHEET'!$C$112*'INPUT DATA SHEET'!$C$113/10^6</f>
        <v>0</v>
      </c>
      <c r="P10" s="261">
        <f>'p&amp;l'!N12*'INPUT DATA SHEET'!$C$111*'INPUT DATA SHEET'!$C$112*'INPUT DATA SHEET'!$C$113/10^6</f>
        <v>0</v>
      </c>
      <c r="Q10" s="261">
        <f>'p&amp;l'!O12*'INPUT DATA SHEET'!$C$111*'INPUT DATA SHEET'!$C$112*'INPUT DATA SHEET'!$C$113/10^6</f>
        <v>0</v>
      </c>
      <c r="R10" s="261">
        <f>'p&amp;l'!P12*'INPUT DATA SHEET'!$C$111*'INPUT DATA SHEET'!$C$112*'INPUT DATA SHEET'!$C$113/10^6</f>
        <v>0</v>
      </c>
      <c r="S10" s="261">
        <f>'p&amp;l'!Q12*'INPUT DATA SHEET'!$C$111*'INPUT DATA SHEET'!$C$112*'INPUT DATA SHEET'!$C$113/10^6</f>
        <v>0</v>
      </c>
      <c r="T10" s="261">
        <f>'p&amp;l'!R12*'INPUT DATA SHEET'!$C$111*'INPUT DATA SHEET'!$C$112*'INPUT DATA SHEET'!$C$113/10^6</f>
        <v>0</v>
      </c>
      <c r="U10" s="261">
        <f>'p&amp;l'!S12*'INPUT DATA SHEET'!$C$111*'INPUT DATA SHEET'!$C$112*'INPUT DATA SHEET'!$C$113/10^6</f>
        <v>0</v>
      </c>
      <c r="V10" s="261">
        <f>'p&amp;l'!T12*'INPUT DATA SHEET'!$C$111*'INPUT DATA SHEET'!$C$112*'INPUT DATA SHEET'!$C$113/10^6</f>
        <v>0</v>
      </c>
      <c r="W10" s="261">
        <f>'p&amp;l'!U12*'INPUT DATA SHEET'!$C$111*'INPUT DATA SHEET'!$C$112*'INPUT DATA SHEET'!$C$113/10^6</f>
        <v>0</v>
      </c>
      <c r="X10" s="261">
        <f>'p&amp;l'!V12*'INPUT DATA SHEET'!$C$111*'INPUT DATA SHEET'!$C$112*'INPUT DATA SHEET'!$C$113/10^6</f>
        <v>0</v>
      </c>
      <c r="Y10" s="261">
        <f>'p&amp;l'!W12*'INPUT DATA SHEET'!$C$111*'INPUT DATA SHEET'!$C$112*'INPUT DATA SHEET'!$C$113/10^6</f>
        <v>0</v>
      </c>
      <c r="Z10" s="261">
        <f>'p&amp;l'!X12*'INPUT DATA SHEET'!$C$111*'INPUT DATA SHEET'!$C$112*'INPUT DATA SHEET'!$C$113/10^6</f>
        <v>0</v>
      </c>
      <c r="AA10" s="261"/>
      <c r="AB10" s="261"/>
      <c r="AC10" s="261"/>
      <c r="AD10" s="261"/>
      <c r="AE10" s="261"/>
      <c r="AF10" s="261"/>
      <c r="AG10" s="261"/>
      <c r="AH10" s="261"/>
      <c r="AI10" s="261"/>
      <c r="AJ10" s="261"/>
      <c r="AK10" s="261"/>
      <c r="AL10" s="261"/>
      <c r="AM10" s="261"/>
      <c r="AN10" s="261"/>
      <c r="AO10" s="261"/>
      <c r="AP10" s="261"/>
      <c r="AQ10" s="261"/>
      <c r="AR10" s="261"/>
      <c r="AS10" s="261">
        <f>'p&amp;l'!AR12*'INPUT DATA SHEET'!$C$111*'INPUT DATA SHEET'!$C$112*'INPUT DATA SHEET'!$C$113/10^6</f>
        <v>0</v>
      </c>
    </row>
    <row r="11" spans="2:46" ht="25.5">
      <c r="B11" s="287" t="s">
        <v>36</v>
      </c>
      <c r="C11" s="262">
        <f>SUM(C3:C9)</f>
        <v>16.311445459999998</v>
      </c>
      <c r="D11" s="262">
        <f>SUM(D3:D9)</f>
        <v>146.80300914</v>
      </c>
      <c r="E11" s="262">
        <f>SUM(E3:E9)</f>
        <v>163.11445459999999</v>
      </c>
      <c r="F11" s="262">
        <f>SUM(F3:F10)</f>
        <v>38.495746899241858</v>
      </c>
      <c r="G11" s="262">
        <f t="shared" ref="G11:AR11" si="0">SUM(G3:G10)</f>
        <v>25.506735959955599</v>
      </c>
      <c r="H11" s="262">
        <f t="shared" si="0"/>
        <v>26.082121225059993</v>
      </c>
      <c r="I11" s="262">
        <f t="shared" si="0"/>
        <v>28.178974261470593</v>
      </c>
      <c r="J11" s="262">
        <f t="shared" si="0"/>
        <v>29.917792422652177</v>
      </c>
      <c r="K11" s="262">
        <f>SUM(K3:K10)</f>
        <v>31.861067414128101</v>
      </c>
      <c r="L11" s="262">
        <f t="shared" si="0"/>
        <v>33.765572293002073</v>
      </c>
      <c r="M11" s="262">
        <f t="shared" si="0"/>
        <v>35.818492306692498</v>
      </c>
      <c r="N11" s="262">
        <f t="shared" si="0"/>
        <v>37.511607823143116</v>
      </c>
      <c r="O11" s="262">
        <f t="shared" si="0"/>
        <v>39.4073390249307</v>
      </c>
      <c r="P11" s="262">
        <f t="shared" si="0"/>
        <v>40.81228440948103</v>
      </c>
      <c r="Q11" s="262">
        <f t="shared" si="0"/>
        <v>40.743826212958389</v>
      </c>
      <c r="R11" s="262">
        <f t="shared" si="0"/>
        <v>33.178744542348333</v>
      </c>
      <c r="S11" s="262">
        <f t="shared" si="0"/>
        <v>34.032580472835001</v>
      </c>
      <c r="T11" s="262">
        <f t="shared" si="0"/>
        <v>33.635534889056494</v>
      </c>
      <c r="U11" s="262">
        <f t="shared" si="0"/>
        <v>33.363368913965481</v>
      </c>
      <c r="V11" s="262">
        <f t="shared" si="0"/>
        <v>32.768617852241235</v>
      </c>
      <c r="W11" s="262">
        <f t="shared" si="0"/>
        <v>32.345970645232931</v>
      </c>
      <c r="X11" s="262">
        <f t="shared" si="0"/>
        <v>31.88107148228076</v>
      </c>
      <c r="Y11" s="262">
        <f t="shared" si="0"/>
        <v>31.538314433684945</v>
      </c>
      <c r="Z11" s="262">
        <f t="shared" si="0"/>
        <v>30.870123903281694</v>
      </c>
      <c r="AA11" s="262">
        <f t="shared" si="0"/>
        <v>30.371073411479145</v>
      </c>
      <c r="AB11" s="262">
        <f t="shared" si="0"/>
        <v>29.826687020730816</v>
      </c>
      <c r="AC11" s="262">
        <f t="shared" si="0"/>
        <v>29.401233774920243</v>
      </c>
      <c r="AD11" s="262">
        <f t="shared" si="0"/>
        <v>28.647007950288462</v>
      </c>
      <c r="AE11" s="262">
        <f t="shared" si="0"/>
        <v>28.058447628415593</v>
      </c>
      <c r="AF11" s="262">
        <f t="shared" si="0"/>
        <v>23.041398327838337</v>
      </c>
      <c r="AG11" s="262">
        <f t="shared" si="0"/>
        <v>21.218728140176616</v>
      </c>
      <c r="AH11" s="262">
        <f t="shared" si="0"/>
        <v>20.515163878787185</v>
      </c>
      <c r="AI11" s="262">
        <f t="shared" si="0"/>
        <v>22.010111482576853</v>
      </c>
      <c r="AJ11" s="262">
        <f t="shared" si="0"/>
        <v>15.944209439948619</v>
      </c>
      <c r="AK11" s="262">
        <f t="shared" si="0"/>
        <v>16.445407522725482</v>
      </c>
      <c r="AL11" s="262">
        <f t="shared" si="0"/>
        <v>15.656870188193915</v>
      </c>
      <c r="AM11" s="262">
        <f t="shared" si="0"/>
        <v>14.99961165595124</v>
      </c>
      <c r="AN11" s="262">
        <f t="shared" si="0"/>
        <v>14.29257277823139</v>
      </c>
      <c r="AO11" s="262">
        <f t="shared" si="0"/>
        <v>13.669455360272412</v>
      </c>
      <c r="AP11" s="262">
        <f t="shared" si="0"/>
        <v>12.770000400636661</v>
      </c>
      <c r="AQ11" s="262">
        <f t="shared" si="0"/>
        <v>11.997394765969272</v>
      </c>
      <c r="AR11" s="262">
        <f t="shared" si="0"/>
        <v>11.170402563072393</v>
      </c>
      <c r="AS11" s="262">
        <f>SUM(AS3:AS10)</f>
        <v>58.45026173303998</v>
      </c>
    </row>
    <row r="12" spans="2:46">
      <c r="B12" s="288"/>
      <c r="C12" s="263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2"/>
      <c r="S12" s="262"/>
      <c r="T12" s="262"/>
      <c r="U12" s="262"/>
      <c r="V12" s="262"/>
      <c r="W12" s="262"/>
      <c r="X12" s="262"/>
      <c r="Y12" s="262"/>
      <c r="Z12" s="262"/>
      <c r="AA12" s="262"/>
      <c r="AB12" s="262"/>
      <c r="AC12" s="262"/>
      <c r="AD12" s="262"/>
      <c r="AE12" s="262"/>
      <c r="AF12" s="262"/>
      <c r="AG12" s="262"/>
      <c r="AH12" s="262"/>
      <c r="AI12" s="262"/>
      <c r="AJ12" s="262"/>
      <c r="AK12" s="262"/>
      <c r="AL12" s="262"/>
      <c r="AM12" s="262"/>
      <c r="AN12" s="262"/>
      <c r="AO12" s="262"/>
      <c r="AP12" s="262"/>
      <c r="AQ12" s="262"/>
      <c r="AR12" s="262"/>
      <c r="AS12" s="262"/>
    </row>
    <row r="13" spans="2:46">
      <c r="B13" s="288" t="s">
        <v>11</v>
      </c>
      <c r="C13" s="263"/>
      <c r="D13" s="262"/>
      <c r="E13" s="262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61"/>
      <c r="Z13" s="261"/>
      <c r="AA13" s="261"/>
      <c r="AB13" s="261"/>
      <c r="AC13" s="261"/>
      <c r="AD13" s="261"/>
      <c r="AE13" s="261"/>
      <c r="AF13" s="261"/>
      <c r="AG13" s="261"/>
      <c r="AH13" s="261"/>
      <c r="AI13" s="261"/>
      <c r="AJ13" s="261"/>
      <c r="AK13" s="261"/>
      <c r="AL13" s="261"/>
      <c r="AM13" s="261"/>
      <c r="AN13" s="261"/>
      <c r="AO13" s="261"/>
      <c r="AP13" s="261"/>
      <c r="AQ13" s="261"/>
      <c r="AR13" s="261"/>
      <c r="AS13" s="261"/>
    </row>
    <row r="14" spans="2:46">
      <c r="B14" s="286" t="s">
        <v>12</v>
      </c>
      <c r="C14" s="264">
        <f>C3+C4</f>
        <v>16.311445459999998</v>
      </c>
      <c r="D14" s="261">
        <f>D3+D4</f>
        <v>146.80300914</v>
      </c>
      <c r="E14" s="261">
        <f>E3+E4</f>
        <v>163.11445459999999</v>
      </c>
      <c r="F14" s="261">
        <v>0</v>
      </c>
      <c r="G14" s="261">
        <v>0</v>
      </c>
      <c r="H14" s="261">
        <v>0</v>
      </c>
      <c r="I14" s="261">
        <v>0</v>
      </c>
      <c r="J14" s="261">
        <v>0</v>
      </c>
      <c r="K14" s="261">
        <v>0</v>
      </c>
      <c r="L14" s="261">
        <v>0</v>
      </c>
      <c r="M14" s="261">
        <v>0</v>
      </c>
      <c r="N14" s="261">
        <v>0</v>
      </c>
      <c r="O14" s="261">
        <v>0</v>
      </c>
      <c r="P14" s="261">
        <v>0</v>
      </c>
      <c r="Q14" s="261">
        <v>0</v>
      </c>
      <c r="R14" s="261">
        <v>0</v>
      </c>
      <c r="S14" s="261">
        <v>0</v>
      </c>
      <c r="T14" s="261">
        <v>0</v>
      </c>
      <c r="U14" s="261">
        <v>0</v>
      </c>
      <c r="V14" s="261">
        <v>0</v>
      </c>
      <c r="W14" s="261">
        <v>0</v>
      </c>
      <c r="X14" s="261">
        <v>0</v>
      </c>
      <c r="Y14" s="261">
        <v>0</v>
      </c>
      <c r="Z14" s="261">
        <v>0</v>
      </c>
      <c r="AA14" s="261">
        <v>0</v>
      </c>
      <c r="AB14" s="261">
        <v>0</v>
      </c>
      <c r="AC14" s="261">
        <v>0</v>
      </c>
      <c r="AD14" s="261">
        <v>0</v>
      </c>
      <c r="AE14" s="261">
        <v>0</v>
      </c>
      <c r="AF14" s="261">
        <v>0</v>
      </c>
      <c r="AG14" s="261">
        <v>0</v>
      </c>
      <c r="AH14" s="261">
        <v>0</v>
      </c>
      <c r="AI14" s="261">
        <v>0</v>
      </c>
      <c r="AJ14" s="261">
        <v>0</v>
      </c>
      <c r="AK14" s="261">
        <v>0</v>
      </c>
      <c r="AL14" s="261">
        <v>0</v>
      </c>
      <c r="AM14" s="261">
        <v>0</v>
      </c>
      <c r="AN14" s="261">
        <v>0</v>
      </c>
      <c r="AO14" s="261">
        <v>0</v>
      </c>
      <c r="AP14" s="261">
        <v>0</v>
      </c>
      <c r="AQ14" s="261">
        <v>0</v>
      </c>
      <c r="AR14" s="261">
        <v>0</v>
      </c>
      <c r="AS14" s="261">
        <v>0</v>
      </c>
    </row>
    <row r="15" spans="2:46">
      <c r="B15" s="286" t="s">
        <v>13</v>
      </c>
      <c r="C15" s="264">
        <v>0</v>
      </c>
      <c r="D15" s="264">
        <v>0</v>
      </c>
      <c r="E15" s="264">
        <v>0</v>
      </c>
      <c r="F15" s="264"/>
      <c r="G15" s="264">
        <f>'Loan schedule'!E19</f>
        <v>0</v>
      </c>
      <c r="H15" s="264">
        <f>'Loan schedule'!F19</f>
        <v>22.836023643999997</v>
      </c>
      <c r="I15" s="264">
        <f>'Loan schedule'!G19</f>
        <v>22.836023643999997</v>
      </c>
      <c r="J15" s="264">
        <f>'Loan schedule'!H19</f>
        <v>22.836023643999997</v>
      </c>
      <c r="K15" s="264">
        <f>'Loan schedule'!I19</f>
        <v>22.836023643999997</v>
      </c>
      <c r="L15" s="264">
        <f>'Loan schedule'!J19</f>
        <v>22.836023643999997</v>
      </c>
      <c r="M15" s="264">
        <f>'Loan schedule'!K19</f>
        <v>22.836023643999997</v>
      </c>
      <c r="N15" s="264">
        <f>'Loan schedule'!L19</f>
        <v>22.836023643999997</v>
      </c>
      <c r="O15" s="264">
        <f>'Loan schedule'!M19</f>
        <v>22.836023643999997</v>
      </c>
      <c r="P15" s="264">
        <f>'Loan schedule'!N19</f>
        <v>5.1720472880000079</v>
      </c>
      <c r="Q15" s="264">
        <f>'Loan schedule'!O19</f>
        <v>0</v>
      </c>
      <c r="R15" s="264">
        <f>'Loan schedule'!P19</f>
        <v>0</v>
      </c>
      <c r="S15" s="264">
        <f>'Loan schedule'!Q19</f>
        <v>0</v>
      </c>
      <c r="T15" s="264">
        <f>'Loan schedule'!R19</f>
        <v>0</v>
      </c>
      <c r="U15" s="264">
        <f>'Loan schedule'!S19</f>
        <v>0</v>
      </c>
      <c r="V15" s="264">
        <f>'Loan schedule'!T19</f>
        <v>0</v>
      </c>
      <c r="W15" s="264">
        <f>'Loan schedule'!U19</f>
        <v>0</v>
      </c>
      <c r="X15" s="264">
        <f>'Loan schedule'!V19</f>
        <v>0</v>
      </c>
      <c r="Y15" s="264">
        <f>'Loan schedule'!W19</f>
        <v>0</v>
      </c>
      <c r="Z15" s="264">
        <f>'Loan schedule'!X19</f>
        <v>0</v>
      </c>
      <c r="AA15" s="264">
        <f>'Loan schedule'!Y19</f>
        <v>0</v>
      </c>
      <c r="AB15" s="264">
        <f>'Loan schedule'!Z19</f>
        <v>0</v>
      </c>
      <c r="AC15" s="264">
        <f>'Loan schedule'!AA19</f>
        <v>0</v>
      </c>
      <c r="AD15" s="264">
        <f>'Loan schedule'!AB19</f>
        <v>0</v>
      </c>
      <c r="AE15" s="264">
        <f>'Loan schedule'!AC19</f>
        <v>0</v>
      </c>
      <c r="AF15" s="264">
        <f>'Loan schedule'!AD19</f>
        <v>0</v>
      </c>
      <c r="AG15" s="264">
        <f>'Loan schedule'!AE19</f>
        <v>0</v>
      </c>
      <c r="AH15" s="264">
        <f>'Loan schedule'!AF19</f>
        <v>0</v>
      </c>
      <c r="AI15" s="264">
        <f>'Loan schedule'!AG19</f>
        <v>0</v>
      </c>
      <c r="AJ15" s="264">
        <f>'Loan schedule'!AH19</f>
        <v>0</v>
      </c>
      <c r="AK15" s="264">
        <f>'Loan schedule'!AI19</f>
        <v>0</v>
      </c>
      <c r="AL15" s="264">
        <f>'Loan schedule'!AJ19</f>
        <v>0</v>
      </c>
      <c r="AM15" s="264">
        <f>'Loan schedule'!AK19</f>
        <v>0</v>
      </c>
      <c r="AN15" s="264">
        <f>'Loan schedule'!AL19</f>
        <v>0</v>
      </c>
      <c r="AO15" s="264">
        <f>'Loan schedule'!AM19</f>
        <v>0</v>
      </c>
      <c r="AP15" s="264">
        <f>'Loan schedule'!AN19</f>
        <v>0</v>
      </c>
      <c r="AQ15" s="264">
        <f>'Loan schedule'!AO19</f>
        <v>0</v>
      </c>
      <c r="AR15" s="264">
        <f>'Loan schedule'!AP19</f>
        <v>0</v>
      </c>
      <c r="AS15" s="264">
        <f>'Loan schedule'!AQ19</f>
        <v>0</v>
      </c>
    </row>
    <row r="16" spans="2:46" ht="25.5">
      <c r="B16" s="286" t="s">
        <v>19</v>
      </c>
      <c r="C16" s="260"/>
      <c r="D16" s="261">
        <v>0</v>
      </c>
      <c r="E16" s="261">
        <v>0</v>
      </c>
      <c r="F16" s="261">
        <f>'p&amp;l'!D39-'p&amp;l'!C39</f>
        <v>13.931847784409642</v>
      </c>
      <c r="G16" s="261">
        <f>'p&amp;l'!E39-'p&amp;l'!D39</f>
        <v>0.21986934702246508</v>
      </c>
      <c r="H16" s="261">
        <f>'p&amp;l'!F39-'p&amp;l'!E39</f>
        <v>0.23257886781376413</v>
      </c>
      <c r="I16" s="261">
        <f>'p&amp;l'!G39-'p&amp;l'!F39</f>
        <v>0.27361044508653976</v>
      </c>
      <c r="J16" s="261">
        <f>'p&amp;l'!H39-'p&amp;l'!G39</f>
        <v>0.232692739214718</v>
      </c>
      <c r="K16" s="261">
        <f>'p&amp;l'!I39-'p&amp;l'!H39</f>
        <v>0.27534491745815259</v>
      </c>
      <c r="L16" s="261">
        <f>'p&amp;l'!J39-'p&amp;l'!I39</f>
        <v>0.2913009919350884</v>
      </c>
      <c r="M16" s="261">
        <f>'p&amp;l'!K39-'p&amp;l'!J39</f>
        <v>0.33577063689301667</v>
      </c>
      <c r="N16" s="261">
        <f>'p&amp;l'!L39-'p&amp;l'!K39</f>
        <v>0.29849387237698544</v>
      </c>
      <c r="O16" s="261">
        <f>'p&amp;l'!M39-'p&amp;l'!L39</f>
        <v>0.34500190165143607</v>
      </c>
      <c r="P16" s="261">
        <f>'p&amp;l'!N39-'p&amp;l'!M39</f>
        <v>0.36504148954291438</v>
      </c>
      <c r="Q16" s="261">
        <f>'p&amp;l'!O39-'p&amp;l'!N39</f>
        <v>0.41383582249476447</v>
      </c>
      <c r="R16" s="261">
        <f>'p&amp;l'!P39-'p&amp;l'!O39</f>
        <v>-0.82681180100396645</v>
      </c>
      <c r="S16" s="261">
        <f>'p&amp;l'!Q39-'p&amp;l'!P39</f>
        <v>0.43249810796577393</v>
      </c>
      <c r="T16" s="261">
        <f>'p&amp;l'!R39-'p&amp;l'!Q39</f>
        <v>0.45767527220563764</v>
      </c>
      <c r="U16" s="261">
        <f>'p&amp;l'!S39-'p&amp;l'!R39</f>
        <v>0.5086014933453491</v>
      </c>
      <c r="V16" s="261">
        <f>'p&amp;l'!T39-'p&amp;l'!S39</f>
        <v>0.48828697454731085</v>
      </c>
      <c r="W16" s="261">
        <f>'p&amp;l'!U39-'p&amp;l'!T39</f>
        <v>0.54244048168361303</v>
      </c>
      <c r="X16" s="261">
        <f>'p&amp;l'!V39-'p&amp;l'!U39</f>
        <v>0.57408293485990569</v>
      </c>
      <c r="Y16" s="261">
        <f>'p&amp;l'!W39-'p&amp;l'!V39</f>
        <v>0.63185711213277429</v>
      </c>
      <c r="Z16" s="261">
        <f>'p&amp;l'!X39-'p&amp;l'!W39</f>
        <v>0.61879596669082915</v>
      </c>
      <c r="AA16" s="261">
        <f>'p&amp;l'!Y39-'p&amp;l'!X39</f>
        <v>0.68063237103374163</v>
      </c>
      <c r="AB16" s="261">
        <f>'p&amp;l'!Z39-'p&amp;l'!Y39</f>
        <v>0.72041278955617116</v>
      </c>
      <c r="AC16" s="261">
        <f>'p&amp;l'!AA39-'p&amp;l'!Z39</f>
        <v>0.78680706817534229</v>
      </c>
      <c r="AD16" s="261">
        <f>'p&amp;l'!AB39-'p&amp;l'!AA39</f>
        <v>0.78287684256306278</v>
      </c>
      <c r="AE16" s="261">
        <f>'p&amp;l'!AC39-'p&amp;l'!AB39</f>
        <v>0.8543853788241087</v>
      </c>
      <c r="AF16" s="261">
        <f>'p&amp;l'!AD39-'p&amp;l'!AC39</f>
        <v>0.90441134835437964</v>
      </c>
      <c r="AG16" s="261">
        <f>'p&amp;l'!AE39-'p&amp;l'!AD39</f>
        <v>0.98165872586348613</v>
      </c>
      <c r="AH16" s="261">
        <f>'p&amp;l'!AF39-'p&amp;l'!AE39</f>
        <v>0.98922531248902246</v>
      </c>
      <c r="AI16" s="261">
        <f>'p&amp;l'!AG39-'p&amp;l'!AF39</f>
        <v>1.4865945607612154</v>
      </c>
      <c r="AJ16" s="261">
        <f>'p&amp;l'!AH39-'p&amp;l'!AG39</f>
        <v>0.11818278404824056</v>
      </c>
      <c r="AK16" s="261">
        <f>'p&amp;l'!AI39-'p&amp;l'!AH39</f>
        <v>1.225099998273528</v>
      </c>
      <c r="AL16" s="261">
        <f>'p&amp;l'!AJ39-'p&amp;l'!AI39</f>
        <v>1.2504545112194272</v>
      </c>
      <c r="AM16" s="261">
        <f>'p&amp;l'!AK39-'p&amp;l'!AJ39</f>
        <v>1.3478252576759751</v>
      </c>
      <c r="AN16" s="261">
        <f>'p&amp;l'!AL39-'p&amp;l'!AK39</f>
        <v>1.4270016435575386</v>
      </c>
      <c r="AO16" s="261">
        <f>'p&amp;l'!AM39-'p&amp;l'!AL39</f>
        <v>1.533475495893704</v>
      </c>
      <c r="AP16" s="261">
        <f>'p&amp;l'!AN39-'p&amp;l'!AM39</f>
        <v>1.577066643215872</v>
      </c>
      <c r="AQ16" s="261">
        <f>'p&amp;l'!AO39-'p&amp;l'!AN39</f>
        <v>1.6937575862920298</v>
      </c>
      <c r="AR16" s="261">
        <f>'p&amp;l'!AP39-'p&amp;l'!AO39</f>
        <v>1.7934023193383837</v>
      </c>
      <c r="AS16" s="261">
        <f>'p&amp;l'!AQ39-'p&amp;l'!AP39</f>
        <v>1.8989465074822647</v>
      </c>
    </row>
    <row r="17" spans="2:45" ht="25.5">
      <c r="B17" s="288" t="s">
        <v>37</v>
      </c>
      <c r="C17" s="262">
        <f t="shared" ref="C17:E17" si="1">SUM(C14:C16)</f>
        <v>16.311445459999998</v>
      </c>
      <c r="D17" s="262">
        <f t="shared" si="1"/>
        <v>146.80300914</v>
      </c>
      <c r="E17" s="262">
        <f t="shared" si="1"/>
        <v>163.11445459999999</v>
      </c>
      <c r="F17" s="262">
        <f t="shared" ref="F17:Y17" si="2">SUM(F14:F16)</f>
        <v>13.931847784409642</v>
      </c>
      <c r="G17" s="265">
        <f t="shared" si="2"/>
        <v>0.21986934702246508</v>
      </c>
      <c r="H17" s="262">
        <f t="shared" si="2"/>
        <v>23.068602511813761</v>
      </c>
      <c r="I17" s="262">
        <f t="shared" si="2"/>
        <v>23.109634089086537</v>
      </c>
      <c r="J17" s="262">
        <f t="shared" si="2"/>
        <v>23.068716383214714</v>
      </c>
      <c r="K17" s="262">
        <f t="shared" si="2"/>
        <v>23.11136856145815</v>
      </c>
      <c r="L17" s="262">
        <f t="shared" si="2"/>
        <v>23.127324635935086</v>
      </c>
      <c r="M17" s="262">
        <f t="shared" si="2"/>
        <v>23.171794280893014</v>
      </c>
      <c r="N17" s="262">
        <f t="shared" si="2"/>
        <v>23.134517516376981</v>
      </c>
      <c r="O17" s="262">
        <f t="shared" si="2"/>
        <v>23.181025545651433</v>
      </c>
      <c r="P17" s="262">
        <f t="shared" si="2"/>
        <v>5.5370887775429223</v>
      </c>
      <c r="Q17" s="262">
        <f t="shared" si="2"/>
        <v>0.41383582249476447</v>
      </c>
      <c r="R17" s="262">
        <f t="shared" si="2"/>
        <v>-0.82681180100396645</v>
      </c>
      <c r="S17" s="262">
        <f t="shared" si="2"/>
        <v>0.43249810796577393</v>
      </c>
      <c r="T17" s="262">
        <f t="shared" si="2"/>
        <v>0.45767527220563764</v>
      </c>
      <c r="U17" s="262">
        <f t="shared" si="2"/>
        <v>0.5086014933453491</v>
      </c>
      <c r="V17" s="262">
        <f t="shared" si="2"/>
        <v>0.48828697454731085</v>
      </c>
      <c r="W17" s="262">
        <f t="shared" si="2"/>
        <v>0.54244048168361303</v>
      </c>
      <c r="X17" s="262">
        <f t="shared" si="2"/>
        <v>0.57408293485990569</v>
      </c>
      <c r="Y17" s="262">
        <f t="shared" si="2"/>
        <v>0.63185711213277429</v>
      </c>
      <c r="Z17" s="262">
        <f t="shared" ref="Z17:AI17" si="3">SUM(Z14:Z16)</f>
        <v>0.61879596669082915</v>
      </c>
      <c r="AA17" s="262">
        <f t="shared" si="3"/>
        <v>0.68063237103374163</v>
      </c>
      <c r="AB17" s="262">
        <f t="shared" si="3"/>
        <v>0.72041278955617116</v>
      </c>
      <c r="AC17" s="262">
        <f t="shared" si="3"/>
        <v>0.78680706817534229</v>
      </c>
      <c r="AD17" s="262">
        <f t="shared" si="3"/>
        <v>0.78287684256306278</v>
      </c>
      <c r="AE17" s="262">
        <f t="shared" si="3"/>
        <v>0.8543853788241087</v>
      </c>
      <c r="AF17" s="262">
        <f t="shared" si="3"/>
        <v>0.90441134835437964</v>
      </c>
      <c r="AG17" s="262">
        <f t="shared" si="3"/>
        <v>0.98165872586348613</v>
      </c>
      <c r="AH17" s="262">
        <f t="shared" si="3"/>
        <v>0.98922531248902246</v>
      </c>
      <c r="AI17" s="262">
        <f t="shared" si="3"/>
        <v>1.4865945607612154</v>
      </c>
      <c r="AJ17" s="262">
        <f t="shared" ref="AJ17:AS17" si="4">SUM(AJ14:AJ16)</f>
        <v>0.11818278404824056</v>
      </c>
      <c r="AK17" s="262">
        <f t="shared" si="4"/>
        <v>1.225099998273528</v>
      </c>
      <c r="AL17" s="262">
        <f t="shared" si="4"/>
        <v>1.2504545112194272</v>
      </c>
      <c r="AM17" s="262">
        <f t="shared" si="4"/>
        <v>1.3478252576759751</v>
      </c>
      <c r="AN17" s="262">
        <f t="shared" si="4"/>
        <v>1.4270016435575386</v>
      </c>
      <c r="AO17" s="262">
        <f t="shared" si="4"/>
        <v>1.533475495893704</v>
      </c>
      <c r="AP17" s="262">
        <f t="shared" si="4"/>
        <v>1.577066643215872</v>
      </c>
      <c r="AQ17" s="262">
        <f t="shared" si="4"/>
        <v>1.6937575862920298</v>
      </c>
      <c r="AR17" s="262">
        <f t="shared" si="4"/>
        <v>1.7934023193383837</v>
      </c>
      <c r="AS17" s="262">
        <f t="shared" si="4"/>
        <v>1.8989465074822647</v>
      </c>
    </row>
    <row r="18" spans="2:45">
      <c r="B18" s="288"/>
      <c r="C18" s="263"/>
      <c r="D18" s="262"/>
      <c r="E18" s="262"/>
      <c r="F18" s="262"/>
      <c r="G18" s="265"/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62"/>
      <c r="AG18" s="262"/>
      <c r="AH18" s="262"/>
      <c r="AI18" s="262"/>
      <c r="AJ18" s="262"/>
      <c r="AK18" s="262"/>
      <c r="AL18" s="262"/>
      <c r="AM18" s="262"/>
      <c r="AN18" s="262"/>
      <c r="AO18" s="262"/>
      <c r="AP18" s="262"/>
      <c r="AQ18" s="262"/>
      <c r="AR18" s="262"/>
      <c r="AS18" s="262"/>
    </row>
    <row r="19" spans="2:45" ht="25.5">
      <c r="B19" s="288" t="s">
        <v>38</v>
      </c>
      <c r="C19" s="262">
        <f t="shared" ref="C19:D19" si="5">+C11-C17</f>
        <v>0</v>
      </c>
      <c r="D19" s="262">
        <f t="shared" si="5"/>
        <v>0</v>
      </c>
      <c r="E19" s="262"/>
      <c r="F19" s="262">
        <f t="shared" ref="F19:Y19" si="6">+F11-F17</f>
        <v>24.563899114832218</v>
      </c>
      <c r="G19" s="265">
        <f t="shared" si="6"/>
        <v>25.286866612933132</v>
      </c>
      <c r="H19" s="262">
        <f t="shared" si="6"/>
        <v>3.0135187132462313</v>
      </c>
      <c r="I19" s="262">
        <f t="shared" si="6"/>
        <v>5.0693401723840559</v>
      </c>
      <c r="J19" s="262">
        <f t="shared" si="6"/>
        <v>6.8490760394374632</v>
      </c>
      <c r="K19" s="262">
        <f t="shared" si="6"/>
        <v>8.7496988526699511</v>
      </c>
      <c r="L19" s="262">
        <f t="shared" si="6"/>
        <v>10.638247657066987</v>
      </c>
      <c r="M19" s="262">
        <f t="shared" si="6"/>
        <v>12.646698025799484</v>
      </c>
      <c r="N19" s="262">
        <f t="shared" si="6"/>
        <v>14.377090306766135</v>
      </c>
      <c r="O19" s="262">
        <f t="shared" si="6"/>
        <v>16.226313479279266</v>
      </c>
      <c r="P19" s="262">
        <f t="shared" si="6"/>
        <v>35.275195631938111</v>
      </c>
      <c r="Q19" s="262">
        <f t="shared" si="6"/>
        <v>40.329990390463621</v>
      </c>
      <c r="R19" s="262">
        <f t="shared" si="6"/>
        <v>34.005556343352296</v>
      </c>
      <c r="S19" s="262">
        <f t="shared" si="6"/>
        <v>33.600082364869223</v>
      </c>
      <c r="T19" s="262">
        <f t="shared" si="6"/>
        <v>33.177859616850853</v>
      </c>
      <c r="U19" s="262">
        <f t="shared" si="6"/>
        <v>32.854767420620135</v>
      </c>
      <c r="V19" s="262">
        <f t="shared" si="6"/>
        <v>32.280330877693928</v>
      </c>
      <c r="W19" s="262">
        <f t="shared" si="6"/>
        <v>31.803530163549318</v>
      </c>
      <c r="X19" s="262">
        <f t="shared" si="6"/>
        <v>31.306988547420854</v>
      </c>
      <c r="Y19" s="262">
        <f t="shared" si="6"/>
        <v>30.906457321552171</v>
      </c>
      <c r="Z19" s="262">
        <f t="shared" ref="Z19:AI19" si="7">+Z11-Z17</f>
        <v>30.251327936590865</v>
      </c>
      <c r="AA19" s="262">
        <f t="shared" si="7"/>
        <v>29.690441040445403</v>
      </c>
      <c r="AB19" s="262">
        <f t="shared" si="7"/>
        <v>29.106274231174645</v>
      </c>
      <c r="AC19" s="262">
        <f t="shared" si="7"/>
        <v>28.614426706744901</v>
      </c>
      <c r="AD19" s="262">
        <f t="shared" si="7"/>
        <v>27.864131107725399</v>
      </c>
      <c r="AE19" s="262">
        <f t="shared" si="7"/>
        <v>27.204062249591484</v>
      </c>
      <c r="AF19" s="262">
        <f t="shared" si="7"/>
        <v>22.136986979483957</v>
      </c>
      <c r="AG19" s="262">
        <f t="shared" si="7"/>
        <v>20.23706941431313</v>
      </c>
      <c r="AH19" s="262">
        <f t="shared" si="7"/>
        <v>19.525938566298162</v>
      </c>
      <c r="AI19" s="262">
        <f t="shared" si="7"/>
        <v>20.523516921815638</v>
      </c>
      <c r="AJ19" s="262">
        <f t="shared" ref="AJ19:AS19" si="8">+AJ11-AJ17</f>
        <v>15.826026655900378</v>
      </c>
      <c r="AK19" s="262">
        <f t="shared" si="8"/>
        <v>15.220307524451954</v>
      </c>
      <c r="AL19" s="262">
        <f t="shared" si="8"/>
        <v>14.406415676974488</v>
      </c>
      <c r="AM19" s="262">
        <f t="shared" si="8"/>
        <v>13.651786398275265</v>
      </c>
      <c r="AN19" s="262">
        <f t="shared" si="8"/>
        <v>12.865571134673852</v>
      </c>
      <c r="AO19" s="262">
        <f t="shared" si="8"/>
        <v>12.135979864378708</v>
      </c>
      <c r="AP19" s="262">
        <f t="shared" si="8"/>
        <v>11.192933757420789</v>
      </c>
      <c r="AQ19" s="262">
        <f t="shared" si="8"/>
        <v>10.303637179677242</v>
      </c>
      <c r="AR19" s="262">
        <f t="shared" si="8"/>
        <v>9.3770002437340096</v>
      </c>
      <c r="AS19" s="262">
        <f t="shared" si="8"/>
        <v>56.551315225557715</v>
      </c>
    </row>
    <row r="20" spans="2:45">
      <c r="B20" s="288"/>
      <c r="C20" s="263"/>
      <c r="D20" s="262"/>
      <c r="E20" s="262"/>
      <c r="F20" s="262"/>
      <c r="G20" s="265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/>
      <c r="X20" s="262"/>
      <c r="Y20" s="262"/>
      <c r="Z20" s="262"/>
      <c r="AA20" s="262"/>
      <c r="AB20" s="262"/>
      <c r="AC20" s="262"/>
      <c r="AD20" s="262"/>
      <c r="AE20" s="262"/>
      <c r="AF20" s="262"/>
      <c r="AG20" s="262"/>
      <c r="AH20" s="262"/>
      <c r="AI20" s="262"/>
      <c r="AJ20" s="262"/>
      <c r="AK20" s="262"/>
      <c r="AL20" s="262"/>
      <c r="AM20" s="262"/>
      <c r="AN20" s="262"/>
      <c r="AO20" s="262"/>
      <c r="AP20" s="262"/>
      <c r="AQ20" s="262"/>
      <c r="AR20" s="262"/>
      <c r="AS20" s="262"/>
    </row>
    <row r="21" spans="2:45" ht="25.5">
      <c r="B21" s="289" t="s">
        <v>17</v>
      </c>
      <c r="C21" s="261">
        <f>C19</f>
        <v>0</v>
      </c>
      <c r="D21" s="261">
        <f>D19</f>
        <v>0</v>
      </c>
      <c r="E21" s="261"/>
      <c r="F21" s="261">
        <f>F19</f>
        <v>24.563899114832218</v>
      </c>
      <c r="G21" s="259">
        <f t="shared" ref="G21:AS21" si="9">G19+F21</f>
        <v>49.850765727765349</v>
      </c>
      <c r="H21" s="261">
        <f t="shared" si="9"/>
        <v>52.864284441011577</v>
      </c>
      <c r="I21" s="261">
        <f t="shared" si="9"/>
        <v>57.933624613395637</v>
      </c>
      <c r="J21" s="261">
        <f t="shared" si="9"/>
        <v>64.7827006528331</v>
      </c>
      <c r="K21" s="261">
        <f t="shared" si="9"/>
        <v>73.532399505503051</v>
      </c>
      <c r="L21" s="261">
        <f t="shared" si="9"/>
        <v>84.170647162570035</v>
      </c>
      <c r="M21" s="261">
        <f t="shared" si="9"/>
        <v>96.817345188369515</v>
      </c>
      <c r="N21" s="261">
        <f t="shared" si="9"/>
        <v>111.19443549513565</v>
      </c>
      <c r="O21" s="261">
        <f t="shared" si="9"/>
        <v>127.42074897441492</v>
      </c>
      <c r="P21" s="261">
        <f t="shared" si="9"/>
        <v>162.69594460635304</v>
      </c>
      <c r="Q21" s="261">
        <f t="shared" si="9"/>
        <v>203.02593499681666</v>
      </c>
      <c r="R21" s="261">
        <f t="shared" si="9"/>
        <v>237.03149134016894</v>
      </c>
      <c r="S21" s="261">
        <f t="shared" si="9"/>
        <v>270.63157370503814</v>
      </c>
      <c r="T21" s="261">
        <f t="shared" si="9"/>
        <v>303.809433321889</v>
      </c>
      <c r="U21" s="261">
        <f t="shared" si="9"/>
        <v>336.66420074250914</v>
      </c>
      <c r="V21" s="261">
        <f t="shared" si="9"/>
        <v>368.94453162020307</v>
      </c>
      <c r="W21" s="261">
        <f t="shared" si="9"/>
        <v>400.74806178375241</v>
      </c>
      <c r="X21" s="261">
        <f t="shared" si="9"/>
        <v>432.05505033117328</v>
      </c>
      <c r="Y21" s="261">
        <f t="shared" si="9"/>
        <v>462.96150765272546</v>
      </c>
      <c r="Z21" s="261">
        <f t="shared" si="9"/>
        <v>493.21283558931634</v>
      </c>
      <c r="AA21" s="261">
        <f t="shared" si="9"/>
        <v>522.90327662976176</v>
      </c>
      <c r="AB21" s="261">
        <f t="shared" si="9"/>
        <v>552.00955086093643</v>
      </c>
      <c r="AC21" s="261">
        <f t="shared" si="9"/>
        <v>580.62397756768132</v>
      </c>
      <c r="AD21" s="261">
        <f t="shared" si="9"/>
        <v>608.48810867540669</v>
      </c>
      <c r="AE21" s="261">
        <f t="shared" si="9"/>
        <v>635.69217092499821</v>
      </c>
      <c r="AF21" s="261">
        <f t="shared" si="9"/>
        <v>657.82915790448214</v>
      </c>
      <c r="AG21" s="261">
        <f t="shared" si="9"/>
        <v>678.06622731879531</v>
      </c>
      <c r="AH21" s="261">
        <f t="shared" si="9"/>
        <v>697.59216588509344</v>
      </c>
      <c r="AI21" s="261">
        <f t="shared" si="9"/>
        <v>718.11568280690904</v>
      </c>
      <c r="AJ21" s="261">
        <f t="shared" si="9"/>
        <v>733.9417094628094</v>
      </c>
      <c r="AK21" s="261">
        <f t="shared" si="9"/>
        <v>749.16201698726138</v>
      </c>
      <c r="AL21" s="261">
        <f t="shared" si="9"/>
        <v>763.56843266423584</v>
      </c>
      <c r="AM21" s="261">
        <f t="shared" si="9"/>
        <v>777.22021906251109</v>
      </c>
      <c r="AN21" s="261">
        <f t="shared" si="9"/>
        <v>790.08579019718491</v>
      </c>
      <c r="AO21" s="261">
        <f t="shared" si="9"/>
        <v>802.22177006156357</v>
      </c>
      <c r="AP21" s="261">
        <f t="shared" si="9"/>
        <v>813.41470381898432</v>
      </c>
      <c r="AQ21" s="261">
        <f t="shared" si="9"/>
        <v>823.71834099866157</v>
      </c>
      <c r="AR21" s="261">
        <f t="shared" si="9"/>
        <v>833.09534124239553</v>
      </c>
      <c r="AS21" s="261">
        <f t="shared" si="9"/>
        <v>889.64665646795322</v>
      </c>
    </row>
    <row r="22" spans="2:45">
      <c r="B22" s="289"/>
      <c r="C22" s="266"/>
      <c r="D22" s="261"/>
      <c r="E22" s="261"/>
      <c r="F22" s="261"/>
      <c r="G22" s="259"/>
      <c r="H22" s="261"/>
      <c r="I22" s="261"/>
      <c r="J22" s="261"/>
      <c r="K22" s="261"/>
      <c r="L22" s="261"/>
      <c r="M22" s="261"/>
      <c r="N22" s="261"/>
      <c r="O22" s="261"/>
      <c r="P22" s="261"/>
      <c r="Q22" s="261"/>
      <c r="R22" s="261"/>
      <c r="S22" s="261"/>
      <c r="T22" s="261"/>
      <c r="U22" s="261"/>
      <c r="V22" s="261"/>
      <c r="W22" s="261"/>
      <c r="X22" s="261"/>
      <c r="Y22" s="261"/>
      <c r="Z22" s="261"/>
      <c r="AA22" s="261"/>
      <c r="AB22" s="261"/>
      <c r="AC22" s="261"/>
      <c r="AD22" s="261"/>
      <c r="AE22" s="261"/>
      <c r="AF22" s="261"/>
      <c r="AG22" s="261"/>
      <c r="AH22" s="261"/>
      <c r="AI22" s="261"/>
      <c r="AJ22" s="261"/>
      <c r="AK22" s="261"/>
      <c r="AL22" s="261"/>
      <c r="AM22" s="261"/>
      <c r="AN22" s="261"/>
      <c r="AO22" s="261"/>
      <c r="AP22" s="261"/>
      <c r="AQ22" s="261"/>
      <c r="AR22" s="261"/>
      <c r="AS22" s="261"/>
    </row>
    <row r="23" spans="2:45">
      <c r="B23" s="269" t="s">
        <v>93</v>
      </c>
      <c r="C23" s="267"/>
      <c r="D23" s="267"/>
      <c r="E23" s="267"/>
      <c r="F23" s="268"/>
      <c r="G23" s="267"/>
      <c r="H23" s="267"/>
      <c r="I23" s="269"/>
      <c r="J23" s="269"/>
      <c r="K23" s="270"/>
      <c r="L23" s="269"/>
      <c r="M23" s="269"/>
      <c r="N23" s="269"/>
      <c r="O23" s="269"/>
      <c r="P23" s="270"/>
      <c r="Q23" s="269"/>
      <c r="R23" s="269"/>
      <c r="S23" s="269"/>
      <c r="T23" s="269"/>
      <c r="U23" s="269"/>
      <c r="V23" s="271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O23" s="269"/>
      <c r="AP23" s="269"/>
      <c r="AQ23" s="269"/>
      <c r="AR23" s="269"/>
      <c r="AS23" s="269"/>
    </row>
    <row r="24" spans="2:45">
      <c r="B24" s="269" t="s">
        <v>94</v>
      </c>
      <c r="C24" s="272">
        <f>-C4</f>
        <v>-4.8934336380000003</v>
      </c>
      <c r="D24" s="272">
        <f>-D4</f>
        <v>-44.040902742000007</v>
      </c>
      <c r="E24" s="272">
        <f>-E4</f>
        <v>-48.934336380000005</v>
      </c>
      <c r="F24" s="272">
        <f>F19</f>
        <v>24.563899114832218</v>
      </c>
      <c r="G24" s="272">
        <f t="shared" ref="G24:J24" si="10">G19</f>
        <v>25.286866612933132</v>
      </c>
      <c r="H24" s="272">
        <f t="shared" si="10"/>
        <v>3.0135187132462313</v>
      </c>
      <c r="I24" s="272">
        <f t="shared" si="10"/>
        <v>5.0693401723840559</v>
      </c>
      <c r="J24" s="272">
        <f t="shared" si="10"/>
        <v>6.8490760394374632</v>
      </c>
      <c r="K24" s="273">
        <f t="shared" ref="K24:AI24" si="11">K19</f>
        <v>8.7496988526699511</v>
      </c>
      <c r="L24" s="273">
        <f t="shared" si="11"/>
        <v>10.638247657066987</v>
      </c>
      <c r="M24" s="273">
        <f t="shared" si="11"/>
        <v>12.646698025799484</v>
      </c>
      <c r="N24" s="273">
        <f t="shared" si="11"/>
        <v>14.377090306766135</v>
      </c>
      <c r="O24" s="273">
        <f t="shared" si="11"/>
        <v>16.226313479279266</v>
      </c>
      <c r="P24" s="273">
        <f t="shared" si="11"/>
        <v>35.275195631938111</v>
      </c>
      <c r="Q24" s="273">
        <f t="shared" si="11"/>
        <v>40.329990390463621</v>
      </c>
      <c r="R24" s="273">
        <f t="shared" si="11"/>
        <v>34.005556343352296</v>
      </c>
      <c r="S24" s="273">
        <f t="shared" si="11"/>
        <v>33.600082364869223</v>
      </c>
      <c r="T24" s="273">
        <f t="shared" si="11"/>
        <v>33.177859616850853</v>
      </c>
      <c r="U24" s="273">
        <f t="shared" si="11"/>
        <v>32.854767420620135</v>
      </c>
      <c r="V24" s="273">
        <f t="shared" si="11"/>
        <v>32.280330877693928</v>
      </c>
      <c r="W24" s="273">
        <f t="shared" si="11"/>
        <v>31.803530163549318</v>
      </c>
      <c r="X24" s="273">
        <f t="shared" si="11"/>
        <v>31.306988547420854</v>
      </c>
      <c r="Y24" s="273">
        <f t="shared" si="11"/>
        <v>30.906457321552171</v>
      </c>
      <c r="Z24" s="273">
        <f t="shared" si="11"/>
        <v>30.251327936590865</v>
      </c>
      <c r="AA24" s="273">
        <f t="shared" si="11"/>
        <v>29.690441040445403</v>
      </c>
      <c r="AB24" s="273">
        <f t="shared" si="11"/>
        <v>29.106274231174645</v>
      </c>
      <c r="AC24" s="273">
        <f t="shared" si="11"/>
        <v>28.614426706744901</v>
      </c>
      <c r="AD24" s="273">
        <f t="shared" si="11"/>
        <v>27.864131107725399</v>
      </c>
      <c r="AE24" s="273">
        <f t="shared" si="11"/>
        <v>27.204062249591484</v>
      </c>
      <c r="AF24" s="273">
        <f t="shared" si="11"/>
        <v>22.136986979483957</v>
      </c>
      <c r="AG24" s="273">
        <f t="shared" si="11"/>
        <v>20.23706941431313</v>
      </c>
      <c r="AH24" s="273">
        <f t="shared" si="11"/>
        <v>19.525938566298162</v>
      </c>
      <c r="AI24" s="273">
        <f t="shared" si="11"/>
        <v>20.523516921815638</v>
      </c>
      <c r="AJ24" s="273">
        <f t="shared" ref="AJ24:AR24" si="12">AJ19</f>
        <v>15.826026655900378</v>
      </c>
      <c r="AK24" s="273">
        <f t="shared" si="12"/>
        <v>15.220307524451954</v>
      </c>
      <c r="AL24" s="273">
        <f t="shared" si="12"/>
        <v>14.406415676974488</v>
      </c>
      <c r="AM24" s="273">
        <f t="shared" si="12"/>
        <v>13.651786398275265</v>
      </c>
      <c r="AN24" s="273">
        <f t="shared" si="12"/>
        <v>12.865571134673852</v>
      </c>
      <c r="AO24" s="273">
        <f t="shared" si="12"/>
        <v>12.135979864378708</v>
      </c>
      <c r="AP24" s="273">
        <f t="shared" si="12"/>
        <v>11.192933757420789</v>
      </c>
      <c r="AQ24" s="273">
        <f t="shared" si="12"/>
        <v>10.303637179677242</v>
      </c>
      <c r="AR24" s="273">
        <f t="shared" si="12"/>
        <v>9.3770002437340096</v>
      </c>
      <c r="AS24" s="273">
        <f>AS19+'p&amp;l'!AQ39</f>
        <v>99.246347728501917</v>
      </c>
    </row>
    <row r="25" spans="2:45" ht="18" customHeight="1" thickBot="1">
      <c r="B25" s="277" t="s">
        <v>95</v>
      </c>
      <c r="C25" s="274">
        <f>IRR(C24:AS24)</f>
        <v>0.16635053342937997</v>
      </c>
      <c r="D25" s="275"/>
      <c r="E25" s="275"/>
      <c r="F25" s="276"/>
      <c r="G25" s="275"/>
      <c r="H25" s="275"/>
      <c r="I25" s="277"/>
      <c r="J25" s="277"/>
      <c r="K25" s="277"/>
      <c r="L25" s="277"/>
      <c r="M25" s="277"/>
      <c r="N25" s="277"/>
      <c r="O25" s="277"/>
      <c r="P25" s="277"/>
      <c r="Q25" s="277"/>
      <c r="R25" s="277"/>
      <c r="S25" s="277"/>
      <c r="T25" s="277"/>
      <c r="U25" s="277"/>
      <c r="V25" s="277"/>
      <c r="W25" s="277"/>
      <c r="X25" s="277"/>
      <c r="Y25" s="277"/>
      <c r="Z25" s="277"/>
      <c r="AA25" s="277"/>
      <c r="AB25" s="277"/>
      <c r="AC25" s="277"/>
      <c r="AD25" s="277"/>
      <c r="AE25" s="277"/>
      <c r="AF25" s="277"/>
      <c r="AG25" s="277"/>
      <c r="AH25" s="277"/>
      <c r="AI25" s="277"/>
      <c r="AJ25" s="277"/>
      <c r="AK25" s="277"/>
      <c r="AL25" s="277"/>
      <c r="AM25" s="277"/>
      <c r="AN25" s="277"/>
      <c r="AO25" s="277"/>
      <c r="AP25" s="277"/>
      <c r="AQ25" s="277"/>
      <c r="AR25" s="277"/>
      <c r="AS25" s="277"/>
    </row>
    <row r="26" spans="2:45" ht="13.5" thickTop="1">
      <c r="C26" s="278"/>
      <c r="D26" s="279"/>
      <c r="E26" s="279"/>
      <c r="F26" s="279"/>
    </row>
    <row r="27" spans="2:45">
      <c r="C27" s="329"/>
      <c r="F27" s="279"/>
    </row>
    <row r="28" spans="2:45" ht="15" customHeight="1">
      <c r="D28" s="279"/>
      <c r="E28" s="279"/>
      <c r="F28" s="279"/>
      <c r="I28" s="281"/>
    </row>
    <row r="29" spans="2:45" ht="15" customHeight="1">
      <c r="D29" s="279"/>
      <c r="E29" s="279"/>
    </row>
    <row r="30" spans="2:45" ht="15" customHeight="1"/>
    <row r="31" spans="2:45" ht="15" customHeight="1"/>
    <row r="32" spans="2:45" ht="15" customHeight="1"/>
    <row r="33" spans="1:1" ht="15" customHeight="1"/>
    <row r="34" spans="1:1" ht="15" customHeight="1"/>
    <row r="35" spans="1:1" ht="15" customHeight="1"/>
    <row r="36" spans="1:1" ht="15" customHeight="1"/>
    <row r="37" spans="1:1" ht="15" customHeight="1"/>
    <row r="38" spans="1:1" ht="15" customHeight="1"/>
    <row r="39" spans="1:1" ht="15" customHeight="1">
      <c r="A39" s="16" t="s">
        <v>56</v>
      </c>
    </row>
    <row r="65" spans="4:15">
      <c r="G65" s="280"/>
      <c r="H65" s="280"/>
      <c r="I65" s="280"/>
      <c r="J65" s="280"/>
      <c r="K65" s="281"/>
      <c r="L65" s="281"/>
      <c r="M65" s="281"/>
      <c r="O65" s="281"/>
    </row>
    <row r="66" spans="4:15">
      <c r="D66" s="282"/>
      <c r="E66" s="282"/>
    </row>
    <row r="67" spans="4:15">
      <c r="F67" s="283"/>
      <c r="G67" s="282"/>
    </row>
    <row r="68" spans="4:15">
      <c r="F68" s="283"/>
      <c r="G68" s="282"/>
    </row>
    <row r="69" spans="4:15">
      <c r="G69" s="282"/>
    </row>
  </sheetData>
  <phoneticPr fontId="0" type="noConversion"/>
  <pageMargins left="0.56999999999999995" right="0.3" top="0.61" bottom="0.39" header="0.51181102362204722" footer="0.32"/>
  <pageSetup paperSize="9" scale="95" orientation="landscape" horizontalDpi="4294967294" verticalDpi="300" r:id="rId1"/>
  <headerFooter alignWithMargins="0">
    <oddFooter>&amp;L&amp;B Confidential&amp;B&amp;C&amp;D&amp;RPage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INPUT DATA SHEET</vt:lpstr>
      <vt:lpstr>Project Cost</vt:lpstr>
      <vt:lpstr>p&amp;l</vt:lpstr>
      <vt:lpstr>Loan schedule</vt:lpstr>
      <vt:lpstr>cash flow</vt:lpstr>
      <vt:lpstr>'cash flow'!Print_Area</vt:lpstr>
      <vt:lpstr>'INPUT DATA SHEET'!Print_Area</vt:lpstr>
      <vt:lpstr>'p&amp;l'!Print_Area</vt:lpstr>
      <vt:lpstr>'cash flow'!Print_Titles</vt:lpstr>
      <vt:lpstr>'p&amp;l'!Print_Titles</vt:lpstr>
    </vt:vector>
  </TitlesOfParts>
  <Company>Enercon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DIXIT</dc:creator>
  <cp:lastModifiedBy>PC1</cp:lastModifiedBy>
  <cp:lastPrinted>2010-10-15T06:18:44Z</cp:lastPrinted>
  <dcterms:created xsi:type="dcterms:W3CDTF">2000-12-16T06:48:30Z</dcterms:created>
  <dcterms:modified xsi:type="dcterms:W3CDTF">2012-12-21T15:13:16Z</dcterms:modified>
</cp:coreProperties>
</file>