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275" yWindow="75" windowWidth="11325" windowHeight="10050" tabRatio="748"/>
  </bookViews>
  <sheets>
    <sheet name="Intro" sheetId="43" r:id="rId1"/>
    <sheet name="Fuel Data Base" sheetId="21" r:id="rId2"/>
    <sheet name="Low Cost Must Run Contribution" sheetId="36" r:id="rId3"/>
    <sheet name="Consumption Production Data" sheetId="23" r:id="rId4"/>
    <sheet name="OM Factor" sheetId="34" r:id="rId5"/>
    <sheet name="BM Factor" sheetId="33" r:id="rId6"/>
    <sheet name="EF" sheetId="35" r:id="rId7"/>
    <sheet name="ER Calculation" sheetId="42" r:id="rId8"/>
    <sheet name="Sheet1" sheetId="44" r:id="rId9"/>
  </sheets>
  <definedNames>
    <definedName name="_xlnm.Print_Area" localSheetId="6">EF!$A$1:$G$11</definedName>
  </definedNames>
  <calcPr calcId="145621" calcMode="autoNoTable" iterate="1" iterateCount="101" iterateDelta="0.01"/>
</workbook>
</file>

<file path=xl/calcChain.xml><?xml version="1.0" encoding="utf-8"?>
<calcChain xmlns="http://schemas.openxmlformats.org/spreadsheetml/2006/main">
  <c r="F15" i="42" l="1"/>
  <c r="C16" i="42"/>
  <c r="E16" i="42"/>
  <c r="E30" i="21" l="1"/>
  <c r="J7" i="33" s="1"/>
  <c r="E33" i="21" l="1"/>
  <c r="E32" i="21"/>
  <c r="E31" i="21"/>
  <c r="M18" i="34" l="1"/>
  <c r="J18" i="33"/>
  <c r="J9" i="33"/>
  <c r="J8" i="33"/>
  <c r="G9" i="33"/>
  <c r="G13" i="33"/>
  <c r="H114" i="23"/>
  <c r="G14" i="33"/>
  <c r="C46" i="34"/>
  <c r="B47" i="34"/>
  <c r="G47" i="34" s="1"/>
  <c r="B46" i="34"/>
  <c r="B41" i="34"/>
  <c r="B40" i="34"/>
  <c r="H106" i="23"/>
  <c r="H94" i="23"/>
  <c r="G6" i="36" s="1"/>
  <c r="H61" i="23"/>
  <c r="G22" i="33"/>
  <c r="G21" i="33"/>
  <c r="J115" i="23"/>
  <c r="I115" i="23"/>
  <c r="H115" i="23"/>
  <c r="K18" i="34"/>
  <c r="G18" i="34" s="1"/>
  <c r="G8" i="33"/>
  <c r="D54" i="34"/>
  <c r="D53" i="34"/>
  <c r="C54" i="34"/>
  <c r="H54" i="34" s="1"/>
  <c r="C53" i="34"/>
  <c r="C19" i="34"/>
  <c r="D19" i="34"/>
  <c r="B19" i="34"/>
  <c r="C22" i="34"/>
  <c r="D22" i="34"/>
  <c r="J13" i="33" s="1"/>
  <c r="C23" i="34"/>
  <c r="D23" i="34"/>
  <c r="B23" i="34"/>
  <c r="B22" i="34"/>
  <c r="G17" i="33"/>
  <c r="G16" i="33"/>
  <c r="G15" i="33"/>
  <c r="G5" i="33"/>
  <c r="G6" i="33"/>
  <c r="G7" i="33"/>
  <c r="E7" i="36"/>
  <c r="F7" i="36"/>
  <c r="E6" i="36"/>
  <c r="C7" i="36"/>
  <c r="D7" i="36"/>
  <c r="C6" i="36"/>
  <c r="D6" i="36"/>
  <c r="J101" i="23"/>
  <c r="K7" i="36"/>
  <c r="I101" i="23"/>
  <c r="I7" i="36"/>
  <c r="H101" i="23"/>
  <c r="J94" i="23"/>
  <c r="K6" i="36" s="1"/>
  <c r="K8" i="36" s="1"/>
  <c r="I94" i="23"/>
  <c r="I6" i="36"/>
  <c r="D94" i="23"/>
  <c r="D116" i="23" s="1"/>
  <c r="C94" i="23"/>
  <c r="D101" i="23"/>
  <c r="C101" i="23"/>
  <c r="G7" i="36"/>
  <c r="D8" i="36"/>
  <c r="E8" i="36"/>
  <c r="E12" i="36"/>
  <c r="F6" i="36"/>
  <c r="F8" i="36"/>
  <c r="I8" i="36"/>
  <c r="C8" i="36"/>
  <c r="C12" i="36"/>
  <c r="E10" i="21"/>
  <c r="G10" i="21"/>
  <c r="J14" i="34" s="1"/>
  <c r="G11" i="21"/>
  <c r="J53" i="34"/>
  <c r="I53" i="34" s="1"/>
  <c r="J22" i="34"/>
  <c r="G18" i="33"/>
  <c r="J10" i="34"/>
  <c r="J16" i="34"/>
  <c r="J15" i="34"/>
  <c r="J13" i="34"/>
  <c r="I13" i="34" s="1"/>
  <c r="I61" i="23"/>
  <c r="J61" i="23"/>
  <c r="C61" i="23"/>
  <c r="C116" i="23" s="1"/>
  <c r="D61" i="23"/>
  <c r="B61" i="23"/>
  <c r="H110" i="23"/>
  <c r="H116" i="23"/>
  <c r="G10" i="36" s="1"/>
  <c r="J110" i="23"/>
  <c r="I110" i="23"/>
  <c r="C44" i="34"/>
  <c r="B44" i="34"/>
  <c r="L18" i="34"/>
  <c r="J106" i="23"/>
  <c r="I106" i="23"/>
  <c r="D18" i="34"/>
  <c r="J15" i="33" s="1"/>
  <c r="I18" i="34"/>
  <c r="C18" i="34"/>
  <c r="C55" i="34"/>
  <c r="D55" i="34"/>
  <c r="B55" i="34"/>
  <c r="G55" i="34" s="1"/>
  <c r="B17" i="34"/>
  <c r="B16" i="34"/>
  <c r="B101" i="23"/>
  <c r="B67" i="23"/>
  <c r="B94" i="23"/>
  <c r="B9" i="34"/>
  <c r="B10" i="34"/>
  <c r="B12" i="34"/>
  <c r="B13" i="34"/>
  <c r="B15" i="34"/>
  <c r="B18" i="34"/>
  <c r="B25" i="34"/>
  <c r="B26" i="34"/>
  <c r="G12" i="21"/>
  <c r="B28" i="34"/>
  <c r="B29" i="34"/>
  <c r="B31" i="34"/>
  <c r="B32" i="34"/>
  <c r="B34" i="34"/>
  <c r="B35" i="34"/>
  <c r="B37" i="34"/>
  <c r="B38" i="34"/>
  <c r="B43" i="34"/>
  <c r="B49" i="34"/>
  <c r="C9" i="34"/>
  <c r="C10" i="34"/>
  <c r="H10" i="34" s="1"/>
  <c r="C12" i="34"/>
  <c r="C13" i="34"/>
  <c r="C14" i="34"/>
  <c r="C15" i="34"/>
  <c r="H15" i="34" s="1"/>
  <c r="C16" i="34"/>
  <c r="C17" i="34"/>
  <c r="C25" i="34"/>
  <c r="C26" i="34"/>
  <c r="C28" i="34"/>
  <c r="C29" i="34"/>
  <c r="C31" i="34"/>
  <c r="C32" i="34"/>
  <c r="C34" i="34"/>
  <c r="C35" i="34"/>
  <c r="C37" i="34"/>
  <c r="C38" i="34"/>
  <c r="C40" i="34"/>
  <c r="C41" i="34"/>
  <c r="C43" i="34"/>
  <c r="C47" i="34"/>
  <c r="C49" i="34"/>
  <c r="D9" i="34"/>
  <c r="D10" i="34"/>
  <c r="I10" i="34" s="1"/>
  <c r="D12" i="34"/>
  <c r="D13" i="34"/>
  <c r="D15" i="34"/>
  <c r="D16" i="34"/>
  <c r="D17" i="34"/>
  <c r="D25" i="34"/>
  <c r="D26" i="34"/>
  <c r="D28" i="34"/>
  <c r="D29" i="34"/>
  <c r="D31" i="34"/>
  <c r="D32" i="34"/>
  <c r="D34" i="34"/>
  <c r="D35" i="34"/>
  <c r="D37" i="34"/>
  <c r="D38" i="34"/>
  <c r="I38" i="34" s="1"/>
  <c r="D40" i="34"/>
  <c r="D41" i="34"/>
  <c r="D43" i="34"/>
  <c r="D44" i="34"/>
  <c r="D46" i="34"/>
  <c r="J14" i="33" s="1"/>
  <c r="D47" i="34"/>
  <c r="D49" i="34"/>
  <c r="G10" i="34"/>
  <c r="H53" i="34"/>
  <c r="I22" i="34"/>
  <c r="H22" i="34"/>
  <c r="J35" i="34"/>
  <c r="H35" i="34" s="1"/>
  <c r="J23" i="34"/>
  <c r="I23" i="34" s="1"/>
  <c r="J54" i="34"/>
  <c r="J32" i="34"/>
  <c r="G32" i="34" s="1"/>
  <c r="J44" i="34"/>
  <c r="G44" i="34" s="1"/>
  <c r="J47" i="34"/>
  <c r="H47" i="34" s="1"/>
  <c r="J29" i="34"/>
  <c r="I29" i="34" s="1"/>
  <c r="J41" i="34"/>
  <c r="H41" i="34" s="1"/>
  <c r="J55" i="34"/>
  <c r="H55" i="34" s="1"/>
  <c r="J43" i="34"/>
  <c r="G43" i="34" s="1"/>
  <c r="J49" i="34"/>
  <c r="I49" i="34" s="1"/>
  <c r="J12" i="34"/>
  <c r="I12" i="34" s="1"/>
  <c r="J34" i="34"/>
  <c r="G34" i="34" s="1"/>
  <c r="J46" i="34"/>
  <c r="J9" i="34"/>
  <c r="I9" i="34" s="1"/>
  <c r="J31" i="34"/>
  <c r="H31" i="34" s="1"/>
  <c r="J17" i="34"/>
  <c r="J28" i="34"/>
  <c r="G28" i="34" s="1"/>
  <c r="J40" i="34"/>
  <c r="J25" i="34"/>
  <c r="G25" i="34" s="1"/>
  <c r="J37" i="34"/>
  <c r="G15" i="34"/>
  <c r="I15" i="34"/>
  <c r="J26" i="34"/>
  <c r="H26" i="34" s="1"/>
  <c r="J38" i="34"/>
  <c r="I116" i="23"/>
  <c r="J6" i="36" s="1"/>
  <c r="I54" i="34"/>
  <c r="H32" i="34"/>
  <c r="H40" i="34"/>
  <c r="G38" i="34"/>
  <c r="I55" i="34"/>
  <c r="H13" i="34"/>
  <c r="G13" i="34"/>
  <c r="H28" i="34"/>
  <c r="H38" i="34"/>
  <c r="H17" i="34"/>
  <c r="G8" i="36" l="1"/>
  <c r="G12" i="36" s="1"/>
  <c r="H6" i="36"/>
  <c r="H7" i="36"/>
  <c r="B116" i="23"/>
  <c r="J116" i="23"/>
  <c r="G10" i="33"/>
  <c r="K10" i="36"/>
  <c r="K12" i="36" s="1"/>
  <c r="L7" i="36"/>
  <c r="G29" i="33"/>
  <c r="H5" i="33" s="1"/>
  <c r="H9" i="33"/>
  <c r="I40" i="34"/>
  <c r="I46" i="34"/>
  <c r="H37" i="34"/>
  <c r="G23" i="33"/>
  <c r="G25" i="33" s="1"/>
  <c r="G27" i="33" s="1"/>
  <c r="G30" i="33" s="1"/>
  <c r="H30" i="33" s="1"/>
  <c r="G19" i="33"/>
  <c r="I12" i="36"/>
  <c r="I10" i="36"/>
  <c r="H14" i="34"/>
  <c r="J7" i="36"/>
  <c r="J8" i="36" s="1"/>
  <c r="H17" i="33"/>
  <c r="H14" i="33"/>
  <c r="H18" i="34"/>
  <c r="H16" i="34"/>
  <c r="H8" i="33"/>
  <c r="H16" i="33"/>
  <c r="L6" i="36"/>
  <c r="L8" i="36" s="1"/>
  <c r="I17" i="34"/>
  <c r="I19" i="34"/>
  <c r="I28" i="34"/>
  <c r="G46" i="34"/>
  <c r="I47" i="34"/>
  <c r="H43" i="34"/>
  <c r="I44" i="34"/>
  <c r="H46" i="34"/>
  <c r="G35" i="34"/>
  <c r="I43" i="34"/>
  <c r="G26" i="34"/>
  <c r="I26" i="34"/>
  <c r="H44" i="34"/>
  <c r="H12" i="34"/>
  <c r="G40" i="34"/>
  <c r="G9" i="34"/>
  <c r="H23" i="34"/>
  <c r="H9" i="34"/>
  <c r="I16" i="34"/>
  <c r="I41" i="34"/>
  <c r="G12" i="34"/>
  <c r="G29" i="34"/>
  <c r="H29" i="34"/>
  <c r="I37" i="34"/>
  <c r="G17" i="34"/>
  <c r="G37" i="34"/>
  <c r="G31" i="34"/>
  <c r="I31" i="34"/>
  <c r="G49" i="34"/>
  <c r="I25" i="34"/>
  <c r="H34" i="34"/>
  <c r="I34" i="34"/>
  <c r="G16" i="34"/>
  <c r="H25" i="34"/>
  <c r="H49" i="34"/>
  <c r="I32" i="34"/>
  <c r="I35" i="34"/>
  <c r="H19" i="34"/>
  <c r="G41" i="34"/>
  <c r="J27" i="33"/>
  <c r="H8" i="36" l="1"/>
  <c r="K27" i="33"/>
  <c r="D9" i="35" s="1"/>
  <c r="H13" i="33"/>
  <c r="H7" i="33"/>
  <c r="H18" i="33"/>
  <c r="H6" i="33"/>
  <c r="H21" i="33"/>
  <c r="H22" i="33"/>
  <c r="H15" i="33"/>
  <c r="I57" i="34"/>
  <c r="D7" i="35" s="1"/>
  <c r="H57" i="34"/>
  <c r="D6" i="35" s="1"/>
  <c r="I5" i="33"/>
  <c r="I6" i="33" s="1"/>
  <c r="I7" i="33" s="1"/>
  <c r="I8" i="33" s="1"/>
  <c r="I9" i="33" s="1"/>
  <c r="I10" i="33" s="1"/>
  <c r="I13" i="33" s="1"/>
  <c r="I14" i="33" s="1"/>
  <c r="I15" i="33" s="1"/>
  <c r="I16" i="33" s="1"/>
  <c r="I17" i="33" s="1"/>
  <c r="G57" i="34"/>
  <c r="D5" i="35" s="1"/>
  <c r="H27" i="33" l="1"/>
  <c r="I18" i="33"/>
  <c r="I19" i="33" s="1"/>
  <c r="I21" i="33"/>
  <c r="I22" i="33" s="1"/>
  <c r="D8" i="35"/>
  <c r="D11" i="35" s="1"/>
  <c r="I25" i="33" l="1"/>
  <c r="I23" i="33"/>
  <c r="D10" i="35"/>
  <c r="D10" i="42" s="1"/>
  <c r="F10" i="42" s="1"/>
  <c r="D14" i="42" l="1"/>
  <c r="F14" i="42" s="1"/>
  <c r="D12" i="42"/>
  <c r="F12" i="42" s="1"/>
  <c r="D13" i="42"/>
  <c r="F13" i="42" s="1"/>
  <c r="D11" i="42"/>
  <c r="F11" i="42" s="1"/>
  <c r="D9" i="42"/>
  <c r="F9" i="42" l="1"/>
  <c r="F16" i="42" s="1"/>
  <c r="D16" i="42"/>
  <c r="F8" i="42"/>
</calcChain>
</file>

<file path=xl/sharedStrings.xml><?xml version="1.0" encoding="utf-8"?>
<sst xmlns="http://schemas.openxmlformats.org/spreadsheetml/2006/main" count="451" uniqueCount="252">
  <si>
    <t xml:space="preserve">The power plant capacity additions in the electricity system that comprise 20% of the system generation and that have been built most recently </t>
  </si>
  <si>
    <t>Fuel data base</t>
  </si>
  <si>
    <t>Fuel Type</t>
  </si>
  <si>
    <t xml:space="preserve">  Local coal</t>
  </si>
  <si>
    <t xml:space="preserve">  Heavy fuel oil</t>
  </si>
  <si>
    <t xml:space="preserve">  Gasoil</t>
  </si>
  <si>
    <t>Net Calorific Value</t>
  </si>
  <si>
    <t>kcal/kg</t>
  </si>
  <si>
    <t>Emission factor</t>
  </si>
  <si>
    <t>Jerada</t>
  </si>
  <si>
    <t>Laayoune</t>
  </si>
  <si>
    <t>Tit Mellil</t>
  </si>
  <si>
    <t>Natural gas</t>
  </si>
  <si>
    <t xml:space="preserve">  Natural Gas</t>
  </si>
  <si>
    <t>%</t>
  </si>
  <si>
    <t>tCO2/MWh</t>
  </si>
  <si>
    <t>Total</t>
  </si>
  <si>
    <t>Jorf Lasfar</t>
  </si>
  <si>
    <t>Tahaddart</t>
  </si>
  <si>
    <t>Dakhla</t>
  </si>
  <si>
    <t>Nautral Gas</t>
  </si>
  <si>
    <t>Combined Cycle</t>
  </si>
  <si>
    <t>Fuel</t>
  </si>
  <si>
    <t>% total Production</t>
  </si>
  <si>
    <t>Accumalted %</t>
  </si>
  <si>
    <t>Mohammedia</t>
  </si>
  <si>
    <t>Kenitra</t>
  </si>
  <si>
    <t>Agadir</t>
  </si>
  <si>
    <t>Tanger</t>
  </si>
  <si>
    <t>CED</t>
  </si>
  <si>
    <t>Ait Messoud</t>
  </si>
  <si>
    <t>Table 1.2</t>
  </si>
  <si>
    <t xml:space="preserve">2006 IPCC Guidelines for National Greenhouse Gas Inventories </t>
  </si>
  <si>
    <t>Reference</t>
  </si>
  <si>
    <t>Net electricity generation in MWh</t>
  </si>
  <si>
    <t xml:space="preserve">    Sub-total fuel oil</t>
  </si>
  <si>
    <t xml:space="preserve">    Sub-total imported coal</t>
  </si>
  <si>
    <t xml:space="preserve">    Sub-total petroleum coke</t>
  </si>
  <si>
    <t>Fuel oil</t>
  </si>
  <si>
    <t>Imported coal</t>
  </si>
  <si>
    <t>fuel oil</t>
  </si>
  <si>
    <t>imported coal</t>
  </si>
  <si>
    <t>petroleum coke</t>
  </si>
  <si>
    <t>Installed capacity in MW</t>
  </si>
  <si>
    <t>Thermal Gas Turbines</t>
  </si>
  <si>
    <t>Thermal  Power stations</t>
  </si>
  <si>
    <t xml:space="preserve">     Fuel oil</t>
  </si>
  <si>
    <t xml:space="preserve">     Gasoil</t>
  </si>
  <si>
    <t>Gasoil</t>
  </si>
  <si>
    <t>Tetouan 33</t>
  </si>
  <si>
    <t>Tétouan 20</t>
  </si>
  <si>
    <t>TAG Laayoune</t>
  </si>
  <si>
    <t>Diesel power stations</t>
  </si>
  <si>
    <t>Power Stations</t>
  </si>
  <si>
    <t>Hydro power stations</t>
  </si>
  <si>
    <t>Sub Total Thermal</t>
  </si>
  <si>
    <t>Afourer</t>
  </si>
  <si>
    <t>Bine El Ouidane</t>
  </si>
  <si>
    <t>Al Massira</t>
  </si>
  <si>
    <t>Imfout</t>
  </si>
  <si>
    <t>Daourat</t>
  </si>
  <si>
    <t>Sidi Said Maachou</t>
  </si>
  <si>
    <t>Kasba Zidania</t>
  </si>
  <si>
    <t>Mohamed   El  Khamis</t>
  </si>
  <si>
    <t>Bou Areg</t>
  </si>
  <si>
    <t>Hassan   1er</t>
  </si>
  <si>
    <t>Ahmed  El Hansali</t>
  </si>
  <si>
    <t>Moulay Youssef</t>
  </si>
  <si>
    <t>Mansour Eddahbi</t>
  </si>
  <si>
    <t>El Kansera</t>
  </si>
  <si>
    <t>Idriss 1</t>
  </si>
  <si>
    <t>Al Wahda</t>
  </si>
  <si>
    <t>Allal El Fassi</t>
  </si>
  <si>
    <t>Oued El Makhazine</t>
  </si>
  <si>
    <t>Lalla Takerkoust</t>
  </si>
  <si>
    <t xml:space="preserve">Lau </t>
  </si>
  <si>
    <t xml:space="preserve">Taurart </t>
  </si>
  <si>
    <t>Aït messaoud</t>
  </si>
  <si>
    <t xml:space="preserve">Taza </t>
  </si>
  <si>
    <t xml:space="preserve">Sefrou </t>
  </si>
  <si>
    <t>Sub Total Hydro</t>
  </si>
  <si>
    <t>Wind power</t>
  </si>
  <si>
    <t>Sub Total Wind</t>
  </si>
  <si>
    <t>Essaouira Wind Farm</t>
  </si>
  <si>
    <t>Imports</t>
  </si>
  <si>
    <t>Sub Total imports</t>
  </si>
  <si>
    <t>Others</t>
  </si>
  <si>
    <t>Grand total</t>
  </si>
  <si>
    <t>Starting year</t>
  </si>
  <si>
    <t>Last reftrofit date</t>
  </si>
  <si>
    <t>1991/92</t>
  </si>
  <si>
    <t>1993/94</t>
  </si>
  <si>
    <t>Reference IPCC</t>
  </si>
  <si>
    <t>Anthracite</t>
  </si>
  <si>
    <t>Residual fuel oil</t>
  </si>
  <si>
    <t>Gasoil/Diesel</t>
  </si>
  <si>
    <t>Volume 2-Chapter 1</t>
  </si>
  <si>
    <t xml:space="preserve">Low cost must run contribution </t>
  </si>
  <si>
    <t>total wind</t>
  </si>
  <si>
    <t>Power type</t>
  </si>
  <si>
    <t>Subtotal low cost must run</t>
  </si>
  <si>
    <t>Emissions tCO2</t>
  </si>
  <si>
    <t>t CO2/t fuel</t>
  </si>
  <si>
    <t>total exluding low cost must run</t>
  </si>
  <si>
    <t>Unit</t>
  </si>
  <si>
    <t>Per year</t>
  </si>
  <si>
    <t>Operating Margin Emissions Factor in 2008</t>
  </si>
  <si>
    <t>Operating Margin Emissions Factor average 2006-2008</t>
  </si>
  <si>
    <t>Build Margin Emissions Factor</t>
  </si>
  <si>
    <t>Build Margin Emission Factor</t>
  </si>
  <si>
    <t>Plant name</t>
  </si>
  <si>
    <t>Technology</t>
  </si>
  <si>
    <t>year operation</t>
  </si>
  <si>
    <t>Gasoil/Fuel oil</t>
  </si>
  <si>
    <t>Small hydro</t>
  </si>
  <si>
    <t>Ahmed Hansali</t>
  </si>
  <si>
    <t>Jorf Lasfar JLEC</t>
  </si>
  <si>
    <t>Selected</t>
  </si>
  <si>
    <t>Emission factor tCO2/MWh</t>
  </si>
  <si>
    <t xml:space="preserve">Baseline Emissions Factor Wind and solar </t>
  </si>
  <si>
    <t>Baseline Emissions Factor for other projects</t>
  </si>
  <si>
    <t>Unit 1</t>
  </si>
  <si>
    <t>Unit 2</t>
  </si>
  <si>
    <t>Unit 3</t>
  </si>
  <si>
    <t>Unit 4</t>
  </si>
  <si>
    <t>Step Afourer</t>
  </si>
  <si>
    <t>Fes Amont</t>
  </si>
  <si>
    <t>Fes Aval</t>
  </si>
  <si>
    <t>Meknes</t>
  </si>
  <si>
    <t>Koudia El Beida (ONE)</t>
  </si>
  <si>
    <t>-</t>
  </si>
  <si>
    <t>Import Algeria</t>
  </si>
  <si>
    <t>Import Spain</t>
  </si>
  <si>
    <t>Sub Total Others</t>
  </si>
  <si>
    <t>1953/1954/1955</t>
  </si>
  <si>
    <t>1947 &amp; 1949</t>
  </si>
  <si>
    <t>2004 &amp; 2005</t>
  </si>
  <si>
    <t>1935 &amp; 1936</t>
  </si>
  <si>
    <t>1997 &amp; 1998</t>
  </si>
  <si>
    <t>Year</t>
  </si>
  <si>
    <t>NCV GJ/1000 NM3</t>
  </si>
  <si>
    <t>NCV of natural gas used in Tahaddart power plant</t>
  </si>
  <si>
    <t>Source: Energie Electrique de Tahaddart</t>
  </si>
  <si>
    <t>* Except for Tahaddart where the Fuel consumption is expressed in 1000 Nm3</t>
  </si>
  <si>
    <t>tCO2/ 1000 Nm3</t>
  </si>
  <si>
    <t>MWh</t>
  </si>
  <si>
    <t>Table 1.4</t>
  </si>
  <si>
    <t>National tranfers from industrial clients</t>
  </si>
  <si>
    <t>Sub Total national transfers</t>
  </si>
  <si>
    <t>Small Diesel units</t>
  </si>
  <si>
    <t>* STEP pumping is a technique used by ONE to use pumping to store electricty by pumping water in low demand period and generating it at high demand periods</t>
  </si>
  <si>
    <t>(STEP Pumping* + Compensators+ Auxiliaries)**</t>
  </si>
  <si>
    <t>1971/1972</t>
  </si>
  <si>
    <t>1978/1979</t>
  </si>
  <si>
    <t>1994/1995</t>
  </si>
  <si>
    <t>1974/1977</t>
  </si>
  <si>
    <t>1975/1977</t>
  </si>
  <si>
    <t>1988/1989</t>
  </si>
  <si>
    <t>1935 &amp; 1939</t>
  </si>
  <si>
    <t>1934 &amp; 1942</t>
  </si>
  <si>
    <t>GJ/t</t>
  </si>
  <si>
    <t>t CO2/t</t>
  </si>
  <si>
    <t>Coal</t>
  </si>
  <si>
    <t>Mcal/t</t>
  </si>
  <si>
    <t>JLEC</t>
  </si>
  <si>
    <t>Petcoke</t>
  </si>
  <si>
    <t>anthracite</t>
  </si>
  <si>
    <t>coal consumption (tonnes)</t>
  </si>
  <si>
    <t>power production (MWh)</t>
  </si>
  <si>
    <t>Power plant</t>
  </si>
  <si>
    <t>Fuel type</t>
  </si>
  <si>
    <t>Specific Fuel Data Base*</t>
  </si>
  <si>
    <t>*Figures in this table are based on the figures used by ONE for the Tangier wind power projet registered on the 07/06/2011 (project reference 4876, See Appendix 1 - 4876 - CER Sheet)</t>
  </si>
  <si>
    <t>total hydro*</t>
  </si>
  <si>
    <t xml:space="preserve">* Total hydro figures are excluding STEP generation </t>
  </si>
  <si>
    <t>tCO2/TJ</t>
  </si>
  <si>
    <t>t CO2/TJ</t>
  </si>
  <si>
    <t>Ait Beni Mathar</t>
  </si>
  <si>
    <t>Tangier Wind Farm</t>
  </si>
  <si>
    <t>MWh in 2010</t>
  </si>
  <si>
    <t>Total electricity supplied to the grid in 2010</t>
  </si>
  <si>
    <t>Mohammedia (100 MW)</t>
  </si>
  <si>
    <t>Mohammedia (33MW)</t>
  </si>
  <si>
    <t>Tan Tan</t>
  </si>
  <si>
    <t>2002 &amp; 06/2010</t>
  </si>
  <si>
    <t>Natural gas + solar</t>
  </si>
  <si>
    <t>05/2009</t>
  </si>
  <si>
    <t>Tanafnit</t>
  </si>
  <si>
    <t>El Borj</t>
  </si>
  <si>
    <t>26/11/2010</t>
  </si>
  <si>
    <t>Morocco's Grid Capacity, electricity generation and consumptions for 2008-2010, Source; ONE, 2012</t>
  </si>
  <si>
    <t>Transfer from National industrial plants</t>
  </si>
  <si>
    <t>01/08/2009 &amp; 09/11/2009</t>
  </si>
  <si>
    <t>Hydro</t>
  </si>
  <si>
    <t>Operating Margin Emissions Factor in 2009</t>
  </si>
  <si>
    <t>Operating Margin Emissions Factor in 2010</t>
  </si>
  <si>
    <t>OM Factor 2008-2009-2010</t>
  </si>
  <si>
    <t>Mohammedia (33 MW)</t>
  </si>
  <si>
    <t>JLEC (Jorf Lasfar) Power plant - detail of unit 4 for the year 2010:</t>
  </si>
  <si>
    <t xml:space="preserve">    Fuel oil</t>
  </si>
  <si>
    <t xml:space="preserve">    Gasoil</t>
  </si>
  <si>
    <t>Source:  ONE</t>
  </si>
  <si>
    <t>Réf. Annuaire statistique 2008-2009-2010</t>
  </si>
  <si>
    <t xml:space="preserve">Source of the 2006 and 2007 data: Ministry of Energy, Mines, Water and Environment: http://www.mem.gov.ma/Chiffres_cle/ChiffreEnergie08-32.htm </t>
  </si>
  <si>
    <t>Tangier</t>
  </si>
  <si>
    <t>Essaouira</t>
  </si>
  <si>
    <t>Wind</t>
  </si>
  <si>
    <r>
      <t>AEG</t>
    </r>
    <r>
      <rPr>
        <b/>
        <sz val="8"/>
        <rFont val="Arial"/>
        <family val="2"/>
      </rPr>
      <t>SET-5-units</t>
    </r>
  </si>
  <si>
    <r>
      <t>AEG</t>
    </r>
    <r>
      <rPr>
        <b/>
        <sz val="8"/>
        <rFont val="Arial"/>
        <family val="2"/>
      </rPr>
      <t>SET-≥20%</t>
    </r>
  </si>
  <si>
    <r>
      <t>AEG</t>
    </r>
    <r>
      <rPr>
        <b/>
        <sz val="8"/>
        <rFont val="Arial"/>
        <family val="2"/>
      </rPr>
      <t>SET-sample-CDM</t>
    </r>
  </si>
  <si>
    <r>
      <t>SET</t>
    </r>
    <r>
      <rPr>
        <b/>
        <sz val="8"/>
        <rFont val="Arial"/>
        <family val="2"/>
      </rPr>
      <t>sample-CDM-&gt;10yrs</t>
    </r>
  </si>
  <si>
    <t>Jorf Lasfar JLEC *</t>
  </si>
  <si>
    <t xml:space="preserve"> * For the Jorf power plant: only the most recent unit build in 2000 has been considered.  </t>
  </si>
  <si>
    <t>Net total electricity generated&amp;imported</t>
  </si>
  <si>
    <t>** Consumption of power plants auxiliaries supplied in very high and high voltages, of synchronous compensators supplied in high voltage and of STEP pumping /</t>
  </si>
  <si>
    <t xml:space="preserve"> Source: ONE statistical reports 2008-2009-2010 (See pages 2/2 of reports, table of Energie appelée)</t>
  </si>
  <si>
    <t>Ain Beni Mathar</t>
  </si>
  <si>
    <t>SETsample-CDM-&gt;10yrs</t>
  </si>
  <si>
    <r>
      <t>Estimation of project activity emissions (in tonnes of 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e)</t>
    </r>
  </si>
  <si>
    <t>Estimation of baseline reductions        (in tonnes of CO2e)</t>
  </si>
  <si>
    <r>
      <t>Estimation of leakage                (in tonnes of 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e)</t>
    </r>
  </si>
  <si>
    <t>2002&amp;2010</t>
  </si>
  <si>
    <t>BM calculation using Step 4(a) of the Tool</t>
  </si>
  <si>
    <t>Project Name: Jbel Sendouq-Khalladi ("Khalladi") wind farm project in Morocco</t>
  </si>
  <si>
    <t>Project type:Wind Project</t>
    <phoneticPr fontId="3" type="noConversion"/>
  </si>
  <si>
    <t>Project size:Large</t>
    <phoneticPr fontId="3" type="noConversion"/>
  </si>
  <si>
    <t xml:space="preserve">Issuance Date: </t>
  </si>
  <si>
    <t>Default Efficiency Values (%)</t>
  </si>
  <si>
    <t>Annex 1: Default efficiency factors for power plants</t>
  </si>
  <si>
    <t>Natural Gas - Combined Cycle</t>
  </si>
  <si>
    <t>Coal - ultra super critical</t>
  </si>
  <si>
    <t>Steam power - ultra supercritical</t>
  </si>
  <si>
    <t>Combined Cycle (assumed all Natural gas)</t>
  </si>
  <si>
    <t>Heavy fuel oil - combined cycle</t>
  </si>
  <si>
    <t>Gasoil - combined cycle</t>
  </si>
  <si>
    <t>Default Efficiency Values (%)**</t>
  </si>
  <si>
    <t>** Default Efficiency Values used are the most conservative listed per each fuel type Appendix 1 of the Guidance Notes</t>
  </si>
  <si>
    <t>Version:</t>
  </si>
  <si>
    <t>Source: ONE</t>
  </si>
  <si>
    <t>Fuel Consumption in tonnes except for natural gas in 1000 Nm3</t>
  </si>
  <si>
    <t xml:space="preserve">    Sub-total anthracite</t>
  </si>
  <si>
    <t>Fuel Consumption in tonnes*</t>
  </si>
  <si>
    <t>Diesel - combined cycle</t>
  </si>
  <si>
    <t>Gas turbine - combined cycle</t>
  </si>
  <si>
    <t>Estimation of overall reductions        (in tonnes of CO2e)</t>
  </si>
  <si>
    <r>
      <t>Total                  (tonnes of CO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e)</t>
    </r>
  </si>
  <si>
    <t>1st May 2014 - 31st Dec 2014</t>
  </si>
  <si>
    <t>1st January 2021 - 30th April 2021</t>
  </si>
  <si>
    <t>Net annual production</t>
  </si>
  <si>
    <t>Conversion factor from NM3 to Tonnes</t>
  </si>
  <si>
    <t>= 0.75 x EF(OM) + 0.25 x EF (BM)</t>
  </si>
  <si>
    <t>= 0.5 x EF(OM) + 0.5 x EF (BM)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</si>
</sst>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_-;\-* #,##0_-;_-* &quot;-&quot;_-;_-@_-"/>
    <numFmt numFmtId="165" formatCode="_-* #,##0.00_-;\-* #,##0.00_-;_-* &quot;-&quot;??_-;_-@_-"/>
    <numFmt numFmtId="166" formatCode="0_ "/>
    <numFmt numFmtId="167" formatCode="0.0000000_ "/>
    <numFmt numFmtId="168" formatCode="_-* #,##0.0000_-;\-* #,##0.0000_-;_-* &quot;-&quot;_-;_-@_-"/>
    <numFmt numFmtId="169" formatCode="0.000"/>
    <numFmt numFmtId="170" formatCode="#,##0.000"/>
    <numFmt numFmtId="171" formatCode="0.0"/>
    <numFmt numFmtId="172" formatCode="_-* #,##0_-;_-* #,##0\-;_-* &quot;-&quot;??_-;_-@_-"/>
    <numFmt numFmtId="173" formatCode="_-* #,##0.00_-;_-* #,##0.00\-;_-* &quot;-&quot;??_-;_-@_-"/>
    <numFmt numFmtId="174" formatCode="0.0%"/>
    <numFmt numFmtId="175" formatCode="_-* #,##0.0_-;_-* #,##0.0\-;_-* &quot;-&quot;??_-;_-@_-"/>
    <numFmt numFmtId="176" formatCode="#,##0.0000"/>
    <numFmt numFmtId="177" formatCode="#,##0.0_ ;\-#,##0.0\ "/>
    <numFmt numFmtId="178" formatCode="_ * #,##0.00_ ;_ * \-#,##0.00_ ;_ * &quot;-&quot;??_ ;_ @_ "/>
    <numFmt numFmtId="179" formatCode="#,##0.0"/>
    <numFmt numFmtId="180" formatCode="0.0000"/>
    <numFmt numFmtId="181" formatCode="#,##0_ ;\-#,##0\ "/>
    <numFmt numFmtId="182" formatCode="_(* #,##0_);_(* \(#,##0\);_(* &quot;-&quot;??_);_(@_)"/>
  </numFmts>
  <fonts count="45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6"/>
      <name val="Times New Roman"/>
      <family val="1"/>
    </font>
    <font>
      <b/>
      <sz val="11"/>
      <name val="바탕"/>
      <family val="1"/>
      <charset val="129"/>
    </font>
    <font>
      <b/>
      <sz val="11"/>
      <name val="Times New Roman"/>
      <family val="1"/>
    </font>
    <font>
      <b/>
      <sz val="11"/>
      <name val="돋움"/>
    </font>
    <font>
      <b/>
      <sz val="12"/>
      <name val="Arial"/>
      <family val="2"/>
    </font>
    <font>
      <sz val="9"/>
      <color indexed="10"/>
      <name val="Times New Roman"/>
      <family val="1"/>
    </font>
    <font>
      <sz val="10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u/>
      <sz val="10"/>
      <color indexed="9"/>
      <name val="Arial"/>
      <family val="2"/>
    </font>
    <font>
      <b/>
      <sz val="10"/>
      <color indexed="12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indexed="12"/>
      <name val="Arial"/>
      <family val="2"/>
    </font>
    <font>
      <b/>
      <sz val="11"/>
      <name val="돋움"/>
      <family val="3"/>
      <charset val="129"/>
    </font>
    <font>
      <i/>
      <sz val="10"/>
      <name val="Arial"/>
      <family val="2"/>
    </font>
    <font>
      <sz val="10"/>
      <name val="Times New Roman"/>
      <family val="1"/>
    </font>
    <font>
      <b/>
      <sz val="10"/>
      <name val="돋움"/>
    </font>
    <font>
      <sz val="11"/>
      <color indexed="8"/>
      <name val="Calibri"/>
      <family val="2"/>
    </font>
    <font>
      <sz val="11"/>
      <color rgb="FFFF0000"/>
      <name val="돋움"/>
      <family val="3"/>
      <charset val="129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00"/>
      <name val="돋움"/>
      <family val="3"/>
      <charset val="129"/>
    </font>
    <font>
      <b/>
      <sz val="8"/>
      <name val="Arial"/>
      <family val="2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vertAlign val="subscript"/>
      <sz val="11"/>
      <color rgb="FF000000"/>
      <name val="Times New Roman"/>
      <family val="1"/>
    </font>
    <font>
      <sz val="24"/>
      <name val="Times New Roman"/>
      <family val="1"/>
    </font>
    <font>
      <sz val="18"/>
      <name val="Times New Roman"/>
      <family val="1"/>
    </font>
    <font>
      <i/>
      <sz val="11"/>
      <name val="돋움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BFBFBF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65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8" fillId="0" borderId="0"/>
    <xf numFmtId="178" fontId="28" fillId="0" borderId="0" applyFont="0" applyFill="0" applyBorder="0" applyAlignment="0" applyProtection="0"/>
  </cellStyleXfs>
  <cellXfs count="701">
    <xf numFmtId="0" fontId="0" fillId="0" borderId="0" xfId="0"/>
    <xf numFmtId="0" fontId="4" fillId="0" borderId="0" xfId="7" applyFont="1">
      <alignment vertical="center"/>
    </xf>
    <xf numFmtId="0" fontId="3" fillId="0" borderId="0" xfId="9" applyFont="1" applyBorder="1"/>
    <xf numFmtId="0" fontId="3" fillId="0" borderId="0" xfId="9" applyFont="1" applyBorder="1" applyAlignment="1">
      <alignment horizontal="center"/>
    </xf>
    <xf numFmtId="2" fontId="3" fillId="0" borderId="0" xfId="9" applyNumberFormat="1" applyFont="1" applyBorder="1"/>
    <xf numFmtId="0" fontId="3" fillId="0" borderId="0" xfId="9" applyFont="1" applyBorder="1" applyAlignment="1"/>
    <xf numFmtId="10" fontId="3" fillId="0" borderId="0" xfId="4" applyNumberFormat="1" applyFont="1" applyBorder="1"/>
    <xf numFmtId="0" fontId="9" fillId="0" borderId="0" xfId="1" applyFont="1" applyFill="1" applyBorder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12" fillId="0" borderId="0" xfId="5"/>
    <xf numFmtId="0" fontId="14" fillId="2" borderId="2" xfId="1" applyFont="1" applyFill="1" applyBorder="1"/>
    <xf numFmtId="0" fontId="12" fillId="0" borderId="0" xfId="5" applyBorder="1"/>
    <xf numFmtId="1" fontId="12" fillId="0" borderId="0" xfId="5" applyNumberFormat="1" applyFont="1"/>
    <xf numFmtId="1" fontId="12" fillId="0" borderId="0" xfId="5" applyNumberFormat="1"/>
    <xf numFmtId="172" fontId="14" fillId="3" borderId="3" xfId="5" applyNumberFormat="1" applyFont="1" applyFill="1" applyBorder="1"/>
    <xf numFmtId="1" fontId="16" fillId="0" borderId="4" xfId="5" applyNumberFormat="1" applyFont="1" applyBorder="1" applyAlignment="1">
      <alignment horizontal="center" wrapText="1"/>
    </xf>
    <xf numFmtId="3" fontId="14" fillId="4" borderId="6" xfId="1" applyNumberFormat="1" applyFont="1" applyFill="1" applyBorder="1"/>
    <xf numFmtId="0" fontId="14" fillId="4" borderId="2" xfId="1" applyFont="1" applyFill="1" applyBorder="1"/>
    <xf numFmtId="3" fontId="14" fillId="4" borderId="8" xfId="1" applyNumberFormat="1" applyFont="1" applyFill="1" applyBorder="1"/>
    <xf numFmtId="3" fontId="14" fillId="3" borderId="9" xfId="1" applyNumberFormat="1" applyFont="1" applyFill="1" applyBorder="1" applyAlignment="1"/>
    <xf numFmtId="3" fontId="14" fillId="5" borderId="10" xfId="1" applyNumberFormat="1" applyFont="1" applyFill="1" applyBorder="1"/>
    <xf numFmtId="0" fontId="14" fillId="5" borderId="2" xfId="1" applyFont="1" applyFill="1" applyBorder="1"/>
    <xf numFmtId="0" fontId="16" fillId="5" borderId="11" xfId="5" applyFont="1" applyFill="1" applyBorder="1" applyAlignment="1">
      <alignment horizontal="center"/>
    </xf>
    <xf numFmtId="172" fontId="14" fillId="2" borderId="12" xfId="5" applyNumberFormat="1" applyFont="1" applyFill="1" applyBorder="1"/>
    <xf numFmtId="3" fontId="14" fillId="2" borderId="13" xfId="1" applyNumberFormat="1" applyFont="1" applyFill="1" applyBorder="1"/>
    <xf numFmtId="172" fontId="14" fillId="2" borderId="3" xfId="5" applyNumberFormat="1" applyFont="1" applyFill="1" applyBorder="1"/>
    <xf numFmtId="0" fontId="16" fillId="2" borderId="11" xfId="5" applyFont="1" applyFill="1" applyBorder="1" applyAlignment="1">
      <alignment horizontal="center"/>
    </xf>
    <xf numFmtId="172" fontId="16" fillId="2" borderId="14" xfId="5" applyNumberFormat="1" applyFont="1" applyFill="1" applyBorder="1" applyAlignment="1">
      <alignment horizontal="center"/>
    </xf>
    <xf numFmtId="3" fontId="14" fillId="5" borderId="3" xfId="5" applyNumberFormat="1" applyFont="1" applyFill="1" applyBorder="1"/>
    <xf numFmtId="3" fontId="0" fillId="0" borderId="0" xfId="1" applyNumberFormat="1" applyFont="1"/>
    <xf numFmtId="0" fontId="11" fillId="0" borderId="0" xfId="9" applyFont="1" applyBorder="1" applyAlignment="1"/>
    <xf numFmtId="172" fontId="14" fillId="3" borderId="10" xfId="5" applyNumberFormat="1" applyFont="1" applyFill="1" applyBorder="1"/>
    <xf numFmtId="4" fontId="14" fillId="4" borderId="10" xfId="5" applyNumberFormat="1" applyFont="1" applyFill="1" applyBorder="1"/>
    <xf numFmtId="3" fontId="14" fillId="5" borderId="10" xfId="5" applyNumberFormat="1" applyFont="1" applyFill="1" applyBorder="1"/>
    <xf numFmtId="172" fontId="14" fillId="2" borderId="10" xfId="5" applyNumberFormat="1" applyFont="1" applyFill="1" applyBorder="1"/>
    <xf numFmtId="4" fontId="14" fillId="2" borderId="10" xfId="5" applyNumberFormat="1" applyFont="1" applyFill="1" applyBorder="1"/>
    <xf numFmtId="3" fontId="14" fillId="0" borderId="0" xfId="1" applyNumberFormat="1" applyFont="1" applyAlignment="1">
      <alignment horizontal="center"/>
    </xf>
    <xf numFmtId="3" fontId="14" fillId="4" borderId="16" xfId="1" applyNumberFormat="1" applyFont="1" applyFill="1" applyBorder="1"/>
    <xf numFmtId="3" fontId="14" fillId="4" borderId="17" xfId="1" applyNumberFormat="1" applyFont="1" applyFill="1" applyBorder="1"/>
    <xf numFmtId="3" fontId="14" fillId="3" borderId="18" xfId="5" applyNumberFormat="1" applyFont="1" applyFill="1" applyBorder="1" applyAlignment="1">
      <alignment horizontal="center"/>
    </xf>
    <xf numFmtId="2" fontId="14" fillId="3" borderId="19" xfId="5" applyNumberFormat="1" applyFont="1" applyFill="1" applyBorder="1"/>
    <xf numFmtId="3" fontId="14" fillId="5" borderId="7" xfId="1" applyNumberFormat="1" applyFont="1" applyFill="1" applyBorder="1"/>
    <xf numFmtId="172" fontId="16" fillId="2" borderId="4" xfId="5" applyNumberFormat="1" applyFont="1" applyFill="1" applyBorder="1" applyAlignment="1">
      <alignment horizontal="center"/>
    </xf>
    <xf numFmtId="3" fontId="14" fillId="4" borderId="10" xfId="5" applyNumberFormat="1" applyFont="1" applyFill="1" applyBorder="1"/>
    <xf numFmtId="1" fontId="16" fillId="0" borderId="21" xfId="5" applyNumberFormat="1" applyFont="1" applyBorder="1" applyAlignment="1">
      <alignment horizontal="center" wrapText="1"/>
    </xf>
    <xf numFmtId="0" fontId="14" fillId="4" borderId="3" xfId="5" applyFont="1" applyFill="1" applyBorder="1"/>
    <xf numFmtId="3" fontId="14" fillId="4" borderId="3" xfId="5" applyNumberFormat="1" applyFont="1" applyFill="1" applyBorder="1"/>
    <xf numFmtId="0" fontId="14" fillId="2" borderId="3" xfId="5" applyFont="1" applyFill="1" applyBorder="1"/>
    <xf numFmtId="172" fontId="16" fillId="2" borderId="21" xfId="5" applyNumberFormat="1" applyFont="1" applyFill="1" applyBorder="1" applyAlignment="1">
      <alignment horizontal="center"/>
    </xf>
    <xf numFmtId="172" fontId="14" fillId="3" borderId="22" xfId="5" applyNumberFormat="1" applyFont="1" applyFill="1" applyBorder="1"/>
    <xf numFmtId="0" fontId="14" fillId="0" borderId="23" xfId="5" applyFont="1" applyBorder="1"/>
    <xf numFmtId="1" fontId="16" fillId="0" borderId="24" xfId="5" applyNumberFormat="1" applyFont="1" applyBorder="1" applyAlignment="1">
      <alignment horizontal="center" wrapText="1"/>
    </xf>
    <xf numFmtId="4" fontId="14" fillId="4" borderId="8" xfId="5" applyNumberFormat="1" applyFont="1" applyFill="1" applyBorder="1"/>
    <xf numFmtId="3" fontId="14" fillId="4" borderId="8" xfId="5" applyNumberFormat="1" applyFont="1" applyFill="1" applyBorder="1"/>
    <xf numFmtId="2" fontId="14" fillId="3" borderId="25" xfId="5" applyNumberFormat="1" applyFont="1" applyFill="1" applyBorder="1"/>
    <xf numFmtId="3" fontId="14" fillId="5" borderId="8" xfId="5" applyNumberFormat="1" applyFont="1" applyFill="1" applyBorder="1"/>
    <xf numFmtId="172" fontId="14" fillId="3" borderId="8" xfId="5" applyNumberFormat="1" applyFont="1" applyFill="1" applyBorder="1"/>
    <xf numFmtId="172" fontId="14" fillId="2" borderId="8" xfId="5" applyNumberFormat="1" applyFont="1" applyFill="1" applyBorder="1"/>
    <xf numFmtId="4" fontId="14" fillId="2" borderId="8" xfId="5" applyNumberFormat="1" applyFont="1" applyFill="1" applyBorder="1"/>
    <xf numFmtId="172" fontId="16" fillId="2" borderId="24" xfId="5" applyNumberFormat="1" applyFont="1" applyFill="1" applyBorder="1" applyAlignment="1">
      <alignment horizontal="center"/>
    </xf>
    <xf numFmtId="0" fontId="16" fillId="4" borderId="2" xfId="1" applyFont="1" applyFill="1" applyBorder="1"/>
    <xf numFmtId="0" fontId="14" fillId="4" borderId="18" xfId="1" applyFont="1" applyFill="1" applyBorder="1"/>
    <xf numFmtId="0" fontId="14" fillId="4" borderId="26" xfId="5" applyFont="1" applyFill="1" applyBorder="1"/>
    <xf numFmtId="4" fontId="14" fillId="4" borderId="27" xfId="5" applyNumberFormat="1" applyFont="1" applyFill="1" applyBorder="1"/>
    <xf numFmtId="4" fontId="14" fillId="4" borderId="28" xfId="5" applyNumberFormat="1" applyFont="1" applyFill="1" applyBorder="1"/>
    <xf numFmtId="3" fontId="14" fillId="4" borderId="26" xfId="5" applyNumberFormat="1" applyFont="1" applyFill="1" applyBorder="1"/>
    <xf numFmtId="3" fontId="14" fillId="4" borderId="27" xfId="5" applyNumberFormat="1" applyFont="1" applyFill="1" applyBorder="1"/>
    <xf numFmtId="3" fontId="14" fillId="4" borderId="28" xfId="5" applyNumberFormat="1" applyFont="1" applyFill="1" applyBorder="1"/>
    <xf numFmtId="3" fontId="14" fillId="4" borderId="18" xfId="1" applyNumberFormat="1" applyFont="1" applyFill="1" applyBorder="1"/>
    <xf numFmtId="0" fontId="16" fillId="4" borderId="29" xfId="1" applyFont="1" applyFill="1" applyBorder="1"/>
    <xf numFmtId="0" fontId="14" fillId="4" borderId="12" xfId="5" applyFont="1" applyFill="1" applyBorder="1"/>
    <xf numFmtId="4" fontId="14" fillId="4" borderId="15" xfId="5" applyNumberFormat="1" applyFont="1" applyFill="1" applyBorder="1"/>
    <xf numFmtId="3" fontId="14" fillId="4" borderId="12" xfId="5" applyNumberFormat="1" applyFont="1" applyFill="1" applyBorder="1"/>
    <xf numFmtId="3" fontId="14" fillId="4" borderId="6" xfId="5" applyNumberFormat="1" applyFont="1" applyFill="1" applyBorder="1"/>
    <xf numFmtId="3" fontId="14" fillId="4" borderId="15" xfId="5" applyNumberFormat="1" applyFont="1" applyFill="1" applyBorder="1"/>
    <xf numFmtId="0" fontId="14" fillId="4" borderId="30" xfId="1" applyFont="1" applyFill="1" applyBorder="1"/>
    <xf numFmtId="0" fontId="16" fillId="4" borderId="31" xfId="1" applyFont="1" applyFill="1" applyBorder="1"/>
    <xf numFmtId="3" fontId="14" fillId="4" borderId="19" xfId="5" applyNumberFormat="1" applyFont="1" applyFill="1" applyBorder="1"/>
    <xf numFmtId="3" fontId="14" fillId="4" borderId="25" xfId="5" applyNumberFormat="1" applyFont="1" applyFill="1" applyBorder="1"/>
    <xf numFmtId="3" fontId="14" fillId="4" borderId="23" xfId="5" applyNumberFormat="1" applyFont="1" applyFill="1" applyBorder="1"/>
    <xf numFmtId="3" fontId="15" fillId="4" borderId="33" xfId="1" applyNumberFormat="1" applyFont="1" applyFill="1" applyBorder="1"/>
    <xf numFmtId="172" fontId="14" fillId="3" borderId="34" xfId="5" applyNumberFormat="1" applyFont="1" applyFill="1" applyBorder="1"/>
    <xf numFmtId="172" fontId="14" fillId="3" borderId="35" xfId="5" applyNumberFormat="1" applyFont="1" applyFill="1" applyBorder="1"/>
    <xf numFmtId="0" fontId="14" fillId="3" borderId="36" xfId="5" applyFont="1" applyFill="1" applyBorder="1"/>
    <xf numFmtId="0" fontId="14" fillId="3" borderId="37" xfId="5" applyFont="1" applyFill="1" applyBorder="1"/>
    <xf numFmtId="3" fontId="14" fillId="4" borderId="33" xfId="1" applyNumberFormat="1" applyFont="1" applyFill="1" applyBorder="1"/>
    <xf numFmtId="0" fontId="17" fillId="0" borderId="0" xfId="1" applyFont="1"/>
    <xf numFmtId="0" fontId="13" fillId="0" borderId="0" xfId="1" applyFont="1"/>
    <xf numFmtId="174" fontId="17" fillId="0" borderId="0" xfId="4" applyNumberFormat="1" applyFont="1"/>
    <xf numFmtId="0" fontId="19" fillId="6" borderId="38" xfId="5" applyFont="1" applyFill="1" applyBorder="1" applyAlignment="1">
      <alignment horizontal="center"/>
    </xf>
    <xf numFmtId="3" fontId="14" fillId="5" borderId="12" xfId="5" applyNumberFormat="1" applyFont="1" applyFill="1" applyBorder="1"/>
    <xf numFmtId="3" fontId="14" fillId="5" borderId="6" xfId="5" applyNumberFormat="1" applyFont="1" applyFill="1" applyBorder="1"/>
    <xf numFmtId="3" fontId="14" fillId="5" borderId="15" xfId="5" applyNumberFormat="1" applyFont="1" applyFill="1" applyBorder="1"/>
    <xf numFmtId="3" fontId="14" fillId="5" borderId="16" xfId="1" applyNumberFormat="1" applyFont="1" applyFill="1" applyBorder="1" applyAlignment="1">
      <alignment horizontal="center"/>
    </xf>
    <xf numFmtId="0" fontId="14" fillId="5" borderId="30" xfId="1" applyFont="1" applyFill="1" applyBorder="1"/>
    <xf numFmtId="3" fontId="14" fillId="5" borderId="26" xfId="5" applyNumberFormat="1" applyFont="1" applyFill="1" applyBorder="1"/>
    <xf numFmtId="3" fontId="14" fillId="5" borderId="27" xfId="5" applyNumberFormat="1" applyFont="1" applyFill="1" applyBorder="1"/>
    <xf numFmtId="3" fontId="14" fillId="5" borderId="28" xfId="5" applyNumberFormat="1" applyFont="1" applyFill="1" applyBorder="1"/>
    <xf numFmtId="3" fontId="14" fillId="5" borderId="17" xfId="1" applyNumberFormat="1" applyFont="1" applyFill="1" applyBorder="1" applyAlignment="1">
      <alignment horizontal="left"/>
    </xf>
    <xf numFmtId="3" fontId="14" fillId="5" borderId="18" xfId="1" applyNumberFormat="1" applyFont="1" applyFill="1" applyBorder="1" applyAlignment="1">
      <alignment horizontal="left"/>
    </xf>
    <xf numFmtId="3" fontId="14" fillId="5" borderId="16" xfId="1" applyNumberFormat="1" applyFont="1" applyFill="1" applyBorder="1"/>
    <xf numFmtId="3" fontId="14" fillId="5" borderId="16" xfId="1" applyNumberFormat="1" applyFont="1" applyFill="1" applyBorder="1" applyAlignment="1">
      <alignment horizontal="left"/>
    </xf>
    <xf numFmtId="3" fontId="16" fillId="2" borderId="13" xfId="1" applyNumberFormat="1" applyFont="1" applyFill="1" applyBorder="1"/>
    <xf numFmtId="0" fontId="16" fillId="5" borderId="29" xfId="1" applyFont="1" applyFill="1" applyBorder="1"/>
    <xf numFmtId="0" fontId="14" fillId="7" borderId="2" xfId="1" applyFont="1" applyFill="1" applyBorder="1"/>
    <xf numFmtId="172" fontId="14" fillId="7" borderId="3" xfId="5" applyNumberFormat="1" applyFont="1" applyFill="1" applyBorder="1"/>
    <xf numFmtId="172" fontId="14" fillId="7" borderId="8" xfId="5" applyNumberFormat="1" applyFont="1" applyFill="1" applyBorder="1"/>
    <xf numFmtId="172" fontId="14" fillId="7" borderId="10" xfId="5" applyNumberFormat="1" applyFont="1" applyFill="1" applyBorder="1"/>
    <xf numFmtId="3" fontId="14" fillId="7" borderId="13" xfId="1" applyNumberFormat="1" applyFont="1" applyFill="1" applyBorder="1"/>
    <xf numFmtId="0" fontId="14" fillId="7" borderId="3" xfId="5" applyFont="1" applyFill="1" applyBorder="1"/>
    <xf numFmtId="4" fontId="14" fillId="7" borderId="8" xfId="5" applyNumberFormat="1" applyFont="1" applyFill="1" applyBorder="1"/>
    <xf numFmtId="4" fontId="14" fillId="7" borderId="10" xfId="5" applyNumberFormat="1" applyFont="1" applyFill="1" applyBorder="1"/>
    <xf numFmtId="0" fontId="19" fillId="6" borderId="1" xfId="5" applyFont="1" applyFill="1" applyBorder="1" applyAlignment="1">
      <alignment horizontal="center"/>
    </xf>
    <xf numFmtId="0" fontId="14" fillId="7" borderId="1" xfId="1" applyFont="1" applyFill="1" applyBorder="1"/>
    <xf numFmtId="172" fontId="16" fillId="7" borderId="39" xfId="5" applyNumberFormat="1" applyFont="1" applyFill="1" applyBorder="1"/>
    <xf numFmtId="172" fontId="16" fillId="7" borderId="40" xfId="5" applyNumberFormat="1" applyFont="1" applyFill="1" applyBorder="1"/>
    <xf numFmtId="172" fontId="16" fillId="7" borderId="45" xfId="5" applyNumberFormat="1" applyFont="1" applyFill="1" applyBorder="1"/>
    <xf numFmtId="0" fontId="14" fillId="3" borderId="22" xfId="5" applyFont="1" applyFill="1" applyBorder="1"/>
    <xf numFmtId="3" fontId="14" fillId="4" borderId="10" xfId="1" applyNumberFormat="1" applyFont="1" applyFill="1" applyBorder="1"/>
    <xf numFmtId="3" fontId="14" fillId="4" borderId="28" xfId="1" applyNumberFormat="1" applyFont="1" applyFill="1" applyBorder="1"/>
    <xf numFmtId="3" fontId="14" fillId="4" borderId="15" xfId="1" applyNumberFormat="1" applyFont="1" applyFill="1" applyBorder="1"/>
    <xf numFmtId="3" fontId="15" fillId="4" borderId="23" xfId="1" applyNumberFormat="1" applyFont="1" applyFill="1" applyBorder="1"/>
    <xf numFmtId="3" fontId="14" fillId="4" borderId="23" xfId="1" applyNumberFormat="1" applyFont="1" applyFill="1" applyBorder="1"/>
    <xf numFmtId="3" fontId="14" fillId="3" borderId="28" xfId="5" applyNumberFormat="1" applyFont="1" applyFill="1" applyBorder="1" applyAlignment="1">
      <alignment horizontal="center"/>
    </xf>
    <xf numFmtId="3" fontId="14" fillId="5" borderId="15" xfId="1" applyNumberFormat="1" applyFont="1" applyFill="1" applyBorder="1" applyAlignment="1">
      <alignment horizontal="center"/>
    </xf>
    <xf numFmtId="3" fontId="14" fillId="5" borderId="15" xfId="1" applyNumberFormat="1" applyFont="1" applyFill="1" applyBorder="1"/>
    <xf numFmtId="3" fontId="14" fillId="5" borderId="28" xfId="1" applyNumberFormat="1" applyFont="1" applyFill="1" applyBorder="1"/>
    <xf numFmtId="3" fontId="14" fillId="3" borderId="28" xfId="1" applyNumberFormat="1" applyFont="1" applyFill="1" applyBorder="1" applyAlignment="1"/>
    <xf numFmtId="0" fontId="14" fillId="3" borderId="35" xfId="5" applyFont="1" applyFill="1" applyBorder="1"/>
    <xf numFmtId="3" fontId="14" fillId="4" borderId="27" xfId="1" applyNumberFormat="1" applyFont="1" applyFill="1" applyBorder="1"/>
    <xf numFmtId="3" fontId="15" fillId="4" borderId="25" xfId="1" applyNumberFormat="1" applyFont="1" applyFill="1" applyBorder="1"/>
    <xf numFmtId="3" fontId="14" fillId="4" borderId="32" xfId="5" applyNumberFormat="1" applyFont="1" applyFill="1" applyBorder="1"/>
    <xf numFmtId="3" fontId="14" fillId="3" borderId="27" xfId="1" applyNumberFormat="1" applyFont="1" applyFill="1" applyBorder="1" applyAlignment="1"/>
    <xf numFmtId="0" fontId="16" fillId="7" borderId="11" xfId="5" applyFont="1" applyFill="1" applyBorder="1" applyAlignment="1">
      <alignment horizontal="center"/>
    </xf>
    <xf numFmtId="172" fontId="16" fillId="7" borderId="21" xfId="5" applyNumberFormat="1" applyFont="1" applyFill="1" applyBorder="1" applyAlignment="1">
      <alignment horizontal="center"/>
    </xf>
    <xf numFmtId="172" fontId="16" fillId="7" borderId="24" xfId="5" applyNumberFormat="1" applyFont="1" applyFill="1" applyBorder="1" applyAlignment="1">
      <alignment horizontal="center"/>
    </xf>
    <xf numFmtId="172" fontId="16" fillId="7" borderId="4" xfId="5" applyNumberFormat="1" applyFont="1" applyFill="1" applyBorder="1" applyAlignment="1">
      <alignment horizontal="center"/>
    </xf>
    <xf numFmtId="172" fontId="16" fillId="7" borderId="14" xfId="5" applyNumberFormat="1" applyFont="1" applyFill="1" applyBorder="1" applyAlignment="1">
      <alignment horizontal="center"/>
    </xf>
    <xf numFmtId="0" fontId="0" fillId="7" borderId="0" xfId="1" applyFont="1" applyFill="1"/>
    <xf numFmtId="3" fontId="14" fillId="7" borderId="45" xfId="5" applyNumberFormat="1" applyFont="1" applyFill="1" applyBorder="1"/>
    <xf numFmtId="3" fontId="14" fillId="7" borderId="10" xfId="5" applyNumberFormat="1" applyFont="1" applyFill="1" applyBorder="1"/>
    <xf numFmtId="0" fontId="14" fillId="2" borderId="2" xfId="1" applyFont="1" applyFill="1" applyBorder="1" applyAlignment="1">
      <alignment horizontal="center"/>
    </xf>
    <xf numFmtId="3" fontId="14" fillId="2" borderId="10" xfId="5" applyNumberFormat="1" applyFont="1" applyFill="1" applyBorder="1"/>
    <xf numFmtId="3" fontId="16" fillId="2" borderId="4" xfId="5" applyNumberFormat="1" applyFont="1" applyFill="1" applyBorder="1" applyAlignment="1">
      <alignment horizontal="center"/>
    </xf>
    <xf numFmtId="172" fontId="16" fillId="5" borderId="21" xfId="5" applyNumberFormat="1" applyFont="1" applyFill="1" applyBorder="1" applyAlignment="1">
      <alignment horizontal="center"/>
    </xf>
    <xf numFmtId="172" fontId="16" fillId="5" borderId="24" xfId="5" applyNumberFormat="1" applyFont="1" applyFill="1" applyBorder="1" applyAlignment="1">
      <alignment horizontal="center"/>
    </xf>
    <xf numFmtId="172" fontId="16" fillId="5" borderId="4" xfId="5" applyNumberFormat="1" applyFont="1" applyFill="1" applyBorder="1" applyAlignment="1">
      <alignment horizontal="center"/>
    </xf>
    <xf numFmtId="172" fontId="16" fillId="5" borderId="14" xfId="5" applyNumberFormat="1" applyFont="1" applyFill="1" applyBorder="1" applyAlignment="1">
      <alignment horizontal="center"/>
    </xf>
    <xf numFmtId="0" fontId="7" fillId="0" borderId="0" xfId="8" applyFont="1" applyBorder="1" applyAlignment="1">
      <alignment horizontal="left" vertical="center" wrapText="1"/>
    </xf>
    <xf numFmtId="0" fontId="8" fillId="0" borderId="0" xfId="9" applyFont="1" applyBorder="1" applyAlignment="1">
      <alignment horizontal="left" wrapText="1"/>
    </xf>
    <xf numFmtId="0" fontId="14" fillId="2" borderId="30" xfId="1" applyFont="1" applyFill="1" applyBorder="1" applyAlignment="1">
      <alignment horizontal="center"/>
    </xf>
    <xf numFmtId="0" fontId="12" fillId="0" borderId="0" xfId="5" applyFont="1"/>
    <xf numFmtId="3" fontId="14" fillId="7" borderId="47" xfId="1" applyNumberFormat="1" applyFont="1" applyFill="1" applyBorder="1"/>
    <xf numFmtId="3" fontId="14" fillId="7" borderId="13" xfId="5" applyNumberFormat="1" applyFont="1" applyFill="1" applyBorder="1"/>
    <xf numFmtId="0" fontId="13" fillId="0" borderId="48" xfId="1" applyFont="1" applyBorder="1" applyAlignment="1">
      <alignment horizontal="center" vertical="center"/>
    </xf>
    <xf numFmtId="0" fontId="13" fillId="0" borderId="49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44" xfId="1" applyFont="1" applyBorder="1" applyAlignment="1">
      <alignment horizontal="center" vertical="center"/>
    </xf>
    <xf numFmtId="0" fontId="13" fillId="0" borderId="37" xfId="1" applyFont="1" applyBorder="1" applyAlignment="1">
      <alignment vertical="center"/>
    </xf>
    <xf numFmtId="3" fontId="17" fillId="0" borderId="37" xfId="1" applyNumberFormat="1" applyFont="1" applyBorder="1" applyAlignment="1">
      <alignment vertical="center"/>
    </xf>
    <xf numFmtId="169" fontId="17" fillId="0" borderId="22" xfId="1" applyNumberFormat="1" applyFont="1" applyBorder="1" applyAlignment="1">
      <alignment vertical="center"/>
    </xf>
    <xf numFmtId="2" fontId="17" fillId="0" borderId="28" xfId="1" applyNumberFormat="1" applyFont="1" applyBorder="1" applyAlignment="1">
      <alignment vertical="center"/>
    </xf>
    <xf numFmtId="169" fontId="17" fillId="0" borderId="28" xfId="1" applyNumberFormat="1" applyFont="1" applyBorder="1" applyAlignment="1">
      <alignment vertical="center"/>
    </xf>
    <xf numFmtId="0" fontId="13" fillId="0" borderId="33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3" fontId="17" fillId="0" borderId="48" xfId="1" applyNumberFormat="1" applyFont="1" applyBorder="1" applyAlignment="1">
      <alignment vertical="center"/>
    </xf>
    <xf numFmtId="169" fontId="17" fillId="0" borderId="44" xfId="1" applyNumberFormat="1" applyFont="1" applyBorder="1" applyAlignment="1">
      <alignment vertical="center"/>
    </xf>
    <xf numFmtId="0" fontId="17" fillId="0" borderId="37" xfId="1" applyFont="1" applyBorder="1" applyAlignment="1">
      <alignment vertical="center"/>
    </xf>
    <xf numFmtId="0" fontId="17" fillId="0" borderId="33" xfId="1" applyFont="1" applyBorder="1" applyAlignment="1">
      <alignment vertical="center"/>
    </xf>
    <xf numFmtId="0" fontId="17" fillId="0" borderId="48" xfId="1" applyFont="1" applyBorder="1" applyAlignment="1">
      <alignment vertical="center"/>
    </xf>
    <xf numFmtId="0" fontId="18" fillId="0" borderId="50" xfId="1" applyFont="1" applyBorder="1" applyAlignment="1">
      <alignment horizontal="left" vertical="center"/>
    </xf>
    <xf numFmtId="0" fontId="14" fillId="0" borderId="45" xfId="1" applyFont="1" applyBorder="1"/>
    <xf numFmtId="0" fontId="14" fillId="0" borderId="17" xfId="1" applyFont="1" applyBorder="1" applyAlignment="1">
      <alignment horizontal="left" vertical="center"/>
    </xf>
    <xf numFmtId="0" fontId="14" fillId="0" borderId="10" xfId="1" applyFont="1" applyBorder="1"/>
    <xf numFmtId="0" fontId="14" fillId="0" borderId="51" xfId="1" applyFont="1" applyBorder="1" applyAlignment="1">
      <alignment horizontal="left" vertical="center"/>
    </xf>
    <xf numFmtId="0" fontId="14" fillId="0" borderId="44" xfId="1" applyFont="1" applyBorder="1"/>
    <xf numFmtId="0" fontId="20" fillId="3" borderId="0" xfId="1" applyFont="1" applyFill="1"/>
    <xf numFmtId="1" fontId="16" fillId="0" borderId="3" xfId="5" applyNumberFormat="1" applyFont="1" applyBorder="1" applyAlignment="1">
      <alignment horizontal="center" wrapText="1"/>
    </xf>
    <xf numFmtId="1" fontId="16" fillId="0" borderId="10" xfId="5" applyNumberFormat="1" applyFont="1" applyBorder="1" applyAlignment="1">
      <alignment horizontal="center" wrapText="1"/>
    </xf>
    <xf numFmtId="0" fontId="14" fillId="0" borderId="38" xfId="1" applyFont="1" applyFill="1" applyBorder="1"/>
    <xf numFmtId="0" fontId="14" fillId="0" borderId="41" xfId="1" applyFont="1" applyFill="1" applyBorder="1"/>
    <xf numFmtId="3" fontId="14" fillId="5" borderId="16" xfId="5" applyNumberFormat="1" applyFont="1" applyFill="1" applyBorder="1" applyAlignment="1">
      <alignment horizontal="center"/>
    </xf>
    <xf numFmtId="3" fontId="14" fillId="5" borderId="17" xfId="1" applyNumberFormat="1" applyFont="1" applyFill="1" applyBorder="1"/>
    <xf numFmtId="3" fontId="14" fillId="2" borderId="3" xfId="5" applyNumberFormat="1" applyFont="1" applyFill="1" applyBorder="1"/>
    <xf numFmtId="0" fontId="19" fillId="6" borderId="30" xfId="5" applyFont="1" applyFill="1" applyBorder="1" applyAlignment="1">
      <alignment horizontal="center"/>
    </xf>
    <xf numFmtId="3" fontId="14" fillId="4" borderId="5" xfId="5" applyNumberFormat="1" applyFont="1" applyFill="1" applyBorder="1"/>
    <xf numFmtId="3" fontId="14" fillId="4" borderId="7" xfId="5" applyNumberFormat="1" applyFont="1" applyFill="1" applyBorder="1"/>
    <xf numFmtId="3" fontId="14" fillId="4" borderId="20" xfId="5" applyNumberFormat="1" applyFont="1" applyFill="1" applyBorder="1"/>
    <xf numFmtId="3" fontId="14" fillId="5" borderId="7" xfId="5" applyNumberFormat="1" applyFont="1" applyFill="1" applyBorder="1"/>
    <xf numFmtId="3" fontId="14" fillId="5" borderId="20" xfId="5" applyNumberFormat="1" applyFont="1" applyFill="1" applyBorder="1"/>
    <xf numFmtId="3" fontId="14" fillId="5" borderId="5" xfId="5" applyNumberFormat="1" applyFont="1" applyFill="1" applyBorder="1"/>
    <xf numFmtId="3" fontId="14" fillId="2" borderId="7" xfId="5" applyNumberFormat="1" applyFont="1" applyFill="1" applyBorder="1"/>
    <xf numFmtId="3" fontId="14" fillId="2" borderId="8" xfId="5" applyNumberFormat="1" applyFont="1" applyFill="1" applyBorder="1"/>
    <xf numFmtId="0" fontId="13" fillId="0" borderId="45" xfId="1" applyFont="1" applyBorder="1" applyAlignment="1">
      <alignment vertical="center"/>
    </xf>
    <xf numFmtId="0" fontId="13" fillId="0" borderId="44" xfId="1" applyFont="1" applyBorder="1" applyAlignment="1">
      <alignment vertical="center"/>
    </xf>
    <xf numFmtId="170" fontId="14" fillId="4" borderId="10" xfId="1" applyNumberFormat="1" applyFont="1" applyFill="1" applyBorder="1"/>
    <xf numFmtId="170" fontId="14" fillId="5" borderId="28" xfId="1" applyNumberFormat="1" applyFont="1" applyFill="1" applyBorder="1" applyAlignment="1">
      <alignment horizontal="right"/>
    </xf>
    <xf numFmtId="3" fontId="14" fillId="5" borderId="10" xfId="1" applyNumberFormat="1" applyFont="1" applyFill="1" applyBorder="1" applyAlignment="1">
      <alignment horizontal="left"/>
    </xf>
    <xf numFmtId="3" fontId="14" fillId="5" borderId="28" xfId="1" applyNumberFormat="1" applyFont="1" applyFill="1" applyBorder="1" applyAlignment="1">
      <alignment horizontal="left"/>
    </xf>
    <xf numFmtId="3" fontId="14" fillId="2" borderId="10" xfId="1" applyNumberFormat="1" applyFont="1" applyFill="1" applyBorder="1" applyAlignment="1"/>
    <xf numFmtId="4" fontId="14" fillId="2" borderId="17" xfId="5" applyNumberFormat="1" applyFont="1" applyFill="1" applyBorder="1"/>
    <xf numFmtId="0" fontId="16" fillId="4" borderId="11" xfId="1" applyFont="1" applyFill="1" applyBorder="1"/>
    <xf numFmtId="174" fontId="16" fillId="4" borderId="4" xfId="4" applyNumberFormat="1" applyFont="1" applyFill="1" applyBorder="1"/>
    <xf numFmtId="0" fontId="16" fillId="0" borderId="0" xfId="1" applyFont="1"/>
    <xf numFmtId="0" fontId="23" fillId="0" borderId="0" xfId="7" applyFont="1" applyAlignment="1">
      <alignment horizontal="center" vertical="center"/>
    </xf>
    <xf numFmtId="0" fontId="22" fillId="0" borderId="21" xfId="8" applyFont="1" applyBorder="1" applyAlignment="1">
      <alignment horizontal="center" vertical="center"/>
    </xf>
    <xf numFmtId="0" fontId="22" fillId="0" borderId="24" xfId="8" applyFont="1" applyBorder="1" applyAlignment="1">
      <alignment horizontal="center" vertical="center"/>
    </xf>
    <xf numFmtId="2" fontId="22" fillId="0" borderId="24" xfId="8" applyNumberFormat="1" applyFont="1" applyBorder="1" applyAlignment="1">
      <alignment horizontal="center" vertical="center" wrapText="1"/>
    </xf>
    <xf numFmtId="0" fontId="3" fillId="0" borderId="14" xfId="9" applyFont="1" applyBorder="1" applyAlignment="1">
      <alignment horizontal="center"/>
    </xf>
    <xf numFmtId="0" fontId="5" fillId="0" borderId="0" xfId="9" applyFont="1" applyBorder="1"/>
    <xf numFmtId="164" fontId="22" fillId="0" borderId="24" xfId="3" applyFont="1" applyFill="1" applyBorder="1" applyAlignment="1"/>
    <xf numFmtId="0" fontId="24" fillId="0" borderId="0" xfId="1" applyFont="1"/>
    <xf numFmtId="3" fontId="22" fillId="0" borderId="24" xfId="4" applyNumberFormat="1" applyFont="1" applyFill="1" applyBorder="1" applyAlignment="1"/>
    <xf numFmtId="164" fontId="22" fillId="0" borderId="24" xfId="9" applyNumberFormat="1" applyFont="1" applyFill="1" applyBorder="1" applyAlignment="1">
      <alignment horizontal="right"/>
    </xf>
    <xf numFmtId="168" fontId="22" fillId="0" borderId="24" xfId="9" applyNumberFormat="1" applyFont="1" applyFill="1" applyBorder="1" applyAlignment="1">
      <alignment horizontal="right" indent="1"/>
    </xf>
    <xf numFmtId="10" fontId="21" fillId="0" borderId="0" xfId="4" applyNumberFormat="1" applyFont="1" applyBorder="1" applyAlignment="1"/>
    <xf numFmtId="10" fontId="21" fillId="0" borderId="0" xfId="8" applyNumberFormat="1" applyFont="1" applyBorder="1">
      <alignment vertical="center"/>
    </xf>
    <xf numFmtId="164" fontId="16" fillId="0" borderId="56" xfId="8" applyNumberFormat="1" applyFont="1" applyBorder="1" applyAlignment="1">
      <alignment vertical="center"/>
    </xf>
    <xf numFmtId="164" fontId="16" fillId="5" borderId="57" xfId="3" applyFont="1" applyFill="1" applyBorder="1" applyAlignment="1">
      <alignment horizontal="center" vertical="center"/>
    </xf>
    <xf numFmtId="0" fontId="16" fillId="0" borderId="4" xfId="1" applyFont="1" applyBorder="1" applyAlignment="1">
      <alignment vertical="center"/>
    </xf>
    <xf numFmtId="9" fontId="16" fillId="0" borderId="14" xfId="1" applyNumberFormat="1" applyFont="1" applyBorder="1" applyAlignment="1">
      <alignment vertical="center"/>
    </xf>
    <xf numFmtId="0" fontId="22" fillId="0" borderId="58" xfId="8" applyFont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/>
    </xf>
    <xf numFmtId="0" fontId="0" fillId="0" borderId="0" xfId="1" applyFont="1" applyFill="1"/>
    <xf numFmtId="1" fontId="21" fillId="0" borderId="24" xfId="9" applyNumberFormat="1" applyFont="1" applyFill="1" applyBorder="1" applyAlignment="1">
      <alignment horizontal="right"/>
    </xf>
    <xf numFmtId="0" fontId="21" fillId="0" borderId="24" xfId="9" applyFont="1" applyFill="1" applyBorder="1" applyAlignment="1">
      <alignment horizontal="center"/>
    </xf>
    <xf numFmtId="10" fontId="21" fillId="0" borderId="24" xfId="4" applyNumberFormat="1" applyFont="1" applyFill="1" applyBorder="1" applyAlignment="1">
      <alignment horizontal="right"/>
    </xf>
    <xf numFmtId="166" fontId="21" fillId="0" borderId="24" xfId="9" applyNumberFormat="1" applyFont="1" applyFill="1" applyBorder="1" applyAlignment="1"/>
    <xf numFmtId="167" fontId="21" fillId="0" borderId="58" xfId="9" applyNumberFormat="1" applyFont="1" applyFill="1" applyBorder="1" applyAlignment="1"/>
    <xf numFmtId="0" fontId="22" fillId="0" borderId="21" xfId="9" applyFont="1" applyFill="1" applyBorder="1" applyAlignment="1">
      <alignment horizontal="center"/>
    </xf>
    <xf numFmtId="174" fontId="22" fillId="0" borderId="24" xfId="4" applyNumberFormat="1" applyFont="1" applyFill="1" applyBorder="1" applyAlignment="1">
      <alignment horizontal="right"/>
    </xf>
    <xf numFmtId="10" fontId="16" fillId="5" borderId="44" xfId="8" applyNumberFormat="1" applyFont="1" applyFill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14" fillId="0" borderId="25" xfId="1" applyFont="1" applyBorder="1" applyAlignment="1">
      <alignment horizontal="center" vertical="center"/>
    </xf>
    <xf numFmtId="0" fontId="16" fillId="0" borderId="0" xfId="1" quotePrefix="1" applyFont="1" applyAlignment="1">
      <alignment vertical="center"/>
    </xf>
    <xf numFmtId="0" fontId="16" fillId="0" borderId="21" xfId="1" applyFont="1" applyBorder="1" applyAlignment="1">
      <alignment vertical="center"/>
    </xf>
    <xf numFmtId="0" fontId="16" fillId="0" borderId="24" xfId="1" applyFont="1" applyBorder="1" applyAlignment="1">
      <alignment horizontal="center" vertical="center"/>
    </xf>
    <xf numFmtId="0" fontId="16" fillId="4" borderId="21" xfId="1" applyFont="1" applyFill="1" applyBorder="1" applyAlignment="1">
      <alignment vertical="center"/>
    </xf>
    <xf numFmtId="0" fontId="16" fillId="4" borderId="24" xfId="1" applyFont="1" applyFill="1" applyBorder="1" applyAlignment="1">
      <alignment horizontal="center" vertical="center"/>
    </xf>
    <xf numFmtId="0" fontId="16" fillId="4" borderId="58" xfId="1" applyFont="1" applyFill="1" applyBorder="1" applyAlignment="1">
      <alignment horizontal="center" vertical="center"/>
    </xf>
    <xf numFmtId="0" fontId="14" fillId="0" borderId="34" xfId="1" applyFont="1" applyBorder="1" applyAlignment="1">
      <alignment vertical="center"/>
    </xf>
    <xf numFmtId="0" fontId="14" fillId="0" borderId="35" xfId="1" applyFont="1" applyBorder="1" applyAlignment="1">
      <alignment horizontal="center" vertical="center"/>
    </xf>
    <xf numFmtId="0" fontId="14" fillId="0" borderId="19" xfId="1" applyFont="1" applyBorder="1" applyAlignment="1">
      <alignment vertical="center"/>
    </xf>
    <xf numFmtId="0" fontId="14" fillId="0" borderId="59" xfId="1" applyFont="1" applyBorder="1" applyAlignment="1">
      <alignment vertical="center"/>
    </xf>
    <xf numFmtId="0" fontId="14" fillId="0" borderId="60" xfId="1" applyFont="1" applyBorder="1" applyAlignment="1">
      <alignment horizontal="center" vertical="center"/>
    </xf>
    <xf numFmtId="0" fontId="16" fillId="5" borderId="21" xfId="1" applyFont="1" applyFill="1" applyBorder="1" applyAlignment="1">
      <alignment vertical="center"/>
    </xf>
    <xf numFmtId="0" fontId="16" fillId="5" borderId="24" xfId="1" applyFont="1" applyFill="1" applyBorder="1" applyAlignment="1">
      <alignment horizontal="center" vertical="center"/>
    </xf>
    <xf numFmtId="0" fontId="14" fillId="4" borderId="31" xfId="1" applyFont="1" applyFill="1" applyBorder="1" applyAlignment="1">
      <alignment horizontal="left" indent="1"/>
    </xf>
    <xf numFmtId="173" fontId="14" fillId="7" borderId="39" xfId="5" applyNumberFormat="1" applyFont="1" applyFill="1" applyBorder="1"/>
    <xf numFmtId="175" fontId="14" fillId="7" borderId="39" xfId="5" applyNumberFormat="1" applyFont="1" applyFill="1" applyBorder="1"/>
    <xf numFmtId="173" fontId="14" fillId="7" borderId="3" xfId="5" applyNumberFormat="1" applyFont="1" applyFill="1" applyBorder="1"/>
    <xf numFmtId="175" fontId="14" fillId="7" borderId="3" xfId="5" applyNumberFormat="1" applyFont="1" applyFill="1" applyBorder="1"/>
    <xf numFmtId="2" fontId="16" fillId="7" borderId="21" xfId="5" applyNumberFormat="1" applyFont="1" applyFill="1" applyBorder="1" applyAlignment="1">
      <alignment horizontal="center"/>
    </xf>
    <xf numFmtId="171" fontId="14" fillId="2" borderId="8" xfId="5" applyNumberFormat="1" applyFont="1" applyFill="1" applyBorder="1"/>
    <xf numFmtId="3" fontId="14" fillId="2" borderId="10" xfId="5" applyNumberFormat="1" applyFont="1" applyFill="1" applyBorder="1" applyAlignment="1">
      <alignment horizontal="center"/>
    </xf>
    <xf numFmtId="171" fontId="16" fillId="2" borderId="21" xfId="5" applyNumberFormat="1" applyFont="1" applyFill="1" applyBorder="1" applyAlignment="1">
      <alignment horizontal="center"/>
    </xf>
    <xf numFmtId="0" fontId="14" fillId="7" borderId="13" xfId="1" applyNumberFormat="1" applyFont="1" applyFill="1" applyBorder="1" applyAlignment="1">
      <alignment horizontal="right"/>
    </xf>
    <xf numFmtId="0" fontId="0" fillId="0" borderId="0" xfId="1" applyNumberFormat="1" applyFont="1" applyAlignment="1">
      <alignment horizontal="right"/>
    </xf>
    <xf numFmtId="0" fontId="14" fillId="3" borderId="37" xfId="5" applyNumberFormat="1" applyFont="1" applyFill="1" applyBorder="1" applyAlignment="1">
      <alignment horizontal="right"/>
    </xf>
    <xf numFmtId="0" fontId="14" fillId="4" borderId="17" xfId="1" quotePrefix="1" applyNumberFormat="1" applyFont="1" applyFill="1" applyBorder="1" applyAlignment="1">
      <alignment horizontal="right"/>
    </xf>
    <xf numFmtId="0" fontId="14" fillId="4" borderId="18" xfId="1" applyNumberFormat="1" applyFont="1" applyFill="1" applyBorder="1" applyAlignment="1">
      <alignment horizontal="right"/>
    </xf>
    <xf numFmtId="0" fontId="14" fillId="4" borderId="16" xfId="1" applyNumberFormat="1" applyFont="1" applyFill="1" applyBorder="1" applyAlignment="1">
      <alignment horizontal="right"/>
    </xf>
    <xf numFmtId="0" fontId="14" fillId="4" borderId="17" xfId="1" applyNumberFormat="1" applyFont="1" applyFill="1" applyBorder="1" applyAlignment="1">
      <alignment horizontal="right"/>
    </xf>
    <xf numFmtId="0" fontId="14" fillId="4" borderId="33" xfId="1" applyNumberFormat="1" applyFont="1" applyFill="1" applyBorder="1" applyAlignment="1">
      <alignment horizontal="right"/>
    </xf>
    <xf numFmtId="0" fontId="14" fillId="3" borderId="18" xfId="5" applyNumberFormat="1" applyFont="1" applyFill="1" applyBorder="1" applyAlignment="1">
      <alignment horizontal="right"/>
    </xf>
    <xf numFmtId="0" fontId="14" fillId="5" borderId="16" xfId="1" quotePrefix="1" applyNumberFormat="1" applyFont="1" applyFill="1" applyBorder="1" applyAlignment="1">
      <alignment horizontal="right"/>
    </xf>
    <xf numFmtId="0" fontId="14" fillId="5" borderId="17" xfId="1" applyNumberFormat="1" applyFont="1" applyFill="1" applyBorder="1" applyAlignment="1">
      <alignment horizontal="right"/>
    </xf>
    <xf numFmtId="0" fontId="14" fillId="5" borderId="18" xfId="1" applyNumberFormat="1" applyFont="1" applyFill="1" applyBorder="1" applyAlignment="1">
      <alignment horizontal="right"/>
    </xf>
    <xf numFmtId="0" fontId="14" fillId="5" borderId="16" xfId="1" applyNumberFormat="1" applyFont="1" applyFill="1" applyBorder="1" applyAlignment="1">
      <alignment horizontal="right"/>
    </xf>
    <xf numFmtId="0" fontId="14" fillId="3" borderId="9" xfId="1" applyNumberFormat="1" applyFont="1" applyFill="1" applyBorder="1" applyAlignment="1">
      <alignment horizontal="right"/>
    </xf>
    <xf numFmtId="0" fontId="14" fillId="2" borderId="13" xfId="1" applyNumberFormat="1" applyFont="1" applyFill="1" applyBorder="1" applyAlignment="1">
      <alignment horizontal="right"/>
    </xf>
    <xf numFmtId="0" fontId="14" fillId="2" borderId="10" xfId="5" applyNumberFormat="1" applyFont="1" applyFill="1" applyBorder="1" applyAlignment="1">
      <alignment horizontal="right"/>
    </xf>
    <xf numFmtId="0" fontId="16" fillId="2" borderId="14" xfId="5" applyNumberFormat="1" applyFont="1" applyFill="1" applyBorder="1" applyAlignment="1">
      <alignment horizontal="right"/>
    </xf>
    <xf numFmtId="0" fontId="14" fillId="7" borderId="47" xfId="1" applyNumberFormat="1" applyFont="1" applyFill="1" applyBorder="1" applyAlignment="1">
      <alignment horizontal="right"/>
    </xf>
    <xf numFmtId="0" fontId="14" fillId="7" borderId="13" xfId="5" applyNumberFormat="1" applyFont="1" applyFill="1" applyBorder="1" applyAlignment="1">
      <alignment horizontal="right"/>
    </xf>
    <xf numFmtId="0" fontId="14" fillId="7" borderId="10" xfId="5" applyNumberFormat="1" applyFont="1" applyFill="1" applyBorder="1" applyAlignment="1">
      <alignment horizontal="right"/>
    </xf>
    <xf numFmtId="0" fontId="16" fillId="7" borderId="14" xfId="5" applyNumberFormat="1" applyFont="1" applyFill="1" applyBorder="1" applyAlignment="1">
      <alignment horizontal="right"/>
    </xf>
    <xf numFmtId="0" fontId="16" fillId="5" borderId="14" xfId="5" applyNumberFormat="1" applyFont="1" applyFill="1" applyBorder="1" applyAlignment="1">
      <alignment horizontal="right"/>
    </xf>
    <xf numFmtId="0" fontId="17" fillId="0" borderId="14" xfId="0" applyFont="1" applyBorder="1" applyAlignment="1">
      <alignment horizontal="center"/>
    </xf>
    <xf numFmtId="0" fontId="17" fillId="0" borderId="0" xfId="0" applyFont="1"/>
    <xf numFmtId="3" fontId="14" fillId="5" borderId="12" xfId="5" applyNumberFormat="1" applyFont="1" applyFill="1" applyBorder="1" applyAlignment="1">
      <alignment horizontal="right"/>
    </xf>
    <xf numFmtId="3" fontId="14" fillId="5" borderId="6" xfId="5" applyNumberFormat="1" applyFont="1" applyFill="1" applyBorder="1" applyAlignment="1">
      <alignment horizontal="right"/>
    </xf>
    <xf numFmtId="3" fontId="14" fillId="5" borderId="3" xfId="5" applyNumberFormat="1" applyFont="1" applyFill="1" applyBorder="1" applyAlignment="1">
      <alignment horizontal="right"/>
    </xf>
    <xf numFmtId="3" fontId="14" fillId="5" borderId="8" xfId="5" applyNumberFormat="1" applyFont="1" applyFill="1" applyBorder="1" applyAlignment="1">
      <alignment horizontal="right"/>
    </xf>
    <xf numFmtId="3" fontId="14" fillId="5" borderId="26" xfId="5" applyNumberFormat="1" applyFont="1" applyFill="1" applyBorder="1" applyAlignment="1">
      <alignment horizontal="right"/>
    </xf>
    <xf numFmtId="3" fontId="14" fillId="5" borderId="27" xfId="5" applyNumberFormat="1" applyFont="1" applyFill="1" applyBorder="1" applyAlignment="1">
      <alignment horizontal="right"/>
    </xf>
    <xf numFmtId="3" fontId="16" fillId="2" borderId="7" xfId="1" applyNumberFormat="1" applyFont="1" applyFill="1" applyBorder="1"/>
    <xf numFmtId="0" fontId="16" fillId="2" borderId="2" xfId="1" applyFont="1" applyFill="1" applyBorder="1" applyAlignment="1">
      <alignment horizontal="center"/>
    </xf>
    <xf numFmtId="172" fontId="16" fillId="2" borderId="29" xfId="5" applyNumberFormat="1" applyFont="1" applyFill="1" applyBorder="1"/>
    <xf numFmtId="172" fontId="16" fillId="2" borderId="6" xfId="5" applyNumberFormat="1" applyFont="1" applyFill="1" applyBorder="1"/>
    <xf numFmtId="172" fontId="16" fillId="2" borderId="44" xfId="5" applyNumberFormat="1" applyFont="1" applyFill="1" applyBorder="1"/>
    <xf numFmtId="172" fontId="16" fillId="2" borderId="15" xfId="5" applyNumberFormat="1" applyFont="1" applyFill="1" applyBorder="1"/>
    <xf numFmtId="0" fontId="14" fillId="2" borderId="51" xfId="5" applyFont="1" applyFill="1" applyBorder="1" applyAlignment="1">
      <alignment horizontal="center"/>
    </xf>
    <xf numFmtId="0" fontId="16" fillId="4" borderId="30" xfId="1" applyFont="1" applyFill="1" applyBorder="1"/>
    <xf numFmtId="0" fontId="26" fillId="0" borderId="0" xfId="5" applyFont="1"/>
    <xf numFmtId="3" fontId="16" fillId="2" borderId="52" xfId="1" applyNumberFormat="1" applyFont="1" applyFill="1" applyBorder="1"/>
    <xf numFmtId="0" fontId="13" fillId="0" borderId="25" xfId="0" applyFont="1" applyBorder="1"/>
    <xf numFmtId="0" fontId="13" fillId="0" borderId="0" xfId="0" applyFont="1"/>
    <xf numFmtId="169" fontId="17" fillId="0" borderId="25" xfId="0" applyNumberFormat="1" applyFont="1" applyBorder="1"/>
    <xf numFmtId="3" fontId="14" fillId="4" borderId="30" xfId="5" applyNumberFormat="1" applyFont="1" applyFill="1" applyBorder="1"/>
    <xf numFmtId="169" fontId="13" fillId="0" borderId="0" xfId="0" applyNumberFormat="1" applyFont="1"/>
    <xf numFmtId="172" fontId="16" fillId="2" borderId="41" xfId="5" applyNumberFormat="1" applyFont="1" applyFill="1" applyBorder="1" applyAlignment="1">
      <alignment horizontal="center"/>
    </xf>
    <xf numFmtId="172" fontId="16" fillId="2" borderId="44" xfId="5" applyNumberFormat="1" applyFont="1" applyFill="1" applyBorder="1" applyAlignment="1">
      <alignment horizontal="center"/>
    </xf>
    <xf numFmtId="172" fontId="16" fillId="2" borderId="60" xfId="5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176" fontId="14" fillId="0" borderId="55" xfId="1" applyNumberFormat="1" applyFont="1" applyBorder="1" applyAlignment="1">
      <alignment horizontal="center" vertical="center"/>
    </xf>
    <xf numFmtId="0" fontId="21" fillId="4" borderId="19" xfId="9" applyFont="1" applyFill="1" applyBorder="1" applyAlignment="1"/>
    <xf numFmtId="0" fontId="21" fillId="4" borderId="25" xfId="9" applyFont="1" applyFill="1" applyBorder="1" applyAlignment="1">
      <alignment horizontal="center"/>
    </xf>
    <xf numFmtId="0" fontId="21" fillId="4" borderId="25" xfId="9" applyFont="1" applyFill="1" applyBorder="1" applyAlignment="1">
      <alignment horizontal="left"/>
    </xf>
    <xf numFmtId="1" fontId="21" fillId="4" borderId="25" xfId="9" applyNumberFormat="1" applyFont="1" applyFill="1" applyBorder="1" applyAlignment="1">
      <alignment horizontal="right"/>
    </xf>
    <xf numFmtId="164" fontId="21" fillId="4" borderId="25" xfId="9" applyNumberFormat="1" applyFont="1" applyFill="1" applyBorder="1" applyAlignment="1">
      <alignment horizontal="right"/>
    </xf>
    <xf numFmtId="10" fontId="21" fillId="4" borderId="25" xfId="4" applyNumberFormat="1" applyFont="1" applyFill="1" applyBorder="1" applyAlignment="1">
      <alignment horizontal="right"/>
    </xf>
    <xf numFmtId="0" fontId="3" fillId="2" borderId="11" xfId="9" applyFont="1" applyFill="1" applyBorder="1" applyAlignment="1">
      <alignment horizontal="center"/>
    </xf>
    <xf numFmtId="0" fontId="21" fillId="2" borderId="24" xfId="9" applyFont="1" applyFill="1" applyBorder="1" applyAlignment="1">
      <alignment horizontal="center"/>
    </xf>
    <xf numFmtId="0" fontId="21" fillId="2" borderId="24" xfId="9" applyFont="1" applyFill="1" applyBorder="1" applyAlignment="1">
      <alignment horizontal="left"/>
    </xf>
    <xf numFmtId="1" fontId="21" fillId="2" borderId="24" xfId="9" applyNumberFormat="1" applyFont="1" applyFill="1" applyBorder="1" applyAlignment="1">
      <alignment horizontal="right"/>
    </xf>
    <xf numFmtId="167" fontId="21" fillId="2" borderId="58" xfId="9" applyNumberFormat="1" applyFont="1" applyFill="1" applyBorder="1" applyAlignment="1"/>
    <xf numFmtId="2" fontId="17" fillId="0" borderId="22" xfId="1" applyNumberFormat="1" applyFont="1" applyBorder="1" applyAlignment="1">
      <alignment vertical="center"/>
    </xf>
    <xf numFmtId="2" fontId="17" fillId="0" borderId="63" xfId="1" applyNumberFormat="1" applyFont="1" applyBorder="1" applyAlignment="1">
      <alignment vertical="center"/>
    </xf>
    <xf numFmtId="0" fontId="17" fillId="0" borderId="32" xfId="1" applyFont="1" applyBorder="1" applyAlignment="1">
      <alignment vertical="center"/>
    </xf>
    <xf numFmtId="2" fontId="17" fillId="0" borderId="44" xfId="1" applyNumberFormat="1" applyFont="1" applyBorder="1" applyAlignment="1">
      <alignment vertical="center"/>
    </xf>
    <xf numFmtId="0" fontId="17" fillId="0" borderId="64" xfId="1" applyFont="1" applyBorder="1" applyAlignment="1">
      <alignment vertical="center"/>
    </xf>
    <xf numFmtId="0" fontId="14" fillId="0" borderId="50" xfId="1" applyFont="1" applyBorder="1" applyAlignment="1">
      <alignment horizontal="center" wrapText="1"/>
    </xf>
    <xf numFmtId="0" fontId="14" fillId="0" borderId="17" xfId="1" applyFont="1" applyBorder="1" applyAlignment="1">
      <alignment horizontal="center"/>
    </xf>
    <xf numFmtId="0" fontId="14" fillId="0" borderId="51" xfId="1" applyFont="1" applyBorder="1" applyAlignment="1">
      <alignment horizontal="center"/>
    </xf>
    <xf numFmtId="3" fontId="17" fillId="0" borderId="33" xfId="1" applyNumberFormat="1" applyFont="1" applyBorder="1" applyAlignment="1">
      <alignment vertical="center"/>
    </xf>
    <xf numFmtId="0" fontId="12" fillId="8" borderId="0" xfId="5" applyFill="1"/>
    <xf numFmtId="3" fontId="14" fillId="8" borderId="0" xfId="1" applyNumberFormat="1" applyFont="1" applyFill="1" applyAlignment="1">
      <alignment horizontal="center"/>
    </xf>
    <xf numFmtId="0" fontId="0" fillId="8" borderId="0" xfId="0" applyFill="1"/>
    <xf numFmtId="172" fontId="16" fillId="4" borderId="11" xfId="1" applyNumberFormat="1" applyFont="1" applyFill="1" applyBorder="1"/>
    <xf numFmtId="1" fontId="16" fillId="0" borderId="58" xfId="5" applyNumberFormat="1" applyFont="1" applyBorder="1" applyAlignment="1">
      <alignment horizontal="center" wrapText="1"/>
    </xf>
    <xf numFmtId="1" fontId="16" fillId="0" borderId="52" xfId="5" applyNumberFormat="1" applyFont="1" applyBorder="1" applyAlignment="1">
      <alignment horizontal="center" wrapText="1"/>
    </xf>
    <xf numFmtId="174" fontId="14" fillId="0" borderId="55" xfId="4" applyNumberFormat="1" applyFont="1" applyFill="1" applyBorder="1" applyAlignment="1">
      <alignment horizontal="center"/>
    </xf>
    <xf numFmtId="174" fontId="14" fillId="0" borderId="22" xfId="4" applyNumberFormat="1" applyFont="1" applyFill="1" applyBorder="1" applyAlignment="1">
      <alignment horizontal="center"/>
    </xf>
    <xf numFmtId="172" fontId="14" fillId="0" borderId="59" xfId="5" applyNumberFormat="1" applyFont="1" applyFill="1" applyBorder="1" applyAlignment="1">
      <alignment horizontal="center"/>
    </xf>
    <xf numFmtId="174" fontId="14" fillId="0" borderId="44" xfId="4" applyNumberFormat="1" applyFont="1" applyFill="1" applyBorder="1" applyAlignment="1">
      <alignment horizontal="center"/>
    </xf>
    <xf numFmtId="172" fontId="14" fillId="8" borderId="30" xfId="5" applyNumberFormat="1" applyFont="1" applyFill="1" applyBorder="1" applyAlignment="1">
      <alignment horizontal="center"/>
    </xf>
    <xf numFmtId="174" fontId="14" fillId="0" borderId="52" xfId="4" applyNumberFormat="1" applyFont="1" applyFill="1" applyBorder="1" applyAlignment="1">
      <alignment horizontal="center"/>
    </xf>
    <xf numFmtId="172" fontId="14" fillId="0" borderId="42" xfId="5" applyNumberFormat="1" applyFont="1" applyFill="1" applyBorder="1" applyAlignment="1">
      <alignment horizontal="center"/>
    </xf>
    <xf numFmtId="172" fontId="16" fillId="4" borderId="11" xfId="1" applyNumberFormat="1" applyFont="1" applyFill="1" applyBorder="1" applyAlignment="1">
      <alignment horizontal="center"/>
    </xf>
    <xf numFmtId="10" fontId="16" fillId="4" borderId="11" xfId="1" applyNumberFormat="1" applyFont="1" applyFill="1" applyBorder="1" applyAlignment="1">
      <alignment horizontal="center"/>
    </xf>
    <xf numFmtId="3" fontId="16" fillId="4" borderId="21" xfId="5" applyNumberFormat="1" applyFont="1" applyFill="1" applyBorder="1" applyAlignment="1">
      <alignment horizontal="center"/>
    </xf>
    <xf numFmtId="10" fontId="16" fillId="4" borderId="4" xfId="4" applyNumberFormat="1" applyFont="1" applyFill="1" applyBorder="1" applyAlignment="1">
      <alignment horizontal="center"/>
    </xf>
    <xf numFmtId="0" fontId="13" fillId="8" borderId="0" xfId="1" applyFont="1" applyFill="1"/>
    <xf numFmtId="0" fontId="9" fillId="8" borderId="0" xfId="1" applyFont="1" applyFill="1"/>
    <xf numFmtId="0" fontId="25" fillId="8" borderId="0" xfId="0" applyFont="1" applyFill="1"/>
    <xf numFmtId="0" fontId="16" fillId="8" borderId="0" xfId="0" applyFont="1" applyFill="1"/>
    <xf numFmtId="0" fontId="21" fillId="2" borderId="21" xfId="9" applyFont="1" applyFill="1" applyBorder="1" applyAlignment="1"/>
    <xf numFmtId="3" fontId="16" fillId="0" borderId="0" xfId="5" applyNumberFormat="1" applyFont="1" applyFill="1" applyBorder="1" applyAlignment="1">
      <alignment horizontal="center"/>
    </xf>
    <xf numFmtId="0" fontId="0" fillId="0" borderId="0" xfId="0" applyFill="1" applyBorder="1"/>
    <xf numFmtId="0" fontId="19" fillId="6" borderId="1" xfId="5" applyFont="1" applyFill="1" applyBorder="1" applyAlignment="1">
      <alignment horizontal="center" vertical="center" wrapText="1"/>
    </xf>
    <xf numFmtId="3" fontId="14" fillId="4" borderId="31" xfId="5" applyNumberFormat="1" applyFont="1" applyFill="1" applyBorder="1"/>
    <xf numFmtId="3" fontId="14" fillId="5" borderId="10" xfId="1" applyNumberFormat="1" applyFont="1" applyFill="1" applyBorder="1" applyAlignment="1">
      <alignment horizontal="right"/>
    </xf>
    <xf numFmtId="3" fontId="0" fillId="0" borderId="0" xfId="0" applyNumberFormat="1" applyFill="1" applyBorder="1"/>
    <xf numFmtId="3" fontId="16" fillId="5" borderId="4" xfId="5" applyNumberFormat="1" applyFont="1" applyFill="1" applyBorder="1" applyAlignment="1">
      <alignment horizontal="center"/>
    </xf>
    <xf numFmtId="0" fontId="13" fillId="0" borderId="38" xfId="1" applyFont="1" applyBorder="1" applyAlignment="1">
      <alignment horizontal="center" vertical="center"/>
    </xf>
    <xf numFmtId="176" fontId="14" fillId="0" borderId="54" xfId="1" applyNumberFormat="1" applyFont="1" applyBorder="1" applyAlignment="1">
      <alignment horizontal="center" vertical="center"/>
    </xf>
    <xf numFmtId="176" fontId="14" fillId="0" borderId="61" xfId="1" applyNumberFormat="1" applyFont="1" applyBorder="1" applyAlignment="1">
      <alignment horizontal="center" vertical="center"/>
    </xf>
    <xf numFmtId="176" fontId="16" fillId="0" borderId="4" xfId="1" applyNumberFormat="1" applyFont="1" applyBorder="1" applyAlignment="1">
      <alignment horizontal="center" vertical="center"/>
    </xf>
    <xf numFmtId="176" fontId="16" fillId="0" borderId="58" xfId="1" applyNumberFormat="1" applyFont="1" applyBorder="1" applyAlignment="1">
      <alignment horizontal="center" vertical="center"/>
    </xf>
    <xf numFmtId="176" fontId="16" fillId="5" borderId="58" xfId="1" applyNumberFormat="1" applyFont="1" applyFill="1" applyBorder="1" applyAlignment="1">
      <alignment horizontal="center" vertical="center"/>
    </xf>
    <xf numFmtId="3" fontId="16" fillId="4" borderId="21" xfId="5" applyNumberFormat="1" applyFont="1" applyFill="1" applyBorder="1"/>
    <xf numFmtId="3" fontId="14" fillId="4" borderId="25" xfId="5" quotePrefix="1" applyNumberFormat="1" applyFont="1" applyFill="1" applyBorder="1" applyAlignment="1">
      <alignment horizontal="center"/>
    </xf>
    <xf numFmtId="3" fontId="14" fillId="5" borderId="8" xfId="1" applyNumberFormat="1" applyFont="1" applyFill="1" applyBorder="1"/>
    <xf numFmtId="0" fontId="1" fillId="0" borderId="0" xfId="0" applyFont="1"/>
    <xf numFmtId="169" fontId="17" fillId="0" borderId="0" xfId="0" applyNumberFormat="1" applyFont="1" applyBorder="1"/>
    <xf numFmtId="0" fontId="1" fillId="4" borderId="0" xfId="1" applyNumberFormat="1" applyFont="1" applyFill="1" applyAlignment="1">
      <alignment horizontal="right"/>
    </xf>
    <xf numFmtId="0" fontId="14" fillId="4" borderId="33" xfId="1" quotePrefix="1" applyNumberFormat="1" applyFont="1" applyFill="1" applyBorder="1" applyAlignment="1">
      <alignment horizontal="right"/>
    </xf>
    <xf numFmtId="0" fontId="1" fillId="0" borderId="0" xfId="1" applyNumberFormat="1" applyFont="1" applyAlignment="1">
      <alignment horizontal="right"/>
    </xf>
    <xf numFmtId="0" fontId="3" fillId="0" borderId="0" xfId="9" applyFont="1" applyBorder="1" applyAlignment="1">
      <alignment wrapText="1"/>
    </xf>
    <xf numFmtId="3" fontId="17" fillId="0" borderId="0" xfId="1" applyNumberFormat="1" applyFont="1" applyBorder="1" applyAlignment="1">
      <alignment vertical="center"/>
    </xf>
    <xf numFmtId="4" fontId="17" fillId="0" borderId="0" xfId="1" applyNumberFormat="1" applyFont="1" applyBorder="1" applyAlignment="1">
      <alignment vertical="center"/>
    </xf>
    <xf numFmtId="0" fontId="29" fillId="0" borderId="0" xfId="0" applyFont="1"/>
    <xf numFmtId="0" fontId="30" fillId="0" borderId="0" xfId="0" applyFont="1"/>
    <xf numFmtId="172" fontId="14" fillId="0" borderId="34" xfId="5" applyNumberFormat="1" applyFont="1" applyFill="1" applyBorder="1" applyAlignment="1">
      <alignment horizontal="center"/>
    </xf>
    <xf numFmtId="0" fontId="32" fillId="0" borderId="0" xfId="10" applyFont="1"/>
    <xf numFmtId="0" fontId="33" fillId="0" borderId="0" xfId="10" applyFont="1"/>
    <xf numFmtId="0" fontId="32" fillId="9" borderId="11" xfId="10" applyFont="1" applyFill="1" applyBorder="1"/>
    <xf numFmtId="0" fontId="33" fillId="0" borderId="0" xfId="10" applyFont="1" applyAlignment="1">
      <alignment horizontal="center"/>
    </xf>
    <xf numFmtId="0" fontId="0" fillId="0" borderId="0" xfId="0" applyFont="1"/>
    <xf numFmtId="0" fontId="13" fillId="0" borderId="64" xfId="1" applyFont="1" applyFill="1" applyBorder="1" applyAlignment="1">
      <alignment horizontal="center" vertical="center"/>
    </xf>
    <xf numFmtId="0" fontId="13" fillId="0" borderId="70" xfId="0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0" fontId="13" fillId="0" borderId="61" xfId="0" applyFont="1" applyBorder="1" applyAlignment="1">
      <alignment horizontal="center"/>
    </xf>
    <xf numFmtId="0" fontId="17" fillId="0" borderId="30" xfId="0" applyFont="1" applyBorder="1" applyAlignment="1">
      <alignment vertical="center"/>
    </xf>
    <xf numFmtId="0" fontId="17" fillId="0" borderId="18" xfId="0" applyFont="1" applyBorder="1" applyAlignment="1">
      <alignment vertical="center"/>
    </xf>
    <xf numFmtId="3" fontId="17" fillId="0" borderId="32" xfId="1" applyNumberFormat="1" applyFont="1" applyBorder="1" applyAlignment="1">
      <alignment vertical="center"/>
    </xf>
    <xf numFmtId="4" fontId="17" fillId="0" borderId="67" xfId="1" applyNumberFormat="1" applyFont="1" applyBorder="1" applyAlignment="1">
      <alignment vertical="center"/>
    </xf>
    <xf numFmtId="3" fontId="17" fillId="0" borderId="19" xfId="1" applyNumberFormat="1" applyFont="1" applyBorder="1" applyAlignment="1">
      <alignment vertical="center"/>
    </xf>
    <xf numFmtId="169" fontId="17" fillId="0" borderId="54" xfId="0" applyNumberFormat="1" applyFont="1" applyBorder="1"/>
    <xf numFmtId="0" fontId="17" fillId="0" borderId="31" xfId="0" applyFont="1" applyBorder="1" applyAlignment="1">
      <alignment vertical="center"/>
    </xf>
    <xf numFmtId="0" fontId="17" fillId="0" borderId="33" xfId="0" applyFont="1" applyBorder="1" applyAlignment="1">
      <alignment vertical="center"/>
    </xf>
    <xf numFmtId="3" fontId="17" fillId="0" borderId="20" xfId="1" applyNumberFormat="1" applyFont="1" applyBorder="1" applyAlignment="1">
      <alignment vertical="center"/>
    </xf>
    <xf numFmtId="4" fontId="17" fillId="0" borderId="69" xfId="1" applyNumberFormat="1" applyFont="1" applyBorder="1" applyAlignment="1">
      <alignment vertical="center"/>
    </xf>
    <xf numFmtId="3" fontId="17" fillId="0" borderId="26" xfId="1" applyNumberFormat="1" applyFont="1" applyBorder="1" applyAlignment="1">
      <alignment vertical="center"/>
    </xf>
    <xf numFmtId="169" fontId="17" fillId="0" borderId="9" xfId="0" applyNumberFormat="1" applyFont="1" applyBorder="1"/>
    <xf numFmtId="0" fontId="17" fillId="0" borderId="48" xfId="0" applyFont="1" applyBorder="1" applyAlignment="1">
      <alignment vertical="center"/>
    </xf>
    <xf numFmtId="3" fontId="17" fillId="0" borderId="64" xfId="1" applyNumberFormat="1" applyFont="1" applyBorder="1" applyAlignment="1">
      <alignment vertical="center"/>
    </xf>
    <xf numFmtId="2" fontId="17" fillId="0" borderId="70" xfId="0" applyNumberFormat="1" applyFont="1" applyBorder="1"/>
    <xf numFmtId="3" fontId="17" fillId="0" borderId="59" xfId="1" applyNumberFormat="1" applyFont="1" applyBorder="1" applyAlignment="1">
      <alignment vertical="center"/>
    </xf>
    <xf numFmtId="169" fontId="17" fillId="0" borderId="61" xfId="0" applyNumberFormat="1" applyFont="1" applyBorder="1"/>
    <xf numFmtId="170" fontId="14" fillId="4" borderId="28" xfId="1" applyNumberFormat="1" applyFont="1" applyFill="1" applyBorder="1"/>
    <xf numFmtId="170" fontId="14" fillId="4" borderId="15" xfId="1" applyNumberFormat="1" applyFont="1" applyFill="1" applyBorder="1"/>
    <xf numFmtId="0" fontId="0" fillId="0" borderId="53" xfId="1" applyFont="1" applyBorder="1" applyAlignment="1"/>
    <xf numFmtId="3" fontId="14" fillId="4" borderId="72" xfId="5" applyNumberFormat="1" applyFont="1" applyFill="1" applyBorder="1" applyAlignment="1">
      <alignment horizontal="right"/>
    </xf>
    <xf numFmtId="3" fontId="14" fillId="5" borderId="0" xfId="1" applyNumberFormat="1" applyFont="1" applyFill="1" applyBorder="1"/>
    <xf numFmtId="14" fontId="14" fillId="2" borderId="13" xfId="1" applyNumberFormat="1" applyFont="1" applyFill="1" applyBorder="1" applyAlignment="1">
      <alignment horizontal="right"/>
    </xf>
    <xf numFmtId="3" fontId="14" fillId="2" borderId="8" xfId="1" applyNumberFormat="1" applyFont="1" applyFill="1" applyBorder="1"/>
    <xf numFmtId="3" fontId="14" fillId="2" borderId="10" xfId="1" applyNumberFormat="1" applyFont="1" applyFill="1" applyBorder="1"/>
    <xf numFmtId="175" fontId="14" fillId="2" borderId="6" xfId="5" applyNumberFormat="1" applyFont="1" applyFill="1" applyBorder="1"/>
    <xf numFmtId="175" fontId="14" fillId="2" borderId="15" xfId="5" applyNumberFormat="1" applyFont="1" applyFill="1" applyBorder="1"/>
    <xf numFmtId="49" fontId="14" fillId="4" borderId="18" xfId="1" applyNumberFormat="1" applyFont="1" applyFill="1" applyBorder="1" applyAlignment="1">
      <alignment horizontal="right"/>
    </xf>
    <xf numFmtId="3" fontId="14" fillId="7" borderId="10" xfId="5" applyNumberFormat="1" applyFont="1" applyFill="1" applyBorder="1" applyAlignment="1">
      <alignment horizontal="right"/>
    </xf>
    <xf numFmtId="173" fontId="14" fillId="7" borderId="3" xfId="5" applyNumberFormat="1" applyFont="1" applyFill="1" applyBorder="1" applyAlignment="1">
      <alignment horizontal="right"/>
    </xf>
    <xf numFmtId="175" fontId="14" fillId="7" borderId="3" xfId="5" applyNumberFormat="1" applyFont="1" applyFill="1" applyBorder="1" applyAlignment="1">
      <alignment horizontal="right"/>
    </xf>
    <xf numFmtId="49" fontId="14" fillId="7" borderId="10" xfId="5" applyNumberFormat="1" applyFont="1" applyFill="1" applyBorder="1" applyAlignment="1">
      <alignment horizontal="right"/>
    </xf>
    <xf numFmtId="14" fontId="14" fillId="2" borderId="10" xfId="5" applyNumberFormat="1" applyFont="1" applyFill="1" applyBorder="1" applyAlignment="1">
      <alignment horizontal="right"/>
    </xf>
    <xf numFmtId="169" fontId="14" fillId="2" borderId="3" xfId="5" applyNumberFormat="1" applyFont="1" applyFill="1" applyBorder="1" applyAlignment="1">
      <alignment horizontal="right"/>
    </xf>
    <xf numFmtId="169" fontId="14" fillId="2" borderId="8" xfId="5" applyNumberFormat="1" applyFont="1" applyFill="1" applyBorder="1"/>
    <xf numFmtId="169" fontId="14" fillId="2" borderId="10" xfId="5" applyNumberFormat="1" applyFont="1" applyFill="1" applyBorder="1"/>
    <xf numFmtId="169" fontId="14" fillId="2" borderId="7" xfId="5" applyNumberFormat="1" applyFont="1" applyFill="1" applyBorder="1"/>
    <xf numFmtId="169" fontId="14" fillId="2" borderId="0" xfId="5" applyNumberFormat="1" applyFont="1" applyFill="1" applyBorder="1"/>
    <xf numFmtId="1" fontId="16" fillId="0" borderId="21" xfId="5" applyNumberFormat="1" applyFont="1" applyBorder="1" applyAlignment="1">
      <alignment horizontal="center" vertical="center" wrapText="1"/>
    </xf>
    <xf numFmtId="1" fontId="16" fillId="0" borderId="24" xfId="5" applyNumberFormat="1" applyFont="1" applyBorder="1" applyAlignment="1">
      <alignment horizontal="center" vertical="center" wrapText="1"/>
    </xf>
    <xf numFmtId="1" fontId="16" fillId="0" borderId="4" xfId="5" applyNumberFormat="1" applyFont="1" applyBorder="1" applyAlignment="1">
      <alignment horizontal="center" vertical="center" wrapText="1"/>
    </xf>
    <xf numFmtId="1" fontId="16" fillId="0" borderId="46" xfId="5" applyNumberFormat="1" applyFont="1" applyBorder="1" applyAlignment="1">
      <alignment horizontal="center" vertical="center" wrapText="1"/>
    </xf>
    <xf numFmtId="0" fontId="14" fillId="7" borderId="2" xfId="1" applyFont="1" applyFill="1" applyBorder="1" applyAlignment="1">
      <alignment vertical="top"/>
    </xf>
    <xf numFmtId="173" fontId="14" fillId="7" borderId="3" xfId="5" applyNumberFormat="1" applyFont="1" applyFill="1" applyBorder="1" applyAlignment="1">
      <alignment horizontal="right" vertical="top"/>
    </xf>
    <xf numFmtId="175" fontId="14" fillId="7" borderId="3" xfId="5" applyNumberFormat="1" applyFont="1" applyFill="1" applyBorder="1" applyAlignment="1">
      <alignment vertical="top"/>
    </xf>
    <xf numFmtId="0" fontId="14" fillId="7" borderId="3" xfId="5" applyFont="1" applyFill="1" applyBorder="1" applyAlignment="1">
      <alignment vertical="top"/>
    </xf>
    <xf numFmtId="4" fontId="14" fillId="7" borderId="8" xfId="5" applyNumberFormat="1" applyFont="1" applyFill="1" applyBorder="1" applyAlignment="1">
      <alignment vertical="top"/>
    </xf>
    <xf numFmtId="4" fontId="14" fillId="7" borderId="10" xfId="5" applyNumberFormat="1" applyFont="1" applyFill="1" applyBorder="1" applyAlignment="1">
      <alignment vertical="top"/>
    </xf>
    <xf numFmtId="3" fontId="14" fillId="7" borderId="10" xfId="5" applyNumberFormat="1" applyFont="1" applyFill="1" applyBorder="1" applyAlignment="1">
      <alignment horizontal="right" vertical="top"/>
    </xf>
    <xf numFmtId="3" fontId="14" fillId="7" borderId="10" xfId="5" applyNumberFormat="1" applyFont="1" applyFill="1" applyBorder="1" applyAlignment="1">
      <alignment vertical="top"/>
    </xf>
    <xf numFmtId="49" fontId="14" fillId="7" borderId="10" xfId="5" applyNumberFormat="1" applyFont="1" applyFill="1" applyBorder="1" applyAlignment="1">
      <alignment horizontal="right" vertical="top" wrapText="1"/>
    </xf>
    <xf numFmtId="3" fontId="14" fillId="4" borderId="19" xfId="5" applyNumberFormat="1" applyFont="1" applyFill="1" applyBorder="1" applyAlignment="1">
      <alignment horizontal="right"/>
    </xf>
    <xf numFmtId="172" fontId="16" fillId="2" borderId="53" xfId="5" applyNumberFormat="1" applyFont="1" applyFill="1" applyBorder="1"/>
    <xf numFmtId="172" fontId="16" fillId="2" borderId="43" xfId="5" applyNumberFormat="1" applyFont="1" applyFill="1" applyBorder="1"/>
    <xf numFmtId="3" fontId="14" fillId="4" borderId="0" xfId="5" applyNumberFormat="1" applyFont="1" applyFill="1" applyBorder="1"/>
    <xf numFmtId="3" fontId="14" fillId="4" borderId="62" xfId="5" applyNumberFormat="1" applyFont="1" applyFill="1" applyBorder="1"/>
    <xf numFmtId="3" fontId="14" fillId="4" borderId="73" xfId="5" applyNumberFormat="1" applyFont="1" applyFill="1" applyBorder="1"/>
    <xf numFmtId="3" fontId="14" fillId="4" borderId="72" xfId="5" applyNumberFormat="1" applyFont="1" applyFill="1" applyBorder="1"/>
    <xf numFmtId="3" fontId="14" fillId="4" borderId="67" xfId="5" applyNumberFormat="1" applyFont="1" applyFill="1" applyBorder="1" applyAlignment="1">
      <alignment horizontal="right"/>
    </xf>
    <xf numFmtId="2" fontId="14" fillId="3" borderId="31" xfId="5" applyNumberFormat="1" applyFont="1" applyFill="1" applyBorder="1"/>
    <xf numFmtId="3" fontId="14" fillId="5" borderId="29" xfId="5" applyNumberFormat="1" applyFont="1" applyFill="1" applyBorder="1"/>
    <xf numFmtId="3" fontId="14" fillId="5" borderId="0" xfId="5" applyNumberFormat="1" applyFont="1" applyFill="1" applyBorder="1"/>
    <xf numFmtId="3" fontId="14" fillId="5" borderId="62" xfId="5" applyNumberFormat="1" applyFont="1" applyFill="1" applyBorder="1"/>
    <xf numFmtId="3" fontId="14" fillId="5" borderId="73" xfId="5" applyNumberFormat="1" applyFont="1" applyFill="1" applyBorder="1"/>
    <xf numFmtId="3" fontId="14" fillId="5" borderId="30" xfId="5" applyNumberFormat="1" applyFont="1" applyFill="1" applyBorder="1"/>
    <xf numFmtId="3" fontId="14" fillId="2" borderId="2" xfId="1" applyNumberFormat="1" applyFont="1" applyFill="1" applyBorder="1"/>
    <xf numFmtId="3" fontId="14" fillId="4" borderId="0" xfId="1" applyNumberFormat="1" applyFont="1" applyFill="1" applyBorder="1"/>
    <xf numFmtId="3" fontId="14" fillId="4" borderId="62" xfId="1" applyNumberFormat="1" applyFont="1" applyFill="1" applyBorder="1"/>
    <xf numFmtId="3" fontId="14" fillId="4" borderId="73" xfId="1" applyNumberFormat="1" applyFont="1" applyFill="1" applyBorder="1"/>
    <xf numFmtId="3" fontId="15" fillId="4" borderId="72" xfId="1" applyNumberFormat="1" applyFont="1" applyFill="1" applyBorder="1"/>
    <xf numFmtId="3" fontId="14" fillId="4" borderId="72" xfId="1" applyNumberFormat="1" applyFont="1" applyFill="1" applyBorder="1"/>
    <xf numFmtId="3" fontId="31" fillId="4" borderId="62" xfId="5" applyNumberFormat="1" applyFont="1" applyFill="1" applyBorder="1"/>
    <xf numFmtId="3" fontId="14" fillId="3" borderId="62" xfId="5" applyNumberFormat="1" applyFont="1" applyFill="1" applyBorder="1" applyAlignment="1">
      <alignment horizontal="center"/>
    </xf>
    <xf numFmtId="3" fontId="14" fillId="5" borderId="73" xfId="1" applyNumberFormat="1" applyFont="1" applyFill="1" applyBorder="1" applyAlignment="1">
      <alignment horizontal="center"/>
    </xf>
    <xf numFmtId="3" fontId="14" fillId="5" borderId="0" xfId="1" applyNumberFormat="1" applyFont="1" applyFill="1" applyBorder="1" applyAlignment="1">
      <alignment horizontal="right"/>
    </xf>
    <xf numFmtId="3" fontId="14" fillId="5" borderId="73" xfId="1" applyNumberFormat="1" applyFont="1" applyFill="1" applyBorder="1"/>
    <xf numFmtId="3" fontId="14" fillId="5" borderId="62" xfId="1" applyNumberFormat="1" applyFont="1" applyFill="1" applyBorder="1"/>
    <xf numFmtId="3" fontId="14" fillId="3" borderId="62" xfId="1" applyNumberFormat="1" applyFont="1" applyFill="1" applyBorder="1" applyAlignment="1"/>
    <xf numFmtId="3" fontId="16" fillId="2" borderId="0" xfId="1" applyNumberFormat="1" applyFont="1" applyFill="1" applyBorder="1" applyAlignment="1">
      <alignment horizontal="center"/>
    </xf>
    <xf numFmtId="3" fontId="14" fillId="4" borderId="25" xfId="1" applyNumberFormat="1" applyFont="1" applyFill="1" applyBorder="1"/>
    <xf numFmtId="3" fontId="14" fillId="3" borderId="27" xfId="5" applyNumberFormat="1" applyFont="1" applyFill="1" applyBorder="1" applyAlignment="1">
      <alignment horizontal="center"/>
    </xf>
    <xf numFmtId="3" fontId="14" fillId="5" borderId="6" xfId="1" applyNumberFormat="1" applyFont="1" applyFill="1" applyBorder="1"/>
    <xf numFmtId="3" fontId="14" fillId="5" borderId="27" xfId="1" applyNumberFormat="1" applyFont="1" applyFill="1" applyBorder="1"/>
    <xf numFmtId="3" fontId="14" fillId="2" borderId="45" xfId="5" applyNumberFormat="1" applyFont="1" applyFill="1" applyBorder="1"/>
    <xf numFmtId="3" fontId="14" fillId="2" borderId="17" xfId="5" applyNumberFormat="1" applyFont="1" applyFill="1" applyBorder="1"/>
    <xf numFmtId="4" fontId="14" fillId="2" borderId="45" xfId="5" applyNumberFormat="1" applyFont="1" applyFill="1" applyBorder="1"/>
    <xf numFmtId="0" fontId="14" fillId="2" borderId="45" xfId="5" applyNumberFormat="1" applyFont="1" applyFill="1" applyBorder="1" applyAlignment="1">
      <alignment horizontal="right"/>
    </xf>
    <xf numFmtId="171" fontId="14" fillId="2" borderId="3" xfId="5" applyNumberFormat="1" applyFont="1" applyFill="1" applyBorder="1"/>
    <xf numFmtId="171" fontId="14" fillId="2" borderId="13" xfId="5" applyNumberFormat="1" applyFont="1" applyFill="1" applyBorder="1"/>
    <xf numFmtId="0" fontId="14" fillId="2" borderId="39" xfId="5" applyFont="1" applyFill="1" applyBorder="1"/>
    <xf numFmtId="4" fontId="14" fillId="2" borderId="40" xfId="5" applyNumberFormat="1" applyFont="1" applyFill="1" applyBorder="1"/>
    <xf numFmtId="171" fontId="14" fillId="2" borderId="39" xfId="5" applyNumberFormat="1" applyFont="1" applyFill="1" applyBorder="1"/>
    <xf numFmtId="171" fontId="14" fillId="2" borderId="40" xfId="5" applyNumberFormat="1" applyFont="1" applyFill="1" applyBorder="1"/>
    <xf numFmtId="171" fontId="14" fillId="2" borderId="45" xfId="5" applyNumberFormat="1" applyFont="1" applyFill="1" applyBorder="1"/>
    <xf numFmtId="0" fontId="14" fillId="2" borderId="42" xfId="5" applyFont="1" applyFill="1" applyBorder="1"/>
    <xf numFmtId="4" fontId="14" fillId="2" borderId="43" xfId="5" applyNumberFormat="1" applyFont="1" applyFill="1" applyBorder="1"/>
    <xf numFmtId="4" fontId="14" fillId="2" borderId="44" xfId="5" applyNumberFormat="1" applyFont="1" applyFill="1" applyBorder="1"/>
    <xf numFmtId="3" fontId="14" fillId="2" borderId="44" xfId="5" applyNumberFormat="1" applyFont="1" applyFill="1" applyBorder="1"/>
    <xf numFmtId="0" fontId="14" fillId="2" borderId="44" xfId="5" applyNumberFormat="1" applyFont="1" applyFill="1" applyBorder="1" applyAlignment="1">
      <alignment horizontal="right"/>
    </xf>
    <xf numFmtId="0" fontId="14" fillId="2" borderId="21" xfId="5" applyFont="1" applyFill="1" applyBorder="1"/>
    <xf numFmtId="4" fontId="14" fillId="2" borderId="24" xfId="5" applyNumberFormat="1" applyFont="1" applyFill="1" applyBorder="1"/>
    <xf numFmtId="4" fontId="14" fillId="2" borderId="4" xfId="5" applyNumberFormat="1" applyFont="1" applyFill="1" applyBorder="1"/>
    <xf numFmtId="3" fontId="14" fillId="2" borderId="4" xfId="5" applyNumberFormat="1" applyFont="1" applyFill="1" applyBorder="1"/>
    <xf numFmtId="0" fontId="14" fillId="2" borderId="4" xfId="5" applyNumberFormat="1" applyFont="1" applyFill="1" applyBorder="1" applyAlignment="1">
      <alignment horizontal="right"/>
    </xf>
    <xf numFmtId="3" fontId="14" fillId="2" borderId="56" xfId="5" applyNumberFormat="1" applyFont="1" applyFill="1" applyBorder="1"/>
    <xf numFmtId="3" fontId="14" fillId="2" borderId="14" xfId="5" applyNumberFormat="1" applyFont="1" applyFill="1" applyBorder="1"/>
    <xf numFmtId="0" fontId="14" fillId="2" borderId="1" xfId="1" applyFont="1" applyFill="1" applyBorder="1" applyAlignment="1">
      <alignment horizontal="center"/>
    </xf>
    <xf numFmtId="0" fontId="14" fillId="2" borderId="17" xfId="1" applyFont="1" applyFill="1" applyBorder="1" applyAlignment="1">
      <alignment horizontal="center"/>
    </xf>
    <xf numFmtId="0" fontId="14" fillId="2" borderId="50" xfId="5" applyFont="1" applyFill="1" applyBorder="1" applyAlignment="1">
      <alignment horizontal="center"/>
    </xf>
    <xf numFmtId="172" fontId="14" fillId="0" borderId="1" xfId="5" applyNumberFormat="1" applyFont="1" applyFill="1" applyBorder="1" applyAlignment="1">
      <alignment horizontal="center"/>
    </xf>
    <xf numFmtId="172" fontId="14" fillId="0" borderId="38" xfId="5" applyNumberFormat="1" applyFont="1" applyFill="1" applyBorder="1" applyAlignment="1">
      <alignment horizontal="center"/>
    </xf>
    <xf numFmtId="0" fontId="3" fillId="4" borderId="18" xfId="9" applyFont="1" applyFill="1" applyBorder="1" applyAlignment="1">
      <alignment horizontal="center"/>
    </xf>
    <xf numFmtId="167" fontId="21" fillId="4" borderId="9" xfId="9" applyNumberFormat="1" applyFont="1" applyFill="1" applyBorder="1" applyAlignment="1"/>
    <xf numFmtId="3" fontId="21" fillId="4" borderId="25" xfId="9" applyNumberFormat="1" applyFont="1" applyFill="1" applyBorder="1" applyAlignment="1"/>
    <xf numFmtId="0" fontId="21" fillId="0" borderId="45" xfId="9" applyFont="1" applyFill="1" applyBorder="1" applyAlignment="1">
      <alignment horizontal="center"/>
    </xf>
    <xf numFmtId="164" fontId="21" fillId="2" borderId="24" xfId="9" applyNumberFormat="1" applyFont="1" applyFill="1" applyBorder="1" applyAlignment="1">
      <alignment horizontal="right"/>
    </xf>
    <xf numFmtId="0" fontId="0" fillId="0" borderId="0" xfId="1" applyFont="1" applyBorder="1" applyAlignment="1"/>
    <xf numFmtId="3" fontId="14" fillId="5" borderId="17" xfId="5" applyNumberFormat="1" applyFont="1" applyFill="1" applyBorder="1" applyAlignment="1">
      <alignment horizontal="center"/>
    </xf>
    <xf numFmtId="0" fontId="13" fillId="0" borderId="32" xfId="0" applyFont="1" applyBorder="1"/>
    <xf numFmtId="169" fontId="17" fillId="0" borderId="32" xfId="0" applyNumberFormat="1" applyFont="1" applyBorder="1"/>
    <xf numFmtId="170" fontId="14" fillId="4" borderId="18" xfId="1" applyNumberFormat="1" applyFont="1" applyFill="1" applyBorder="1"/>
    <xf numFmtId="3" fontId="14" fillId="5" borderId="2" xfId="5" applyNumberFormat="1" applyFont="1" applyFill="1" applyBorder="1"/>
    <xf numFmtId="3" fontId="14" fillId="5" borderId="15" xfId="5" applyNumberFormat="1" applyFont="1" applyFill="1" applyBorder="1" applyAlignment="1">
      <alignment horizontal="center"/>
    </xf>
    <xf numFmtId="3" fontId="14" fillId="0" borderId="12" xfId="5" applyNumberFormat="1" applyFont="1" applyFill="1" applyBorder="1"/>
    <xf numFmtId="3" fontId="14" fillId="0" borderId="6" xfId="5" applyNumberFormat="1" applyFont="1" applyFill="1" applyBorder="1"/>
    <xf numFmtId="3" fontId="14" fillId="0" borderId="15" xfId="5" applyNumberFormat="1" applyFont="1" applyFill="1" applyBorder="1"/>
    <xf numFmtId="3" fontId="14" fillId="0" borderId="3" xfId="5" applyNumberFormat="1" applyFont="1" applyFill="1" applyBorder="1"/>
    <xf numFmtId="3" fontId="14" fillId="0" borderId="8" xfId="5" applyNumberFormat="1" applyFont="1" applyFill="1" applyBorder="1"/>
    <xf numFmtId="3" fontId="14" fillId="10" borderId="12" xfId="5" applyNumberFormat="1" applyFont="1" applyFill="1" applyBorder="1"/>
    <xf numFmtId="3" fontId="14" fillId="10" borderId="6" xfId="5" applyNumberFormat="1" applyFont="1" applyFill="1" applyBorder="1"/>
    <xf numFmtId="3" fontId="14" fillId="10" borderId="15" xfId="5" applyNumberFormat="1" applyFont="1" applyFill="1" applyBorder="1"/>
    <xf numFmtId="3" fontId="14" fillId="10" borderId="3" xfId="5" applyNumberFormat="1" applyFont="1" applyFill="1" applyBorder="1"/>
    <xf numFmtId="3" fontId="14" fillId="10" borderId="8" xfId="5" applyNumberFormat="1" applyFont="1" applyFill="1" applyBorder="1"/>
    <xf numFmtId="3" fontId="14" fillId="10" borderId="13" xfId="5" applyNumberFormat="1" applyFont="1" applyFill="1" applyBorder="1"/>
    <xf numFmtId="3" fontId="14" fillId="10" borderId="10" xfId="5" applyNumberFormat="1" applyFont="1" applyFill="1" applyBorder="1"/>
    <xf numFmtId="3" fontId="14" fillId="10" borderId="26" xfId="5" applyNumberFormat="1" applyFont="1" applyFill="1" applyBorder="1"/>
    <xf numFmtId="3" fontId="14" fillId="10" borderId="27" xfId="5" applyNumberFormat="1" applyFont="1" applyFill="1" applyBorder="1"/>
    <xf numFmtId="3" fontId="14" fillId="10" borderId="28" xfId="5" applyNumberFormat="1" applyFont="1" applyFill="1" applyBorder="1"/>
    <xf numFmtId="3" fontId="14" fillId="0" borderId="7" xfId="5" applyNumberFormat="1" applyFont="1" applyFill="1" applyBorder="1"/>
    <xf numFmtId="3" fontId="14" fillId="0" borderId="16" xfId="5" applyNumberFormat="1" applyFont="1" applyFill="1" applyBorder="1" applyAlignment="1">
      <alignment horizontal="center"/>
    </xf>
    <xf numFmtId="3" fontId="14" fillId="0" borderId="10" xfId="5" applyNumberFormat="1" applyFont="1" applyFill="1" applyBorder="1" applyAlignment="1">
      <alignment horizontal="center"/>
    </xf>
    <xf numFmtId="170" fontId="14" fillId="5" borderId="10" xfId="1" applyNumberFormat="1" applyFont="1" applyFill="1" applyBorder="1"/>
    <xf numFmtId="3" fontId="14" fillId="4" borderId="2" xfId="5" applyNumberFormat="1" applyFont="1" applyFill="1" applyBorder="1"/>
    <xf numFmtId="170" fontId="14" fillId="4" borderId="33" xfId="1" applyNumberFormat="1" applyFont="1" applyFill="1" applyBorder="1"/>
    <xf numFmtId="3" fontId="14" fillId="11" borderId="3" xfId="5" applyNumberFormat="1" applyFont="1" applyFill="1" applyBorder="1"/>
    <xf numFmtId="3" fontId="14" fillId="11" borderId="8" xfId="5" applyNumberFormat="1" applyFont="1" applyFill="1" applyBorder="1"/>
    <xf numFmtId="3" fontId="14" fillId="11" borderId="10" xfId="5" applyNumberFormat="1" applyFont="1" applyFill="1" applyBorder="1"/>
    <xf numFmtId="0" fontId="14" fillId="2" borderId="68" xfId="1" applyFont="1" applyFill="1" applyBorder="1"/>
    <xf numFmtId="3" fontId="14" fillId="11" borderId="59" xfId="5" applyNumberFormat="1" applyFont="1" applyFill="1" applyBorder="1"/>
    <xf numFmtId="3" fontId="14" fillId="11" borderId="60" xfId="5" applyNumberFormat="1" applyFont="1" applyFill="1" applyBorder="1"/>
    <xf numFmtId="3" fontId="14" fillId="11" borderId="49" xfId="5" applyNumberFormat="1" applyFont="1" applyFill="1" applyBorder="1"/>
    <xf numFmtId="3" fontId="14" fillId="2" borderId="68" xfId="5" applyNumberFormat="1" applyFont="1" applyFill="1" applyBorder="1"/>
    <xf numFmtId="3" fontId="14" fillId="2" borderId="49" xfId="5" applyNumberFormat="1" applyFont="1" applyFill="1" applyBorder="1"/>
    <xf numFmtId="3" fontId="14" fillId="2" borderId="60" xfId="5" applyNumberFormat="1" applyFont="1" applyFill="1" applyBorder="1"/>
    <xf numFmtId="170" fontId="14" fillId="2" borderId="48" xfId="1" applyNumberFormat="1" applyFont="1" applyFill="1" applyBorder="1" applyAlignment="1">
      <alignment horizontal="right"/>
    </xf>
    <xf numFmtId="3" fontId="14" fillId="2" borderId="49" xfId="1" applyNumberFormat="1" applyFont="1" applyFill="1" applyBorder="1"/>
    <xf numFmtId="170" fontId="14" fillId="2" borderId="10" xfId="1" applyNumberFormat="1" applyFont="1" applyFill="1" applyBorder="1" applyAlignment="1"/>
    <xf numFmtId="3" fontId="14" fillId="0" borderId="19" xfId="5" applyNumberFormat="1" applyFont="1" applyFill="1" applyBorder="1"/>
    <xf numFmtId="3" fontId="14" fillId="0" borderId="25" xfId="5" applyNumberFormat="1" applyFont="1" applyFill="1" applyBorder="1"/>
    <xf numFmtId="3" fontId="14" fillId="0" borderId="23" xfId="5" applyNumberFormat="1" applyFont="1" applyFill="1" applyBorder="1"/>
    <xf numFmtId="3" fontId="14" fillId="0" borderId="23" xfId="1" applyNumberFormat="1" applyFont="1" applyFill="1" applyBorder="1" applyAlignment="1"/>
    <xf numFmtId="0" fontId="16" fillId="2" borderId="1" xfId="1" applyFont="1" applyFill="1" applyBorder="1"/>
    <xf numFmtId="3" fontId="14" fillId="2" borderId="2" xfId="5" applyNumberFormat="1" applyFont="1" applyFill="1" applyBorder="1"/>
    <xf numFmtId="3" fontId="16" fillId="2" borderId="3" xfId="5" applyNumberFormat="1" applyFont="1" applyFill="1" applyBorder="1"/>
    <xf numFmtId="3" fontId="14" fillId="2" borderId="27" xfId="5" applyNumberFormat="1" applyFont="1" applyFill="1" applyBorder="1"/>
    <xf numFmtId="3" fontId="14" fillId="2" borderId="2" xfId="1" applyNumberFormat="1" applyFont="1" applyFill="1" applyBorder="1" applyAlignment="1">
      <alignment horizontal="right"/>
    </xf>
    <xf numFmtId="10" fontId="21" fillId="2" borderId="24" xfId="4" applyNumberFormat="1" applyFont="1" applyFill="1" applyBorder="1" applyAlignment="1">
      <alignment horizontal="right"/>
    </xf>
    <xf numFmtId="180" fontId="17" fillId="0" borderId="55" xfId="1" applyNumberFormat="1" applyFont="1" applyBorder="1"/>
    <xf numFmtId="180" fontId="17" fillId="0" borderId="54" xfId="1" applyNumberFormat="1" applyFont="1" applyBorder="1"/>
    <xf numFmtId="180" fontId="17" fillId="0" borderId="61" xfId="1" applyNumberFormat="1" applyFont="1" applyBorder="1"/>
    <xf numFmtId="0" fontId="17" fillId="0" borderId="35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17" fillId="0" borderId="60" xfId="1" applyFont="1" applyBorder="1" applyAlignment="1">
      <alignment horizontal="center"/>
    </xf>
    <xf numFmtId="3" fontId="14" fillId="4" borderId="54" xfId="5" applyNumberFormat="1" applyFont="1" applyFill="1" applyBorder="1"/>
    <xf numFmtId="0" fontId="3" fillId="0" borderId="0" xfId="9" applyFont="1" applyBorder="1" applyAlignment="1"/>
    <xf numFmtId="0" fontId="3" fillId="0" borderId="0" xfId="9" applyFont="1" applyFill="1" applyBorder="1" applyAlignment="1">
      <alignment horizontal="center"/>
    </xf>
    <xf numFmtId="0" fontId="21" fillId="0" borderId="0" xfId="9" applyFont="1" applyFill="1" applyBorder="1" applyAlignment="1"/>
    <xf numFmtId="0" fontId="21" fillId="0" borderId="0" xfId="9" applyFont="1" applyFill="1" applyBorder="1" applyAlignment="1">
      <alignment horizontal="center"/>
    </xf>
    <xf numFmtId="0" fontId="22" fillId="0" borderId="0" xfId="9" applyFont="1" applyFill="1" applyBorder="1" applyAlignment="1">
      <alignment horizontal="center"/>
    </xf>
    <xf numFmtId="1" fontId="21" fillId="0" borderId="0" xfId="9" applyNumberFormat="1" applyFont="1" applyFill="1" applyBorder="1" applyAlignment="1">
      <alignment horizontal="right"/>
    </xf>
    <xf numFmtId="164" fontId="22" fillId="0" borderId="0" xfId="9" applyNumberFormat="1" applyFont="1" applyFill="1" applyBorder="1" applyAlignment="1">
      <alignment horizontal="right"/>
    </xf>
    <xf numFmtId="10" fontId="21" fillId="0" borderId="0" xfId="4" applyNumberFormat="1" applyFont="1" applyFill="1" applyBorder="1" applyAlignment="1">
      <alignment horizontal="right"/>
    </xf>
    <xf numFmtId="174" fontId="22" fillId="0" borderId="0" xfId="4" applyNumberFormat="1" applyFont="1" applyFill="1" applyBorder="1" applyAlignment="1">
      <alignment horizontal="right"/>
    </xf>
    <xf numFmtId="166" fontId="21" fillId="0" borderId="0" xfId="9" applyNumberFormat="1" applyFont="1" applyFill="1" applyBorder="1" applyAlignment="1"/>
    <xf numFmtId="167" fontId="21" fillId="0" borderId="0" xfId="9" applyNumberFormat="1" applyFont="1" applyFill="1" applyBorder="1" applyAlignment="1"/>
    <xf numFmtId="0" fontId="21" fillId="12" borderId="21" xfId="9" applyFont="1" applyFill="1" applyBorder="1" applyAlignment="1"/>
    <xf numFmtId="167" fontId="21" fillId="12" borderId="58" xfId="9" applyNumberFormat="1" applyFont="1" applyFill="1" applyBorder="1" applyAlignment="1"/>
    <xf numFmtId="10" fontId="21" fillId="12" borderId="21" xfId="4" applyNumberFormat="1" applyFont="1" applyFill="1" applyBorder="1" applyAlignment="1"/>
    <xf numFmtId="10" fontId="22" fillId="0" borderId="24" xfId="4" applyNumberFormat="1" applyFont="1" applyFill="1" applyBorder="1" applyAlignment="1"/>
    <xf numFmtId="10" fontId="16" fillId="5" borderId="51" xfId="4" applyNumberFormat="1" applyFont="1" applyFill="1" applyBorder="1" applyAlignment="1">
      <alignment vertical="center"/>
    </xf>
    <xf numFmtId="0" fontId="22" fillId="0" borderId="14" xfId="9" applyFont="1" applyFill="1" applyBorder="1" applyAlignment="1">
      <alignment horizontal="center"/>
    </xf>
    <xf numFmtId="164" fontId="22" fillId="0" borderId="14" xfId="9" applyNumberFormat="1" applyFont="1" applyFill="1" applyBorder="1" applyAlignment="1">
      <alignment horizontal="right"/>
    </xf>
    <xf numFmtId="10" fontId="22" fillId="0" borderId="14" xfId="4" applyNumberFormat="1" applyFont="1" applyFill="1" applyBorder="1" applyAlignment="1">
      <alignment horizontal="right"/>
    </xf>
    <xf numFmtId="0" fontId="22" fillId="0" borderId="65" xfId="9" applyFont="1" applyFill="1" applyBorder="1" applyAlignment="1">
      <alignment horizontal="center"/>
    </xf>
    <xf numFmtId="164" fontId="22" fillId="0" borderId="65" xfId="9" applyNumberFormat="1" applyFont="1" applyFill="1" applyBorder="1" applyAlignment="1">
      <alignment horizontal="right"/>
    </xf>
    <xf numFmtId="0" fontId="21" fillId="0" borderId="66" xfId="9" applyFont="1" applyFill="1" applyBorder="1" applyAlignment="1"/>
    <xf numFmtId="0" fontId="3" fillId="0" borderId="53" xfId="9" applyFont="1" applyBorder="1" applyAlignment="1"/>
    <xf numFmtId="174" fontId="16" fillId="4" borderId="58" xfId="4" applyNumberFormat="1" applyFont="1" applyFill="1" applyBorder="1"/>
    <xf numFmtId="3" fontId="31" fillId="5" borderId="0" xfId="1" applyNumberFormat="1" applyFont="1" applyFill="1" applyBorder="1"/>
    <xf numFmtId="3" fontId="31" fillId="5" borderId="0" xfId="1" applyNumberFormat="1" applyFont="1" applyFill="1" applyBorder="1" applyAlignment="1">
      <alignment horizontal="right"/>
    </xf>
    <xf numFmtId="0" fontId="16" fillId="8" borderId="53" xfId="1" applyFont="1" applyFill="1" applyBorder="1"/>
    <xf numFmtId="177" fontId="31" fillId="8" borderId="53" xfId="5" applyNumberFormat="1" applyFont="1" applyFill="1" applyBorder="1"/>
    <xf numFmtId="0" fontId="27" fillId="8" borderId="53" xfId="0" applyFont="1" applyFill="1" applyBorder="1"/>
    <xf numFmtId="0" fontId="20" fillId="3" borderId="0" xfId="1" applyFont="1" applyFill="1" applyBorder="1"/>
    <xf numFmtId="0" fontId="0" fillId="8" borderId="0" xfId="0" applyFill="1" applyBorder="1"/>
    <xf numFmtId="3" fontId="12" fillId="0" borderId="0" xfId="5" applyNumberFormat="1"/>
    <xf numFmtId="0" fontId="9" fillId="0" borderId="0" xfId="0" applyFont="1" applyFill="1" applyBorder="1"/>
    <xf numFmtId="4" fontId="0" fillId="0" borderId="0" xfId="0" applyNumberFormat="1" applyFill="1" applyBorder="1"/>
    <xf numFmtId="2" fontId="9" fillId="0" borderId="0" xfId="0" applyNumberFormat="1" applyFont="1" applyFill="1" applyBorder="1"/>
    <xf numFmtId="4" fontId="34" fillId="0" borderId="0" xfId="0" applyNumberFormat="1" applyFont="1" applyFill="1" applyBorder="1"/>
    <xf numFmtId="0" fontId="21" fillId="2" borderId="11" xfId="9" applyFont="1" applyFill="1" applyBorder="1" applyAlignment="1"/>
    <xf numFmtId="0" fontId="21" fillId="2" borderId="24" xfId="9" applyFont="1" applyFill="1" applyBorder="1" applyAlignment="1"/>
    <xf numFmtId="164" fontId="21" fillId="2" borderId="24" xfId="9" applyNumberFormat="1" applyFont="1" applyFill="1" applyBorder="1" applyAlignment="1">
      <alignment horizontal="center"/>
    </xf>
    <xf numFmtId="10" fontId="22" fillId="0" borderId="24" xfId="4" applyNumberFormat="1" applyFont="1" applyFill="1" applyBorder="1" applyAlignment="1">
      <alignment horizontal="right"/>
    </xf>
    <xf numFmtId="3" fontId="21" fillId="12" borderId="21" xfId="9" applyNumberFormat="1" applyFont="1" applyFill="1" applyBorder="1" applyAlignment="1"/>
    <xf numFmtId="10" fontId="0" fillId="0" borderId="0" xfId="4" applyNumberFormat="1" applyFont="1" applyBorder="1" applyAlignment="1"/>
    <xf numFmtId="176" fontId="16" fillId="0" borderId="0" xfId="1" applyNumberFormat="1" applyFont="1" applyAlignment="1">
      <alignment vertical="center"/>
    </xf>
    <xf numFmtId="0" fontId="3" fillId="0" borderId="66" xfId="9" applyFont="1" applyBorder="1" applyAlignment="1"/>
    <xf numFmtId="181" fontId="32" fillId="0" borderId="14" xfId="11" applyNumberFormat="1" applyFont="1" applyFill="1" applyBorder="1"/>
    <xf numFmtId="179" fontId="14" fillId="5" borderId="15" xfId="5" applyNumberFormat="1" applyFont="1" applyFill="1" applyBorder="1"/>
    <xf numFmtId="0" fontId="3" fillId="4" borderId="37" xfId="9" applyFont="1" applyFill="1" applyBorder="1" applyAlignment="1">
      <alignment horizontal="center"/>
    </xf>
    <xf numFmtId="0" fontId="3" fillId="4" borderId="51" xfId="9" applyFont="1" applyFill="1" applyBorder="1" applyAlignment="1">
      <alignment horizontal="center"/>
    </xf>
    <xf numFmtId="164" fontId="0" fillId="0" borderId="0" xfId="1" applyNumberFormat="1" applyFont="1" applyBorder="1" applyAlignment="1"/>
    <xf numFmtId="0" fontId="38" fillId="0" borderId="77" xfId="0" applyFont="1" applyBorder="1" applyAlignment="1">
      <alignment horizontal="center" wrapText="1"/>
    </xf>
    <xf numFmtId="0" fontId="39" fillId="0" borderId="44" xfId="0" applyFont="1" applyBorder="1" applyAlignment="1">
      <alignment horizontal="center" wrapText="1"/>
    </xf>
    <xf numFmtId="3" fontId="39" fillId="0" borderId="44" xfId="0" applyNumberFormat="1" applyFont="1" applyBorder="1" applyAlignment="1">
      <alignment horizontal="center" wrapText="1"/>
    </xf>
    <xf numFmtId="3" fontId="39" fillId="0" borderId="79" xfId="0" applyNumberFormat="1" applyFont="1" applyBorder="1" applyAlignment="1">
      <alignment horizontal="center" vertical="top" wrapText="1"/>
    </xf>
    <xf numFmtId="0" fontId="40" fillId="0" borderId="80" xfId="0" applyFont="1" applyBorder="1" applyAlignment="1">
      <alignment horizontal="center" wrapText="1"/>
    </xf>
    <xf numFmtId="0" fontId="40" fillId="0" borderId="81" xfId="0" applyFont="1" applyBorder="1" applyAlignment="1">
      <alignment horizontal="center" wrapText="1"/>
    </xf>
    <xf numFmtId="3" fontId="40" fillId="0" borderId="81" xfId="0" applyNumberFormat="1" applyFont="1" applyBorder="1" applyAlignment="1">
      <alignment horizontal="center" wrapText="1"/>
    </xf>
    <xf numFmtId="170" fontId="17" fillId="0" borderId="0" xfId="0" applyNumberFormat="1" applyFont="1"/>
    <xf numFmtId="0" fontId="21" fillId="4" borderId="31" xfId="9" applyFont="1" applyFill="1" applyBorder="1" applyAlignment="1"/>
    <xf numFmtId="0" fontId="21" fillId="4" borderId="60" xfId="9" applyFont="1" applyFill="1" applyBorder="1" applyAlignment="1"/>
    <xf numFmtId="0" fontId="17" fillId="0" borderId="0" xfId="0" applyFont="1" applyAlignment="1">
      <alignment horizontal="center"/>
    </xf>
    <xf numFmtId="182" fontId="0" fillId="0" borderId="0" xfId="0" applyNumberFormat="1"/>
    <xf numFmtId="166" fontId="21" fillId="2" borderId="58" xfId="9" applyNumberFormat="1" applyFont="1" applyFill="1" applyBorder="1" applyAlignment="1"/>
    <xf numFmtId="0" fontId="17" fillId="0" borderId="14" xfId="1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15" fontId="43" fillId="0" borderId="0" xfId="0" applyNumberFormat="1" applyFont="1" applyAlignment="1">
      <alignment vertical="center"/>
    </xf>
    <xf numFmtId="0" fontId="0" fillId="0" borderId="17" xfId="0" applyBorder="1"/>
    <xf numFmtId="0" fontId="0" fillId="0" borderId="51" xfId="0" applyBorder="1"/>
    <xf numFmtId="0" fontId="0" fillId="0" borderId="33" xfId="0" applyBorder="1"/>
    <xf numFmtId="0" fontId="9" fillId="0" borderId="0" xfId="0" applyFont="1" applyAlignment="1">
      <alignment horizontal="center" vertical="center" wrapText="1"/>
    </xf>
    <xf numFmtId="0" fontId="17" fillId="0" borderId="18" xfId="1" applyFont="1" applyBorder="1" applyAlignment="1">
      <alignment vertical="center"/>
    </xf>
    <xf numFmtId="0" fontId="0" fillId="0" borderId="18" xfId="0" applyBorder="1"/>
    <xf numFmtId="0" fontId="13" fillId="0" borderId="0" xfId="1" applyFont="1" applyFill="1" applyBorder="1" applyAlignment="1">
      <alignment vertical="center"/>
    </xf>
    <xf numFmtId="0" fontId="43" fillId="0" borderId="0" xfId="0" applyFont="1" applyAlignment="1">
      <alignment vertical="center"/>
    </xf>
    <xf numFmtId="1" fontId="43" fillId="0" borderId="0" xfId="0" applyNumberFormat="1" applyFont="1" applyAlignment="1">
      <alignment vertical="center"/>
    </xf>
    <xf numFmtId="0" fontId="44" fillId="0" borderId="0" xfId="0" applyFont="1"/>
    <xf numFmtId="17" fontId="38" fillId="0" borderId="77" xfId="0" applyNumberFormat="1" applyFont="1" applyBorder="1" applyAlignment="1">
      <alignment horizontal="center" wrapText="1"/>
    </xf>
    <xf numFmtId="0" fontId="43" fillId="0" borderId="0" xfId="0" applyFont="1" applyAlignment="1">
      <alignment vertical="center"/>
    </xf>
    <xf numFmtId="0" fontId="9" fillId="0" borderId="50" xfId="0" applyFont="1" applyBorder="1" applyAlignment="1">
      <alignment horizontal="center" vertical="top" wrapText="1"/>
    </xf>
    <xf numFmtId="0" fontId="9" fillId="0" borderId="51" xfId="0" applyFont="1" applyBorder="1" applyAlignment="1">
      <alignment horizontal="center" vertical="top" wrapText="1"/>
    </xf>
    <xf numFmtId="0" fontId="13" fillId="0" borderId="34" xfId="0" applyFont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13" fillId="0" borderId="63" xfId="0" applyFont="1" applyBorder="1" applyAlignment="1">
      <alignment horizontal="center"/>
    </xf>
    <xf numFmtId="0" fontId="13" fillId="0" borderId="71" xfId="0" applyFont="1" applyBorder="1" applyAlignment="1">
      <alignment horizontal="center"/>
    </xf>
    <xf numFmtId="0" fontId="17" fillId="0" borderId="31" xfId="0" applyFont="1" applyBorder="1" applyAlignment="1">
      <alignment vertical="center"/>
    </xf>
    <xf numFmtId="0" fontId="17" fillId="0" borderId="68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34" xfId="1" applyFont="1" applyFill="1" applyBorder="1" applyAlignment="1">
      <alignment horizontal="left" vertical="center" wrapText="1"/>
    </xf>
    <xf numFmtId="0" fontId="17" fillId="0" borderId="19" xfId="1" applyFont="1" applyBorder="1" applyAlignment="1">
      <alignment horizontal="left" vertical="center" wrapText="1"/>
    </xf>
    <xf numFmtId="0" fontId="17" fillId="0" borderId="59" xfId="1" applyFont="1" applyBorder="1" applyAlignment="1">
      <alignment horizontal="left" vertical="center" wrapText="1"/>
    </xf>
    <xf numFmtId="0" fontId="13" fillId="0" borderId="11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4" fillId="0" borderId="50" xfId="1" applyFont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0" fontId="14" fillId="0" borderId="51" xfId="1" applyFont="1" applyBorder="1" applyAlignment="1">
      <alignment horizontal="left" vertical="center" wrapText="1"/>
    </xf>
    <xf numFmtId="0" fontId="16" fillId="0" borderId="50" xfId="1" applyFont="1" applyBorder="1" applyAlignment="1">
      <alignment horizontal="left" vertical="center"/>
    </xf>
    <xf numFmtId="0" fontId="16" fillId="0" borderId="17" xfId="1" applyFont="1" applyBorder="1" applyAlignment="1">
      <alignment horizontal="left" vertical="center"/>
    </xf>
    <xf numFmtId="0" fontId="16" fillId="0" borderId="51" xfId="1" applyFont="1" applyBorder="1" applyAlignment="1">
      <alignment horizontal="left" vertical="center"/>
    </xf>
    <xf numFmtId="0" fontId="13" fillId="0" borderId="50" xfId="1" applyFont="1" applyBorder="1" applyAlignment="1">
      <alignment horizontal="center" vertical="center"/>
    </xf>
    <xf numFmtId="0" fontId="13" fillId="0" borderId="51" xfId="1" applyFont="1" applyBorder="1" applyAlignment="1">
      <alignment horizontal="center" vertical="center"/>
    </xf>
    <xf numFmtId="0" fontId="13" fillId="0" borderId="50" xfId="1" applyFont="1" applyBorder="1" applyAlignment="1">
      <alignment horizontal="center" vertical="center" wrapText="1"/>
    </xf>
    <xf numFmtId="0" fontId="13" fillId="0" borderId="51" xfId="1" applyFont="1" applyBorder="1" applyAlignment="1">
      <alignment horizontal="center" vertical="center" wrapText="1"/>
    </xf>
    <xf numFmtId="1" fontId="16" fillId="0" borderId="11" xfId="5" applyNumberFormat="1" applyFont="1" applyBorder="1" applyAlignment="1">
      <alignment horizontal="center" wrapText="1"/>
    </xf>
    <xf numFmtId="1" fontId="16" fillId="0" borderId="4" xfId="5" applyNumberFormat="1" applyFont="1" applyBorder="1" applyAlignment="1">
      <alignment horizontal="center" wrapText="1"/>
    </xf>
    <xf numFmtId="0" fontId="10" fillId="0" borderId="50" xfId="5" applyFont="1" applyBorder="1" applyAlignment="1">
      <alignment horizontal="center" vertical="center"/>
    </xf>
    <xf numFmtId="0" fontId="10" fillId="0" borderId="51" xfId="5" applyFont="1" applyBorder="1" applyAlignment="1">
      <alignment horizontal="center" vertical="center"/>
    </xf>
    <xf numFmtId="0" fontId="16" fillId="0" borderId="11" xfId="5" applyFont="1" applyBorder="1" applyAlignment="1">
      <alignment horizontal="center" vertical="center"/>
    </xf>
    <xf numFmtId="0" fontId="16" fillId="0" borderId="4" xfId="5" applyFont="1" applyBorder="1" applyAlignment="1">
      <alignment horizontal="center" vertical="center"/>
    </xf>
    <xf numFmtId="1" fontId="16" fillId="0" borderId="1" xfId="5" applyNumberFormat="1" applyFont="1" applyBorder="1" applyAlignment="1">
      <alignment horizontal="center" wrapText="1"/>
    </xf>
    <xf numFmtId="1" fontId="16" fillId="0" borderId="45" xfId="5" applyNumberFormat="1" applyFont="1" applyBorder="1" applyAlignment="1">
      <alignment horizontal="center" wrapText="1"/>
    </xf>
    <xf numFmtId="0" fontId="13" fillId="0" borderId="0" xfId="1" applyFont="1" applyAlignment="1">
      <alignment horizontal="center"/>
    </xf>
    <xf numFmtId="0" fontId="13" fillId="0" borderId="50" xfId="1" applyNumberFormat="1" applyFont="1" applyBorder="1" applyAlignment="1">
      <alignment horizontal="center" vertical="center"/>
    </xf>
    <xf numFmtId="0" fontId="13" fillId="0" borderId="51" xfId="1" applyNumberFormat="1" applyFont="1" applyBorder="1" applyAlignment="1">
      <alignment horizontal="center" vertical="center"/>
    </xf>
    <xf numFmtId="0" fontId="16" fillId="0" borderId="65" xfId="5" applyFont="1" applyBorder="1" applyAlignment="1">
      <alignment horizontal="center" vertical="center"/>
    </xf>
    <xf numFmtId="0" fontId="22" fillId="0" borderId="11" xfId="5" applyFont="1" applyBorder="1" applyAlignment="1">
      <alignment horizontal="center" vertical="center" wrapText="1"/>
    </xf>
    <xf numFmtId="0" fontId="22" fillId="0" borderId="65" xfId="5" applyFont="1" applyBorder="1" applyAlignment="1">
      <alignment horizontal="center" vertical="center" wrapText="1"/>
    </xf>
    <xf numFmtId="0" fontId="22" fillId="0" borderId="4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/>
    </xf>
    <xf numFmtId="0" fontId="16" fillId="0" borderId="65" xfId="5" applyFont="1" applyBorder="1" applyAlignment="1">
      <alignment horizontal="center"/>
    </xf>
    <xf numFmtId="0" fontId="16" fillId="0" borderId="4" xfId="5" applyFont="1" applyBorder="1" applyAlignment="1">
      <alignment horizontal="center"/>
    </xf>
    <xf numFmtId="0" fontId="3" fillId="0" borderId="0" xfId="9" applyFont="1" applyBorder="1" applyAlignment="1">
      <alignment horizontal="left" wrapText="1"/>
    </xf>
    <xf numFmtId="0" fontId="17" fillId="0" borderId="0" xfId="8" applyFont="1" applyBorder="1" applyAlignment="1">
      <alignment horizontal="left" vertical="center" wrapText="1"/>
    </xf>
    <xf numFmtId="0" fontId="17" fillId="0" borderId="0" xfId="9" applyFont="1" applyBorder="1" applyAlignment="1">
      <alignment horizontal="left" wrapText="1"/>
    </xf>
    <xf numFmtId="0" fontId="22" fillId="0" borderId="11" xfId="9" applyFont="1" applyBorder="1" applyAlignment="1">
      <alignment horizontal="center"/>
    </xf>
    <xf numFmtId="0" fontId="22" fillId="0" borderId="65" xfId="9" applyFont="1" applyBorder="1" applyAlignment="1">
      <alignment horizontal="center"/>
    </xf>
    <xf numFmtId="0" fontId="22" fillId="0" borderId="46" xfId="9" applyFont="1" applyBorder="1" applyAlignment="1">
      <alignment horizontal="center"/>
    </xf>
    <xf numFmtId="0" fontId="3" fillId="0" borderId="66" xfId="9" applyFont="1" applyBorder="1" applyAlignment="1"/>
    <xf numFmtId="0" fontId="16" fillId="0" borderId="21" xfId="8" applyFont="1" applyBorder="1" applyAlignment="1">
      <alignment vertical="center"/>
    </xf>
    <xf numFmtId="0" fontId="16" fillId="0" borderId="24" xfId="1" applyFont="1" applyBorder="1" applyAlignment="1">
      <alignment vertical="center"/>
    </xf>
    <xf numFmtId="0" fontId="16" fillId="5" borderId="42" xfId="8" applyFont="1" applyFill="1" applyBorder="1" applyAlignment="1">
      <alignment horizontal="left" vertical="center" wrapText="1"/>
    </xf>
    <xf numFmtId="0" fontId="16" fillId="5" borderId="43" xfId="8" applyFont="1" applyFill="1" applyBorder="1" applyAlignment="1">
      <alignment horizontal="left" vertical="center" wrapText="1"/>
    </xf>
    <xf numFmtId="0" fontId="36" fillId="13" borderId="74" xfId="0" applyFont="1" applyFill="1" applyBorder="1" applyAlignment="1">
      <alignment horizontal="center" vertical="center" wrapText="1"/>
    </xf>
    <xf numFmtId="0" fontId="36" fillId="13" borderId="77" xfId="0" applyFont="1" applyFill="1" applyBorder="1" applyAlignment="1">
      <alignment horizontal="center" vertical="center" wrapText="1"/>
    </xf>
    <xf numFmtId="0" fontId="36" fillId="13" borderId="75" xfId="0" applyFont="1" applyFill="1" applyBorder="1" applyAlignment="1">
      <alignment horizontal="center" vertical="center" wrapText="1"/>
    </xf>
    <xf numFmtId="0" fontId="36" fillId="13" borderId="51" xfId="0" applyFont="1" applyFill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36" fillId="13" borderId="76" xfId="0" applyFont="1" applyFill="1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</cellXfs>
  <cellStyles count="12">
    <cellStyle name="_xffff__x001d_ً½_x000c_'ÿ-_x000d_ ÿU_x0001_ٌ_x0005_ˆ_x0008__x0007__x0001__x0001_" xfId="1"/>
    <cellStyle name="Comma [0]" xfId="3" builtinId="6"/>
    <cellStyle name="Komma_(JPSCO), data fuel and heat rate, July2002" xfId="2"/>
    <cellStyle name="Milliers 2" xfId="11"/>
    <cellStyle name="Normal" xfId="0" builtinId="0"/>
    <cellStyle name="Normal 2" xfId="10"/>
    <cellStyle name="Percent" xfId="4" builtinId="5"/>
    <cellStyle name="Standaard_(JPSCO), data fuel and heat rate, July2002" xfId="5"/>
    <cellStyle name="표준_2002한국전력통계(발전)" xfId="6"/>
    <cellStyle name="표준_baseline_emission(0614)" xfId="7"/>
    <cellStyle name="표준_BM factor 산정" xfId="8"/>
    <cellStyle name="표준_Emission Factor Calculation Sheet" xfId="9"/>
  </cellStyles>
  <dxfs count="0"/>
  <tableStyles count="0" defaultTableStyle="TableStyleMedium9" defaultPivotStyle="PivotStyleLight16"/>
  <colors>
    <mruColors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E6" sqref="E6"/>
    </sheetView>
  </sheetViews>
  <sheetFormatPr defaultRowHeight="13.5"/>
  <cols>
    <col min="3" max="3" width="12.6640625" customWidth="1"/>
  </cols>
  <sheetData>
    <row r="1" spans="1:16">
      <c r="A1" s="622"/>
      <c r="B1" s="622"/>
      <c r="C1" s="622"/>
      <c r="D1" s="622"/>
      <c r="E1" s="622"/>
      <c r="F1" s="622"/>
      <c r="G1" s="622"/>
      <c r="H1" s="622"/>
      <c r="I1" s="622"/>
      <c r="J1" s="622"/>
      <c r="K1" s="622"/>
      <c r="L1" s="622"/>
      <c r="M1" s="622"/>
      <c r="N1" s="622"/>
      <c r="O1" s="622"/>
      <c r="P1" s="622"/>
    </row>
    <row r="2" spans="1:16" ht="30.75">
      <c r="A2" s="623" t="s">
        <v>223</v>
      </c>
      <c r="B2" s="624"/>
      <c r="C2" s="624"/>
      <c r="D2" s="624"/>
      <c r="E2" s="624"/>
      <c r="F2" s="624"/>
      <c r="G2" s="624"/>
      <c r="H2" s="624"/>
      <c r="I2" s="622"/>
      <c r="J2" s="622"/>
      <c r="K2" s="622"/>
      <c r="L2" s="622"/>
      <c r="M2" s="622"/>
      <c r="N2" s="622"/>
      <c r="O2" s="622"/>
      <c r="P2" s="622"/>
    </row>
    <row r="3" spans="1:16">
      <c r="A3" s="622"/>
      <c r="B3" s="622"/>
      <c r="C3" s="622"/>
      <c r="D3" s="622"/>
      <c r="E3" s="622"/>
      <c r="F3" s="622"/>
      <c r="G3" s="622"/>
      <c r="H3" s="622"/>
      <c r="I3" s="622"/>
      <c r="J3" s="622"/>
      <c r="K3" s="622"/>
      <c r="L3" s="622"/>
      <c r="M3" s="622"/>
      <c r="N3" s="622"/>
      <c r="O3" s="622"/>
      <c r="P3" s="622"/>
    </row>
    <row r="4" spans="1:16" ht="23.25">
      <c r="A4" s="637" t="s">
        <v>224</v>
      </c>
      <c r="B4" s="637"/>
      <c r="C4" s="637"/>
      <c r="D4" s="637"/>
      <c r="E4" s="637"/>
      <c r="F4" s="637"/>
      <c r="G4" s="637"/>
      <c r="H4" s="637"/>
      <c r="I4" s="622"/>
      <c r="J4" s="622"/>
      <c r="K4" s="622"/>
      <c r="L4" s="622"/>
      <c r="M4" s="622"/>
      <c r="N4" s="622"/>
      <c r="O4" s="622"/>
      <c r="P4" s="622"/>
    </row>
    <row r="5" spans="1:16" ht="23.25">
      <c r="A5" s="624"/>
      <c r="B5" s="624"/>
      <c r="C5" s="624"/>
      <c r="D5" s="624"/>
      <c r="E5" s="624"/>
      <c r="F5" s="624"/>
      <c r="G5" s="624"/>
      <c r="H5" s="624"/>
      <c r="I5" s="622"/>
      <c r="J5" s="622"/>
      <c r="K5" s="622"/>
      <c r="L5" s="622"/>
      <c r="M5" s="622"/>
      <c r="N5" s="622"/>
      <c r="O5" s="622"/>
      <c r="P5" s="622"/>
    </row>
    <row r="6" spans="1:16" ht="23.25">
      <c r="A6" s="624" t="s">
        <v>225</v>
      </c>
      <c r="B6" s="624"/>
      <c r="C6" s="624"/>
      <c r="D6" s="624"/>
      <c r="E6" s="624"/>
      <c r="F6" s="624"/>
      <c r="G6" s="624"/>
      <c r="H6" s="624"/>
      <c r="I6" s="622"/>
      <c r="J6" s="622"/>
      <c r="K6" s="622"/>
      <c r="L6" s="622"/>
      <c r="M6" s="622"/>
      <c r="N6" s="622"/>
      <c r="O6" s="622"/>
      <c r="P6" s="622"/>
    </row>
    <row r="7" spans="1:16" ht="23.25">
      <c r="A7" s="622"/>
      <c r="B7" s="624"/>
      <c r="C7" s="624"/>
      <c r="D7" s="624"/>
      <c r="E7" s="624"/>
      <c r="F7" s="624"/>
      <c r="G7" s="624"/>
      <c r="H7" s="624"/>
      <c r="I7" s="622"/>
      <c r="J7" s="622"/>
      <c r="K7" s="622"/>
      <c r="L7" s="622"/>
      <c r="M7" s="622"/>
      <c r="N7" s="622"/>
      <c r="O7" s="622"/>
      <c r="P7" s="622"/>
    </row>
    <row r="8" spans="1:16" ht="23.25">
      <c r="A8" s="624" t="s">
        <v>226</v>
      </c>
      <c r="B8" s="622"/>
      <c r="C8" s="625">
        <v>41269</v>
      </c>
      <c r="D8" s="624"/>
      <c r="E8" s="624"/>
      <c r="F8" s="624"/>
      <c r="G8" s="624"/>
      <c r="H8" s="624"/>
      <c r="I8" s="622"/>
      <c r="J8" s="622"/>
      <c r="K8" s="622"/>
      <c r="L8" s="622"/>
      <c r="M8" s="622"/>
      <c r="N8" s="622"/>
      <c r="O8" s="622"/>
      <c r="P8" s="622"/>
    </row>
    <row r="9" spans="1:16" ht="23.25">
      <c r="A9" s="633"/>
      <c r="B9" s="622"/>
      <c r="C9" s="625"/>
      <c r="D9" s="633"/>
      <c r="E9" s="633"/>
      <c r="F9" s="633"/>
      <c r="G9" s="633"/>
      <c r="H9" s="633"/>
      <c r="I9" s="622"/>
      <c r="J9" s="622"/>
      <c r="K9" s="622"/>
      <c r="L9" s="622"/>
      <c r="M9" s="622"/>
      <c r="N9" s="622"/>
      <c r="O9" s="622"/>
      <c r="P9" s="622"/>
    </row>
    <row r="10" spans="1:16" ht="23.25">
      <c r="A10" s="633" t="s">
        <v>237</v>
      </c>
      <c r="B10" s="622"/>
      <c r="C10" s="634">
        <v>5</v>
      </c>
      <c r="D10" s="633"/>
      <c r="E10" s="633"/>
      <c r="F10" s="633"/>
      <c r="G10" s="633"/>
      <c r="H10" s="633"/>
      <c r="I10" s="622"/>
      <c r="J10" s="622"/>
      <c r="K10" s="622"/>
      <c r="L10" s="622"/>
      <c r="M10" s="622"/>
      <c r="N10" s="622"/>
      <c r="O10" s="622"/>
      <c r="P10" s="622"/>
    </row>
    <row r="11" spans="1:16" ht="23.25">
      <c r="A11" s="624"/>
      <c r="B11" s="624"/>
      <c r="C11" s="624"/>
      <c r="D11" s="624"/>
      <c r="E11" s="624"/>
      <c r="F11" s="624"/>
      <c r="G11" s="624"/>
      <c r="H11" s="624"/>
      <c r="I11" s="622"/>
      <c r="J11" s="622"/>
      <c r="K11" s="622"/>
      <c r="L11" s="622"/>
      <c r="M11" s="622"/>
      <c r="N11" s="622"/>
      <c r="O11" s="622"/>
      <c r="P11" s="622"/>
    </row>
    <row r="12" spans="1:16" ht="23.25">
      <c r="A12" s="624"/>
      <c r="B12" s="624"/>
      <c r="C12" s="624"/>
      <c r="D12" s="624"/>
      <c r="E12" s="624"/>
      <c r="F12" s="624"/>
      <c r="G12" s="624"/>
      <c r="H12" s="624"/>
      <c r="I12" s="622"/>
      <c r="J12" s="622"/>
      <c r="K12" s="622"/>
      <c r="L12" s="622"/>
      <c r="M12" s="622"/>
      <c r="N12" s="622"/>
      <c r="O12" s="622"/>
      <c r="P12" s="622"/>
    </row>
    <row r="13" spans="1:16" ht="23.25">
      <c r="A13" s="624"/>
      <c r="B13" s="624"/>
      <c r="C13" s="624"/>
      <c r="D13" s="624"/>
      <c r="E13" s="624"/>
      <c r="F13" s="624"/>
      <c r="G13" s="624"/>
      <c r="H13" s="624"/>
      <c r="I13" s="622"/>
      <c r="J13" s="622"/>
      <c r="K13" s="622"/>
      <c r="L13" s="622"/>
      <c r="M13" s="622"/>
      <c r="N13" s="622"/>
      <c r="O13" s="622"/>
      <c r="P13" s="622"/>
    </row>
    <row r="14" spans="1:16" ht="23.25">
      <c r="A14" s="624"/>
      <c r="B14" s="624"/>
      <c r="C14" s="624"/>
      <c r="D14" s="624"/>
      <c r="E14" s="624"/>
      <c r="F14" s="624"/>
      <c r="G14" s="624"/>
      <c r="H14" s="624"/>
      <c r="I14" s="622"/>
      <c r="J14" s="622"/>
      <c r="K14" s="622"/>
      <c r="L14" s="622"/>
      <c r="M14" s="622"/>
      <c r="N14" s="622"/>
      <c r="O14" s="622"/>
      <c r="P14" s="622"/>
    </row>
  </sheetData>
  <mergeCells count="1">
    <mergeCell ref="A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4:X47"/>
  <sheetViews>
    <sheetView topLeftCell="A9" zoomScale="60" zoomScaleNormal="60" workbookViewId="0">
      <selection activeCell="B44" sqref="B44:B47"/>
    </sheetView>
  </sheetViews>
  <sheetFormatPr defaultColWidth="11.5546875" defaultRowHeight="13.5"/>
  <cols>
    <col min="2" max="2" width="20.33203125" customWidth="1"/>
    <col min="3" max="3" width="20.21875" customWidth="1"/>
    <col min="4" max="4" width="17" customWidth="1"/>
    <col min="5" max="5" width="21.77734375" customWidth="1"/>
    <col min="6" max="6" width="21.6640625" customWidth="1"/>
    <col min="7" max="7" width="27.77734375" customWidth="1"/>
    <col min="8" max="8" width="19.109375" customWidth="1"/>
    <col min="9" max="9" width="17.109375" customWidth="1"/>
    <col min="11" max="11" width="14.88671875" customWidth="1"/>
    <col min="12" max="12" width="15" customWidth="1"/>
  </cols>
  <sheetData>
    <row r="4" spans="1:24"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</row>
    <row r="5" spans="1:24" ht="15">
      <c r="A5" s="328"/>
      <c r="B5" s="328"/>
      <c r="C5" s="328"/>
      <c r="D5" s="343" t="s">
        <v>1</v>
      </c>
      <c r="E5" s="344"/>
      <c r="F5" s="328"/>
      <c r="G5" s="328"/>
      <c r="I5" s="297" t="s">
        <v>171</v>
      </c>
      <c r="J5" s="297"/>
      <c r="K5" s="297"/>
      <c r="L5" s="297"/>
      <c r="M5" s="297"/>
      <c r="N5" s="297"/>
      <c r="O5" s="379"/>
      <c r="P5" s="379"/>
      <c r="Q5" s="379"/>
      <c r="R5" s="379"/>
      <c r="S5" s="379"/>
      <c r="T5" s="379"/>
      <c r="U5" s="372"/>
      <c r="V5" s="372"/>
      <c r="W5" s="372"/>
      <c r="X5" s="372"/>
    </row>
    <row r="6" spans="1:24" ht="15.75" thickBot="1">
      <c r="A6" s="328"/>
      <c r="B6" s="328"/>
      <c r="C6" s="328"/>
      <c r="D6" s="328"/>
      <c r="E6" s="328"/>
      <c r="F6" s="328"/>
      <c r="G6" s="328"/>
      <c r="I6" s="297"/>
      <c r="J6" s="297"/>
      <c r="K6" s="297"/>
      <c r="L6" s="297"/>
      <c r="M6" s="297"/>
      <c r="N6" s="297"/>
      <c r="O6" s="379"/>
      <c r="P6" s="379"/>
      <c r="Q6" s="379"/>
      <c r="R6" s="379"/>
      <c r="S6" s="379"/>
      <c r="T6" s="379"/>
      <c r="U6" s="372"/>
      <c r="V6" s="372"/>
      <c r="W6" s="372"/>
      <c r="X6" s="372"/>
    </row>
    <row r="7" spans="1:24" ht="15.75" thickBot="1">
      <c r="A7" s="328"/>
      <c r="B7" s="661" t="s">
        <v>2</v>
      </c>
      <c r="C7" s="661" t="s">
        <v>92</v>
      </c>
      <c r="D7" s="355" t="s">
        <v>6</v>
      </c>
      <c r="E7" s="355" t="s">
        <v>6</v>
      </c>
      <c r="F7" s="653" t="s">
        <v>8</v>
      </c>
      <c r="G7" s="654"/>
      <c r="I7" s="646" t="s">
        <v>169</v>
      </c>
      <c r="J7" s="648" t="s">
        <v>170</v>
      </c>
      <c r="K7" s="642" t="s">
        <v>6</v>
      </c>
      <c r="L7" s="643"/>
      <c r="M7" s="640" t="s">
        <v>8</v>
      </c>
      <c r="N7" s="641"/>
      <c r="O7" s="379"/>
      <c r="P7" s="379"/>
      <c r="Q7" s="379"/>
      <c r="R7" s="379"/>
      <c r="S7" s="379"/>
      <c r="T7" s="379"/>
      <c r="U7" s="372"/>
      <c r="V7" s="372"/>
      <c r="W7" s="372"/>
      <c r="X7" s="372"/>
    </row>
    <row r="8" spans="1:24" ht="15.75" thickBot="1">
      <c r="A8" s="328"/>
      <c r="B8" s="662"/>
      <c r="C8" s="662"/>
      <c r="D8" s="154" t="s">
        <v>7</v>
      </c>
      <c r="E8" s="155" t="s">
        <v>160</v>
      </c>
      <c r="F8" s="156" t="s">
        <v>176</v>
      </c>
      <c r="G8" s="157" t="s">
        <v>161</v>
      </c>
      <c r="H8" s="7"/>
      <c r="I8" s="647"/>
      <c r="J8" s="649"/>
      <c r="K8" s="380" t="s">
        <v>163</v>
      </c>
      <c r="L8" s="381" t="s">
        <v>160</v>
      </c>
      <c r="M8" s="382" t="s">
        <v>175</v>
      </c>
      <c r="N8" s="383" t="s">
        <v>161</v>
      </c>
      <c r="O8" s="379"/>
      <c r="P8" s="379"/>
      <c r="Q8" s="379"/>
      <c r="R8" s="379"/>
      <c r="S8" s="379"/>
      <c r="T8" s="379"/>
      <c r="U8" s="372"/>
      <c r="V8" s="372"/>
      <c r="W8" s="372"/>
      <c r="X8" s="372"/>
    </row>
    <row r="9" spans="1:24" ht="20.25" customHeight="1">
      <c r="A9" s="328"/>
      <c r="B9" s="158" t="s">
        <v>13</v>
      </c>
      <c r="C9" s="167" t="s">
        <v>12</v>
      </c>
      <c r="D9" s="159"/>
      <c r="E9" s="317"/>
      <c r="F9" s="318">
        <v>54.3</v>
      </c>
      <c r="G9" s="160"/>
      <c r="I9" s="384" t="s">
        <v>164</v>
      </c>
      <c r="J9" s="385" t="s">
        <v>162</v>
      </c>
      <c r="K9" s="386">
        <v>5800</v>
      </c>
      <c r="L9" s="387">
        <v>24.283439999999999</v>
      </c>
      <c r="M9" s="388">
        <v>89500</v>
      </c>
      <c r="N9" s="389">
        <v>2.1733678799999998</v>
      </c>
      <c r="O9" s="379"/>
      <c r="P9" s="379"/>
      <c r="Q9" s="379"/>
      <c r="R9" s="379"/>
      <c r="S9" s="379"/>
      <c r="T9" s="379"/>
      <c r="U9" s="372"/>
      <c r="V9" s="372"/>
      <c r="W9" s="372"/>
      <c r="X9" s="372"/>
    </row>
    <row r="10" spans="1:24" ht="19.5" customHeight="1">
      <c r="A10" s="328"/>
      <c r="B10" s="163" t="s">
        <v>3</v>
      </c>
      <c r="C10" s="168" t="s">
        <v>93</v>
      </c>
      <c r="D10" s="325">
        <v>5600</v>
      </c>
      <c r="E10" s="161">
        <f>+D10/1000*4.185</f>
        <v>23.435999999999996</v>
      </c>
      <c r="F10" s="319">
        <v>94.6</v>
      </c>
      <c r="G10" s="162">
        <f>+E10/1000*F10</f>
        <v>2.2170455999999996</v>
      </c>
      <c r="I10" s="390" t="s">
        <v>25</v>
      </c>
      <c r="J10" s="391" t="s">
        <v>162</v>
      </c>
      <c r="K10" s="386">
        <v>5900</v>
      </c>
      <c r="L10" s="387">
        <v>24.702120000000001</v>
      </c>
      <c r="M10" s="388">
        <v>89500</v>
      </c>
      <c r="N10" s="389">
        <v>2.2108397400000004</v>
      </c>
      <c r="O10" s="379"/>
      <c r="P10" s="379"/>
      <c r="Q10" s="379"/>
      <c r="R10" s="379"/>
      <c r="S10" s="379"/>
      <c r="T10" s="379"/>
      <c r="U10" s="372"/>
      <c r="V10" s="372"/>
      <c r="W10" s="372"/>
      <c r="X10" s="372"/>
    </row>
    <row r="11" spans="1:24" ht="19.5" customHeight="1">
      <c r="A11" s="328"/>
      <c r="B11" s="163" t="s">
        <v>4</v>
      </c>
      <c r="C11" s="168" t="s">
        <v>94</v>
      </c>
      <c r="D11" s="325"/>
      <c r="E11" s="161">
        <v>39.799999999999997</v>
      </c>
      <c r="F11" s="319">
        <v>75.5</v>
      </c>
      <c r="G11" s="162">
        <f>+E11/1000*F11</f>
        <v>3.0048999999999997</v>
      </c>
      <c r="I11" s="644" t="s">
        <v>9</v>
      </c>
      <c r="J11" s="391" t="s">
        <v>162</v>
      </c>
      <c r="K11" s="392">
        <v>5600</v>
      </c>
      <c r="L11" s="393">
        <v>23.446079999999998</v>
      </c>
      <c r="M11" s="394">
        <v>89500</v>
      </c>
      <c r="N11" s="395">
        <v>2.0984241599999995</v>
      </c>
      <c r="O11" s="379"/>
      <c r="P11" s="379"/>
      <c r="Q11" s="379"/>
      <c r="R11" s="379"/>
      <c r="S11" s="379"/>
      <c r="T11" s="379"/>
      <c r="U11" s="372"/>
      <c r="V11" s="372"/>
      <c r="W11" s="372"/>
      <c r="X11" s="372"/>
    </row>
    <row r="12" spans="1:24" ht="19.5" customHeight="1" thickBot="1">
      <c r="A12" s="328"/>
      <c r="B12" s="164" t="s">
        <v>5</v>
      </c>
      <c r="C12" s="169" t="s">
        <v>95</v>
      </c>
      <c r="D12" s="165"/>
      <c r="E12" s="320">
        <v>41.4</v>
      </c>
      <c r="F12" s="321">
        <v>72.599999999999994</v>
      </c>
      <c r="G12" s="166">
        <f>+E12/1000*F12</f>
        <v>3.0056399999999996</v>
      </c>
      <c r="I12" s="645"/>
      <c r="J12" s="396" t="s">
        <v>165</v>
      </c>
      <c r="K12" s="397">
        <v>7700</v>
      </c>
      <c r="L12" s="398">
        <v>32.23836</v>
      </c>
      <c r="M12" s="399">
        <v>82900</v>
      </c>
      <c r="N12" s="400">
        <v>2.6725600440000004</v>
      </c>
      <c r="O12" s="379"/>
      <c r="P12" s="379"/>
      <c r="Q12" s="379"/>
      <c r="R12" s="379"/>
      <c r="S12" s="379"/>
      <c r="T12" s="379"/>
      <c r="U12" s="372"/>
      <c r="V12" s="372"/>
      <c r="W12" s="372"/>
      <c r="X12" s="372"/>
    </row>
    <row r="13" spans="1:24" ht="51" customHeight="1">
      <c r="A13" s="328"/>
      <c r="B13" s="658" t="s">
        <v>33</v>
      </c>
      <c r="C13" s="170"/>
      <c r="D13" s="655" t="s">
        <v>202</v>
      </c>
      <c r="E13" s="322" t="s">
        <v>32</v>
      </c>
      <c r="F13" s="322" t="s">
        <v>32</v>
      </c>
      <c r="G13" s="171"/>
      <c r="I13" s="297" t="s">
        <v>172</v>
      </c>
      <c r="J13" s="279"/>
      <c r="K13" s="279"/>
      <c r="L13" s="279"/>
      <c r="M13" s="279"/>
      <c r="N13" s="279"/>
      <c r="O13" s="379"/>
      <c r="P13" s="379"/>
      <c r="Q13" s="379"/>
      <c r="R13" s="379"/>
      <c r="S13" s="379"/>
      <c r="T13" s="379"/>
      <c r="U13" s="372"/>
      <c r="V13" s="372"/>
      <c r="W13" s="372"/>
      <c r="X13" s="372"/>
    </row>
    <row r="14" spans="1:24" ht="24" customHeight="1">
      <c r="A14" s="328"/>
      <c r="B14" s="659"/>
      <c r="C14" s="172"/>
      <c r="D14" s="656"/>
      <c r="E14" s="323" t="s">
        <v>96</v>
      </c>
      <c r="F14" s="323" t="s">
        <v>96</v>
      </c>
      <c r="G14" s="173"/>
      <c r="I14" s="373"/>
      <c r="J14" s="373"/>
      <c r="K14" s="373"/>
      <c r="L14" s="373"/>
      <c r="M14" s="373"/>
      <c r="N14" s="373"/>
      <c r="O14" s="372"/>
      <c r="P14" s="372"/>
      <c r="Q14" s="372"/>
      <c r="R14" s="372"/>
      <c r="S14" s="372"/>
      <c r="T14" s="372"/>
      <c r="U14" s="372"/>
      <c r="V14" s="372"/>
      <c r="W14" s="372"/>
      <c r="X14" s="372"/>
    </row>
    <row r="15" spans="1:24" ht="21" customHeight="1" thickBot="1">
      <c r="A15" s="328"/>
      <c r="B15" s="660"/>
      <c r="C15" s="174"/>
      <c r="D15" s="657"/>
      <c r="E15" s="324" t="s">
        <v>31</v>
      </c>
      <c r="F15" s="324" t="s">
        <v>146</v>
      </c>
      <c r="G15" s="175"/>
      <c r="I15" s="279"/>
      <c r="J15" s="279"/>
      <c r="K15" s="279"/>
      <c r="L15" s="279"/>
      <c r="M15" s="279"/>
      <c r="N15" s="279"/>
    </row>
    <row r="16" spans="1:24" ht="14.25">
      <c r="A16" s="328"/>
      <c r="B16" s="328"/>
      <c r="C16" s="328"/>
      <c r="D16" s="328"/>
      <c r="E16" s="328"/>
      <c r="F16" s="328"/>
      <c r="G16" s="328"/>
      <c r="I16" s="279"/>
      <c r="J16" s="279"/>
      <c r="K16" s="279"/>
      <c r="L16" s="279"/>
      <c r="M16" s="279"/>
      <c r="N16" s="279"/>
    </row>
    <row r="17" spans="1:14" ht="14.25">
      <c r="A17" s="328"/>
      <c r="B17" s="328"/>
      <c r="C17" s="328"/>
      <c r="D17" s="328"/>
      <c r="E17" s="328"/>
      <c r="F17" s="328"/>
      <c r="G17" s="328"/>
      <c r="I17" s="279"/>
      <c r="J17" s="279"/>
      <c r="K17" s="370"/>
      <c r="L17" s="371"/>
      <c r="M17" s="370"/>
      <c r="N17" s="365"/>
    </row>
    <row r="18" spans="1:14" ht="14.25" thickBot="1">
      <c r="A18" s="328"/>
      <c r="B18" s="328"/>
      <c r="C18" s="328"/>
      <c r="D18" s="328"/>
      <c r="E18" s="328"/>
      <c r="F18" s="328"/>
      <c r="G18" s="328"/>
    </row>
    <row r="19" spans="1:14" ht="15" thickBot="1">
      <c r="A19" s="328"/>
      <c r="B19" s="278"/>
      <c r="C19" s="278" t="s">
        <v>139</v>
      </c>
      <c r="D19" s="278" t="s">
        <v>140</v>
      </c>
      <c r="E19" s="328"/>
      <c r="F19" s="328"/>
      <c r="G19" s="328"/>
    </row>
    <row r="20" spans="1:14" ht="14.25">
      <c r="A20" s="328"/>
      <c r="B20" s="650" t="s">
        <v>141</v>
      </c>
      <c r="C20" s="554">
        <v>2008</v>
      </c>
      <c r="D20" s="551">
        <v>33.661000000000001</v>
      </c>
      <c r="E20" s="328"/>
      <c r="F20" s="328"/>
      <c r="G20" s="328"/>
    </row>
    <row r="21" spans="1:14" ht="14.25">
      <c r="A21" s="328"/>
      <c r="B21" s="651"/>
      <c r="C21" s="555">
        <v>2009</v>
      </c>
      <c r="D21" s="552">
        <v>33.682699999999997</v>
      </c>
      <c r="E21" s="328"/>
      <c r="F21" s="328"/>
      <c r="G21" s="328"/>
    </row>
    <row r="22" spans="1:14" ht="15" thickBot="1">
      <c r="A22" s="328"/>
      <c r="B22" s="652"/>
      <c r="C22" s="556">
        <v>2010</v>
      </c>
      <c r="D22" s="553">
        <v>33.685299999999998</v>
      </c>
      <c r="E22" s="328"/>
      <c r="F22" s="328"/>
      <c r="G22" s="328"/>
    </row>
    <row r="23" spans="1:14" ht="14.25">
      <c r="A23" s="328"/>
      <c r="B23" s="345" t="s">
        <v>142</v>
      </c>
      <c r="C23" s="328"/>
      <c r="D23" s="328"/>
      <c r="E23" s="328"/>
      <c r="F23" s="328"/>
      <c r="G23" s="328"/>
    </row>
    <row r="24" spans="1:14">
      <c r="A24" s="328"/>
    </row>
    <row r="25" spans="1:14">
      <c r="A25" s="328"/>
    </row>
    <row r="27" spans="1:14" ht="47.25" customHeight="1" thickBot="1">
      <c r="B27" s="343" t="s">
        <v>222</v>
      </c>
      <c r="G27" s="629" t="s">
        <v>228</v>
      </c>
    </row>
    <row r="28" spans="1:14" ht="18.75" customHeight="1" thickBot="1">
      <c r="B28" s="661" t="s">
        <v>2</v>
      </c>
      <c r="C28" s="661" t="s">
        <v>92</v>
      </c>
      <c r="D28" s="653" t="s">
        <v>8</v>
      </c>
      <c r="E28" s="654"/>
      <c r="G28" s="638" t="s">
        <v>227</v>
      </c>
      <c r="H28" s="638" t="s">
        <v>235</v>
      </c>
    </row>
    <row r="29" spans="1:14" ht="19.5" customHeight="1" thickBot="1">
      <c r="B29" s="662"/>
      <c r="C29" s="662"/>
      <c r="D29" s="156" t="s">
        <v>176</v>
      </c>
      <c r="E29" s="157" t="s">
        <v>161</v>
      </c>
      <c r="G29" s="639"/>
      <c r="H29" s="639"/>
    </row>
    <row r="30" spans="1:14" ht="15">
      <c r="B30" s="158" t="s">
        <v>13</v>
      </c>
      <c r="C30" s="630" t="s">
        <v>12</v>
      </c>
      <c r="D30" s="318">
        <v>54.3</v>
      </c>
      <c r="E30" s="162">
        <f>D30*3.6/(H30/100)/1000</f>
        <v>0.32580000000000003</v>
      </c>
      <c r="G30" s="631" t="s">
        <v>229</v>
      </c>
      <c r="H30" s="631">
        <v>60</v>
      </c>
    </row>
    <row r="31" spans="1:14" ht="15">
      <c r="B31" s="163" t="s">
        <v>3</v>
      </c>
      <c r="C31" s="168" t="s">
        <v>93</v>
      </c>
      <c r="D31" s="319">
        <v>94.6</v>
      </c>
      <c r="E31" s="162">
        <f>D31*3.6/(H31/100)/1000</f>
        <v>0.68112000000000006</v>
      </c>
      <c r="G31" s="628" t="s">
        <v>230</v>
      </c>
      <c r="H31" s="628">
        <v>50</v>
      </c>
    </row>
    <row r="32" spans="1:14" ht="15">
      <c r="B32" s="163" t="s">
        <v>4</v>
      </c>
      <c r="C32" s="168" t="s">
        <v>94</v>
      </c>
      <c r="D32" s="319">
        <v>75.5</v>
      </c>
      <c r="E32" s="162">
        <f>D32*3.6/(H32/100)/1000</f>
        <v>0.5908695652173912</v>
      </c>
      <c r="G32" s="628" t="s">
        <v>233</v>
      </c>
      <c r="H32" s="628">
        <v>46</v>
      </c>
    </row>
    <row r="33" spans="2:8" ht="15.75" thickBot="1">
      <c r="B33" s="164" t="s">
        <v>5</v>
      </c>
      <c r="C33" s="169" t="s">
        <v>95</v>
      </c>
      <c r="D33" s="321">
        <v>72.599999999999994</v>
      </c>
      <c r="E33" s="166">
        <f>+D33*3.6/(H33/100)/1000</f>
        <v>0.5681739130434782</v>
      </c>
      <c r="G33" s="628" t="s">
        <v>234</v>
      </c>
      <c r="H33" s="628">
        <v>46</v>
      </c>
    </row>
    <row r="34" spans="2:8" ht="38.25">
      <c r="B34" s="658" t="s">
        <v>33</v>
      </c>
      <c r="C34" s="170"/>
      <c r="D34" s="322" t="s">
        <v>32</v>
      </c>
      <c r="E34" s="171"/>
      <c r="G34" s="626"/>
      <c r="H34" s="626"/>
    </row>
    <row r="35" spans="2:8" ht="14.25">
      <c r="B35" s="659"/>
      <c r="C35" s="172"/>
      <c r="D35" s="323" t="s">
        <v>96</v>
      </c>
      <c r="E35" s="173"/>
      <c r="G35" s="626"/>
      <c r="H35" s="626"/>
    </row>
    <row r="36" spans="2:8" ht="15" thickBot="1">
      <c r="B36" s="660"/>
      <c r="C36" s="174"/>
      <c r="D36" s="324" t="s">
        <v>146</v>
      </c>
      <c r="E36" s="175"/>
      <c r="G36" s="627"/>
      <c r="H36" s="627"/>
    </row>
    <row r="38" spans="2:8" ht="15">
      <c r="B38" s="632" t="s">
        <v>236</v>
      </c>
    </row>
    <row r="43" spans="2:8" ht="14.25" thickBot="1"/>
    <row r="44" spans="2:8">
      <c r="B44" s="663" t="s">
        <v>249</v>
      </c>
    </row>
    <row r="45" spans="2:8" ht="35.25" customHeight="1" thickBot="1">
      <c r="B45" s="664"/>
    </row>
    <row r="46" spans="2:8" ht="15" thickBot="1">
      <c r="B46" s="620">
        <v>0.73</v>
      </c>
    </row>
    <row r="47" spans="2:8">
      <c r="B47" s="635" t="s">
        <v>238</v>
      </c>
    </row>
  </sheetData>
  <mergeCells count="18">
    <mergeCell ref="B28:B29"/>
    <mergeCell ref="C28:C29"/>
    <mergeCell ref="D28:E28"/>
    <mergeCell ref="B34:B36"/>
    <mergeCell ref="B44:B45"/>
    <mergeCell ref="B20:B22"/>
    <mergeCell ref="F7:G7"/>
    <mergeCell ref="D13:D15"/>
    <mergeCell ref="B13:B15"/>
    <mergeCell ref="C7:C8"/>
    <mergeCell ref="B7:B8"/>
    <mergeCell ref="G28:G29"/>
    <mergeCell ref="H28:H29"/>
    <mergeCell ref="M7:N7"/>
    <mergeCell ref="K7:L7"/>
    <mergeCell ref="I11:I12"/>
    <mergeCell ref="I7:I8"/>
    <mergeCell ref="J7:J8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K12" sqref="K12"/>
    </sheetView>
  </sheetViews>
  <sheetFormatPr defaultColWidth="11.5546875" defaultRowHeight="13.5"/>
  <cols>
    <col min="1" max="1" width="4.6640625" customWidth="1"/>
    <col min="2" max="2" width="32.88671875" customWidth="1"/>
  </cols>
  <sheetData>
    <row r="1" spans="1:12">
      <c r="C1" s="328"/>
      <c r="D1" s="328"/>
      <c r="E1" s="328"/>
      <c r="F1" s="328"/>
      <c r="G1" s="328"/>
      <c r="H1" s="328"/>
      <c r="I1" s="328"/>
      <c r="J1" s="328"/>
      <c r="K1" s="328"/>
      <c r="L1" s="328"/>
    </row>
    <row r="2" spans="1:12" ht="14.25">
      <c r="A2" s="328"/>
      <c r="B2" s="587" t="s">
        <v>97</v>
      </c>
      <c r="C2" s="588"/>
      <c r="D2" s="588"/>
      <c r="E2" s="328"/>
      <c r="F2" s="328"/>
      <c r="G2" s="328"/>
      <c r="H2" s="328"/>
      <c r="I2" s="328"/>
      <c r="J2" s="328"/>
      <c r="K2" s="328"/>
      <c r="L2" s="328"/>
    </row>
    <row r="3" spans="1:12" ht="15" thickBot="1">
      <c r="B3" s="584"/>
      <c r="C3" s="585"/>
      <c r="D3" s="586"/>
      <c r="E3" s="328"/>
      <c r="F3" s="328"/>
      <c r="G3" s="328"/>
      <c r="H3" s="328"/>
      <c r="I3" s="328"/>
      <c r="J3" s="328"/>
      <c r="K3" s="328"/>
      <c r="L3" s="328"/>
    </row>
    <row r="4" spans="1:12" ht="15" thickBot="1">
      <c r="A4" s="328"/>
      <c r="B4" s="667" t="s">
        <v>99</v>
      </c>
      <c r="C4" s="669">
        <v>2006</v>
      </c>
      <c r="D4" s="670"/>
      <c r="E4" s="669">
        <v>2007</v>
      </c>
      <c r="F4" s="670"/>
      <c r="G4" s="665">
        <v>2008</v>
      </c>
      <c r="H4" s="666"/>
      <c r="I4" s="671">
        <v>2009</v>
      </c>
      <c r="J4" s="672"/>
      <c r="K4" s="665">
        <v>2010</v>
      </c>
      <c r="L4" s="666"/>
    </row>
    <row r="5" spans="1:12" ht="15" thickBot="1">
      <c r="A5" s="328"/>
      <c r="B5" s="668"/>
      <c r="C5" s="177" t="s">
        <v>145</v>
      </c>
      <c r="D5" s="178" t="s">
        <v>14</v>
      </c>
      <c r="E5" s="177" t="s">
        <v>145</v>
      </c>
      <c r="F5" s="178" t="s">
        <v>14</v>
      </c>
      <c r="G5" s="177" t="s">
        <v>145</v>
      </c>
      <c r="H5" s="331" t="s">
        <v>14</v>
      </c>
      <c r="I5" s="44" t="s">
        <v>145</v>
      </c>
      <c r="J5" s="330" t="s">
        <v>14</v>
      </c>
      <c r="K5" s="177" t="s">
        <v>145</v>
      </c>
      <c r="L5" s="178" t="s">
        <v>14</v>
      </c>
    </row>
    <row r="6" spans="1:12" ht="14.25">
      <c r="A6" s="328"/>
      <c r="B6" s="179" t="s">
        <v>173</v>
      </c>
      <c r="C6" s="493">
        <f>1585300-602500</f>
        <v>982800</v>
      </c>
      <c r="D6" s="332">
        <f>+C6/C10</f>
        <v>4.6568046776532132E-2</v>
      </c>
      <c r="E6" s="494">
        <f>1318100-416300</f>
        <v>901800</v>
      </c>
      <c r="F6" s="332">
        <f>+E6/E10</f>
        <v>3.9888358597139961E-2</v>
      </c>
      <c r="G6" s="374">
        <f>+'Consumption Production Data'!H94-'Consumption Production Data'!H67</f>
        <v>916151</v>
      </c>
      <c r="H6" s="333">
        <f>+G6/'Consumption Production Data'!H116</f>
        <v>3.8167099683531915E-2</v>
      </c>
      <c r="I6" s="374">
        <f>+'Consumption Production Data'!I94-'Consumption Production Data'!I67</f>
        <v>2568500</v>
      </c>
      <c r="J6" s="333">
        <f>+I6/'Consumption Production Data'!I116</f>
        <v>0.10209104398615584</v>
      </c>
      <c r="K6" s="374">
        <f>+'Consumption Production Data'!J94-'Consumption Production Data'!J67</f>
        <v>3467600</v>
      </c>
      <c r="L6" s="333">
        <f>+K6/'Consumption Production Data'!J116</f>
        <v>0.12791772185752939</v>
      </c>
    </row>
    <row r="7" spans="1:12" ht="15" thickBot="1">
      <c r="A7" s="328"/>
      <c r="B7" s="180" t="s">
        <v>98</v>
      </c>
      <c r="C7" s="334">
        <f>9000+174200</f>
        <v>183200</v>
      </c>
      <c r="D7" s="335">
        <f>+C7/C10</f>
        <v>8.6805720079982558E-3</v>
      </c>
      <c r="E7" s="336">
        <f>96700+182200</f>
        <v>278900</v>
      </c>
      <c r="F7" s="337">
        <f>+E7/E10</f>
        <v>1.2336286552164932E-2</v>
      </c>
      <c r="G7" s="338">
        <f>+'Consumption Production Data'!H101</f>
        <v>298274</v>
      </c>
      <c r="H7" s="335">
        <f>+G7/'Consumption Production Data'!H116</f>
        <v>1.242617591533033E-2</v>
      </c>
      <c r="I7" s="338">
        <f>+'Consumption Production Data'!I101</f>
        <v>391236</v>
      </c>
      <c r="J7" s="335">
        <f>+I7/'Consumption Production Data'!I116</f>
        <v>1.5550590494439426E-2</v>
      </c>
      <c r="K7" s="338">
        <f>+'Consumption Production Data'!J101</f>
        <v>658815</v>
      </c>
      <c r="L7" s="335">
        <f>+K7/'Consumption Production Data'!J116</f>
        <v>2.4303297360009295E-2</v>
      </c>
    </row>
    <row r="8" spans="1:12" ht="15" thickBot="1">
      <c r="A8" s="328"/>
      <c r="B8" s="201" t="s">
        <v>100</v>
      </c>
      <c r="C8" s="339">
        <f t="shared" ref="C8:L8" si="0">SUM(C6:C7)</f>
        <v>1166000</v>
      </c>
      <c r="D8" s="340">
        <f t="shared" si="0"/>
        <v>5.5248618784530384E-2</v>
      </c>
      <c r="E8" s="339">
        <f t="shared" si="0"/>
        <v>1180700</v>
      </c>
      <c r="F8" s="340">
        <f t="shared" si="0"/>
        <v>5.2224645149304895E-2</v>
      </c>
      <c r="G8" s="341">
        <f t="shared" si="0"/>
        <v>1214425</v>
      </c>
      <c r="H8" s="342">
        <f t="shared" si="0"/>
        <v>5.0593275598862245E-2</v>
      </c>
      <c r="I8" s="341">
        <f t="shared" si="0"/>
        <v>2959736</v>
      </c>
      <c r="J8" s="342">
        <f t="shared" si="0"/>
        <v>0.11764163448059527</v>
      </c>
      <c r="K8" s="341">
        <f t="shared" si="0"/>
        <v>4126415</v>
      </c>
      <c r="L8" s="342">
        <f t="shared" si="0"/>
        <v>0.15222101921753869</v>
      </c>
    </row>
    <row r="9" spans="1:12" ht="15" thickBot="1">
      <c r="A9" s="328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7"/>
    </row>
    <row r="10" spans="1:12" ht="15" thickBot="1">
      <c r="A10" s="328"/>
      <c r="B10" s="201" t="s">
        <v>213</v>
      </c>
      <c r="C10" s="361">
        <v>21104600</v>
      </c>
      <c r="D10" s="201"/>
      <c r="E10" s="361">
        <v>22608100</v>
      </c>
      <c r="F10" s="201"/>
      <c r="G10" s="361">
        <f>+'Consumption Production Data'!H116</f>
        <v>24003684</v>
      </c>
      <c r="H10" s="202"/>
      <c r="I10" s="361">
        <f>+'Consumption Production Data'!I116</f>
        <v>25158916</v>
      </c>
      <c r="J10" s="202"/>
      <c r="K10" s="361">
        <f>+'Consumption Production Data'!J116</f>
        <v>27108050</v>
      </c>
      <c r="L10" s="202"/>
    </row>
    <row r="11" spans="1:12" ht="15" thickBot="1">
      <c r="A11" s="328"/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7"/>
    </row>
    <row r="12" spans="1:12" ht="15" thickBot="1">
      <c r="A12" s="328"/>
      <c r="B12" s="201" t="s">
        <v>103</v>
      </c>
      <c r="C12" s="329">
        <f>+C10-C8</f>
        <v>19938600</v>
      </c>
      <c r="D12" s="201"/>
      <c r="E12" s="329">
        <f>+E10-E8</f>
        <v>21427400</v>
      </c>
      <c r="F12" s="201"/>
      <c r="G12" s="329">
        <f>+G10-G8</f>
        <v>22789259</v>
      </c>
      <c r="H12" s="202"/>
      <c r="I12" s="361">
        <f>+'Consumption Production Data'!I116-'Low Cost Must Run Contribution'!I8</f>
        <v>22199180</v>
      </c>
      <c r="J12" s="202"/>
      <c r="K12" s="329">
        <f>+K10-K8</f>
        <v>22981635</v>
      </c>
      <c r="L12" s="581"/>
    </row>
    <row r="13" spans="1:12">
      <c r="J13" s="328"/>
      <c r="K13" s="328"/>
      <c r="L13" s="328"/>
    </row>
    <row r="14" spans="1:12" ht="14.25">
      <c r="B14" s="346" t="s">
        <v>203</v>
      </c>
      <c r="C14" s="328"/>
      <c r="D14" s="328"/>
      <c r="E14" s="328"/>
      <c r="F14" s="328"/>
      <c r="G14" s="328"/>
      <c r="H14" s="328"/>
      <c r="I14" s="328"/>
      <c r="J14" s="328"/>
      <c r="K14" s="328"/>
      <c r="L14" s="328"/>
    </row>
    <row r="15" spans="1:12">
      <c r="B15" s="328"/>
      <c r="C15" s="328"/>
      <c r="D15" s="328"/>
      <c r="E15" s="328"/>
      <c r="F15" s="328"/>
      <c r="G15" s="328"/>
      <c r="H15" s="328"/>
      <c r="I15" s="328"/>
      <c r="J15" s="328"/>
      <c r="K15" s="328"/>
      <c r="L15" s="328"/>
    </row>
    <row r="16" spans="1:12" ht="14.25">
      <c r="B16" s="346" t="s">
        <v>174</v>
      </c>
      <c r="C16" s="328"/>
      <c r="D16" s="328"/>
      <c r="E16" s="328"/>
      <c r="F16" s="328"/>
      <c r="G16" s="328"/>
      <c r="H16" s="328"/>
      <c r="I16" s="328"/>
      <c r="J16" s="328"/>
      <c r="K16" s="328"/>
      <c r="L16" s="328"/>
    </row>
    <row r="17" spans="10:12">
      <c r="J17" s="328"/>
      <c r="K17" s="328"/>
      <c r="L17" s="328"/>
    </row>
  </sheetData>
  <mergeCells count="6">
    <mergeCell ref="K4:L4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3:X119"/>
  <sheetViews>
    <sheetView zoomScale="84" zoomScaleNormal="84" workbookViewId="0">
      <pane xSplit="1" topLeftCell="B1" activePane="topRight" state="frozen"/>
      <selection pane="topRight" activeCell="A5" sqref="A5:M119"/>
    </sheetView>
  </sheetViews>
  <sheetFormatPr defaultColWidth="11.5546875" defaultRowHeight="14.25"/>
  <cols>
    <col min="1" max="1" width="38" style="9" customWidth="1"/>
    <col min="2" max="4" width="9.5546875" style="9" customWidth="1"/>
    <col min="5" max="6" width="9.44140625" style="9" customWidth="1"/>
    <col min="7" max="7" width="9.44140625" style="36" customWidth="1"/>
    <col min="8" max="10" width="10.77734375" customWidth="1"/>
    <col min="11" max="11" width="12.88671875" customWidth="1"/>
    <col min="12" max="12" width="12.77734375" style="257" customWidth="1"/>
    <col min="15" max="15" width="22.5546875" customWidth="1"/>
    <col min="22" max="22" width="12.21875" bestFit="1" customWidth="1"/>
  </cols>
  <sheetData>
    <row r="3" spans="1:24">
      <c r="A3" s="176" t="s">
        <v>190</v>
      </c>
    </row>
    <row r="4" spans="1:24" ht="15" thickBot="1"/>
    <row r="5" spans="1:24" ht="26.25" customHeight="1" thickBot="1">
      <c r="A5" s="667" t="s">
        <v>53</v>
      </c>
      <c r="B5" s="669" t="s">
        <v>43</v>
      </c>
      <c r="C5" s="676"/>
      <c r="D5" s="670"/>
      <c r="E5" s="677" t="s">
        <v>239</v>
      </c>
      <c r="F5" s="678"/>
      <c r="G5" s="679"/>
      <c r="H5" s="669" t="s">
        <v>34</v>
      </c>
      <c r="I5" s="676"/>
      <c r="J5" s="670"/>
      <c r="K5" s="661" t="s">
        <v>22</v>
      </c>
      <c r="L5" s="674" t="s">
        <v>88</v>
      </c>
      <c r="M5" s="663" t="s">
        <v>89</v>
      </c>
    </row>
    <row r="6" spans="1:24" ht="27.6" customHeight="1" thickBot="1">
      <c r="A6" s="668"/>
      <c r="B6" s="422">
        <v>2008</v>
      </c>
      <c r="C6" s="423">
        <v>2009</v>
      </c>
      <c r="D6" s="424">
        <v>2010</v>
      </c>
      <c r="E6" s="422">
        <v>2008</v>
      </c>
      <c r="F6" s="423">
        <v>2009</v>
      </c>
      <c r="G6" s="424">
        <v>2010</v>
      </c>
      <c r="H6" s="422">
        <v>2008</v>
      </c>
      <c r="I6" s="425">
        <v>2009</v>
      </c>
      <c r="J6" s="424">
        <v>2010</v>
      </c>
      <c r="K6" s="662"/>
      <c r="L6" s="675"/>
      <c r="M6" s="664"/>
    </row>
    <row r="7" spans="1:24" hidden="1">
      <c r="A7" s="89" t="s">
        <v>45</v>
      </c>
      <c r="B7" s="81"/>
      <c r="C7" s="82"/>
      <c r="D7" s="49"/>
      <c r="E7" s="81"/>
      <c r="F7" s="82"/>
      <c r="G7" s="49"/>
      <c r="H7" s="83"/>
      <c r="I7" s="128"/>
      <c r="J7" s="117"/>
      <c r="K7" s="84"/>
      <c r="L7" s="258"/>
      <c r="M7" s="84"/>
    </row>
    <row r="8" spans="1:24" hidden="1">
      <c r="A8" s="60" t="s">
        <v>25</v>
      </c>
      <c r="B8" s="45"/>
      <c r="C8" s="53"/>
      <c r="D8" s="32"/>
      <c r="E8" s="46"/>
      <c r="F8" s="53"/>
      <c r="G8" s="43"/>
      <c r="H8" s="450"/>
      <c r="I8" s="16"/>
      <c r="J8" s="118"/>
      <c r="K8" s="38"/>
      <c r="L8" s="259"/>
      <c r="M8" s="38"/>
    </row>
    <row r="9" spans="1:24" hidden="1">
      <c r="A9" s="17" t="s">
        <v>35</v>
      </c>
      <c r="B9" s="45">
        <v>300</v>
      </c>
      <c r="C9" s="53">
        <v>300</v>
      </c>
      <c r="D9" s="32">
        <v>300</v>
      </c>
      <c r="E9" s="438">
        <v>423863</v>
      </c>
      <c r="F9" s="53">
        <v>386920</v>
      </c>
      <c r="G9" s="43">
        <v>422610</v>
      </c>
      <c r="H9" s="450">
        <v>1684874</v>
      </c>
      <c r="I9" s="18">
        <v>1485168</v>
      </c>
      <c r="J9" s="118">
        <v>1633684</v>
      </c>
      <c r="K9" s="38" t="s">
        <v>38</v>
      </c>
      <c r="L9" s="366">
        <v>1986</v>
      </c>
      <c r="M9" s="38"/>
    </row>
    <row r="10" spans="1:24" hidden="1">
      <c r="A10" s="61" t="s">
        <v>36</v>
      </c>
      <c r="B10" s="62">
        <v>300</v>
      </c>
      <c r="C10" s="66">
        <v>300</v>
      </c>
      <c r="D10" s="64">
        <v>300</v>
      </c>
      <c r="E10" s="439">
        <v>351227</v>
      </c>
      <c r="F10" s="66">
        <v>223427</v>
      </c>
      <c r="G10" s="67">
        <v>144500</v>
      </c>
      <c r="H10" s="451">
        <v>823853</v>
      </c>
      <c r="I10" s="129">
        <v>490904</v>
      </c>
      <c r="J10" s="119">
        <v>323992</v>
      </c>
      <c r="K10" s="68" t="s">
        <v>39</v>
      </c>
      <c r="L10" s="260">
        <v>1987</v>
      </c>
      <c r="M10" s="68"/>
    </row>
    <row r="11" spans="1:24" hidden="1">
      <c r="A11" s="69" t="s">
        <v>9</v>
      </c>
      <c r="B11" s="70">
        <v>165</v>
      </c>
      <c r="C11" s="73">
        <v>165</v>
      </c>
      <c r="D11" s="71">
        <v>165</v>
      </c>
      <c r="E11" s="440"/>
      <c r="F11" s="73"/>
      <c r="G11" s="74"/>
      <c r="H11" s="452">
        <v>815132</v>
      </c>
      <c r="I11" s="16">
        <v>600803</v>
      </c>
      <c r="J11" s="120">
        <v>695064</v>
      </c>
      <c r="K11" s="37"/>
      <c r="L11" s="261" t="s">
        <v>152</v>
      </c>
      <c r="M11" s="37"/>
    </row>
    <row r="12" spans="1:24" hidden="1">
      <c r="A12" s="17" t="s">
        <v>35</v>
      </c>
      <c r="B12" s="45"/>
      <c r="C12" s="52"/>
      <c r="D12" s="32"/>
      <c r="E12" s="438">
        <v>2097</v>
      </c>
      <c r="F12" s="53">
        <v>1823</v>
      </c>
      <c r="G12" s="43">
        <v>1672</v>
      </c>
      <c r="H12" s="450"/>
      <c r="I12" s="18"/>
      <c r="J12" s="118"/>
      <c r="K12" s="38" t="s">
        <v>40</v>
      </c>
      <c r="L12" s="262"/>
      <c r="M12" s="38"/>
    </row>
    <row r="13" spans="1:24" hidden="1">
      <c r="A13" s="17" t="s">
        <v>36</v>
      </c>
      <c r="B13" s="45"/>
      <c r="C13" s="52"/>
      <c r="D13" s="32"/>
      <c r="E13" s="438">
        <v>393870</v>
      </c>
      <c r="F13" s="53">
        <v>289033</v>
      </c>
      <c r="G13" s="43">
        <v>420536</v>
      </c>
      <c r="H13" s="450"/>
      <c r="I13" s="18"/>
      <c r="J13" s="118"/>
      <c r="K13" s="38" t="s">
        <v>41</v>
      </c>
      <c r="L13" s="262"/>
      <c r="M13" s="38"/>
    </row>
    <row r="14" spans="1:24" ht="15" hidden="1">
      <c r="A14" s="17" t="s">
        <v>240</v>
      </c>
      <c r="B14" s="45"/>
      <c r="C14" s="52"/>
      <c r="D14" s="32"/>
      <c r="E14" s="438">
        <v>0</v>
      </c>
      <c r="F14" s="53">
        <v>37544</v>
      </c>
      <c r="G14" s="43">
        <v>0</v>
      </c>
      <c r="H14" s="450"/>
      <c r="I14" s="18"/>
      <c r="J14" s="118"/>
      <c r="K14" s="38" t="s">
        <v>166</v>
      </c>
      <c r="L14" s="262"/>
      <c r="M14" s="38"/>
      <c r="T14" s="86"/>
      <c r="U14" s="86"/>
      <c r="V14" s="673"/>
      <c r="W14" s="673"/>
      <c r="X14" s="673"/>
    </row>
    <row r="15" spans="1:24" ht="15" hidden="1">
      <c r="A15" s="75" t="s">
        <v>37</v>
      </c>
      <c r="B15" s="62"/>
      <c r="C15" s="63"/>
      <c r="D15" s="64"/>
      <c r="E15" s="439">
        <v>72165</v>
      </c>
      <c r="F15" s="66">
        <v>40382</v>
      </c>
      <c r="G15" s="67">
        <v>0</v>
      </c>
      <c r="H15" s="451"/>
      <c r="I15" s="129"/>
      <c r="J15" s="119"/>
      <c r="K15" s="68" t="s">
        <v>42</v>
      </c>
      <c r="L15" s="260"/>
      <c r="M15" s="68"/>
      <c r="T15" s="86"/>
      <c r="U15" s="87"/>
      <c r="V15" s="87"/>
      <c r="W15" s="87"/>
      <c r="X15" s="87"/>
    </row>
    <row r="16" spans="1:24" ht="17.45" hidden="1" customHeight="1">
      <c r="A16" s="76" t="s">
        <v>116</v>
      </c>
      <c r="B16" s="77">
        <v>1320</v>
      </c>
      <c r="C16" s="362">
        <v>1320</v>
      </c>
      <c r="D16" s="79">
        <v>1320</v>
      </c>
      <c r="E16" s="441">
        <v>3658978.9</v>
      </c>
      <c r="F16" s="78">
        <v>3526183</v>
      </c>
      <c r="G16" s="79">
        <v>3632455</v>
      </c>
      <c r="H16" s="453">
        <v>10022801</v>
      </c>
      <c r="I16" s="130">
        <v>9771604</v>
      </c>
      <c r="J16" s="121">
        <v>9847176</v>
      </c>
      <c r="K16" s="80" t="s">
        <v>39</v>
      </c>
      <c r="L16" s="367"/>
      <c r="M16" s="80"/>
      <c r="T16" s="86"/>
      <c r="U16" s="86"/>
      <c r="V16" s="88"/>
      <c r="W16" s="88"/>
      <c r="X16" s="88"/>
    </row>
    <row r="17" spans="1:24" ht="17.45" hidden="1" customHeight="1">
      <c r="A17" s="247" t="s">
        <v>121</v>
      </c>
      <c r="B17" s="351">
        <v>330</v>
      </c>
      <c r="C17" s="78">
        <v>330</v>
      </c>
      <c r="D17" s="131">
        <v>330</v>
      </c>
      <c r="E17" s="440"/>
      <c r="F17" s="73"/>
      <c r="G17" s="74"/>
      <c r="H17" s="453"/>
      <c r="I17" s="130"/>
      <c r="J17" s="121"/>
      <c r="K17" s="80"/>
      <c r="L17" s="367">
        <v>1994</v>
      </c>
      <c r="M17" s="80"/>
      <c r="P17" s="376"/>
      <c r="Q17" s="376"/>
      <c r="T17" s="86"/>
      <c r="U17" s="86"/>
      <c r="V17" s="88"/>
      <c r="W17" s="88"/>
      <c r="X17" s="88"/>
    </row>
    <row r="18" spans="1:24" ht="17.45" hidden="1" customHeight="1" thickBot="1">
      <c r="A18" s="247" t="s">
        <v>122</v>
      </c>
      <c r="B18" s="351">
        <v>330</v>
      </c>
      <c r="C18" s="78">
        <v>330</v>
      </c>
      <c r="D18" s="131">
        <v>330</v>
      </c>
      <c r="E18" s="440"/>
      <c r="F18" s="73"/>
      <c r="G18" s="74"/>
      <c r="H18" s="453"/>
      <c r="I18" s="130"/>
      <c r="J18" s="121"/>
      <c r="K18" s="80"/>
      <c r="L18" s="367">
        <v>1994</v>
      </c>
      <c r="M18" s="80"/>
      <c r="O18" s="375" t="s">
        <v>198</v>
      </c>
      <c r="P18" s="376"/>
      <c r="Q18" s="376"/>
      <c r="T18" s="86"/>
      <c r="U18" s="86"/>
      <c r="V18" s="88"/>
      <c r="W18" s="88"/>
      <c r="X18" s="88"/>
    </row>
    <row r="19" spans="1:24" ht="17.45" hidden="1" customHeight="1" thickBot="1">
      <c r="A19" s="247" t="s">
        <v>123</v>
      </c>
      <c r="B19" s="351">
        <v>330</v>
      </c>
      <c r="C19" s="78">
        <v>330</v>
      </c>
      <c r="D19" s="131">
        <v>330</v>
      </c>
      <c r="E19" s="440"/>
      <c r="F19" s="73"/>
      <c r="G19" s="74"/>
      <c r="H19" s="453"/>
      <c r="I19" s="130"/>
      <c r="J19" s="121"/>
      <c r="K19" s="80"/>
      <c r="L19" s="367">
        <v>2000</v>
      </c>
      <c r="M19" s="80"/>
      <c r="O19" s="377" t="s">
        <v>167</v>
      </c>
      <c r="P19" s="602">
        <v>934966.34</v>
      </c>
      <c r="Q19" s="376"/>
      <c r="T19" s="86"/>
      <c r="U19" s="86"/>
      <c r="V19" s="88"/>
      <c r="W19" s="88"/>
      <c r="X19" s="88"/>
    </row>
    <row r="20" spans="1:24" ht="17.45" hidden="1" customHeight="1" thickBot="1">
      <c r="A20" s="247" t="s">
        <v>124</v>
      </c>
      <c r="B20" s="351">
        <v>330</v>
      </c>
      <c r="C20" s="78">
        <v>330</v>
      </c>
      <c r="D20" s="131">
        <v>330</v>
      </c>
      <c r="E20" s="440"/>
      <c r="F20" s="78"/>
      <c r="G20" s="74"/>
      <c r="H20" s="453"/>
      <c r="I20" s="130"/>
      <c r="J20" s="121"/>
      <c r="K20" s="80"/>
      <c r="L20" s="367">
        <v>2000</v>
      </c>
      <c r="M20" s="80"/>
      <c r="O20" s="377" t="s">
        <v>168</v>
      </c>
      <c r="P20" s="602">
        <v>2561362.5</v>
      </c>
      <c r="Q20" s="378"/>
      <c r="T20" s="86"/>
      <c r="U20" s="86"/>
      <c r="V20" s="88"/>
      <c r="W20" s="88"/>
      <c r="X20" s="88"/>
    </row>
    <row r="21" spans="1:24" ht="15" hidden="1">
      <c r="A21" s="76" t="s">
        <v>26</v>
      </c>
      <c r="B21" s="77">
        <v>300</v>
      </c>
      <c r="C21" s="78">
        <v>300</v>
      </c>
      <c r="D21" s="79">
        <v>300</v>
      </c>
      <c r="E21" s="441">
        <v>467962</v>
      </c>
      <c r="F21" s="78">
        <v>329469</v>
      </c>
      <c r="G21" s="79">
        <v>406879</v>
      </c>
      <c r="H21" s="454">
        <v>1637969</v>
      </c>
      <c r="I21" s="463">
        <v>1166485</v>
      </c>
      <c r="J21" s="122">
        <v>1440049</v>
      </c>
      <c r="K21" s="85" t="s">
        <v>38</v>
      </c>
      <c r="L21" s="263" t="s">
        <v>153</v>
      </c>
      <c r="M21" s="85"/>
      <c r="O21" s="375" t="s">
        <v>201</v>
      </c>
      <c r="Q21" s="378"/>
      <c r="T21" s="86"/>
      <c r="U21" s="86"/>
      <c r="V21" s="86"/>
      <c r="W21" s="86"/>
      <c r="X21" s="86"/>
    </row>
    <row r="22" spans="1:24" ht="16.149999999999999" hidden="1" customHeight="1">
      <c r="A22" s="76" t="s">
        <v>18</v>
      </c>
      <c r="B22" s="77">
        <v>380</v>
      </c>
      <c r="C22" s="78">
        <v>380</v>
      </c>
      <c r="D22" s="79">
        <v>380</v>
      </c>
      <c r="E22" s="442">
        <v>484139</v>
      </c>
      <c r="F22" s="78">
        <v>482208</v>
      </c>
      <c r="G22" s="557">
        <v>373268</v>
      </c>
      <c r="H22" s="441">
        <v>2867981</v>
      </c>
      <c r="I22" s="78">
        <v>2842551</v>
      </c>
      <c r="J22" s="79">
        <v>2153708</v>
      </c>
      <c r="K22" s="85" t="s">
        <v>12</v>
      </c>
      <c r="L22" s="263">
        <v>2005</v>
      </c>
      <c r="M22" s="85"/>
      <c r="O22" s="376"/>
      <c r="P22" s="376"/>
      <c r="Q22" s="378"/>
      <c r="T22" s="86"/>
      <c r="U22" s="86"/>
      <c r="V22" s="86"/>
      <c r="W22" s="86"/>
      <c r="X22" s="86"/>
    </row>
    <row r="23" spans="1:24" ht="16.149999999999999" hidden="1" customHeight="1" thickBot="1">
      <c r="A23" s="293" t="s">
        <v>216</v>
      </c>
      <c r="B23" s="435" t="s">
        <v>130</v>
      </c>
      <c r="C23" s="78">
        <v>470</v>
      </c>
      <c r="D23" s="79">
        <v>470</v>
      </c>
      <c r="E23" s="404"/>
      <c r="F23" s="78">
        <v>63167.883000000002</v>
      </c>
      <c r="G23" s="557">
        <v>209974.522</v>
      </c>
      <c r="H23" s="455"/>
      <c r="I23" s="66">
        <v>209852</v>
      </c>
      <c r="J23" s="67">
        <v>810321</v>
      </c>
      <c r="K23" s="68" t="s">
        <v>185</v>
      </c>
      <c r="L23" s="411" t="s">
        <v>186</v>
      </c>
      <c r="M23" s="68"/>
      <c r="P23" s="376"/>
      <c r="Q23" s="376"/>
      <c r="T23" s="86"/>
      <c r="U23" s="86"/>
      <c r="V23" s="86"/>
      <c r="W23" s="86"/>
      <c r="X23" s="86"/>
    </row>
    <row r="24" spans="1:24" hidden="1">
      <c r="A24" s="89" t="s">
        <v>44</v>
      </c>
      <c r="B24" s="40"/>
      <c r="C24" s="54"/>
      <c r="D24" s="50"/>
      <c r="E24" s="443"/>
      <c r="F24" s="54"/>
      <c r="G24" s="50"/>
      <c r="H24" s="456"/>
      <c r="I24" s="464"/>
      <c r="J24" s="123"/>
      <c r="K24" s="39"/>
      <c r="L24" s="264"/>
      <c r="M24" s="39"/>
    </row>
    <row r="25" spans="1:24" hidden="1">
      <c r="A25" s="103" t="s">
        <v>181</v>
      </c>
      <c r="B25" s="280" t="s">
        <v>130</v>
      </c>
      <c r="C25" s="281">
        <v>300</v>
      </c>
      <c r="D25" s="92">
        <v>300</v>
      </c>
      <c r="E25" s="444"/>
      <c r="F25" s="91"/>
      <c r="G25" s="92"/>
      <c r="H25" s="457"/>
      <c r="I25" s="465"/>
      <c r="J25" s="124"/>
      <c r="K25" s="93"/>
      <c r="L25" s="265"/>
      <c r="M25" s="304"/>
    </row>
    <row r="26" spans="1:24" hidden="1">
      <c r="A26" s="21" t="s">
        <v>46</v>
      </c>
      <c r="B26" s="282"/>
      <c r="C26" s="283"/>
      <c r="D26" s="33"/>
      <c r="E26" s="445"/>
      <c r="F26" s="55">
        <v>49967</v>
      </c>
      <c r="G26" s="33">
        <v>176397</v>
      </c>
      <c r="H26" s="458"/>
      <c r="I26" s="363">
        <v>143769</v>
      </c>
      <c r="J26" s="352">
        <v>577060</v>
      </c>
      <c r="K26" s="98" t="s">
        <v>38</v>
      </c>
      <c r="L26" s="266">
        <v>2009</v>
      </c>
      <c r="M26" s="98"/>
    </row>
    <row r="27" spans="1:24" hidden="1">
      <c r="A27" s="94" t="s">
        <v>47</v>
      </c>
      <c r="B27" s="284"/>
      <c r="C27" s="285"/>
      <c r="D27" s="97"/>
      <c r="E27" s="446"/>
      <c r="F27" s="96">
        <v>1630</v>
      </c>
      <c r="G27" s="97">
        <v>2392</v>
      </c>
      <c r="H27" s="405"/>
      <c r="I27" s="363"/>
      <c r="J27" s="41"/>
      <c r="K27" s="99"/>
      <c r="L27" s="267"/>
      <c r="M27" s="99"/>
    </row>
    <row r="28" spans="1:24" hidden="1">
      <c r="A28" s="103" t="s">
        <v>182</v>
      </c>
      <c r="B28" s="280">
        <v>99</v>
      </c>
      <c r="C28" s="281">
        <v>99</v>
      </c>
      <c r="D28" s="92">
        <v>99</v>
      </c>
      <c r="E28" s="444"/>
      <c r="F28" s="91"/>
      <c r="G28" s="92"/>
      <c r="H28" s="457"/>
      <c r="I28" s="465"/>
      <c r="J28" s="124"/>
      <c r="K28" s="93"/>
      <c r="L28" s="265" t="s">
        <v>90</v>
      </c>
      <c r="M28" s="304">
        <v>2008</v>
      </c>
    </row>
    <row r="29" spans="1:24" hidden="1">
      <c r="A29" s="21" t="s">
        <v>46</v>
      </c>
      <c r="B29" s="282"/>
      <c r="C29" s="283"/>
      <c r="D29" s="33"/>
      <c r="E29" s="445">
        <v>31914</v>
      </c>
      <c r="F29" s="55">
        <v>8769</v>
      </c>
      <c r="G29" s="33">
        <v>28654</v>
      </c>
      <c r="H29" s="458">
        <v>85691</v>
      </c>
      <c r="I29" s="363">
        <v>167354</v>
      </c>
      <c r="J29" s="352">
        <v>650158</v>
      </c>
      <c r="K29" s="98" t="s">
        <v>38</v>
      </c>
      <c r="L29" s="266"/>
      <c r="M29" s="98"/>
    </row>
    <row r="30" spans="1:24" hidden="1">
      <c r="A30" s="94" t="s">
        <v>47</v>
      </c>
      <c r="B30" s="284"/>
      <c r="C30" s="285"/>
      <c r="D30" s="97"/>
      <c r="E30" s="446">
        <v>643</v>
      </c>
      <c r="F30" s="96">
        <v>196</v>
      </c>
      <c r="G30" s="97">
        <v>154</v>
      </c>
      <c r="H30" s="582"/>
      <c r="I30" s="363"/>
      <c r="J30" s="41"/>
      <c r="K30" s="99" t="s">
        <v>48</v>
      </c>
      <c r="L30" s="267"/>
      <c r="M30" s="99"/>
    </row>
    <row r="31" spans="1:24" hidden="1">
      <c r="A31" s="103" t="s">
        <v>11</v>
      </c>
      <c r="B31" s="280">
        <v>198</v>
      </c>
      <c r="C31" s="281">
        <v>198</v>
      </c>
      <c r="D31" s="92">
        <v>198</v>
      </c>
      <c r="E31" s="447"/>
      <c r="F31" s="91"/>
      <c r="G31" s="92"/>
      <c r="H31" s="459"/>
      <c r="I31" s="465"/>
      <c r="J31" s="125"/>
      <c r="K31" s="100"/>
      <c r="L31" s="265" t="s">
        <v>91</v>
      </c>
      <c r="M31" s="100"/>
    </row>
    <row r="32" spans="1:24" hidden="1">
      <c r="A32" s="21" t="s">
        <v>46</v>
      </c>
      <c r="B32" s="282"/>
      <c r="C32" s="283"/>
      <c r="D32" s="33"/>
      <c r="E32" s="445">
        <v>99496</v>
      </c>
      <c r="F32" s="55">
        <v>26284</v>
      </c>
      <c r="G32" s="33">
        <v>50205</v>
      </c>
      <c r="H32" s="405">
        <v>276833</v>
      </c>
      <c r="I32" s="363">
        <v>75027</v>
      </c>
      <c r="J32" s="20">
        <v>140527</v>
      </c>
      <c r="K32" s="98" t="s">
        <v>38</v>
      </c>
      <c r="L32" s="266"/>
      <c r="M32" s="98"/>
    </row>
    <row r="33" spans="1:13" hidden="1">
      <c r="A33" s="94" t="s">
        <v>47</v>
      </c>
      <c r="B33" s="284"/>
      <c r="C33" s="285"/>
      <c r="D33" s="97"/>
      <c r="E33" s="446">
        <v>1217</v>
      </c>
      <c r="F33" s="96">
        <v>59</v>
      </c>
      <c r="G33" s="97">
        <v>29</v>
      </c>
      <c r="H33" s="460"/>
      <c r="I33" s="466"/>
      <c r="J33" s="126"/>
      <c r="K33" s="99" t="s">
        <v>48</v>
      </c>
      <c r="L33" s="267"/>
      <c r="M33" s="99"/>
    </row>
    <row r="34" spans="1:13" hidden="1">
      <c r="A34" s="103" t="s">
        <v>49</v>
      </c>
      <c r="B34" s="280">
        <v>99</v>
      </c>
      <c r="C34" s="281">
        <v>99</v>
      </c>
      <c r="D34" s="92">
        <v>99</v>
      </c>
      <c r="E34" s="447"/>
      <c r="F34" s="91"/>
      <c r="G34" s="92"/>
      <c r="H34" s="459"/>
      <c r="I34" s="465"/>
      <c r="J34" s="125"/>
      <c r="K34" s="100"/>
      <c r="L34" s="268" t="s">
        <v>154</v>
      </c>
      <c r="M34" s="100"/>
    </row>
    <row r="35" spans="1:13" hidden="1">
      <c r="A35" s="21" t="s">
        <v>46</v>
      </c>
      <c r="B35" s="282"/>
      <c r="C35" s="283"/>
      <c r="D35" s="33"/>
      <c r="E35" s="445">
        <v>33844</v>
      </c>
      <c r="F35" s="55">
        <v>14971</v>
      </c>
      <c r="G35" s="33">
        <v>18664</v>
      </c>
      <c r="H35" s="405">
        <v>93820</v>
      </c>
      <c r="I35" s="363">
        <v>42006</v>
      </c>
      <c r="J35" s="20">
        <v>52238</v>
      </c>
      <c r="K35" s="98" t="s">
        <v>38</v>
      </c>
      <c r="L35" s="266"/>
      <c r="M35" s="98"/>
    </row>
    <row r="36" spans="1:13" hidden="1">
      <c r="A36" s="94" t="s">
        <v>47</v>
      </c>
      <c r="B36" s="284"/>
      <c r="C36" s="285"/>
      <c r="D36" s="97"/>
      <c r="E36" s="446">
        <v>504</v>
      </c>
      <c r="F36" s="96">
        <v>120</v>
      </c>
      <c r="G36" s="97">
        <v>125</v>
      </c>
      <c r="H36" s="583"/>
      <c r="I36" s="466"/>
      <c r="J36" s="352"/>
      <c r="K36" s="99" t="s">
        <v>48</v>
      </c>
      <c r="L36" s="267"/>
      <c r="M36" s="99"/>
    </row>
    <row r="37" spans="1:13" hidden="1">
      <c r="A37" s="103" t="s">
        <v>27</v>
      </c>
      <c r="B37" s="280">
        <v>40</v>
      </c>
      <c r="C37" s="281">
        <v>40</v>
      </c>
      <c r="D37" s="92">
        <v>40</v>
      </c>
      <c r="E37" s="447"/>
      <c r="F37" s="91"/>
      <c r="G37" s="92"/>
      <c r="H37" s="459"/>
      <c r="I37" s="465"/>
      <c r="J37" s="125"/>
      <c r="K37" s="100"/>
      <c r="L37" s="268" t="s">
        <v>155</v>
      </c>
      <c r="M37" s="100"/>
    </row>
    <row r="38" spans="1:13" hidden="1">
      <c r="A38" s="21" t="s">
        <v>46</v>
      </c>
      <c r="B38" s="282"/>
      <c r="C38" s="283"/>
      <c r="D38" s="33"/>
      <c r="E38" s="445">
        <v>7857</v>
      </c>
      <c r="F38" s="55">
        <v>429</v>
      </c>
      <c r="G38" s="33">
        <v>12002</v>
      </c>
      <c r="H38" s="405">
        <v>18497</v>
      </c>
      <c r="I38" s="363">
        <v>1144</v>
      </c>
      <c r="J38" s="20">
        <v>32431</v>
      </c>
      <c r="K38" s="98" t="s">
        <v>38</v>
      </c>
      <c r="L38" s="266"/>
      <c r="M38" s="98"/>
    </row>
    <row r="39" spans="1:13" hidden="1">
      <c r="A39" s="94" t="s">
        <v>47</v>
      </c>
      <c r="B39" s="284"/>
      <c r="C39" s="285"/>
      <c r="D39" s="97"/>
      <c r="E39" s="446">
        <v>122</v>
      </c>
      <c r="F39" s="96">
        <v>40</v>
      </c>
      <c r="G39" s="97">
        <v>1224</v>
      </c>
      <c r="H39" s="460"/>
      <c r="I39" s="466"/>
      <c r="J39" s="126"/>
      <c r="K39" s="99" t="s">
        <v>48</v>
      </c>
      <c r="L39" s="267"/>
      <c r="M39" s="99"/>
    </row>
    <row r="40" spans="1:13" hidden="1">
      <c r="A40" s="103" t="s">
        <v>28</v>
      </c>
      <c r="B40" s="280">
        <v>40</v>
      </c>
      <c r="C40" s="281">
        <v>40</v>
      </c>
      <c r="D40" s="92">
        <v>40</v>
      </c>
      <c r="E40" s="447"/>
      <c r="F40" s="91"/>
      <c r="G40" s="92"/>
      <c r="H40" s="459"/>
      <c r="I40" s="465"/>
      <c r="J40" s="125"/>
      <c r="K40" s="100"/>
      <c r="L40" s="268" t="s">
        <v>156</v>
      </c>
      <c r="M40" s="100"/>
    </row>
    <row r="41" spans="1:13" hidden="1">
      <c r="A41" s="21" t="s">
        <v>46</v>
      </c>
      <c r="B41" s="282"/>
      <c r="C41" s="283"/>
      <c r="D41" s="33"/>
      <c r="E41" s="445">
        <v>2133</v>
      </c>
      <c r="F41" s="55">
        <v>1915</v>
      </c>
      <c r="G41" s="33">
        <v>17992</v>
      </c>
      <c r="H41" s="405">
        <v>5292</v>
      </c>
      <c r="I41" s="363">
        <v>5038</v>
      </c>
      <c r="J41" s="20">
        <v>41085</v>
      </c>
      <c r="K41" s="98" t="s">
        <v>38</v>
      </c>
      <c r="L41" s="266"/>
      <c r="M41" s="98"/>
    </row>
    <row r="42" spans="1:13" hidden="1">
      <c r="A42" s="94" t="s">
        <v>47</v>
      </c>
      <c r="B42" s="284"/>
      <c r="C42" s="285"/>
      <c r="D42" s="97"/>
      <c r="E42" s="446">
        <v>85</v>
      </c>
      <c r="F42" s="96">
        <v>78</v>
      </c>
      <c r="G42" s="97">
        <v>320</v>
      </c>
      <c r="H42" s="460"/>
      <c r="I42" s="466"/>
      <c r="J42" s="126"/>
      <c r="K42" s="99" t="s">
        <v>48</v>
      </c>
      <c r="L42" s="267"/>
      <c r="M42" s="99"/>
    </row>
    <row r="43" spans="1:13" hidden="1">
      <c r="A43" s="103" t="s">
        <v>50</v>
      </c>
      <c r="B43" s="280">
        <v>40</v>
      </c>
      <c r="C43" s="281">
        <v>40</v>
      </c>
      <c r="D43" s="92">
        <v>40</v>
      </c>
      <c r="E43" s="447"/>
      <c r="F43" s="91"/>
      <c r="G43" s="92"/>
      <c r="H43" s="459"/>
      <c r="I43" s="465"/>
      <c r="J43" s="125"/>
      <c r="K43" s="100"/>
      <c r="L43" s="268" t="s">
        <v>156</v>
      </c>
      <c r="M43" s="100"/>
    </row>
    <row r="44" spans="1:13" hidden="1">
      <c r="A44" s="21" t="s">
        <v>46</v>
      </c>
      <c r="B44" s="282"/>
      <c r="C44" s="283"/>
      <c r="D44" s="33"/>
      <c r="E44" s="445">
        <v>4861</v>
      </c>
      <c r="F44" s="55">
        <v>1234</v>
      </c>
      <c r="G44" s="33">
        <v>4258</v>
      </c>
      <c r="H44" s="405">
        <v>11684</v>
      </c>
      <c r="I44" s="363">
        <v>3152</v>
      </c>
      <c r="J44" s="20">
        <v>9555</v>
      </c>
      <c r="K44" s="98" t="s">
        <v>38</v>
      </c>
      <c r="L44" s="266"/>
      <c r="M44" s="98"/>
    </row>
    <row r="45" spans="1:13" hidden="1">
      <c r="A45" s="94" t="s">
        <v>47</v>
      </c>
      <c r="B45" s="284"/>
      <c r="C45" s="285"/>
      <c r="D45" s="97"/>
      <c r="E45" s="446">
        <v>217</v>
      </c>
      <c r="F45" s="96">
        <v>86</v>
      </c>
      <c r="G45" s="97">
        <v>22</v>
      </c>
      <c r="H45" s="582"/>
      <c r="I45" s="466"/>
      <c r="J45" s="20"/>
      <c r="K45" s="99" t="s">
        <v>48</v>
      </c>
      <c r="L45" s="267"/>
      <c r="M45" s="99"/>
    </row>
    <row r="46" spans="1:13" hidden="1">
      <c r="A46" s="103" t="s">
        <v>10</v>
      </c>
      <c r="B46" s="280">
        <v>21</v>
      </c>
      <c r="C46" s="281">
        <v>21</v>
      </c>
      <c r="D46" s="92">
        <v>21</v>
      </c>
      <c r="E46" s="447"/>
      <c r="F46" s="91"/>
      <c r="G46" s="92"/>
      <c r="H46" s="459"/>
      <c r="I46" s="465"/>
      <c r="J46" s="125"/>
      <c r="K46" s="100"/>
      <c r="L46" s="268" t="s">
        <v>157</v>
      </c>
      <c r="M46" s="100"/>
    </row>
    <row r="47" spans="1:13" hidden="1">
      <c r="A47" s="21" t="s">
        <v>46</v>
      </c>
      <c r="B47" s="282"/>
      <c r="C47" s="283"/>
      <c r="D47" s="33"/>
      <c r="E47" s="445">
        <v>1778</v>
      </c>
      <c r="F47" s="55">
        <v>768</v>
      </c>
      <c r="G47" s="33">
        <v>3249</v>
      </c>
      <c r="H47" s="405">
        <v>8311</v>
      </c>
      <c r="I47" s="363">
        <v>3542</v>
      </c>
      <c r="J47" s="20">
        <v>14576</v>
      </c>
      <c r="K47" s="98" t="s">
        <v>38</v>
      </c>
      <c r="L47" s="266"/>
      <c r="M47" s="98"/>
    </row>
    <row r="48" spans="1:13" hidden="1">
      <c r="A48" s="94" t="s">
        <v>47</v>
      </c>
      <c r="B48" s="284"/>
      <c r="C48" s="285"/>
      <c r="D48" s="97"/>
      <c r="E48" s="446">
        <v>214</v>
      </c>
      <c r="F48" s="96">
        <v>119</v>
      </c>
      <c r="G48" s="97">
        <v>691</v>
      </c>
      <c r="H48" s="460"/>
      <c r="I48" s="466"/>
      <c r="J48" s="126"/>
      <c r="K48" s="99" t="s">
        <v>48</v>
      </c>
      <c r="L48" s="267"/>
      <c r="M48" s="99"/>
    </row>
    <row r="49" spans="1:13" hidden="1">
      <c r="A49" s="103" t="s">
        <v>51</v>
      </c>
      <c r="B49" s="280">
        <v>99</v>
      </c>
      <c r="C49" s="281">
        <v>99</v>
      </c>
      <c r="D49" s="92">
        <v>99</v>
      </c>
      <c r="E49" s="447"/>
      <c r="F49" s="91"/>
      <c r="G49" s="92"/>
      <c r="H49" s="459"/>
      <c r="I49" s="465"/>
      <c r="J49" s="125"/>
      <c r="K49" s="100"/>
      <c r="L49" s="268">
        <v>2007</v>
      </c>
      <c r="M49" s="100"/>
    </row>
    <row r="50" spans="1:13" hidden="1">
      <c r="A50" s="21" t="s">
        <v>46</v>
      </c>
      <c r="B50" s="282"/>
      <c r="C50" s="283"/>
      <c r="D50" s="33"/>
      <c r="E50" s="445">
        <v>18340</v>
      </c>
      <c r="F50" s="55">
        <v>62609</v>
      </c>
      <c r="G50" s="33">
        <v>73443</v>
      </c>
      <c r="H50" s="405">
        <v>246841</v>
      </c>
      <c r="I50" s="363">
        <v>193887</v>
      </c>
      <c r="J50" s="20">
        <v>244997</v>
      </c>
      <c r="K50" s="98" t="s">
        <v>38</v>
      </c>
      <c r="L50" s="266"/>
      <c r="M50" s="98"/>
    </row>
    <row r="51" spans="1:13" hidden="1">
      <c r="A51" s="94" t="s">
        <v>47</v>
      </c>
      <c r="B51" s="284"/>
      <c r="C51" s="285"/>
      <c r="D51" s="97"/>
      <c r="E51" s="446">
        <v>68906</v>
      </c>
      <c r="F51" s="96">
        <v>10161.392</v>
      </c>
      <c r="G51" s="97">
        <v>24537</v>
      </c>
      <c r="H51" s="460"/>
      <c r="I51" s="466"/>
      <c r="J51" s="126"/>
      <c r="K51" s="99" t="s">
        <v>48</v>
      </c>
      <c r="L51" s="267"/>
      <c r="M51" s="99"/>
    </row>
    <row r="52" spans="1:13" hidden="1">
      <c r="A52" s="103" t="s">
        <v>19</v>
      </c>
      <c r="B52" s="280">
        <v>21</v>
      </c>
      <c r="C52" s="281">
        <v>21</v>
      </c>
      <c r="D52" s="603">
        <v>37.5</v>
      </c>
      <c r="E52" s="447"/>
      <c r="F52" s="91"/>
      <c r="G52" s="92"/>
      <c r="H52" s="405"/>
      <c r="I52" s="363"/>
      <c r="J52" s="20"/>
      <c r="K52" s="101"/>
      <c r="L52" s="268" t="s">
        <v>184</v>
      </c>
      <c r="M52" s="101"/>
    </row>
    <row r="53" spans="1:13" hidden="1">
      <c r="A53" s="21" t="s">
        <v>46</v>
      </c>
      <c r="B53" s="282"/>
      <c r="C53" s="283"/>
      <c r="D53" s="33"/>
      <c r="E53" s="445">
        <v>8221</v>
      </c>
      <c r="F53" s="55">
        <v>11119</v>
      </c>
      <c r="G53" s="33">
        <v>13318</v>
      </c>
      <c r="H53" s="405">
        <v>45523</v>
      </c>
      <c r="I53" s="363">
        <v>49607</v>
      </c>
      <c r="J53" s="20">
        <v>59288</v>
      </c>
      <c r="K53" s="98" t="s">
        <v>38</v>
      </c>
      <c r="L53" s="266"/>
      <c r="M53" s="98"/>
    </row>
    <row r="54" spans="1:13" ht="15" hidden="1" thickBot="1">
      <c r="A54" s="94" t="s">
        <v>47</v>
      </c>
      <c r="B54" s="284"/>
      <c r="C54" s="285"/>
      <c r="D54" s="97"/>
      <c r="E54" s="448"/>
      <c r="F54" s="96"/>
      <c r="G54" s="97"/>
      <c r="H54" s="460"/>
      <c r="I54" s="466"/>
      <c r="J54" s="126"/>
      <c r="K54" s="99"/>
      <c r="L54" s="267"/>
      <c r="M54" s="99"/>
    </row>
    <row r="55" spans="1:13" ht="15" hidden="1" thickBot="1">
      <c r="A55" s="89" t="s">
        <v>52</v>
      </c>
      <c r="B55" s="14"/>
      <c r="C55" s="56"/>
      <c r="D55" s="31"/>
      <c r="E55" s="14"/>
      <c r="F55" s="56"/>
      <c r="G55" s="31"/>
      <c r="H55" s="461"/>
      <c r="I55" s="132"/>
      <c r="J55" s="127"/>
      <c r="K55" s="19"/>
      <c r="L55" s="269"/>
      <c r="M55" s="19"/>
    </row>
    <row r="56" spans="1:13" hidden="1">
      <c r="A56" s="545" t="s">
        <v>183</v>
      </c>
      <c r="B56" s="23" t="s">
        <v>130</v>
      </c>
      <c r="C56" s="409">
        <v>116.7</v>
      </c>
      <c r="D56" s="410">
        <v>116.7</v>
      </c>
      <c r="E56" s="288"/>
      <c r="F56" s="289"/>
      <c r="G56" s="291"/>
      <c r="H56" s="462"/>
      <c r="I56" s="407"/>
      <c r="J56" s="408"/>
      <c r="K56" s="24"/>
      <c r="L56" s="406">
        <v>39891</v>
      </c>
      <c r="M56" s="102"/>
    </row>
    <row r="57" spans="1:13" hidden="1">
      <c r="A57" s="10" t="s">
        <v>199</v>
      </c>
      <c r="B57" s="25"/>
      <c r="C57" s="57"/>
      <c r="D57" s="34"/>
      <c r="E57" s="25"/>
      <c r="F57" s="57">
        <v>73322</v>
      </c>
      <c r="G57" s="34">
        <v>49898</v>
      </c>
      <c r="H57" s="549" t="s">
        <v>130</v>
      </c>
      <c r="I57" s="407">
        <v>354373</v>
      </c>
      <c r="J57" s="24">
        <v>261352</v>
      </c>
      <c r="K57" s="24" t="s">
        <v>38</v>
      </c>
      <c r="L57" s="270"/>
      <c r="M57" s="24"/>
    </row>
    <row r="58" spans="1:13" hidden="1">
      <c r="A58" s="10" t="s">
        <v>200</v>
      </c>
      <c r="B58" s="25"/>
      <c r="C58" s="57"/>
      <c r="D58" s="34"/>
      <c r="E58" s="25"/>
      <c r="F58" s="57">
        <v>156</v>
      </c>
      <c r="G58" s="34">
        <v>3153</v>
      </c>
      <c r="H58" s="449"/>
      <c r="I58" s="407"/>
      <c r="J58" s="24"/>
      <c r="K58" s="24"/>
      <c r="L58" s="270"/>
      <c r="M58" s="24"/>
    </row>
    <row r="59" spans="1:13" hidden="1">
      <c r="A59" s="10"/>
      <c r="B59" s="25"/>
      <c r="C59" s="57"/>
      <c r="D59" s="34"/>
      <c r="E59" s="25"/>
      <c r="F59" s="57"/>
      <c r="G59" s="34"/>
      <c r="H59" s="449"/>
      <c r="I59" s="407"/>
      <c r="J59" s="24"/>
      <c r="K59" s="24"/>
      <c r="L59" s="270"/>
      <c r="M59" s="24"/>
    </row>
    <row r="60" spans="1:13" ht="15" hidden="1" thickBot="1">
      <c r="A60" s="287" t="s">
        <v>149</v>
      </c>
      <c r="B60" s="301">
        <v>20.399999999999999</v>
      </c>
      <c r="C60" s="303">
        <v>20.399999999999999</v>
      </c>
      <c r="D60" s="302">
        <v>20.399999999999999</v>
      </c>
      <c r="E60" s="436">
        <v>2852</v>
      </c>
      <c r="F60" s="437">
        <v>566</v>
      </c>
      <c r="G60" s="290">
        <v>143</v>
      </c>
      <c r="H60" s="286">
        <v>3460</v>
      </c>
      <c r="I60" s="286">
        <v>2014</v>
      </c>
      <c r="J60" s="295">
        <v>464</v>
      </c>
      <c r="K60" s="35"/>
      <c r="L60" s="271"/>
      <c r="M60" s="35"/>
    </row>
    <row r="61" spans="1:13" ht="15" hidden="1" thickBot="1">
      <c r="A61" s="26" t="s">
        <v>55</v>
      </c>
      <c r="B61" s="48">
        <f>SUM(B21:B60,B9:B16)</f>
        <v>3442.4</v>
      </c>
      <c r="C61" s="48">
        <f>SUM(C21:C60,C9:C16)</f>
        <v>4329.1000000000004</v>
      </c>
      <c r="D61" s="48">
        <f>SUM(D21:D60,D9:D16)</f>
        <v>4345.6000000000004</v>
      </c>
      <c r="E61" s="48"/>
      <c r="F61" s="59"/>
      <c r="G61" s="42"/>
      <c r="H61" s="42">
        <f>SUM(H8:H60)</f>
        <v>18648562</v>
      </c>
      <c r="I61" s="42">
        <f>SUM(I8:I60)</f>
        <v>17608280</v>
      </c>
      <c r="J61" s="42">
        <f>SUM(J8:J60)</f>
        <v>18987725</v>
      </c>
      <c r="K61" s="27"/>
      <c r="L61" s="272"/>
      <c r="M61" s="27"/>
    </row>
    <row r="62" spans="1:13" ht="15" hidden="1" thickBot="1">
      <c r="E62" s="12"/>
      <c r="F62" s="12"/>
      <c r="G62" s="12"/>
      <c r="H62" s="13"/>
      <c r="I62" s="13"/>
      <c r="J62" s="36"/>
      <c r="L62" s="368"/>
    </row>
    <row r="63" spans="1:13" ht="15" hidden="1" thickBot="1">
      <c r="A63" s="112" t="s">
        <v>54</v>
      </c>
      <c r="B63" s="11"/>
      <c r="C63" s="11"/>
      <c r="D63" s="11"/>
      <c r="L63" s="368"/>
    </row>
    <row r="64" spans="1:13" hidden="1">
      <c r="A64" s="113" t="s">
        <v>56</v>
      </c>
      <c r="B64" s="248">
        <v>93.6</v>
      </c>
      <c r="C64" s="249">
        <v>93.6</v>
      </c>
      <c r="D64" s="249">
        <v>93.6</v>
      </c>
      <c r="E64" s="114"/>
      <c r="F64" s="115"/>
      <c r="G64" s="116"/>
      <c r="H64" s="139">
        <v>227759</v>
      </c>
      <c r="I64" s="139">
        <v>401900</v>
      </c>
      <c r="J64" s="139">
        <v>373300</v>
      </c>
      <c r="K64" s="152"/>
      <c r="L64" s="273">
        <v>1955</v>
      </c>
      <c r="M64" s="152"/>
    </row>
    <row r="65" spans="1:13" hidden="1">
      <c r="A65" s="104" t="s">
        <v>57</v>
      </c>
      <c r="B65" s="250">
        <v>135</v>
      </c>
      <c r="C65" s="251">
        <v>135</v>
      </c>
      <c r="D65" s="251">
        <v>135</v>
      </c>
      <c r="E65" s="105"/>
      <c r="F65" s="106"/>
      <c r="G65" s="107"/>
      <c r="H65" s="140">
        <v>94197</v>
      </c>
      <c r="I65" s="140">
        <v>293100</v>
      </c>
      <c r="J65" s="140">
        <v>295500</v>
      </c>
      <c r="K65" s="108"/>
      <c r="L65" s="256" t="s">
        <v>134</v>
      </c>
      <c r="M65" s="108"/>
    </row>
    <row r="66" spans="1:13" hidden="1">
      <c r="A66" s="104" t="s">
        <v>58</v>
      </c>
      <c r="B66" s="250">
        <v>128</v>
      </c>
      <c r="C66" s="251">
        <v>128</v>
      </c>
      <c r="D66" s="251">
        <v>128</v>
      </c>
      <c r="E66" s="105"/>
      <c r="F66" s="106"/>
      <c r="G66" s="107"/>
      <c r="H66" s="140">
        <v>10066</v>
      </c>
      <c r="I66" s="140">
        <v>87100</v>
      </c>
      <c r="J66" s="140">
        <v>270100</v>
      </c>
      <c r="K66" s="108"/>
      <c r="L66" s="256">
        <v>1980</v>
      </c>
      <c r="M66" s="108"/>
    </row>
    <row r="67" spans="1:13" hidden="1">
      <c r="A67" s="104" t="s">
        <v>125</v>
      </c>
      <c r="B67" s="250">
        <f>172+60+172+60</f>
        <v>464</v>
      </c>
      <c r="C67" s="251">
        <v>464</v>
      </c>
      <c r="D67" s="251">
        <v>464</v>
      </c>
      <c r="E67" s="105"/>
      <c r="F67" s="106"/>
      <c r="G67" s="107"/>
      <c r="H67" s="140">
        <v>443657</v>
      </c>
      <c r="I67" s="140">
        <v>383800</v>
      </c>
      <c r="J67" s="140">
        <v>163000</v>
      </c>
      <c r="K67" s="108"/>
      <c r="L67" s="256" t="s">
        <v>136</v>
      </c>
      <c r="M67" s="108"/>
    </row>
    <row r="68" spans="1:13" hidden="1">
      <c r="A68" s="104" t="s">
        <v>59</v>
      </c>
      <c r="B68" s="250">
        <v>31.2</v>
      </c>
      <c r="C68" s="251">
        <v>31.2</v>
      </c>
      <c r="D68" s="251">
        <v>31.2</v>
      </c>
      <c r="E68" s="105"/>
      <c r="F68" s="106"/>
      <c r="G68" s="107"/>
      <c r="H68" s="140">
        <v>12649</v>
      </c>
      <c r="I68" s="140">
        <v>14100</v>
      </c>
      <c r="J68" s="140">
        <v>65000</v>
      </c>
      <c r="K68" s="108"/>
      <c r="L68" s="256" t="s">
        <v>135</v>
      </c>
      <c r="M68" s="108"/>
    </row>
    <row r="69" spans="1:13" hidden="1">
      <c r="A69" s="104" t="s">
        <v>60</v>
      </c>
      <c r="B69" s="250">
        <v>17</v>
      </c>
      <c r="C69" s="251">
        <v>17</v>
      </c>
      <c r="D69" s="251">
        <v>17</v>
      </c>
      <c r="E69" s="105"/>
      <c r="F69" s="106"/>
      <c r="G69" s="107"/>
      <c r="H69" s="140">
        <v>2190</v>
      </c>
      <c r="I69" s="140">
        <v>2300</v>
      </c>
      <c r="J69" s="140">
        <v>28700</v>
      </c>
      <c r="K69" s="108"/>
      <c r="L69" s="256">
        <v>1950</v>
      </c>
      <c r="M69" s="108"/>
    </row>
    <row r="70" spans="1:13" hidden="1">
      <c r="A70" s="104" t="s">
        <v>61</v>
      </c>
      <c r="B70" s="250">
        <v>20.8</v>
      </c>
      <c r="C70" s="251">
        <v>20.8</v>
      </c>
      <c r="D70" s="251">
        <v>20.8</v>
      </c>
      <c r="E70" s="105"/>
      <c r="F70" s="106"/>
      <c r="G70" s="107"/>
      <c r="H70" s="140">
        <v>0</v>
      </c>
      <c r="I70" s="140">
        <v>0</v>
      </c>
      <c r="J70" s="140">
        <v>0</v>
      </c>
      <c r="K70" s="108"/>
      <c r="L70" s="256">
        <v>1929</v>
      </c>
      <c r="M70" s="108"/>
    </row>
    <row r="71" spans="1:13" hidden="1">
      <c r="A71" s="104" t="s">
        <v>62</v>
      </c>
      <c r="B71" s="250">
        <v>7.1</v>
      </c>
      <c r="C71" s="251">
        <v>7.1</v>
      </c>
      <c r="D71" s="251">
        <v>7.1</v>
      </c>
      <c r="E71" s="105"/>
      <c r="F71" s="106"/>
      <c r="G71" s="107"/>
      <c r="H71" s="140">
        <v>160</v>
      </c>
      <c r="I71" s="140">
        <v>0</v>
      </c>
      <c r="J71" s="140">
        <v>0</v>
      </c>
      <c r="K71" s="108"/>
      <c r="L71" s="256" t="s">
        <v>137</v>
      </c>
      <c r="M71" s="108"/>
    </row>
    <row r="72" spans="1:13" hidden="1">
      <c r="A72" s="104" t="s">
        <v>63</v>
      </c>
      <c r="B72" s="250">
        <v>23.2</v>
      </c>
      <c r="C72" s="251">
        <v>23.2</v>
      </c>
      <c r="D72" s="251">
        <v>23.2</v>
      </c>
      <c r="E72" s="109"/>
      <c r="F72" s="110"/>
      <c r="G72" s="111"/>
      <c r="H72" s="140">
        <v>69718</v>
      </c>
      <c r="I72" s="140">
        <v>101100</v>
      </c>
      <c r="J72" s="140">
        <v>109100</v>
      </c>
      <c r="K72" s="153"/>
      <c r="L72" s="274">
        <v>1967</v>
      </c>
      <c r="M72" s="153"/>
    </row>
    <row r="73" spans="1:13" hidden="1">
      <c r="A73" s="104" t="s">
        <v>64</v>
      </c>
      <c r="B73" s="250">
        <v>6.4</v>
      </c>
      <c r="C73" s="251">
        <v>6.4</v>
      </c>
      <c r="D73" s="251">
        <v>6.4</v>
      </c>
      <c r="E73" s="109"/>
      <c r="F73" s="110"/>
      <c r="G73" s="111"/>
      <c r="H73" s="140">
        <v>8245</v>
      </c>
      <c r="I73" s="140">
        <v>10000</v>
      </c>
      <c r="J73" s="140">
        <v>12600</v>
      </c>
      <c r="K73" s="140"/>
      <c r="L73" s="275">
        <v>1969</v>
      </c>
      <c r="M73" s="140"/>
    </row>
    <row r="74" spans="1:13" hidden="1">
      <c r="A74" s="104" t="s">
        <v>65</v>
      </c>
      <c r="B74" s="250">
        <v>67</v>
      </c>
      <c r="C74" s="251">
        <v>67</v>
      </c>
      <c r="D74" s="251">
        <v>67</v>
      </c>
      <c r="E74" s="109"/>
      <c r="F74" s="110"/>
      <c r="G74" s="111"/>
      <c r="H74" s="140">
        <v>57514</v>
      </c>
      <c r="I74" s="140">
        <v>115600</v>
      </c>
      <c r="J74" s="140">
        <v>151100</v>
      </c>
      <c r="K74" s="140"/>
      <c r="L74" s="275">
        <v>1991</v>
      </c>
      <c r="M74" s="140"/>
    </row>
    <row r="75" spans="1:13" hidden="1">
      <c r="A75" s="104" t="s">
        <v>66</v>
      </c>
      <c r="B75" s="250">
        <v>92</v>
      </c>
      <c r="C75" s="251">
        <v>92</v>
      </c>
      <c r="D75" s="251">
        <v>92</v>
      </c>
      <c r="E75" s="109"/>
      <c r="F75" s="110"/>
      <c r="G75" s="111"/>
      <c r="H75" s="140">
        <v>38063</v>
      </c>
      <c r="I75" s="140">
        <v>185200</v>
      </c>
      <c r="J75" s="140">
        <v>309900</v>
      </c>
      <c r="K75" s="140"/>
      <c r="L75" s="275">
        <v>2003</v>
      </c>
      <c r="M75" s="140"/>
    </row>
    <row r="76" spans="1:13" hidden="1">
      <c r="A76" s="104" t="s">
        <v>67</v>
      </c>
      <c r="B76" s="250">
        <v>24</v>
      </c>
      <c r="C76" s="251">
        <v>24</v>
      </c>
      <c r="D76" s="251">
        <v>24</v>
      </c>
      <c r="E76" s="109"/>
      <c r="F76" s="110"/>
      <c r="G76" s="111"/>
      <c r="H76" s="140">
        <v>18704</v>
      </c>
      <c r="I76" s="140">
        <v>62700</v>
      </c>
      <c r="J76" s="140">
        <v>44300</v>
      </c>
      <c r="K76" s="140"/>
      <c r="L76" s="275">
        <v>1974</v>
      </c>
      <c r="M76" s="140"/>
    </row>
    <row r="77" spans="1:13" hidden="1">
      <c r="A77" s="104" t="s">
        <v>68</v>
      </c>
      <c r="B77" s="250">
        <v>10</v>
      </c>
      <c r="C77" s="251">
        <v>10</v>
      </c>
      <c r="D77" s="251">
        <v>10</v>
      </c>
      <c r="E77" s="109"/>
      <c r="F77" s="110"/>
      <c r="G77" s="111"/>
      <c r="H77" s="140">
        <v>18378</v>
      </c>
      <c r="I77" s="140">
        <v>35700</v>
      </c>
      <c r="J77" s="140">
        <v>35700</v>
      </c>
      <c r="K77" s="140"/>
      <c r="L77" s="275">
        <v>1973</v>
      </c>
      <c r="M77" s="140"/>
    </row>
    <row r="78" spans="1:13" hidden="1">
      <c r="A78" s="104" t="s">
        <v>69</v>
      </c>
      <c r="B78" s="250">
        <v>14.4</v>
      </c>
      <c r="C78" s="251">
        <v>14.4</v>
      </c>
      <c r="D78" s="251">
        <v>14.4</v>
      </c>
      <c r="E78" s="109"/>
      <c r="F78" s="110"/>
      <c r="G78" s="111"/>
      <c r="H78" s="140">
        <v>10375</v>
      </c>
      <c r="I78" s="140">
        <v>33700</v>
      </c>
      <c r="J78" s="140">
        <v>44700</v>
      </c>
      <c r="K78" s="140"/>
      <c r="L78" s="275" t="s">
        <v>158</v>
      </c>
      <c r="M78" s="140"/>
    </row>
    <row r="79" spans="1:13" hidden="1">
      <c r="A79" s="104" t="s">
        <v>70</v>
      </c>
      <c r="B79" s="250">
        <v>40.6</v>
      </c>
      <c r="C79" s="251">
        <v>40.6</v>
      </c>
      <c r="D79" s="251">
        <v>40.6</v>
      </c>
      <c r="E79" s="109"/>
      <c r="F79" s="110"/>
      <c r="G79" s="111"/>
      <c r="H79" s="140">
        <v>29994</v>
      </c>
      <c r="I79" s="140">
        <v>160100</v>
      </c>
      <c r="J79" s="140">
        <v>221200</v>
      </c>
      <c r="K79" s="140"/>
      <c r="L79" s="275">
        <v>1978</v>
      </c>
      <c r="M79" s="140"/>
    </row>
    <row r="80" spans="1:13" hidden="1">
      <c r="A80" s="104" t="s">
        <v>71</v>
      </c>
      <c r="B80" s="250">
        <v>240</v>
      </c>
      <c r="C80" s="251">
        <v>240</v>
      </c>
      <c r="D80" s="251">
        <v>240</v>
      </c>
      <c r="E80" s="109"/>
      <c r="F80" s="110"/>
      <c r="G80" s="111"/>
      <c r="H80" s="140">
        <v>97490</v>
      </c>
      <c r="I80" s="140">
        <v>599100</v>
      </c>
      <c r="J80" s="140">
        <v>947500</v>
      </c>
      <c r="K80" s="140"/>
      <c r="L80" s="275" t="s">
        <v>138</v>
      </c>
      <c r="M80" s="140"/>
    </row>
    <row r="81" spans="1:13" hidden="1">
      <c r="A81" s="104" t="s">
        <v>72</v>
      </c>
      <c r="B81" s="250">
        <v>240</v>
      </c>
      <c r="C81" s="251">
        <v>240</v>
      </c>
      <c r="D81" s="251">
        <v>240</v>
      </c>
      <c r="E81" s="109"/>
      <c r="F81" s="110"/>
      <c r="G81" s="111"/>
      <c r="H81" s="140">
        <v>162740</v>
      </c>
      <c r="I81" s="140">
        <v>297400</v>
      </c>
      <c r="J81" s="140">
        <v>281300</v>
      </c>
      <c r="K81" s="140"/>
      <c r="L81" s="275">
        <v>1994</v>
      </c>
      <c r="M81" s="140"/>
    </row>
    <row r="82" spans="1:13" hidden="1">
      <c r="A82" s="104" t="s">
        <v>73</v>
      </c>
      <c r="B82" s="250">
        <v>36</v>
      </c>
      <c r="C82" s="251">
        <v>36</v>
      </c>
      <c r="D82" s="251">
        <v>36</v>
      </c>
      <c r="E82" s="109"/>
      <c r="F82" s="110"/>
      <c r="G82" s="111"/>
      <c r="H82" s="140">
        <v>13793</v>
      </c>
      <c r="I82" s="140">
        <v>84600</v>
      </c>
      <c r="J82" s="140">
        <v>115100</v>
      </c>
      <c r="K82" s="140"/>
      <c r="L82" s="275">
        <v>1979</v>
      </c>
      <c r="M82" s="140"/>
    </row>
    <row r="83" spans="1:13" hidden="1">
      <c r="A83" s="104" t="s">
        <v>74</v>
      </c>
      <c r="B83" s="250">
        <v>12</v>
      </c>
      <c r="C83" s="251">
        <v>12</v>
      </c>
      <c r="D83" s="251">
        <v>12</v>
      </c>
      <c r="E83" s="109"/>
      <c r="F83" s="110"/>
      <c r="G83" s="111"/>
      <c r="H83" s="140">
        <v>6497</v>
      </c>
      <c r="I83" s="140">
        <v>20400</v>
      </c>
      <c r="J83" s="140">
        <v>29200</v>
      </c>
      <c r="K83" s="140"/>
      <c r="L83" s="275">
        <v>1938</v>
      </c>
      <c r="M83" s="140"/>
    </row>
    <row r="84" spans="1:13" hidden="1">
      <c r="A84" s="104" t="s">
        <v>75</v>
      </c>
      <c r="B84" s="250">
        <v>14.1</v>
      </c>
      <c r="C84" s="251">
        <v>14.1</v>
      </c>
      <c r="D84" s="251">
        <v>14.1</v>
      </c>
      <c r="E84" s="109"/>
      <c r="F84" s="110"/>
      <c r="G84" s="111"/>
      <c r="H84" s="140">
        <v>20173</v>
      </c>
      <c r="I84" s="140">
        <v>27600</v>
      </c>
      <c r="J84" s="140">
        <v>17400</v>
      </c>
      <c r="K84" s="140"/>
      <c r="L84" s="275" t="s">
        <v>159</v>
      </c>
      <c r="M84" s="140"/>
    </row>
    <row r="85" spans="1:13" hidden="1">
      <c r="A85" s="104" t="s">
        <v>76</v>
      </c>
      <c r="B85" s="250">
        <v>2</v>
      </c>
      <c r="C85" s="251">
        <v>2</v>
      </c>
      <c r="D85" s="251">
        <v>2</v>
      </c>
      <c r="E85" s="109"/>
      <c r="F85" s="110"/>
      <c r="G85" s="111"/>
      <c r="H85" s="140">
        <v>5391</v>
      </c>
      <c r="I85" s="140">
        <v>1100</v>
      </c>
      <c r="J85" s="140">
        <v>0</v>
      </c>
      <c r="K85" s="140"/>
      <c r="L85" s="275">
        <v>1951</v>
      </c>
      <c r="M85" s="140"/>
    </row>
    <row r="86" spans="1:13" hidden="1">
      <c r="A86" s="104" t="s">
        <v>77</v>
      </c>
      <c r="B86" s="250">
        <v>6.4</v>
      </c>
      <c r="C86" s="251">
        <v>6.4</v>
      </c>
      <c r="D86" s="251">
        <v>6.4</v>
      </c>
      <c r="E86" s="109"/>
      <c r="F86" s="110"/>
      <c r="G86" s="111"/>
      <c r="H86" s="140">
        <v>10626</v>
      </c>
      <c r="I86" s="140">
        <v>30400</v>
      </c>
      <c r="J86" s="140">
        <v>29100</v>
      </c>
      <c r="K86" s="140"/>
      <c r="L86" s="275">
        <v>2003</v>
      </c>
      <c r="M86" s="140"/>
    </row>
    <row r="87" spans="1:13" hidden="1">
      <c r="A87" s="104" t="s">
        <v>126</v>
      </c>
      <c r="B87" s="250">
        <v>1.2</v>
      </c>
      <c r="C87" s="251">
        <v>1.2</v>
      </c>
      <c r="D87" s="251">
        <v>1.2</v>
      </c>
      <c r="E87" s="109"/>
      <c r="F87" s="110"/>
      <c r="G87" s="111"/>
      <c r="H87" s="140">
        <v>0</v>
      </c>
      <c r="I87" s="140">
        <v>0</v>
      </c>
      <c r="J87" s="140">
        <v>0</v>
      </c>
      <c r="K87" s="140"/>
      <c r="L87" s="275">
        <v>1925</v>
      </c>
      <c r="M87" s="140"/>
    </row>
    <row r="88" spans="1:13" hidden="1">
      <c r="A88" s="104" t="s">
        <v>127</v>
      </c>
      <c r="B88" s="250">
        <v>1.9</v>
      </c>
      <c r="C88" s="251">
        <v>1.9</v>
      </c>
      <c r="D88" s="251">
        <v>1.9</v>
      </c>
      <c r="E88" s="109"/>
      <c r="F88" s="110"/>
      <c r="G88" s="111"/>
      <c r="H88" s="140">
        <v>0</v>
      </c>
      <c r="I88" s="140">
        <v>0</v>
      </c>
      <c r="J88" s="140">
        <v>0</v>
      </c>
      <c r="K88" s="140"/>
      <c r="L88" s="275">
        <v>1934</v>
      </c>
      <c r="M88" s="140"/>
    </row>
    <row r="89" spans="1:13" hidden="1">
      <c r="A89" s="104" t="s">
        <v>79</v>
      </c>
      <c r="B89" s="250">
        <v>0.6</v>
      </c>
      <c r="C89" s="251">
        <v>0.6</v>
      </c>
      <c r="D89" s="251">
        <v>0.6</v>
      </c>
      <c r="E89" s="109"/>
      <c r="F89" s="110"/>
      <c r="G89" s="111"/>
      <c r="H89" s="140">
        <v>261</v>
      </c>
      <c r="I89" s="140">
        <v>200</v>
      </c>
      <c r="J89" s="140">
        <v>100</v>
      </c>
      <c r="K89" s="140"/>
      <c r="L89" s="275">
        <v>1994</v>
      </c>
      <c r="M89" s="140"/>
    </row>
    <row r="90" spans="1:13" hidden="1">
      <c r="A90" s="104" t="s">
        <v>78</v>
      </c>
      <c r="B90" s="250">
        <v>0.6</v>
      </c>
      <c r="C90" s="251">
        <v>0.6</v>
      </c>
      <c r="D90" s="251">
        <v>0.6</v>
      </c>
      <c r="E90" s="109"/>
      <c r="F90" s="110"/>
      <c r="G90" s="111"/>
      <c r="H90" s="140">
        <v>1168</v>
      </c>
      <c r="I90" s="140">
        <v>1500</v>
      </c>
      <c r="J90" s="140">
        <v>1300</v>
      </c>
      <c r="K90" s="140"/>
      <c r="L90" s="275">
        <v>1929</v>
      </c>
      <c r="M90" s="140"/>
    </row>
    <row r="91" spans="1:13" hidden="1">
      <c r="A91" s="104" t="s">
        <v>128</v>
      </c>
      <c r="B91" s="250">
        <v>0.6</v>
      </c>
      <c r="C91" s="251">
        <v>0.6</v>
      </c>
      <c r="D91" s="251">
        <v>0.6</v>
      </c>
      <c r="E91" s="109"/>
      <c r="F91" s="110"/>
      <c r="G91" s="111"/>
      <c r="H91" s="140">
        <v>0</v>
      </c>
      <c r="I91" s="140">
        <v>0</v>
      </c>
      <c r="J91" s="140">
        <v>0</v>
      </c>
      <c r="K91" s="140"/>
      <c r="L91" s="275">
        <v>1925</v>
      </c>
      <c r="M91" s="140"/>
    </row>
    <row r="92" spans="1:13" ht="25.5" hidden="1">
      <c r="A92" s="426" t="s">
        <v>187</v>
      </c>
      <c r="B92" s="427" t="s">
        <v>130</v>
      </c>
      <c r="C92" s="428">
        <v>18</v>
      </c>
      <c r="D92" s="428">
        <v>18</v>
      </c>
      <c r="E92" s="429"/>
      <c r="F92" s="430"/>
      <c r="G92" s="431"/>
      <c r="H92" s="432" t="s">
        <v>130</v>
      </c>
      <c r="I92" s="433">
        <v>3600</v>
      </c>
      <c r="J92" s="433">
        <v>79800</v>
      </c>
      <c r="K92" s="433"/>
      <c r="L92" s="434" t="s">
        <v>192</v>
      </c>
      <c r="M92" s="140"/>
    </row>
    <row r="93" spans="1:13" ht="15" hidden="1" thickBot="1">
      <c r="A93" s="104" t="s">
        <v>188</v>
      </c>
      <c r="B93" s="413" t="s">
        <v>130</v>
      </c>
      <c r="C93" s="414" t="s">
        <v>130</v>
      </c>
      <c r="D93" s="251">
        <v>22</v>
      </c>
      <c r="E93" s="109"/>
      <c r="F93" s="110"/>
      <c r="G93" s="111"/>
      <c r="H93" s="412" t="s">
        <v>130</v>
      </c>
      <c r="I93" s="412" t="s">
        <v>130</v>
      </c>
      <c r="J93" s="140">
        <v>5600</v>
      </c>
      <c r="K93" s="140"/>
      <c r="L93" s="415" t="s">
        <v>189</v>
      </c>
      <c r="M93" s="140"/>
    </row>
    <row r="94" spans="1:13" s="138" customFormat="1" ht="15" hidden="1" thickBot="1">
      <c r="A94" s="133" t="s">
        <v>80</v>
      </c>
      <c r="B94" s="252">
        <f>SUM(B64:B91)</f>
        <v>1729.7</v>
      </c>
      <c r="C94" s="252">
        <f>SUM(C64:C92)</f>
        <v>1747.7</v>
      </c>
      <c r="D94" s="252">
        <f>SUM(D64:D93)</f>
        <v>1769.7</v>
      </c>
      <c r="E94" s="134"/>
      <c r="F94" s="135"/>
      <c r="G94" s="136"/>
      <c r="H94" s="136">
        <f>SUM(H64:H93)</f>
        <v>1359808</v>
      </c>
      <c r="I94" s="136">
        <f>SUM(I64:I93)</f>
        <v>2952300</v>
      </c>
      <c r="J94" s="136">
        <f>SUM(J64:J93)</f>
        <v>3630600</v>
      </c>
      <c r="K94" s="137"/>
      <c r="L94" s="276"/>
      <c r="M94" s="137"/>
    </row>
    <row r="95" spans="1:13" ht="15" hidden="1" thickBot="1">
      <c r="L95" s="368"/>
    </row>
    <row r="96" spans="1:13" ht="15" thickBot="1">
      <c r="A96" s="112" t="s">
        <v>81</v>
      </c>
      <c r="L96" s="368"/>
    </row>
    <row r="97" spans="1:13">
      <c r="A97" s="490" t="s">
        <v>29</v>
      </c>
      <c r="B97" s="475">
        <v>50.4</v>
      </c>
      <c r="C97" s="476">
        <v>50.4</v>
      </c>
      <c r="D97" s="477">
        <v>50.4</v>
      </c>
      <c r="E97" s="473"/>
      <c r="F97" s="474"/>
      <c r="G97" s="469"/>
      <c r="H97" s="467">
        <v>152630</v>
      </c>
      <c r="I97" s="467">
        <v>157826</v>
      </c>
      <c r="J97" s="467">
        <v>165574</v>
      </c>
      <c r="K97" s="469"/>
      <c r="L97" s="470">
        <v>2000</v>
      </c>
      <c r="M97" s="469"/>
    </row>
    <row r="98" spans="1:13">
      <c r="A98" s="491" t="s">
        <v>129</v>
      </c>
      <c r="B98" s="471">
        <v>3.5</v>
      </c>
      <c r="C98" s="253">
        <v>3.5</v>
      </c>
      <c r="D98" s="472">
        <v>3.5</v>
      </c>
      <c r="E98" s="47"/>
      <c r="F98" s="58"/>
      <c r="G98" s="35"/>
      <c r="H98" s="468">
        <v>0</v>
      </c>
      <c r="I98" s="142">
        <v>0</v>
      </c>
      <c r="J98" s="142">
        <v>0</v>
      </c>
      <c r="K98" s="200"/>
      <c r="L98" s="271">
        <v>2000</v>
      </c>
      <c r="M98" s="35"/>
    </row>
    <row r="99" spans="1:13">
      <c r="A99" s="141" t="s">
        <v>83</v>
      </c>
      <c r="B99" s="417">
        <v>60.776000000000003</v>
      </c>
      <c r="C99" s="418">
        <v>60.776000000000003</v>
      </c>
      <c r="D99" s="419">
        <v>60.776000000000003</v>
      </c>
      <c r="E99" s="47"/>
      <c r="F99" s="58"/>
      <c r="G99" s="35"/>
      <c r="H99" s="142">
        <v>145644</v>
      </c>
      <c r="I99" s="142">
        <v>123157</v>
      </c>
      <c r="J99" s="142">
        <v>127688</v>
      </c>
      <c r="K99" s="35"/>
      <c r="L99" s="416">
        <v>39152</v>
      </c>
      <c r="M99" s="35"/>
    </row>
    <row r="100" spans="1:13" ht="15" thickBot="1">
      <c r="A100" s="141" t="s">
        <v>178</v>
      </c>
      <c r="B100" s="417" t="s">
        <v>130</v>
      </c>
      <c r="C100" s="420">
        <v>140.25</v>
      </c>
      <c r="D100" s="421">
        <v>140.25</v>
      </c>
      <c r="E100" s="47"/>
      <c r="F100" s="58"/>
      <c r="G100" s="35"/>
      <c r="H100" s="254">
        <v>0</v>
      </c>
      <c r="I100" s="142">
        <v>110253</v>
      </c>
      <c r="J100" s="142">
        <v>365553</v>
      </c>
      <c r="K100" s="35"/>
      <c r="L100" s="416">
        <v>39910</v>
      </c>
      <c r="M100" s="35"/>
    </row>
    <row r="101" spans="1:13" ht="15" thickBot="1">
      <c r="A101" s="26" t="s">
        <v>82</v>
      </c>
      <c r="B101" s="255">
        <f>SUM(B97:B99)</f>
        <v>114.676</v>
      </c>
      <c r="C101" s="255">
        <f>SUM(C97:C100)</f>
        <v>254.92599999999999</v>
      </c>
      <c r="D101" s="255">
        <f>SUM(D97:D100)</f>
        <v>254.92599999999999</v>
      </c>
      <c r="E101" s="48"/>
      <c r="F101" s="59"/>
      <c r="G101" s="42"/>
      <c r="H101" s="42">
        <f>SUM(H97:H100)</f>
        <v>298274</v>
      </c>
      <c r="I101" s="42">
        <f>SUM(I97:I100)</f>
        <v>391236</v>
      </c>
      <c r="J101" s="42">
        <f>SUM(J97:J100)</f>
        <v>658815</v>
      </c>
      <c r="K101" s="27"/>
      <c r="L101" s="272"/>
      <c r="M101" s="27"/>
    </row>
    <row r="102" spans="1:13" ht="15" thickBot="1">
      <c r="L102" s="368"/>
    </row>
    <row r="103" spans="1:13" ht="15" thickBot="1">
      <c r="A103" s="112" t="s">
        <v>84</v>
      </c>
      <c r="L103" s="368"/>
    </row>
    <row r="104" spans="1:13">
      <c r="A104" s="492" t="s">
        <v>131</v>
      </c>
      <c r="B104" s="473"/>
      <c r="C104" s="474"/>
      <c r="D104" s="469"/>
      <c r="E104" s="473"/>
      <c r="F104" s="474"/>
      <c r="G104" s="469"/>
      <c r="H104" s="467">
        <v>49400</v>
      </c>
      <c r="I104" s="467">
        <v>35700</v>
      </c>
      <c r="J104" s="467">
        <v>36900</v>
      </c>
      <c r="K104" s="469"/>
      <c r="L104" s="470"/>
      <c r="M104" s="469"/>
    </row>
    <row r="105" spans="1:13" ht="15" thickBot="1">
      <c r="A105" s="292" t="s">
        <v>132</v>
      </c>
      <c r="B105" s="478"/>
      <c r="C105" s="479"/>
      <c r="D105" s="480"/>
      <c r="E105" s="478"/>
      <c r="F105" s="479"/>
      <c r="G105" s="480"/>
      <c r="H105" s="481">
        <v>4211900</v>
      </c>
      <c r="I105" s="481">
        <v>4586900</v>
      </c>
      <c r="J105" s="481">
        <v>3902500</v>
      </c>
      <c r="K105" s="480"/>
      <c r="L105" s="482"/>
      <c r="M105" s="480"/>
    </row>
    <row r="106" spans="1:13" ht="15" thickBot="1">
      <c r="A106" s="26" t="s">
        <v>85</v>
      </c>
      <c r="B106" s="48"/>
      <c r="C106" s="59"/>
      <c r="D106" s="42"/>
      <c r="E106" s="48"/>
      <c r="F106" s="59"/>
      <c r="G106" s="42"/>
      <c r="H106" s="42">
        <f>SUM(H104:H105)</f>
        <v>4261300</v>
      </c>
      <c r="I106" s="42">
        <f>SUM(I104:I105)</f>
        <v>4622600</v>
      </c>
      <c r="J106" s="42">
        <f>SUM(J104:J105)</f>
        <v>3939400</v>
      </c>
      <c r="K106" s="27"/>
      <c r="L106" s="272"/>
      <c r="M106" s="27"/>
    </row>
    <row r="107" spans="1:13" ht="15" thickBot="1">
      <c r="H107" s="364"/>
      <c r="I107" s="364"/>
      <c r="J107" s="364"/>
      <c r="L107" s="368"/>
    </row>
    <row r="108" spans="1:13" ht="25.5" customHeight="1" thickBot="1">
      <c r="A108" s="350" t="s">
        <v>191</v>
      </c>
      <c r="H108" s="364"/>
      <c r="I108" s="364"/>
      <c r="J108" s="364"/>
      <c r="L108" s="368"/>
    </row>
    <row r="109" spans="1:13" ht="15" thickBot="1">
      <c r="A109" s="292" t="s">
        <v>147</v>
      </c>
      <c r="B109" s="483"/>
      <c r="C109" s="484"/>
      <c r="D109" s="485"/>
      <c r="E109" s="483"/>
      <c r="F109" s="484"/>
      <c r="G109" s="485"/>
      <c r="H109" s="486">
        <v>39900</v>
      </c>
      <c r="I109" s="486">
        <v>126100</v>
      </c>
      <c r="J109" s="486">
        <v>151840</v>
      </c>
      <c r="K109" s="485"/>
      <c r="L109" s="487"/>
      <c r="M109" s="485"/>
    </row>
    <row r="110" spans="1:13" ht="15" thickBot="1">
      <c r="A110" s="26" t="s">
        <v>148</v>
      </c>
      <c r="B110" s="48"/>
      <c r="C110" s="59"/>
      <c r="D110" s="42"/>
      <c r="E110" s="48"/>
      <c r="F110" s="59"/>
      <c r="G110" s="42"/>
      <c r="H110" s="42">
        <f>SUM(H109:H109)</f>
        <v>39900</v>
      </c>
      <c r="I110" s="42">
        <f>SUM(I109:I109)</f>
        <v>126100</v>
      </c>
      <c r="J110" s="42">
        <f>SUM(J109:J109)</f>
        <v>151840</v>
      </c>
      <c r="K110" s="27"/>
      <c r="L110" s="272"/>
      <c r="M110" s="27"/>
    </row>
    <row r="111" spans="1:13">
      <c r="L111" s="368"/>
    </row>
    <row r="112" spans="1:13" ht="15" thickBot="1"/>
    <row r="113" spans="1:13" ht="15" thickBot="1">
      <c r="A113" s="112" t="s">
        <v>86</v>
      </c>
    </row>
    <row r="114" spans="1:13" ht="15" thickBot="1">
      <c r="A114" s="150" t="s">
        <v>151</v>
      </c>
      <c r="B114" s="483"/>
      <c r="C114" s="484"/>
      <c r="D114" s="485"/>
      <c r="E114" s="483"/>
      <c r="F114" s="484"/>
      <c r="G114" s="485"/>
      <c r="H114" s="488">
        <f>+-23080-6630-574450</f>
        <v>-604160</v>
      </c>
      <c r="I114" s="489">
        <v>-541600</v>
      </c>
      <c r="J114" s="489">
        <v>-260330</v>
      </c>
      <c r="K114" s="485"/>
      <c r="L114" s="487"/>
      <c r="M114" s="485"/>
    </row>
    <row r="115" spans="1:13" ht="15" thickBot="1">
      <c r="A115" s="26" t="s">
        <v>133</v>
      </c>
      <c r="B115" s="48"/>
      <c r="C115" s="59"/>
      <c r="D115" s="42"/>
      <c r="E115" s="48"/>
      <c r="F115" s="59"/>
      <c r="G115" s="42"/>
      <c r="H115" s="143">
        <f>+H114</f>
        <v>-604160</v>
      </c>
      <c r="I115" s="143">
        <f>+I114</f>
        <v>-541600</v>
      </c>
      <c r="J115" s="143">
        <f>+J114</f>
        <v>-260330</v>
      </c>
      <c r="K115" s="27"/>
      <c r="L115" s="272"/>
      <c r="M115" s="27"/>
    </row>
    <row r="116" spans="1:13" ht="15" thickBot="1">
      <c r="A116" s="22" t="s">
        <v>87</v>
      </c>
      <c r="B116" s="144">
        <f>+B101+B94+B61</f>
        <v>5286.7759999999998</v>
      </c>
      <c r="C116" s="144">
        <f>+C101+C94+C61</f>
        <v>6331.7260000000006</v>
      </c>
      <c r="D116" s="144">
        <f>+D101+D94+D61</f>
        <v>6370.2260000000006</v>
      </c>
      <c r="E116" s="144"/>
      <c r="F116" s="145"/>
      <c r="G116" s="146"/>
      <c r="H116" s="354">
        <f>H106+H101+H94+H61+H110+H115</f>
        <v>24003684</v>
      </c>
      <c r="I116" s="354">
        <f>+I115+I106+I101+I94+I61+I110</f>
        <v>25158916</v>
      </c>
      <c r="J116" s="354">
        <f>+J115+J106+J101+J94+J61+J110</f>
        <v>27108050</v>
      </c>
      <c r="K116" s="147"/>
      <c r="L116" s="277"/>
      <c r="M116" s="147"/>
    </row>
    <row r="117" spans="1:13">
      <c r="A117" s="151" t="s">
        <v>150</v>
      </c>
    </row>
    <row r="118" spans="1:13">
      <c r="A118" s="151" t="s">
        <v>214</v>
      </c>
      <c r="H118" s="348"/>
      <c r="I118" s="348"/>
      <c r="J118" s="348"/>
      <c r="K118" s="349"/>
    </row>
    <row r="119" spans="1:13">
      <c r="A119" s="9" t="s">
        <v>215</v>
      </c>
      <c r="H119" s="353"/>
      <c r="I119" s="353"/>
      <c r="J119" s="353"/>
      <c r="K119" s="349"/>
    </row>
  </sheetData>
  <mergeCells count="8">
    <mergeCell ref="V14:X14"/>
    <mergeCell ref="A5:A6"/>
    <mergeCell ref="L5:L6"/>
    <mergeCell ref="M5:M6"/>
    <mergeCell ref="B5:D5"/>
    <mergeCell ref="E5:G5"/>
    <mergeCell ref="H5:J5"/>
    <mergeCell ref="K5:K6"/>
  </mergeCells>
  <phoneticPr fontId="2" type="noConversion"/>
  <pageMargins left="0.79" right="0.57999999999999996" top="0.984251969" bottom="0.984251969" header="0.4921259845" footer="0.4921259845"/>
  <pageSetup paperSize="9" scale="3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63"/>
  <sheetViews>
    <sheetView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" sqref="A3:J19"/>
    </sheetView>
  </sheetViews>
  <sheetFormatPr defaultColWidth="11.5546875" defaultRowHeight="14.25"/>
  <cols>
    <col min="1" max="1" width="22.33203125" style="9" customWidth="1"/>
    <col min="2" max="3" width="10.44140625" style="9" customWidth="1"/>
    <col min="4" max="4" width="10.44140625" style="36" customWidth="1"/>
    <col min="5" max="5" width="15.77734375" customWidth="1"/>
    <col min="6" max="6" width="4.44140625" customWidth="1"/>
    <col min="7" max="7" width="14.6640625" customWidth="1"/>
    <col min="8" max="8" width="12" bestFit="1" customWidth="1"/>
    <col min="10" max="10" width="15.44140625" customWidth="1"/>
    <col min="14" max="14" width="15.21875" bestFit="1" customWidth="1"/>
  </cols>
  <sheetData>
    <row r="3" spans="1:13">
      <c r="C3" s="176" t="s">
        <v>196</v>
      </c>
    </row>
    <row r="4" spans="1:13" ht="15" thickBot="1"/>
    <row r="5" spans="1:13" ht="15" customHeight="1" thickBot="1">
      <c r="A5" s="667" t="s">
        <v>53</v>
      </c>
      <c r="B5" s="680" t="s">
        <v>241</v>
      </c>
      <c r="C5" s="681"/>
      <c r="D5" s="682"/>
      <c r="E5" s="661" t="s">
        <v>22</v>
      </c>
      <c r="G5" s="680" t="s">
        <v>101</v>
      </c>
      <c r="H5" s="681"/>
      <c r="I5" s="682"/>
      <c r="J5" s="193" t="s">
        <v>8</v>
      </c>
    </row>
    <row r="6" spans="1:13" ht="15.75" thickBot="1">
      <c r="A6" s="668"/>
      <c r="B6" s="44">
        <v>2008</v>
      </c>
      <c r="C6" s="51">
        <v>2009</v>
      </c>
      <c r="D6" s="15">
        <v>2010</v>
      </c>
      <c r="E6" s="662"/>
      <c r="G6" s="44">
        <v>2008</v>
      </c>
      <c r="H6" s="51">
        <v>2009</v>
      </c>
      <c r="I6" s="15">
        <v>2010</v>
      </c>
      <c r="J6" s="194" t="s">
        <v>102</v>
      </c>
    </row>
    <row r="7" spans="1:13">
      <c r="A7" s="89" t="s">
        <v>45</v>
      </c>
      <c r="B7" s="81"/>
      <c r="C7" s="82"/>
      <c r="D7" s="49"/>
      <c r="E7" s="84"/>
      <c r="G7" s="81"/>
      <c r="H7" s="82"/>
      <c r="I7" s="49"/>
      <c r="J7" s="117"/>
    </row>
    <row r="8" spans="1:13">
      <c r="A8" s="60" t="s">
        <v>25</v>
      </c>
      <c r="B8" s="72"/>
      <c r="C8" s="73"/>
      <c r="D8" s="74"/>
      <c r="E8" s="37"/>
      <c r="G8" s="72"/>
      <c r="H8" s="73"/>
      <c r="I8" s="74"/>
      <c r="J8" s="120"/>
    </row>
    <row r="9" spans="1:13">
      <c r="A9" s="17" t="s">
        <v>35</v>
      </c>
      <c r="B9" s="46">
        <f>+'Consumption Production Data'!E9</f>
        <v>423863</v>
      </c>
      <c r="C9" s="53">
        <f>+'Consumption Production Data'!F9</f>
        <v>386920</v>
      </c>
      <c r="D9" s="186">
        <f>+'Consumption Production Data'!G9</f>
        <v>422610</v>
      </c>
      <c r="E9" s="38" t="s">
        <v>38</v>
      </c>
      <c r="G9" s="46">
        <f t="shared" ref="G9:I10" si="0">+B9*$J9</f>
        <v>1273665.9286999998</v>
      </c>
      <c r="H9" s="53">
        <f t="shared" si="0"/>
        <v>1162655.9079999998</v>
      </c>
      <c r="I9" s="43">
        <f t="shared" si="0"/>
        <v>1269900.7889999999</v>
      </c>
      <c r="J9" s="195">
        <f>+'Fuel Data Base'!$G$11</f>
        <v>3.0048999999999997</v>
      </c>
    </row>
    <row r="10" spans="1:13">
      <c r="A10" s="61" t="s">
        <v>36</v>
      </c>
      <c r="B10" s="65">
        <f>+'Consumption Production Data'!E10</f>
        <v>351227</v>
      </c>
      <c r="C10" s="66">
        <f>+'Consumption Production Data'!F10</f>
        <v>223427</v>
      </c>
      <c r="D10" s="187">
        <f>+'Consumption Production Data'!G10</f>
        <v>144500</v>
      </c>
      <c r="E10" s="68" t="s">
        <v>39</v>
      </c>
      <c r="G10" s="65">
        <f t="shared" si="0"/>
        <v>776506.6093609801</v>
      </c>
      <c r="H10" s="66">
        <f t="shared" si="0"/>
        <v>493961.29058898007</v>
      </c>
      <c r="I10" s="67">
        <f t="shared" si="0"/>
        <v>319466.34243000008</v>
      </c>
      <c r="J10" s="401">
        <f>+'Fuel Data Base'!N10</f>
        <v>2.2108397400000004</v>
      </c>
    </row>
    <row r="11" spans="1:13">
      <c r="A11" s="69" t="s">
        <v>9</v>
      </c>
      <c r="B11" s="72"/>
      <c r="C11" s="73"/>
      <c r="D11" s="185"/>
      <c r="E11" s="37"/>
      <c r="G11" s="72"/>
      <c r="H11" s="73"/>
      <c r="I11" s="74"/>
      <c r="J11" s="120"/>
    </row>
    <row r="12" spans="1:13">
      <c r="A12" s="17" t="s">
        <v>35</v>
      </c>
      <c r="B12" s="46">
        <f>+'Consumption Production Data'!E12</f>
        <v>2097</v>
      </c>
      <c r="C12" s="53">
        <f>+'Consumption Production Data'!F12</f>
        <v>1823</v>
      </c>
      <c r="D12" s="186">
        <f>+'Consumption Production Data'!G12</f>
        <v>1672</v>
      </c>
      <c r="E12" s="38" t="s">
        <v>40</v>
      </c>
      <c r="G12" s="46">
        <f t="shared" ref="G12:I13" si="1">+B12*$J12</f>
        <v>6301.2752999999993</v>
      </c>
      <c r="H12" s="53">
        <f t="shared" si="1"/>
        <v>5477.9326999999994</v>
      </c>
      <c r="I12" s="43">
        <f t="shared" si="1"/>
        <v>5024.1927999999998</v>
      </c>
      <c r="J12" s="195">
        <f>+'Fuel Data Base'!$G$11</f>
        <v>3.0048999999999997</v>
      </c>
    </row>
    <row r="13" spans="1:13">
      <c r="A13" s="17" t="s">
        <v>36</v>
      </c>
      <c r="B13" s="46">
        <f>+'Consumption Production Data'!E13</f>
        <v>393870</v>
      </c>
      <c r="C13" s="53">
        <f>+'Consumption Production Data'!F13</f>
        <v>289033</v>
      </c>
      <c r="D13" s="186">
        <f>+'Consumption Production Data'!G13</f>
        <v>420536</v>
      </c>
      <c r="E13" s="38" t="s">
        <v>41</v>
      </c>
      <c r="G13" s="46">
        <f t="shared" si="1"/>
        <v>826506.32389919984</v>
      </c>
      <c r="H13" s="53">
        <f t="shared" si="1"/>
        <v>606513.83023727988</v>
      </c>
      <c r="I13" s="43">
        <f t="shared" si="1"/>
        <v>882462.90254975983</v>
      </c>
      <c r="J13" s="195">
        <f>+'Fuel Data Base'!N11</f>
        <v>2.0984241599999995</v>
      </c>
    </row>
    <row r="14" spans="1:13">
      <c r="A14" s="17" t="s">
        <v>240</v>
      </c>
      <c r="B14" s="46"/>
      <c r="C14" s="53">
        <f>+'Consumption Production Data'!F14</f>
        <v>37544</v>
      </c>
      <c r="D14" s="186"/>
      <c r="E14" s="38" t="s">
        <v>166</v>
      </c>
      <c r="G14" s="46"/>
      <c r="H14" s="53">
        <f>+C14*$J14</f>
        <v>83236.760006399985</v>
      </c>
      <c r="I14" s="43"/>
      <c r="J14" s="195">
        <f>+'Fuel Data Base'!G10</f>
        <v>2.2170455999999996</v>
      </c>
    </row>
    <row r="15" spans="1:13">
      <c r="A15" s="75" t="s">
        <v>37</v>
      </c>
      <c r="B15" s="65">
        <f>+'Consumption Production Data'!E15</f>
        <v>72165</v>
      </c>
      <c r="C15" s="66">
        <f>+'Consumption Production Data'!F15</f>
        <v>40382</v>
      </c>
      <c r="D15" s="187">
        <f>+'Consumption Production Data'!G15</f>
        <v>0</v>
      </c>
      <c r="E15" s="68" t="s">
        <v>42</v>
      </c>
      <c r="G15" s="65">
        <f>+B15*$J15</f>
        <v>192865.29557526004</v>
      </c>
      <c r="H15" s="66">
        <f>+C15*$J15</f>
        <v>107923.31969680802</v>
      </c>
      <c r="I15" s="67">
        <f>+D15*$J15</f>
        <v>0</v>
      </c>
      <c r="J15" s="401">
        <f>+'Fuel Data Base'!N12</f>
        <v>2.6725600440000004</v>
      </c>
    </row>
    <row r="16" spans="1:13" ht="15">
      <c r="A16" s="76" t="s">
        <v>17</v>
      </c>
      <c r="B16" s="77">
        <f>+'Consumption Production Data'!E16</f>
        <v>3658978.9</v>
      </c>
      <c r="C16" s="78">
        <f>+'Consumption Production Data'!F16</f>
        <v>3526183</v>
      </c>
      <c r="D16" s="131">
        <f>+'Consumption Production Data'!G16</f>
        <v>3632455</v>
      </c>
      <c r="E16" s="80" t="s">
        <v>39</v>
      </c>
      <c r="G16" s="72">
        <f>+B16*$J16</f>
        <v>7952307.214857731</v>
      </c>
      <c r="H16" s="73">
        <f>+C16*$J16</f>
        <v>7663692.8712020395</v>
      </c>
      <c r="I16" s="74">
        <f>+D16*$J16</f>
        <v>7894661.0225453991</v>
      </c>
      <c r="J16" s="402">
        <f>+'Fuel Data Base'!N9</f>
        <v>2.1733678799999998</v>
      </c>
      <c r="L16" s="279" t="s">
        <v>144</v>
      </c>
      <c r="M16" s="297"/>
    </row>
    <row r="17" spans="1:14" ht="15">
      <c r="A17" s="76" t="s">
        <v>26</v>
      </c>
      <c r="B17" s="77">
        <f>+'Consumption Production Data'!E21</f>
        <v>467962</v>
      </c>
      <c r="C17" s="78">
        <f>+'Consumption Production Data'!F21</f>
        <v>329469</v>
      </c>
      <c r="D17" s="131">
        <f>+'Consumption Production Data'!G21</f>
        <v>406879</v>
      </c>
      <c r="E17" s="85" t="s">
        <v>38</v>
      </c>
      <c r="G17" s="77">
        <f>+B17*$J17</f>
        <v>1406179.0137999998</v>
      </c>
      <c r="H17" s="78">
        <f>+C17*$J17</f>
        <v>990021.39809999987</v>
      </c>
      <c r="I17" s="79">
        <f>+D17*$J17</f>
        <v>1222630.7070999998</v>
      </c>
      <c r="J17" s="527">
        <f>+'Fuel Data Base'!$G$11</f>
        <v>3.0048999999999997</v>
      </c>
      <c r="K17" s="502">
        <v>2008</v>
      </c>
      <c r="L17" s="296">
        <v>2009</v>
      </c>
      <c r="M17" s="296">
        <v>2010</v>
      </c>
    </row>
    <row r="18" spans="1:14">
      <c r="A18" s="293" t="s">
        <v>18</v>
      </c>
      <c r="B18" s="65">
        <f>+'Consumption Production Data'!E22</f>
        <v>484139</v>
      </c>
      <c r="C18" s="66">
        <f>+'Consumption Production Data'!F22</f>
        <v>482208</v>
      </c>
      <c r="D18" s="187">
        <f>+'Consumption Production Data'!G22</f>
        <v>373268</v>
      </c>
      <c r="E18" s="68" t="s">
        <v>12</v>
      </c>
      <c r="G18" s="299">
        <f>+K18*B18</f>
        <v>884905.53632970003</v>
      </c>
      <c r="H18" s="66">
        <f>+L18*C18</f>
        <v>881944.25990687998</v>
      </c>
      <c r="I18" s="67">
        <f>+M18*D18</f>
        <v>682748.8996297199</v>
      </c>
      <c r="J18" s="504"/>
      <c r="K18" s="503">
        <f>+'Fuel Data Base'!D20*'Fuel Data Base'!$F$9/1000</f>
        <v>1.8277923</v>
      </c>
      <c r="L18" s="298">
        <f>+'Fuel Data Base'!D21*'Fuel Data Base'!$F$9/1000</f>
        <v>1.8289706099999998</v>
      </c>
      <c r="M18" s="298">
        <f>+'Fuel Data Base'!D22*'Fuel Data Base'!$F$9/1000</f>
        <v>1.8291117899999998</v>
      </c>
    </row>
    <row r="19" spans="1:14" ht="15" thickBot="1">
      <c r="A19" s="293" t="s">
        <v>177</v>
      </c>
      <c r="B19" s="351">
        <f>+'Consumption Production Data'!E23</f>
        <v>0</v>
      </c>
      <c r="C19" s="78">
        <f>+'Consumption Production Data'!F23</f>
        <v>63167.883000000002</v>
      </c>
      <c r="D19" s="79">
        <f>+'Consumption Production Data'!G23</f>
        <v>209974.522</v>
      </c>
      <c r="E19" s="38"/>
      <c r="G19" s="526"/>
      <c r="H19" s="53">
        <f>+C19*L18</f>
        <v>115532.20150291862</v>
      </c>
      <c r="I19" s="43">
        <f>+D19*M18</f>
        <v>384066.87378981436</v>
      </c>
      <c r="J19" s="527"/>
      <c r="K19" s="365"/>
      <c r="L19" s="365"/>
      <c r="M19" s="365"/>
    </row>
    <row r="20" spans="1:14">
      <c r="A20" s="89" t="s">
        <v>44</v>
      </c>
      <c r="B20" s="510"/>
      <c r="C20" s="511"/>
      <c r="D20" s="522"/>
      <c r="E20" s="523"/>
      <c r="G20" s="507"/>
      <c r="H20" s="508"/>
      <c r="I20" s="509"/>
      <c r="J20" s="524"/>
    </row>
    <row r="21" spans="1:14">
      <c r="A21" s="103" t="s">
        <v>181</v>
      </c>
      <c r="B21" s="90"/>
      <c r="C21" s="91"/>
      <c r="D21" s="447"/>
      <c r="E21" s="181"/>
      <c r="G21" s="512"/>
      <c r="H21" s="513"/>
      <c r="I21" s="514"/>
      <c r="J21" s="506"/>
      <c r="L21" s="590"/>
      <c r="M21" s="349"/>
      <c r="N21" s="349"/>
    </row>
    <row r="22" spans="1:14">
      <c r="A22" s="21" t="s">
        <v>46</v>
      </c>
      <c r="B22" s="505">
        <f>+'Consumption Production Data'!E26</f>
        <v>0</v>
      </c>
      <c r="C22" s="55">
        <f>+'Consumption Production Data'!F26</f>
        <v>49967</v>
      </c>
      <c r="D22" s="188">
        <f>+'Consumption Production Data'!G26</f>
        <v>176397</v>
      </c>
      <c r="E22" s="501"/>
      <c r="G22" s="515"/>
      <c r="H22" s="516">
        <f>+C22*J22</f>
        <v>150145.83829999997</v>
      </c>
      <c r="I22" s="517">
        <f>+D22*J22</f>
        <v>530055.34529999993</v>
      </c>
      <c r="J22" s="525">
        <f>+'Fuel Data Base'!G11</f>
        <v>3.0048999999999997</v>
      </c>
      <c r="L22" s="349"/>
      <c r="M22" s="349"/>
      <c r="N22" s="591"/>
    </row>
    <row r="23" spans="1:14">
      <c r="A23" s="94" t="s">
        <v>47</v>
      </c>
      <c r="B23" s="505">
        <f>+'Consumption Production Data'!E27</f>
        <v>0</v>
      </c>
      <c r="C23" s="55">
        <f>+'Consumption Production Data'!F27</f>
        <v>1630</v>
      </c>
      <c r="D23" s="188">
        <f>+'Consumption Production Data'!G27</f>
        <v>2392</v>
      </c>
      <c r="E23" s="501"/>
      <c r="G23" s="515"/>
      <c r="H23" s="516">
        <f>+C23*J23</f>
        <v>4899.1931999999997</v>
      </c>
      <c r="I23" s="518">
        <f>+D23*J23</f>
        <v>7189.4908799999994</v>
      </c>
      <c r="J23" s="525">
        <f>+'Fuel Data Base'!G12</f>
        <v>3.0056399999999996</v>
      </c>
      <c r="L23" s="349"/>
      <c r="M23" s="349"/>
      <c r="N23" s="591"/>
    </row>
    <row r="24" spans="1:14">
      <c r="A24" s="103" t="s">
        <v>197</v>
      </c>
      <c r="B24" s="90"/>
      <c r="C24" s="91"/>
      <c r="D24" s="92"/>
      <c r="E24" s="93"/>
      <c r="G24" s="512"/>
      <c r="H24" s="513"/>
      <c r="I24" s="514"/>
      <c r="J24" s="124"/>
      <c r="L24" s="349"/>
      <c r="M24" s="349"/>
      <c r="N24" s="591"/>
    </row>
    <row r="25" spans="1:14">
      <c r="A25" s="21" t="s">
        <v>46</v>
      </c>
      <c r="B25" s="28">
        <f>+'Consumption Production Data'!E29</f>
        <v>31914</v>
      </c>
      <c r="C25" s="55">
        <f>+'Consumption Production Data'!F29</f>
        <v>8769</v>
      </c>
      <c r="D25" s="33">
        <f>+'Consumption Production Data'!G29</f>
        <v>28654</v>
      </c>
      <c r="E25" s="98" t="s">
        <v>38</v>
      </c>
      <c r="G25" s="515">
        <f t="shared" ref="G25:I26" si="2">+B25*$J25</f>
        <v>95898.378599999996</v>
      </c>
      <c r="H25" s="516">
        <f t="shared" si="2"/>
        <v>26349.968099999998</v>
      </c>
      <c r="I25" s="518">
        <f t="shared" si="2"/>
        <v>86102.404599999994</v>
      </c>
      <c r="J25" s="525">
        <f>+'Fuel Data Base'!$G$11</f>
        <v>3.0048999999999997</v>
      </c>
      <c r="L25" s="349"/>
      <c r="M25" s="590"/>
      <c r="N25" s="592"/>
    </row>
    <row r="26" spans="1:14">
      <c r="A26" s="94" t="s">
        <v>47</v>
      </c>
      <c r="B26" s="95">
        <f>+'Consumption Production Data'!E30</f>
        <v>643</v>
      </c>
      <c r="C26" s="96">
        <f>+'Consumption Production Data'!F30</f>
        <v>196</v>
      </c>
      <c r="D26" s="97">
        <f>+'Consumption Production Data'!G30</f>
        <v>154</v>
      </c>
      <c r="E26" s="99" t="s">
        <v>48</v>
      </c>
      <c r="G26" s="519">
        <f t="shared" si="2"/>
        <v>1932.6265199999998</v>
      </c>
      <c r="H26" s="520">
        <f t="shared" si="2"/>
        <v>589.10543999999993</v>
      </c>
      <c r="I26" s="521">
        <f t="shared" si="2"/>
        <v>462.86855999999995</v>
      </c>
      <c r="J26" s="196">
        <f>+'Fuel Data Base'!$G$12</f>
        <v>3.0056399999999996</v>
      </c>
      <c r="L26" s="349"/>
      <c r="M26" s="349"/>
      <c r="N26" s="349"/>
    </row>
    <row r="27" spans="1:14">
      <c r="A27" s="103" t="s">
        <v>11</v>
      </c>
      <c r="B27" s="90"/>
      <c r="C27" s="91"/>
      <c r="D27" s="190"/>
      <c r="E27" s="100"/>
      <c r="G27" s="512"/>
      <c r="H27" s="513"/>
      <c r="I27" s="514"/>
      <c r="J27" s="125"/>
      <c r="L27" s="349"/>
      <c r="M27" s="349"/>
      <c r="N27" s="349"/>
    </row>
    <row r="28" spans="1:14">
      <c r="A28" s="21" t="s">
        <v>46</v>
      </c>
      <c r="B28" s="28">
        <f>+'Consumption Production Data'!E32</f>
        <v>99496</v>
      </c>
      <c r="C28" s="55">
        <f>+'Consumption Production Data'!F32</f>
        <v>26284</v>
      </c>
      <c r="D28" s="188">
        <f>+'Consumption Production Data'!G32</f>
        <v>50205</v>
      </c>
      <c r="E28" s="98" t="s">
        <v>38</v>
      </c>
      <c r="G28" s="515">
        <f t="shared" ref="G28:I29" si="3">+B28*$J28</f>
        <v>298975.53039999999</v>
      </c>
      <c r="H28" s="516">
        <f t="shared" si="3"/>
        <v>78980.791599999997</v>
      </c>
      <c r="I28" s="518">
        <f t="shared" si="3"/>
        <v>150861.00449999998</v>
      </c>
      <c r="J28" s="525">
        <f>+'Fuel Data Base'!$G$11</f>
        <v>3.0048999999999997</v>
      </c>
      <c r="L28" s="590"/>
      <c r="M28" s="349"/>
      <c r="N28" s="349"/>
    </row>
    <row r="29" spans="1:14">
      <c r="A29" s="94" t="s">
        <v>47</v>
      </c>
      <c r="B29" s="95">
        <f>+'Consumption Production Data'!E33</f>
        <v>1217</v>
      </c>
      <c r="C29" s="96">
        <f>+'Consumption Production Data'!F33</f>
        <v>59</v>
      </c>
      <c r="D29" s="189">
        <f>+'Consumption Production Data'!G33</f>
        <v>29</v>
      </c>
      <c r="E29" s="99" t="s">
        <v>48</v>
      </c>
      <c r="G29" s="519">
        <f t="shared" si="3"/>
        <v>3657.8638799999994</v>
      </c>
      <c r="H29" s="520">
        <f t="shared" si="3"/>
        <v>177.33275999999998</v>
      </c>
      <c r="I29" s="521">
        <f t="shared" si="3"/>
        <v>87.16355999999999</v>
      </c>
      <c r="J29" s="196">
        <f>+'Fuel Data Base'!$G$12</f>
        <v>3.0056399999999996</v>
      </c>
      <c r="L29" s="349"/>
      <c r="M29" s="349"/>
      <c r="N29" s="591"/>
    </row>
    <row r="30" spans="1:14">
      <c r="A30" s="103" t="s">
        <v>49</v>
      </c>
      <c r="B30" s="90"/>
      <c r="C30" s="91"/>
      <c r="D30" s="190"/>
      <c r="E30" s="100"/>
      <c r="G30" s="512"/>
      <c r="H30" s="513"/>
      <c r="I30" s="514"/>
      <c r="J30" s="125"/>
      <c r="L30" s="349"/>
      <c r="M30" s="349"/>
      <c r="N30" s="593"/>
    </row>
    <row r="31" spans="1:14">
      <c r="A31" s="21" t="s">
        <v>46</v>
      </c>
      <c r="B31" s="28">
        <f>+'Consumption Production Data'!E35</f>
        <v>33844</v>
      </c>
      <c r="C31" s="55">
        <f>+'Consumption Production Data'!F35</f>
        <v>14971</v>
      </c>
      <c r="D31" s="188">
        <f>+'Consumption Production Data'!G35</f>
        <v>18664</v>
      </c>
      <c r="E31" s="98" t="s">
        <v>38</v>
      </c>
      <c r="G31" s="515">
        <f t="shared" ref="G31:I32" si="4">+B31*$J31</f>
        <v>101697.83559999999</v>
      </c>
      <c r="H31" s="516">
        <f t="shared" si="4"/>
        <v>44986.357899999995</v>
      </c>
      <c r="I31" s="518">
        <f t="shared" si="4"/>
        <v>56083.453599999993</v>
      </c>
      <c r="J31" s="525">
        <f>+'Fuel Data Base'!$G$11</f>
        <v>3.0048999999999997</v>
      </c>
      <c r="L31" s="349"/>
      <c r="M31" s="349"/>
      <c r="N31" s="591"/>
    </row>
    <row r="32" spans="1:14">
      <c r="A32" s="94" t="s">
        <v>47</v>
      </c>
      <c r="B32" s="95">
        <f>+'Consumption Production Data'!E36</f>
        <v>504</v>
      </c>
      <c r="C32" s="96">
        <f>+'Consumption Production Data'!F36</f>
        <v>120</v>
      </c>
      <c r="D32" s="189">
        <f>+'Consumption Production Data'!G36</f>
        <v>125</v>
      </c>
      <c r="E32" s="99" t="s">
        <v>48</v>
      </c>
      <c r="G32" s="519">
        <f t="shared" si="4"/>
        <v>1514.8425599999998</v>
      </c>
      <c r="H32" s="520">
        <f t="shared" si="4"/>
        <v>360.67679999999996</v>
      </c>
      <c r="I32" s="521">
        <f t="shared" si="4"/>
        <v>375.70499999999993</v>
      </c>
      <c r="J32" s="196">
        <f>+'Fuel Data Base'!$G$12</f>
        <v>3.0056399999999996</v>
      </c>
      <c r="L32" s="349"/>
      <c r="M32" s="590"/>
      <c r="N32" s="592"/>
    </row>
    <row r="33" spans="1:10">
      <c r="A33" s="103" t="s">
        <v>27</v>
      </c>
      <c r="B33" s="90"/>
      <c r="C33" s="91"/>
      <c r="D33" s="190"/>
      <c r="E33" s="100"/>
      <c r="G33" s="512"/>
      <c r="H33" s="513"/>
      <c r="I33" s="514"/>
      <c r="J33" s="125"/>
    </row>
    <row r="34" spans="1:10">
      <c r="A34" s="21" t="s">
        <v>46</v>
      </c>
      <c r="B34" s="28">
        <f>+'Consumption Production Data'!E38</f>
        <v>7857</v>
      </c>
      <c r="C34" s="55">
        <f>+'Consumption Production Data'!F38</f>
        <v>429</v>
      </c>
      <c r="D34" s="188">
        <f>+'Consumption Production Data'!G38</f>
        <v>12002</v>
      </c>
      <c r="E34" s="98" t="s">
        <v>38</v>
      </c>
      <c r="G34" s="515">
        <f t="shared" ref="G34:I35" si="5">+B34*$J34</f>
        <v>23609.499299999996</v>
      </c>
      <c r="H34" s="516">
        <f t="shared" si="5"/>
        <v>1289.1020999999998</v>
      </c>
      <c r="I34" s="518">
        <f t="shared" si="5"/>
        <v>36064.809799999995</v>
      </c>
      <c r="J34" s="525">
        <f>+'Fuel Data Base'!$G$11</f>
        <v>3.0048999999999997</v>
      </c>
    </row>
    <row r="35" spans="1:10">
      <c r="A35" s="94" t="s">
        <v>47</v>
      </c>
      <c r="B35" s="95">
        <f>+'Consumption Production Data'!E39</f>
        <v>122</v>
      </c>
      <c r="C35" s="96">
        <f>+'Consumption Production Data'!F39</f>
        <v>40</v>
      </c>
      <c r="D35" s="189">
        <f>+'Consumption Production Data'!G39</f>
        <v>1224</v>
      </c>
      <c r="E35" s="99" t="s">
        <v>48</v>
      </c>
      <c r="G35" s="519">
        <f t="shared" si="5"/>
        <v>366.68807999999996</v>
      </c>
      <c r="H35" s="520">
        <f t="shared" si="5"/>
        <v>120.22559999999999</v>
      </c>
      <c r="I35" s="521">
        <f t="shared" si="5"/>
        <v>3678.9033599999993</v>
      </c>
      <c r="J35" s="196">
        <f>+'Fuel Data Base'!$G$12</f>
        <v>3.0056399999999996</v>
      </c>
    </row>
    <row r="36" spans="1:10">
      <c r="A36" s="103" t="s">
        <v>28</v>
      </c>
      <c r="B36" s="90"/>
      <c r="C36" s="91"/>
      <c r="D36" s="190"/>
      <c r="E36" s="100"/>
      <c r="G36" s="512"/>
      <c r="H36" s="513"/>
      <c r="I36" s="514"/>
      <c r="J36" s="20"/>
    </row>
    <row r="37" spans="1:10">
      <c r="A37" s="21" t="s">
        <v>46</v>
      </c>
      <c r="B37" s="28">
        <f>+'Consumption Production Data'!E41</f>
        <v>2133</v>
      </c>
      <c r="C37" s="55">
        <f>+'Consumption Production Data'!F41</f>
        <v>1915</v>
      </c>
      <c r="D37" s="188">
        <f>+'Consumption Production Data'!G41</f>
        <v>17992</v>
      </c>
      <c r="E37" s="98" t="s">
        <v>38</v>
      </c>
      <c r="G37" s="515">
        <f t="shared" ref="G37:I38" si="6">+B37*$J37</f>
        <v>6409.4516999999996</v>
      </c>
      <c r="H37" s="516">
        <f t="shared" si="6"/>
        <v>5754.383499999999</v>
      </c>
      <c r="I37" s="518">
        <f t="shared" si="6"/>
        <v>54064.160799999998</v>
      </c>
      <c r="J37" s="525">
        <f>+'Fuel Data Base'!$G$11</f>
        <v>3.0048999999999997</v>
      </c>
    </row>
    <row r="38" spans="1:10">
      <c r="A38" s="94" t="s">
        <v>47</v>
      </c>
      <c r="B38" s="95">
        <f>+'Consumption Production Data'!E42</f>
        <v>85</v>
      </c>
      <c r="C38" s="96">
        <f>+'Consumption Production Data'!F42</f>
        <v>78</v>
      </c>
      <c r="D38" s="189">
        <f>+'Consumption Production Data'!G42</f>
        <v>320</v>
      </c>
      <c r="E38" s="99" t="s">
        <v>48</v>
      </c>
      <c r="G38" s="519">
        <f t="shared" si="6"/>
        <v>255.47939999999997</v>
      </c>
      <c r="H38" s="520">
        <f t="shared" si="6"/>
        <v>234.43991999999997</v>
      </c>
      <c r="I38" s="521">
        <f t="shared" si="6"/>
        <v>961.80479999999989</v>
      </c>
      <c r="J38" s="196">
        <f>+'Fuel Data Base'!$G$12</f>
        <v>3.0056399999999996</v>
      </c>
    </row>
    <row r="39" spans="1:10">
      <c r="A39" s="103" t="s">
        <v>50</v>
      </c>
      <c r="B39" s="90"/>
      <c r="C39" s="91"/>
      <c r="D39" s="190"/>
      <c r="E39" s="100"/>
      <c r="G39" s="512"/>
      <c r="H39" s="513"/>
      <c r="I39" s="514"/>
      <c r="J39" s="125"/>
    </row>
    <row r="40" spans="1:10">
      <c r="A40" s="21" t="s">
        <v>46</v>
      </c>
      <c r="B40" s="28">
        <f>+'Consumption Production Data'!E44</f>
        <v>4861</v>
      </c>
      <c r="C40" s="55">
        <f>+'Consumption Production Data'!F44</f>
        <v>1234</v>
      </c>
      <c r="D40" s="188">
        <f>+'Consumption Production Data'!G44</f>
        <v>4258</v>
      </c>
      <c r="E40" s="98" t="s">
        <v>38</v>
      </c>
      <c r="G40" s="515">
        <f t="shared" ref="G40:I41" si="7">+B40*$J40</f>
        <v>14606.818899999998</v>
      </c>
      <c r="H40" s="516">
        <f t="shared" si="7"/>
        <v>3708.0465999999997</v>
      </c>
      <c r="I40" s="518">
        <f t="shared" si="7"/>
        <v>12794.864199999998</v>
      </c>
      <c r="J40" s="525">
        <f>+'Fuel Data Base'!$G$11</f>
        <v>3.0048999999999997</v>
      </c>
    </row>
    <row r="41" spans="1:10">
      <c r="A41" s="94" t="s">
        <v>47</v>
      </c>
      <c r="B41" s="95">
        <f>+'Consumption Production Data'!E45</f>
        <v>217</v>
      </c>
      <c r="C41" s="96">
        <f>+'Consumption Production Data'!F45</f>
        <v>86</v>
      </c>
      <c r="D41" s="189">
        <f>+'Consumption Production Data'!G45</f>
        <v>22</v>
      </c>
      <c r="E41" s="99" t="s">
        <v>48</v>
      </c>
      <c r="G41" s="519">
        <f t="shared" si="7"/>
        <v>652.22387999999989</v>
      </c>
      <c r="H41" s="520">
        <f t="shared" si="7"/>
        <v>258.48503999999997</v>
      </c>
      <c r="I41" s="521">
        <f t="shared" si="7"/>
        <v>66.124079999999992</v>
      </c>
      <c r="J41" s="196">
        <f>+'Fuel Data Base'!$G$12</f>
        <v>3.0056399999999996</v>
      </c>
    </row>
    <row r="42" spans="1:10">
      <c r="A42" s="103" t="s">
        <v>10</v>
      </c>
      <c r="B42" s="28"/>
      <c r="C42" s="55"/>
      <c r="D42" s="188"/>
      <c r="E42" s="182"/>
      <c r="G42" s="512"/>
      <c r="H42" s="513"/>
      <c r="I42" s="514"/>
      <c r="J42" s="20"/>
    </row>
    <row r="43" spans="1:10">
      <c r="A43" s="21" t="s">
        <v>46</v>
      </c>
      <c r="B43" s="28">
        <f>+'Consumption Production Data'!E47</f>
        <v>1778</v>
      </c>
      <c r="C43" s="55">
        <f>+'Consumption Production Data'!F47</f>
        <v>768</v>
      </c>
      <c r="D43" s="188">
        <f>+'Consumption Production Data'!G47</f>
        <v>3249</v>
      </c>
      <c r="E43" s="98" t="s">
        <v>38</v>
      </c>
      <c r="G43" s="515">
        <f>+B43*$J43</f>
        <v>5342.712199999999</v>
      </c>
      <c r="H43" s="516">
        <f>+C43*$J43</f>
        <v>2307.7631999999999</v>
      </c>
      <c r="I43" s="518">
        <f>+D43*$J43</f>
        <v>9762.9200999999994</v>
      </c>
      <c r="J43" s="525">
        <f>+'Fuel Data Base'!$G$11</f>
        <v>3.0048999999999997</v>
      </c>
    </row>
    <row r="44" spans="1:10">
      <c r="A44" s="94" t="s">
        <v>47</v>
      </c>
      <c r="B44" s="95">
        <f>+'Consumption Production Data'!E48</f>
        <v>214</v>
      </c>
      <c r="C44" s="95">
        <f>+'Consumption Production Data'!F48</f>
        <v>119</v>
      </c>
      <c r="D44" s="189">
        <f>+'Consumption Production Data'!G48</f>
        <v>691</v>
      </c>
      <c r="E44" s="99" t="s">
        <v>48</v>
      </c>
      <c r="G44" s="519">
        <f>+B44*J44</f>
        <v>643.20695999999998</v>
      </c>
      <c r="H44" s="520">
        <f>+C44*J44</f>
        <v>357.67115999999999</v>
      </c>
      <c r="I44" s="521">
        <f>+D44*$J44</f>
        <v>2076.8972399999998</v>
      </c>
      <c r="J44" s="196">
        <f>+'Fuel Data Base'!$G$12</f>
        <v>3.0056399999999996</v>
      </c>
    </row>
    <row r="45" spans="1:10">
      <c r="A45" s="103" t="s">
        <v>51</v>
      </c>
      <c r="B45" s="90"/>
      <c r="C45" s="91"/>
      <c r="D45" s="190"/>
      <c r="E45" s="100"/>
      <c r="G45" s="512"/>
      <c r="H45" s="513"/>
      <c r="I45" s="514"/>
      <c r="J45" s="125"/>
    </row>
    <row r="46" spans="1:10">
      <c r="A46" s="21" t="s">
        <v>46</v>
      </c>
      <c r="B46" s="188">
        <f>+'Consumption Production Data'!E50</f>
        <v>18340</v>
      </c>
      <c r="C46" s="188">
        <f>+'Consumption Production Data'!F50</f>
        <v>62609</v>
      </c>
      <c r="D46" s="188">
        <f>+'Consumption Production Data'!G50</f>
        <v>73443</v>
      </c>
      <c r="E46" s="98" t="s">
        <v>38</v>
      </c>
      <c r="G46" s="518">
        <f t="shared" ref="G46:I47" si="8">+B46*$J46</f>
        <v>55109.865999999995</v>
      </c>
      <c r="H46" s="518">
        <f t="shared" si="8"/>
        <v>188133.78409999999</v>
      </c>
      <c r="I46" s="518">
        <f t="shared" si="8"/>
        <v>220688.87069999997</v>
      </c>
      <c r="J46" s="525">
        <f>+'Fuel Data Base'!$G$11</f>
        <v>3.0048999999999997</v>
      </c>
    </row>
    <row r="47" spans="1:10">
      <c r="A47" s="94" t="s">
        <v>47</v>
      </c>
      <c r="B47" s="189">
        <f>+'Consumption Production Data'!E51</f>
        <v>68906</v>
      </c>
      <c r="C47" s="96">
        <f>+'Consumption Production Data'!F51</f>
        <v>10161.392</v>
      </c>
      <c r="D47" s="189">
        <f>+'Consumption Production Data'!G51</f>
        <v>24537</v>
      </c>
      <c r="E47" s="99" t="s">
        <v>48</v>
      </c>
      <c r="G47" s="521">
        <f t="shared" si="8"/>
        <v>207106.62983999998</v>
      </c>
      <c r="H47" s="520">
        <f t="shared" si="8"/>
        <v>30541.486250879996</v>
      </c>
      <c r="I47" s="521">
        <f t="shared" si="8"/>
        <v>73749.388679999989</v>
      </c>
      <c r="J47" s="196">
        <f>+'Fuel Data Base'!$G$12</f>
        <v>3.0056399999999996</v>
      </c>
    </row>
    <row r="48" spans="1:10">
      <c r="A48" s="103" t="s">
        <v>19</v>
      </c>
      <c r="B48" s="28"/>
      <c r="C48" s="55"/>
      <c r="D48" s="188"/>
      <c r="E48" s="98"/>
      <c r="G48" s="512"/>
      <c r="H48" s="513"/>
      <c r="I48" s="514"/>
      <c r="J48" s="197"/>
    </row>
    <row r="49" spans="1:10">
      <c r="A49" s="21" t="s">
        <v>46</v>
      </c>
      <c r="B49" s="28">
        <f>+'Consumption Production Data'!E53</f>
        <v>8221</v>
      </c>
      <c r="C49" s="55">
        <f>+'Consumption Production Data'!F53</f>
        <v>11119</v>
      </c>
      <c r="D49" s="188">
        <f>+'Consumption Production Data'!G53</f>
        <v>13318</v>
      </c>
      <c r="E49" s="98" t="s">
        <v>38</v>
      </c>
      <c r="G49" s="515">
        <f>+B49*$J49</f>
        <v>24703.282899999998</v>
      </c>
      <c r="H49" s="516">
        <f>+C49*$J49</f>
        <v>33411.483099999998</v>
      </c>
      <c r="I49" s="518">
        <f>+D49*$J49</f>
        <v>40019.258199999997</v>
      </c>
      <c r="J49" s="525">
        <f>+'Fuel Data Base'!$G$11</f>
        <v>3.0048999999999997</v>
      </c>
    </row>
    <row r="50" spans="1:10">
      <c r="A50" s="94" t="s">
        <v>47</v>
      </c>
      <c r="B50" s="95"/>
      <c r="C50" s="96"/>
      <c r="D50" s="189"/>
      <c r="E50" s="99"/>
      <c r="G50" s="519"/>
      <c r="H50" s="520"/>
      <c r="I50" s="521"/>
      <c r="J50" s="198"/>
    </row>
    <row r="51" spans="1:10">
      <c r="A51" s="184" t="s">
        <v>52</v>
      </c>
      <c r="B51" s="541"/>
      <c r="C51" s="542"/>
      <c r="D51" s="543"/>
      <c r="E51" s="544"/>
      <c r="G51" s="541"/>
      <c r="H51" s="542"/>
      <c r="I51" s="543"/>
      <c r="J51" s="544"/>
    </row>
    <row r="52" spans="1:10">
      <c r="A52" s="547" t="s">
        <v>183</v>
      </c>
      <c r="B52" s="183"/>
      <c r="C52" s="191"/>
      <c r="D52" s="142"/>
      <c r="E52" s="199"/>
      <c r="G52" s="528"/>
      <c r="H52" s="529"/>
      <c r="I52" s="530"/>
      <c r="J52" s="540"/>
    </row>
    <row r="53" spans="1:10">
      <c r="A53" s="546" t="s">
        <v>199</v>
      </c>
      <c r="B53" s="546"/>
      <c r="C53" s="192">
        <f>+'Consumption Production Data'!F57</f>
        <v>73322</v>
      </c>
      <c r="D53" s="142">
        <f>+'Consumption Production Data'!G57</f>
        <v>49898</v>
      </c>
      <c r="E53" s="199" t="s">
        <v>38</v>
      </c>
      <c r="G53" s="528"/>
      <c r="H53" s="529">
        <f>+C53*J53</f>
        <v>220325.27779999998</v>
      </c>
      <c r="I53" s="530">
        <f>+D53*J53</f>
        <v>149938.50019999998</v>
      </c>
      <c r="J53" s="540">
        <f>+'Fuel Data Base'!G11</f>
        <v>3.0048999999999997</v>
      </c>
    </row>
    <row r="54" spans="1:10">
      <c r="A54" s="546" t="s">
        <v>200</v>
      </c>
      <c r="B54" s="546"/>
      <c r="C54" s="548">
        <f>+'Consumption Production Data'!F58</f>
        <v>156</v>
      </c>
      <c r="D54" s="142">
        <f>+'Consumption Production Data'!G58</f>
        <v>3153</v>
      </c>
      <c r="E54" s="199" t="s">
        <v>48</v>
      </c>
      <c r="G54" s="528"/>
      <c r="H54" s="529">
        <f>+C54*J54</f>
        <v>468.87983999999994</v>
      </c>
      <c r="I54" s="530">
        <f>+D54*J54</f>
        <v>9476.7829199999996</v>
      </c>
      <c r="J54" s="540">
        <f>+'Fuel Data Base'!G12</f>
        <v>3.0056399999999996</v>
      </c>
    </row>
    <row r="55" spans="1:10" ht="15" thickBot="1">
      <c r="A55" s="531" t="s">
        <v>149</v>
      </c>
      <c r="B55" s="535">
        <f>'Consumption Production Data'!E60</f>
        <v>2852</v>
      </c>
      <c r="C55" s="537">
        <f>'Consumption Production Data'!F60</f>
        <v>566</v>
      </c>
      <c r="D55" s="536">
        <f>'Consumption Production Data'!G60</f>
        <v>143</v>
      </c>
      <c r="E55" s="539" t="s">
        <v>48</v>
      </c>
      <c r="G55" s="532">
        <f>+B55*$J55</f>
        <v>8572.0852799999993</v>
      </c>
      <c r="H55" s="533">
        <f>+C55*$J55</f>
        <v>1701.1922399999999</v>
      </c>
      <c r="I55" s="534">
        <f>+D55*$J55</f>
        <v>429.80651999999998</v>
      </c>
      <c r="J55" s="538">
        <f>+'Fuel Data Base'!$G$12</f>
        <v>3.0056399999999996</v>
      </c>
    </row>
    <row r="56" spans="1:10" ht="15" thickBot="1">
      <c r="B56" s="12"/>
      <c r="C56" s="12"/>
      <c r="D56" s="12"/>
      <c r="G56" s="29"/>
    </row>
    <row r="57" spans="1:10" ht="15" thickBot="1">
      <c r="A57" s="22" t="s">
        <v>87</v>
      </c>
      <c r="B57" s="144"/>
      <c r="C57" s="145"/>
      <c r="D57" s="146"/>
      <c r="E57" s="147"/>
      <c r="G57" s="147">
        <f>SUM(G8:G56)</f>
        <v>14170292.219822871</v>
      </c>
      <c r="H57" s="147">
        <f>SUM(H8:H56)</f>
        <v>12906061.256492186</v>
      </c>
      <c r="I57" s="147">
        <f>SUM(I8:I56)</f>
        <v>14105952.257444693</v>
      </c>
      <c r="J57" s="147"/>
    </row>
    <row r="59" spans="1:10" ht="15">
      <c r="A59" s="294" t="s">
        <v>143</v>
      </c>
      <c r="G59" s="300"/>
      <c r="H59" s="300"/>
      <c r="I59" s="300"/>
    </row>
    <row r="62" spans="1:10">
      <c r="B62" s="589"/>
      <c r="C62" s="589"/>
      <c r="D62" s="589"/>
    </row>
    <row r="63" spans="1:10">
      <c r="B63" s="589"/>
      <c r="C63" s="589"/>
      <c r="D63" s="589"/>
    </row>
  </sheetData>
  <mergeCells count="4">
    <mergeCell ref="E5:E6"/>
    <mergeCell ref="G5:I5"/>
    <mergeCell ref="A5:A6"/>
    <mergeCell ref="B5:D5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82" zoomScaleNormal="82" workbookViewId="0">
      <selection sqref="A1:K31"/>
    </sheetView>
  </sheetViews>
  <sheetFormatPr defaultColWidth="11.5546875" defaultRowHeight="14.25"/>
  <cols>
    <col min="1" max="1" width="2.33203125" style="2" customWidth="1"/>
    <col min="2" max="2" width="20.109375" style="5" customWidth="1"/>
    <col min="3" max="3" width="3.109375" style="3" customWidth="1"/>
    <col min="4" max="4" width="28.21875" style="3" customWidth="1"/>
    <col min="5" max="5" width="10.33203125" style="4" customWidth="1"/>
    <col min="6" max="6" width="13.44140625" style="3" customWidth="1"/>
    <col min="7" max="7" width="12.44140625" style="2" customWidth="1"/>
    <col min="8" max="8" width="15.21875" style="2" customWidth="1"/>
    <col min="9" max="9" width="10.6640625" style="2" customWidth="1"/>
    <col min="10" max="10" width="14.44140625" style="6" customWidth="1"/>
    <col min="11" max="11" width="15.44140625" style="2" customWidth="1"/>
    <col min="12" max="12" width="13.6640625" bestFit="1" customWidth="1"/>
    <col min="13" max="13" width="11.6640625" bestFit="1" customWidth="1"/>
  </cols>
  <sheetData>
    <row r="1" spans="1:13" ht="15" customHeight="1">
      <c r="A1" s="1"/>
      <c r="B1" s="176" t="s">
        <v>109</v>
      </c>
      <c r="C1" s="1"/>
      <c r="D1" s="1"/>
      <c r="E1" s="204">
        <v>2010</v>
      </c>
      <c r="F1" s="1"/>
      <c r="G1" s="8"/>
      <c r="H1" s="8"/>
      <c r="I1" s="8"/>
      <c r="J1" s="1"/>
      <c r="K1" s="1"/>
    </row>
    <row r="2" spans="1:13">
      <c r="B2" s="684" t="s">
        <v>0</v>
      </c>
      <c r="C2" s="685"/>
      <c r="D2" s="685"/>
      <c r="E2" s="685"/>
      <c r="F2" s="685"/>
      <c r="G2" s="685"/>
      <c r="H2" s="685"/>
      <c r="I2" s="685"/>
      <c r="J2" s="685"/>
      <c r="K2" s="685"/>
    </row>
    <row r="3" spans="1:13" ht="15" thickBot="1">
      <c r="B3" s="148"/>
      <c r="C3" s="149"/>
      <c r="D3" s="149"/>
      <c r="E3" s="149"/>
      <c r="F3" s="149"/>
      <c r="G3" s="149"/>
      <c r="H3" s="149"/>
      <c r="I3" s="149"/>
      <c r="J3" s="149"/>
      <c r="K3" s="149"/>
    </row>
    <row r="4" spans="1:13" ht="24.75" thickBot="1">
      <c r="A4" s="208"/>
      <c r="B4" s="205" t="s">
        <v>110</v>
      </c>
      <c r="C4" s="206"/>
      <c r="D4" s="206" t="s">
        <v>111</v>
      </c>
      <c r="E4" s="207" t="s">
        <v>112</v>
      </c>
      <c r="F4" s="206" t="s">
        <v>22</v>
      </c>
      <c r="G4" s="206" t="s">
        <v>179</v>
      </c>
      <c r="H4" s="206" t="s">
        <v>23</v>
      </c>
      <c r="I4" s="206" t="s">
        <v>24</v>
      </c>
      <c r="J4" s="206" t="s">
        <v>101</v>
      </c>
      <c r="K4" s="221" t="s">
        <v>118</v>
      </c>
    </row>
    <row r="5" spans="1:13">
      <c r="A5" s="604">
        <v>1</v>
      </c>
      <c r="B5" s="306" t="s">
        <v>188</v>
      </c>
      <c r="C5" s="307"/>
      <c r="D5" s="308" t="s">
        <v>114</v>
      </c>
      <c r="E5" s="309">
        <v>2010</v>
      </c>
      <c r="F5" s="307" t="s">
        <v>193</v>
      </c>
      <c r="G5" s="310">
        <f>+'Consumption Production Data'!J93</f>
        <v>5600</v>
      </c>
      <c r="H5" s="311">
        <f>+G5/G29</f>
        <v>2.0658070204238225E-4</v>
      </c>
      <c r="I5" s="311">
        <f>+H5</f>
        <v>2.0658070204238225E-4</v>
      </c>
      <c r="J5" s="497">
        <v>0</v>
      </c>
      <c r="K5" s="496"/>
    </row>
    <row r="6" spans="1:13">
      <c r="A6" s="495">
        <v>2</v>
      </c>
      <c r="B6" s="306" t="s">
        <v>187</v>
      </c>
      <c r="C6" s="307"/>
      <c r="D6" s="308" t="s">
        <v>114</v>
      </c>
      <c r="E6" s="309">
        <v>2009</v>
      </c>
      <c r="F6" s="307" t="s">
        <v>193</v>
      </c>
      <c r="G6" s="310">
        <f>+'Consumption Production Data'!J92</f>
        <v>79800</v>
      </c>
      <c r="H6" s="311">
        <f>+G6/G29</f>
        <v>2.9437750041039468E-3</v>
      </c>
      <c r="I6" s="311">
        <f>+I5+H6</f>
        <v>3.150355706146329E-3</v>
      </c>
      <c r="J6" s="497">
        <v>0</v>
      </c>
      <c r="K6" s="496"/>
    </row>
    <row r="7" spans="1:13">
      <c r="A7" s="495">
        <v>3</v>
      </c>
      <c r="B7" s="306" t="s">
        <v>177</v>
      </c>
      <c r="C7" s="307"/>
      <c r="D7" s="308" t="s">
        <v>232</v>
      </c>
      <c r="E7" s="309">
        <v>2009</v>
      </c>
      <c r="F7" s="308" t="s">
        <v>185</v>
      </c>
      <c r="G7" s="310">
        <f>+'Consumption Production Data'!J23</f>
        <v>810321</v>
      </c>
      <c r="H7" s="311">
        <f>+G7/G29</f>
        <v>2.9892264474943791E-2</v>
      </c>
      <c r="I7" s="311">
        <f>+I6+H7</f>
        <v>3.3042620181090117E-2</v>
      </c>
      <c r="J7" s="497">
        <f>ROUND('Consumption Production Data'!G23*0.73*'Fuel Data Base'!E30,0)</f>
        <v>49939</v>
      </c>
      <c r="K7" s="496"/>
      <c r="M7" s="618"/>
    </row>
    <row r="8" spans="1:13">
      <c r="A8" s="495">
        <v>4</v>
      </c>
      <c r="B8" s="306" t="s">
        <v>183</v>
      </c>
      <c r="C8" s="307"/>
      <c r="D8" s="308" t="s">
        <v>242</v>
      </c>
      <c r="E8" s="309">
        <v>2009</v>
      </c>
      <c r="F8" s="307" t="s">
        <v>38</v>
      </c>
      <c r="G8" s="310">
        <f>+'Consumption Production Data'!J57</f>
        <v>261352</v>
      </c>
      <c r="H8" s="311">
        <f>+G8/G29</f>
        <v>9.6411213643179793E-3</v>
      </c>
      <c r="I8" s="311">
        <f>+I7+H8</f>
        <v>4.2683741545408098E-2</v>
      </c>
      <c r="J8" s="497">
        <f>ROUND('OM Factor'!D53*'Fuel Data Base'!E32+'OM Factor'!D54*'Fuel Data Base'!E33,0)</f>
        <v>31275</v>
      </c>
      <c r="K8" s="496"/>
    </row>
    <row r="9" spans="1:13" ht="15" thickBot="1">
      <c r="A9" s="605">
        <v>5</v>
      </c>
      <c r="B9" s="615" t="s">
        <v>19</v>
      </c>
      <c r="C9" s="616"/>
      <c r="D9" s="308" t="s">
        <v>243</v>
      </c>
      <c r="E9" s="309" t="s">
        <v>221</v>
      </c>
      <c r="F9" s="307" t="s">
        <v>38</v>
      </c>
      <c r="G9" s="310">
        <f>+'Consumption Production Data'!J53</f>
        <v>59288</v>
      </c>
      <c r="H9" s="311">
        <f>+G9/$G$29</f>
        <v>2.187099404051564E-3</v>
      </c>
      <c r="I9" s="311">
        <f>+I8+H9</f>
        <v>4.4870840949459659E-2</v>
      </c>
      <c r="J9" s="497">
        <f>ROUND('OM Factor'!D49*'Fuel Data Base'!E32, 0)</f>
        <v>7869</v>
      </c>
      <c r="K9" s="496"/>
    </row>
    <row r="10" spans="1:13" s="223" customFormat="1" ht="15" thickBot="1">
      <c r="A10" s="222"/>
      <c r="B10" s="579"/>
      <c r="C10" s="498"/>
      <c r="D10" s="229" t="s">
        <v>207</v>
      </c>
      <c r="E10" s="224"/>
      <c r="F10" s="225"/>
      <c r="G10" s="213">
        <f>SUM(G5:G9)</f>
        <v>1216361</v>
      </c>
      <c r="H10" s="226"/>
      <c r="I10" s="230">
        <f>+I9</f>
        <v>4.4870840949459659E-2</v>
      </c>
      <c r="J10" s="227"/>
      <c r="K10" s="228"/>
    </row>
    <row r="11" spans="1:13" s="223" customFormat="1">
      <c r="A11" s="559"/>
      <c r="B11" s="560"/>
      <c r="C11" s="561"/>
      <c r="D11" s="562"/>
      <c r="E11" s="563"/>
      <c r="F11" s="561"/>
      <c r="G11" s="564"/>
      <c r="H11" s="565"/>
      <c r="I11" s="566"/>
      <c r="J11" s="567"/>
      <c r="K11" s="568"/>
    </row>
    <row r="12" spans="1:13" ht="15" thickBot="1"/>
    <row r="13" spans="1:13" ht="15" thickBot="1">
      <c r="A13" s="312">
        <v>6</v>
      </c>
      <c r="B13" s="594" t="s">
        <v>25</v>
      </c>
      <c r="C13" s="595"/>
      <c r="D13" s="314" t="s">
        <v>242</v>
      </c>
      <c r="E13" s="315">
        <v>2009</v>
      </c>
      <c r="F13" s="313" t="s">
        <v>38</v>
      </c>
      <c r="G13" s="596">
        <f>+'Consumption Production Data'!J26</f>
        <v>577060</v>
      </c>
      <c r="H13" s="550">
        <f>+G13/G29</f>
        <v>2.1287403557245909E-2</v>
      </c>
      <c r="I13" s="550">
        <f>+H13+I10</f>
        <v>6.6158244506705571E-2</v>
      </c>
      <c r="J13" s="619">
        <f>ROUND('OM Factor'!D22*'Fuel Data Base'!E32+'Fuel Data Base'!E33*'OM Factor'!D23,0)</f>
        <v>105587</v>
      </c>
      <c r="K13" s="316"/>
    </row>
    <row r="14" spans="1:13" ht="15" thickBot="1">
      <c r="A14" s="312">
        <v>7</v>
      </c>
      <c r="B14" s="594" t="s">
        <v>51</v>
      </c>
      <c r="C14" s="595"/>
      <c r="D14" s="314" t="s">
        <v>243</v>
      </c>
      <c r="E14" s="315">
        <v>2007</v>
      </c>
      <c r="F14" s="313" t="s">
        <v>113</v>
      </c>
      <c r="G14" s="596">
        <f>+'Consumption Production Data'!J50</f>
        <v>244997</v>
      </c>
      <c r="H14" s="550">
        <f>+G14/$G$29</f>
        <v>9.0377950461209867E-3</v>
      </c>
      <c r="I14" s="550">
        <f>+H14+I13</f>
        <v>7.5196039552826555E-2</v>
      </c>
      <c r="J14" s="619">
        <f>ROUND('OM Factor'!D46*'Fuel Data Base'!E32+'Fuel Data Base'!E33*'OM Factor'!D44,0)</f>
        <v>43788</v>
      </c>
      <c r="K14" s="316"/>
    </row>
    <row r="15" spans="1:13" ht="15" thickBot="1">
      <c r="A15" s="312">
        <v>8</v>
      </c>
      <c r="B15" s="347" t="s">
        <v>18</v>
      </c>
      <c r="C15" s="313"/>
      <c r="D15" s="314" t="s">
        <v>21</v>
      </c>
      <c r="E15" s="315">
        <v>2005</v>
      </c>
      <c r="F15" s="313" t="s">
        <v>20</v>
      </c>
      <c r="G15" s="499">
        <f>+'Consumption Production Data'!J22</f>
        <v>2153708</v>
      </c>
      <c r="H15" s="550">
        <f>+G15/$G$29</f>
        <v>7.9449019756124103E-2</v>
      </c>
      <c r="I15" s="550">
        <f>+H15+I14</f>
        <v>0.15464505930895067</v>
      </c>
      <c r="J15" s="619">
        <f>ROUND('OM Factor'!D18*0.73*'Fuel Data Base'!E30, 0)</f>
        <v>88776</v>
      </c>
      <c r="K15" s="316"/>
    </row>
    <row r="16" spans="1:13" ht="15" thickBot="1">
      <c r="A16" s="312">
        <v>9</v>
      </c>
      <c r="B16" s="347" t="s">
        <v>115</v>
      </c>
      <c r="C16" s="313"/>
      <c r="D16" s="314" t="s">
        <v>114</v>
      </c>
      <c r="E16" s="315">
        <v>2003</v>
      </c>
      <c r="F16" s="313" t="s">
        <v>114</v>
      </c>
      <c r="G16" s="499">
        <f>+'Consumption Production Data'!J75</f>
        <v>309900</v>
      </c>
      <c r="H16" s="550">
        <f>+G16/$G$29</f>
        <v>1.1432028493381118E-2</v>
      </c>
      <c r="I16" s="550">
        <f>+I15+H16</f>
        <v>0.1660770878023318</v>
      </c>
      <c r="J16" s="619">
        <v>0</v>
      </c>
      <c r="K16" s="316"/>
    </row>
    <row r="17" spans="1:13" ht="15" thickBot="1">
      <c r="A17" s="312">
        <v>10</v>
      </c>
      <c r="B17" s="347" t="s">
        <v>30</v>
      </c>
      <c r="C17" s="313"/>
      <c r="D17" s="314" t="s">
        <v>114</v>
      </c>
      <c r="E17" s="315">
        <v>2003</v>
      </c>
      <c r="F17" s="313" t="s">
        <v>114</v>
      </c>
      <c r="G17" s="499">
        <f>+'Consumption Production Data'!J86</f>
        <v>29100</v>
      </c>
      <c r="H17" s="550">
        <f>+G17/$G$29</f>
        <v>1.0734818623988078E-3</v>
      </c>
      <c r="I17" s="550">
        <f>+I16+H17</f>
        <v>0.1671505696647306</v>
      </c>
      <c r="J17" s="619">
        <v>0</v>
      </c>
      <c r="K17" s="316"/>
    </row>
    <row r="18" spans="1:13" ht="15" thickBot="1">
      <c r="A18" s="312">
        <v>11</v>
      </c>
      <c r="B18" s="347" t="s">
        <v>211</v>
      </c>
      <c r="C18" s="313"/>
      <c r="D18" s="314" t="s">
        <v>231</v>
      </c>
      <c r="E18" s="315">
        <v>2000</v>
      </c>
      <c r="F18" s="313" t="s">
        <v>39</v>
      </c>
      <c r="G18" s="499">
        <f>+'Consumption Production Data'!P20</f>
        <v>2561362.5</v>
      </c>
      <c r="H18" s="550">
        <f>+G18/$G$29</f>
        <v>9.4487154184827019E-2</v>
      </c>
      <c r="I18" s="550">
        <f>I17+H18</f>
        <v>0.26163772384955764</v>
      </c>
      <c r="J18" s="619">
        <f>ROUND('Consumption Production Data'!P19*'Fuel Data Base'!E31,0)</f>
        <v>636824</v>
      </c>
      <c r="K18" s="316"/>
    </row>
    <row r="19" spans="1:13" ht="15" thickBot="1">
      <c r="A19" s="3"/>
      <c r="B19" s="601"/>
      <c r="C19" s="500"/>
      <c r="D19" s="229" t="s">
        <v>208</v>
      </c>
      <c r="E19" s="224"/>
      <c r="F19" s="225"/>
      <c r="G19" s="213">
        <f>SUM(G10:G18)</f>
        <v>7092488.5</v>
      </c>
      <c r="H19" s="226"/>
      <c r="I19" s="597">
        <f>+I18</f>
        <v>0.26163772384955764</v>
      </c>
      <c r="J19" s="227"/>
      <c r="K19" s="228"/>
    </row>
    <row r="20" spans="1:13" ht="15" thickBot="1">
      <c r="A20" s="3"/>
      <c r="B20" s="580"/>
      <c r="C20" s="500"/>
      <c r="D20" s="500"/>
      <c r="E20" s="500"/>
      <c r="F20" s="500"/>
      <c r="G20" s="500"/>
      <c r="H20" s="500"/>
      <c r="I20" s="500"/>
      <c r="J20" s="500"/>
      <c r="K20" s="500"/>
    </row>
    <row r="21" spans="1:13" ht="15" thickBot="1">
      <c r="A21" s="569">
        <v>12</v>
      </c>
      <c r="B21" s="569" t="s">
        <v>204</v>
      </c>
      <c r="C21" s="569"/>
      <c r="D21" s="569" t="s">
        <v>206</v>
      </c>
      <c r="E21" s="569">
        <v>2009</v>
      </c>
      <c r="F21" s="569"/>
      <c r="G21" s="598">
        <f>+'Consumption Production Data'!J100</f>
        <v>365553</v>
      </c>
      <c r="H21" s="571">
        <f>+G21/G29</f>
        <v>1.3485034888160528E-2</v>
      </c>
      <c r="I21" s="571">
        <f>+H21+I17</f>
        <v>0.18063560455289113</v>
      </c>
      <c r="J21" s="569">
        <v>0</v>
      </c>
      <c r="K21" s="570"/>
    </row>
    <row r="22" spans="1:13" ht="15" thickBot="1">
      <c r="A22" s="569">
        <v>13</v>
      </c>
      <c r="B22" s="569" t="s">
        <v>205</v>
      </c>
      <c r="C22" s="569"/>
      <c r="D22" s="569" t="s">
        <v>206</v>
      </c>
      <c r="E22" s="569">
        <v>2007</v>
      </c>
      <c r="F22" s="569"/>
      <c r="G22" s="598">
        <f>+'Consumption Production Data'!J99</f>
        <v>127688</v>
      </c>
      <c r="H22" s="571">
        <f>+G22/G29</f>
        <v>4.7103351218549475E-3</v>
      </c>
      <c r="I22" s="571">
        <f>+H22+I21</f>
        <v>0.18534593967474608</v>
      </c>
      <c r="J22" s="569">
        <v>0</v>
      </c>
      <c r="K22" s="570"/>
    </row>
    <row r="23" spans="1:13" ht="15" thickBot="1">
      <c r="A23" s="3"/>
      <c r="B23" s="558"/>
      <c r="C23" s="500"/>
      <c r="D23" s="574" t="s">
        <v>209</v>
      </c>
      <c r="E23" s="500"/>
      <c r="F23" s="500"/>
      <c r="G23" s="575">
        <f>+G10+G15+G16+G17+G13+G21+G22+G14</f>
        <v>5024367</v>
      </c>
      <c r="H23" s="500"/>
      <c r="I23" s="597">
        <f>+I22</f>
        <v>0.18534593967474608</v>
      </c>
      <c r="J23" s="500"/>
      <c r="K23" s="500"/>
    </row>
    <row r="24" spans="1:13" ht="15" thickBot="1">
      <c r="A24" s="3"/>
      <c r="B24" s="558"/>
      <c r="C24" s="500"/>
      <c r="D24" s="577"/>
      <c r="E24" s="500"/>
      <c r="F24" s="500"/>
      <c r="G24" s="578"/>
      <c r="H24" s="500"/>
      <c r="I24" s="500"/>
      <c r="J24" s="500"/>
      <c r="K24" s="500"/>
    </row>
    <row r="25" spans="1:13" ht="15" thickBot="1">
      <c r="A25" s="3"/>
      <c r="B25" s="558"/>
      <c r="C25" s="500"/>
      <c r="D25" s="574" t="s">
        <v>210</v>
      </c>
      <c r="E25" s="500"/>
      <c r="F25" s="606"/>
      <c r="G25" s="575">
        <f>+G23+G18</f>
        <v>7585729.5</v>
      </c>
      <c r="H25" s="500"/>
      <c r="I25" s="576">
        <f>+I22+H18</f>
        <v>0.27983309385957311</v>
      </c>
      <c r="J25" s="599"/>
      <c r="K25" s="500"/>
    </row>
    <row r="26" spans="1:13" ht="15" thickBot="1">
      <c r="A26" s="3"/>
      <c r="B26" s="580"/>
      <c r="C26" s="403"/>
      <c r="D26" s="403"/>
      <c r="E26" s="403"/>
      <c r="F26" s="403"/>
      <c r="G26" s="403"/>
      <c r="H26" s="403"/>
      <c r="I26" s="403"/>
      <c r="J26" s="403"/>
      <c r="K26" s="403"/>
    </row>
    <row r="27" spans="1:13" s="211" customFormat="1" ht="15" thickBot="1">
      <c r="A27" s="209"/>
      <c r="B27" s="686" t="s">
        <v>16</v>
      </c>
      <c r="C27" s="687"/>
      <c r="D27" s="687"/>
      <c r="E27" s="687"/>
      <c r="F27" s="688"/>
      <c r="G27" s="210">
        <f>+G25</f>
        <v>7585729.5</v>
      </c>
      <c r="H27" s="572">
        <f>SUM(H5:H22)</f>
        <v>0.27983309385957311</v>
      </c>
      <c r="I27" s="210"/>
      <c r="J27" s="212">
        <f>SUM(J5:J22)</f>
        <v>964058</v>
      </c>
      <c r="K27" s="214">
        <f>+J27/G27</f>
        <v>0.12708837034065082</v>
      </c>
      <c r="L27"/>
      <c r="M27"/>
    </row>
    <row r="28" spans="1:13" ht="15" thickBot="1">
      <c r="B28" s="689"/>
      <c r="C28" s="689"/>
      <c r="D28" s="689"/>
      <c r="E28" s="689"/>
      <c r="F28" s="689"/>
      <c r="G28" s="689"/>
      <c r="H28" s="689"/>
      <c r="I28" s="689"/>
      <c r="J28" s="689"/>
      <c r="K28" s="689"/>
    </row>
    <row r="29" spans="1:13" ht="22.15" customHeight="1" thickBot="1">
      <c r="B29" s="690" t="s">
        <v>180</v>
      </c>
      <c r="C29" s="691"/>
      <c r="D29" s="691"/>
      <c r="E29" s="691"/>
      <c r="F29" s="691"/>
      <c r="G29" s="217">
        <f>+'Consumption Production Data'!J116</f>
        <v>27108050</v>
      </c>
      <c r="H29" s="220">
        <v>1</v>
      </c>
      <c r="I29" s="219"/>
      <c r="K29" s="215"/>
    </row>
    <row r="30" spans="1:13" ht="26.45" customHeight="1" thickBot="1">
      <c r="B30" s="692" t="s">
        <v>217</v>
      </c>
      <c r="C30" s="693"/>
      <c r="D30" s="693"/>
      <c r="E30" s="693"/>
      <c r="F30" s="693"/>
      <c r="G30" s="218">
        <f>G27</f>
        <v>7585729.5</v>
      </c>
      <c r="H30" s="573">
        <f>+G30/G29</f>
        <v>0.27983309385957306</v>
      </c>
      <c r="I30" s="231" t="s">
        <v>117</v>
      </c>
      <c r="J30" s="216"/>
    </row>
    <row r="31" spans="1:13" s="364" customFormat="1" ht="12.6" customHeight="1">
      <c r="A31" s="369"/>
      <c r="B31" s="683" t="s">
        <v>212</v>
      </c>
      <c r="C31" s="683"/>
      <c r="D31" s="683"/>
      <c r="E31" s="683"/>
      <c r="F31" s="683"/>
      <c r="G31" s="683"/>
      <c r="H31" s="683"/>
      <c r="I31" s="683"/>
      <c r="J31" s="683"/>
      <c r="K31" s="683"/>
    </row>
    <row r="32" spans="1:13">
      <c r="B32" s="30"/>
    </row>
    <row r="39" spans="2:10">
      <c r="B39" s="2"/>
      <c r="E39" s="2"/>
      <c r="J39" s="2"/>
    </row>
    <row r="40" spans="2:10">
      <c r="B40" s="2"/>
      <c r="E40" s="2"/>
      <c r="J40" s="2"/>
    </row>
    <row r="41" spans="2:10">
      <c r="B41" s="2"/>
      <c r="E41" s="2"/>
      <c r="J41" s="2"/>
    </row>
  </sheetData>
  <mergeCells count="6">
    <mergeCell ref="B31:K31"/>
    <mergeCell ref="B2:K2"/>
    <mergeCell ref="B27:F27"/>
    <mergeCell ref="B28:K28"/>
    <mergeCell ref="B29:F29"/>
    <mergeCell ref="B30:F30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1"/>
  <sheetViews>
    <sheetView workbookViewId="0">
      <selection activeCell="D17" sqref="D17"/>
    </sheetView>
  </sheetViews>
  <sheetFormatPr defaultColWidth="11.5546875" defaultRowHeight="13.5"/>
  <cols>
    <col min="1" max="1" width="3.109375" customWidth="1"/>
    <col min="2" max="2" width="49.88671875" customWidth="1"/>
    <col min="3" max="3" width="12.109375" customWidth="1"/>
  </cols>
  <sheetData>
    <row r="3" spans="2:7" ht="14.25" thickBot="1"/>
    <row r="4" spans="2:7" ht="21.6" customHeight="1" thickBot="1">
      <c r="B4" s="237"/>
      <c r="C4" s="238" t="s">
        <v>104</v>
      </c>
      <c r="D4" s="239" t="s">
        <v>105</v>
      </c>
      <c r="E4" s="232"/>
      <c r="F4" s="232"/>
      <c r="G4" s="203"/>
    </row>
    <row r="5" spans="2:7" ht="21.6" customHeight="1">
      <c r="B5" s="240" t="s">
        <v>106</v>
      </c>
      <c r="C5" s="241" t="s">
        <v>15</v>
      </c>
      <c r="D5" s="305">
        <f>+'OM Factor'!G57/'Low Cost Must Run Contribution'!G12</f>
        <v>0.62179697110041487</v>
      </c>
      <c r="E5" s="232"/>
      <c r="G5" s="203"/>
    </row>
    <row r="6" spans="2:7" ht="21.6" customHeight="1">
      <c r="B6" s="242" t="s">
        <v>194</v>
      </c>
      <c r="C6" s="233" t="s">
        <v>15</v>
      </c>
      <c r="D6" s="356">
        <f>+'OM Factor'!H57/'Low Cost Must Run Contribution'!I12</f>
        <v>0.58137558488611685</v>
      </c>
      <c r="E6" s="232"/>
      <c r="F6" s="232"/>
      <c r="G6" s="203"/>
    </row>
    <row r="7" spans="2:7" ht="21.6" customHeight="1" thickBot="1">
      <c r="B7" s="243" t="s">
        <v>195</v>
      </c>
      <c r="C7" s="244" t="s">
        <v>15</v>
      </c>
      <c r="D7" s="357">
        <f>+'OM Factor'!I57/'Low Cost Must Run Contribution'!K12</f>
        <v>0.61379237192848524</v>
      </c>
      <c r="E7" s="232"/>
      <c r="F7" s="600"/>
      <c r="G7" s="203"/>
    </row>
    <row r="8" spans="2:7" ht="21.6" customHeight="1" thickBot="1">
      <c r="B8" s="235" t="s">
        <v>107</v>
      </c>
      <c r="C8" s="236" t="s">
        <v>15</v>
      </c>
      <c r="D8" s="358">
        <f>+('OM Factor'!G57+'OM Factor'!H57+'OM Factor'!I57)/('Low Cost Must Run Contribution'!G12+'Low Cost Must Run Contribution'!I12+'Low Cost Must Run Contribution'!K12)</f>
        <v>0.60588878767087639</v>
      </c>
      <c r="E8" s="232"/>
      <c r="F8" s="232"/>
      <c r="G8" s="203"/>
    </row>
    <row r="9" spans="2:7" ht="21.6" customHeight="1" thickBot="1">
      <c r="B9" s="235" t="s">
        <v>108</v>
      </c>
      <c r="C9" s="236" t="s">
        <v>15</v>
      </c>
      <c r="D9" s="359">
        <f>'BM Factor'!K27</f>
        <v>0.12708837034065082</v>
      </c>
      <c r="E9" s="232"/>
      <c r="F9" s="232"/>
      <c r="G9" s="203"/>
    </row>
    <row r="10" spans="2:7" ht="21.6" customHeight="1" thickBot="1">
      <c r="B10" s="245" t="s">
        <v>119</v>
      </c>
      <c r="C10" s="246" t="s">
        <v>15</v>
      </c>
      <c r="D10" s="360">
        <f>(D8*0.75)+(D9*0.25)</f>
        <v>0.48618868333832005</v>
      </c>
      <c r="E10" s="234" t="s">
        <v>250</v>
      </c>
      <c r="F10" s="232"/>
      <c r="G10" s="203"/>
    </row>
    <row r="11" spans="2:7" ht="23.45" customHeight="1" thickBot="1">
      <c r="B11" s="245" t="s">
        <v>120</v>
      </c>
      <c r="C11" s="246" t="s">
        <v>15</v>
      </c>
      <c r="D11" s="360">
        <f>(D8*0.5)+(D9*0.5)</f>
        <v>0.36648857900576359</v>
      </c>
      <c r="E11" s="234" t="s">
        <v>251</v>
      </c>
    </row>
  </sheetData>
  <phoneticPr fontId="2" type="noConversion"/>
  <pageMargins left="0.78740157499999996" right="0.57999999999999996" top="0.984251969" bottom="0.984251969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workbookViewId="0">
      <selection activeCell="D3" sqref="D3"/>
    </sheetView>
  </sheetViews>
  <sheetFormatPr defaultColWidth="11.5546875" defaultRowHeight="13.5"/>
  <cols>
    <col min="1" max="1" width="20" customWidth="1"/>
    <col min="2" max="2" width="27.77734375" customWidth="1"/>
  </cols>
  <sheetData>
    <row r="2" spans="1:6" ht="14.25">
      <c r="A2" s="617" t="s">
        <v>248</v>
      </c>
      <c r="B2" s="614">
        <v>296100</v>
      </c>
      <c r="C2" s="279" t="s">
        <v>145</v>
      </c>
    </row>
    <row r="5" spans="1:6" ht="14.25" thickBot="1"/>
    <row r="6" spans="1:6" ht="31.5" customHeight="1" thickTop="1">
      <c r="B6" s="694" t="s">
        <v>139</v>
      </c>
      <c r="C6" s="696" t="s">
        <v>218</v>
      </c>
      <c r="D6" s="696" t="s">
        <v>219</v>
      </c>
      <c r="E6" s="696" t="s">
        <v>220</v>
      </c>
      <c r="F6" s="699" t="s">
        <v>244</v>
      </c>
    </row>
    <row r="7" spans="1:6" ht="45" customHeight="1" thickBot="1">
      <c r="B7" s="695"/>
      <c r="C7" s="697"/>
      <c r="D7" s="698"/>
      <c r="E7" s="697"/>
      <c r="F7" s="700"/>
    </row>
    <row r="8" spans="1:6" ht="15.75" thickBot="1">
      <c r="B8" s="636" t="s">
        <v>246</v>
      </c>
      <c r="C8" s="608">
        <v>0</v>
      </c>
      <c r="D8" s="609">
        <v>95973</v>
      </c>
      <c r="E8" s="608">
        <v>0</v>
      </c>
      <c r="F8" s="610">
        <f>+D8-C8-E8</f>
        <v>95973</v>
      </c>
    </row>
    <row r="9" spans="1:6" ht="15.75" thickBot="1">
      <c r="B9" s="607">
        <v>2015</v>
      </c>
      <c r="C9" s="608">
        <v>0</v>
      </c>
      <c r="D9" s="609">
        <f>ROUNDDOWN(+EF!D$10*B$2,0)</f>
        <v>143960</v>
      </c>
      <c r="E9" s="608">
        <v>0</v>
      </c>
      <c r="F9" s="610">
        <f t="shared" ref="F9:F14" si="0">+D9-C9-E9</f>
        <v>143960</v>
      </c>
    </row>
    <row r="10" spans="1:6" ht="15.75" thickBot="1">
      <c r="B10" s="607">
        <v>2016</v>
      </c>
      <c r="C10" s="608">
        <v>0</v>
      </c>
      <c r="D10" s="609">
        <f>ROUNDDOWN(+EF!D$10*B$2,0)</f>
        <v>143960</v>
      </c>
      <c r="E10" s="608">
        <v>0</v>
      </c>
      <c r="F10" s="610">
        <f t="shared" si="0"/>
        <v>143960</v>
      </c>
    </row>
    <row r="11" spans="1:6" ht="15.75" thickBot="1">
      <c r="B11" s="607">
        <v>2017</v>
      </c>
      <c r="C11" s="608">
        <v>0</v>
      </c>
      <c r="D11" s="609">
        <f>ROUNDDOWN(+EF!D$10*B$2,0)</f>
        <v>143960</v>
      </c>
      <c r="E11" s="608">
        <v>0</v>
      </c>
      <c r="F11" s="610">
        <f t="shared" si="0"/>
        <v>143960</v>
      </c>
    </row>
    <row r="12" spans="1:6" ht="15.75" thickBot="1">
      <c r="B12" s="607">
        <v>2018</v>
      </c>
      <c r="C12" s="608">
        <v>0</v>
      </c>
      <c r="D12" s="609">
        <f>ROUNDDOWN(+EF!D$10*B$2,0)</f>
        <v>143960</v>
      </c>
      <c r="E12" s="608">
        <v>0</v>
      </c>
      <c r="F12" s="610">
        <f t="shared" si="0"/>
        <v>143960</v>
      </c>
    </row>
    <row r="13" spans="1:6" ht="15.75" thickBot="1">
      <c r="B13" s="607">
        <v>2019</v>
      </c>
      <c r="C13" s="608">
        <v>0</v>
      </c>
      <c r="D13" s="609">
        <f>ROUNDDOWN(+EF!D$10*B$2,0)</f>
        <v>143960</v>
      </c>
      <c r="E13" s="608">
        <v>0</v>
      </c>
      <c r="F13" s="610">
        <f t="shared" si="0"/>
        <v>143960</v>
      </c>
    </row>
    <row r="14" spans="1:6" ht="15.75" thickBot="1">
      <c r="B14" s="607">
        <v>2020</v>
      </c>
      <c r="C14" s="608">
        <v>0</v>
      </c>
      <c r="D14" s="609">
        <f>ROUNDDOWN(+EF!D$10*B$2,0)</f>
        <v>143960</v>
      </c>
      <c r="E14" s="608">
        <v>0</v>
      </c>
      <c r="F14" s="610">
        <f t="shared" si="0"/>
        <v>143960</v>
      </c>
    </row>
    <row r="15" spans="1:6" ht="15.75" thickBot="1">
      <c r="B15" s="607" t="s">
        <v>247</v>
      </c>
      <c r="C15" s="608">
        <v>0</v>
      </c>
      <c r="D15" s="609">
        <v>47987</v>
      </c>
      <c r="E15" s="608">
        <v>0</v>
      </c>
      <c r="F15" s="610">
        <f t="shared" ref="F15" si="1">+D15-C15-E15</f>
        <v>47987</v>
      </c>
    </row>
    <row r="16" spans="1:6" ht="20.45" customHeight="1" thickBot="1">
      <c r="B16" s="611" t="s">
        <v>245</v>
      </c>
      <c r="C16" s="612">
        <f>SUM(C8:C14)</f>
        <v>0</v>
      </c>
      <c r="D16" s="613">
        <f>SUM(D8:D15)</f>
        <v>1007720</v>
      </c>
      <c r="E16" s="612">
        <f>SUM(E8:E14)</f>
        <v>0</v>
      </c>
      <c r="F16" s="613">
        <f>SUM(F8:F15)</f>
        <v>1007720</v>
      </c>
    </row>
    <row r="17" spans="10:10" ht="14.25" thickTop="1"/>
    <row r="21" spans="10:10" ht="15">
      <c r="J21" s="621"/>
    </row>
  </sheetData>
  <mergeCells count="5"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Intro</vt:lpstr>
      <vt:lpstr>Fuel Data Base</vt:lpstr>
      <vt:lpstr>Low Cost Must Run Contribution</vt:lpstr>
      <vt:lpstr>Consumption Production Data</vt:lpstr>
      <vt:lpstr>OM Factor</vt:lpstr>
      <vt:lpstr>BM Factor</vt:lpstr>
      <vt:lpstr>EF</vt:lpstr>
      <vt:lpstr>ER Calculation</vt:lpstr>
      <vt:lpstr>Sheet1</vt:lpstr>
      <vt:lpstr>EF!Print_Area</vt:lpstr>
    </vt:vector>
  </TitlesOfParts>
  <Company>TUMSAE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TumsaeComputer</dc:creator>
  <cp:lastModifiedBy>Andrew Sutherland</cp:lastModifiedBy>
  <cp:lastPrinted>2009-10-28T16:20:16Z</cp:lastPrinted>
  <dcterms:created xsi:type="dcterms:W3CDTF">2006-08-08T02:53:40Z</dcterms:created>
  <dcterms:modified xsi:type="dcterms:W3CDTF">2012-12-27T02:09:43Z</dcterms:modified>
</cp:coreProperties>
</file>