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55" yWindow="0" windowWidth="9645" windowHeight="8835" tabRatio="697" firstSheet="1" activeTab="7"/>
  </bookViews>
  <sheets>
    <sheet name="Assumptions" sheetId="4" r:id="rId1"/>
    <sheet name="Project Cost" sheetId="29" r:id="rId2"/>
    <sheet name="Operations" sheetId="6" r:id="rId3"/>
    <sheet name="Term Loan" sheetId="28" r:id="rId4"/>
    <sheet name="Depreciation" sheetId="8" r:id="rId5"/>
    <sheet name="Tax calculations" sheetId="9" r:id="rId6"/>
    <sheet name="P&amp;L" sheetId="10" r:id="rId7"/>
    <sheet name="P&amp;L with CDM revenue" sheetId="30" r:id="rId8"/>
    <sheet name="Sensitivity Analysis" sheetId="25" r:id="rId9"/>
  </sheets>
  <definedNames>
    <definedName name="_xlnm.Print_Area" localSheetId="0">Assumptions!$A$1:$D$44</definedName>
    <definedName name="_xlnm.Print_Area" localSheetId="4">Depreciation!$A$2:$U$22</definedName>
    <definedName name="_xlnm.Print_Area" localSheetId="2">Operations!$A$2:$T$13</definedName>
    <definedName name="_xlnm.Print_Area" localSheetId="6">'P&amp;L'!$B$2:$X$23</definedName>
    <definedName name="_xlnm.Print_Area" localSheetId="5">'Tax calculations'!$A$1:$T$17</definedName>
  </definedNames>
  <calcPr calcId="125725"/>
</workbook>
</file>

<file path=xl/calcChain.xml><?xml version="1.0" encoding="utf-8"?>
<calcChain xmlns="http://schemas.openxmlformats.org/spreadsheetml/2006/main">
  <c r="R27" i="30"/>
  <c r="S19"/>
  <c r="S27" s="1"/>
  <c r="F18"/>
  <c r="E18"/>
  <c r="E6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T19" l="1"/>
  <c r="B35" i="4"/>
  <c r="B22"/>
  <c r="I14" i="10" s="1"/>
  <c r="J14" s="1"/>
  <c r="B15" i="4"/>
  <c r="B28"/>
  <c r="E6" i="10"/>
  <c r="F6" s="1"/>
  <c r="D4" i="28"/>
  <c r="G19" s="1"/>
  <c r="R24" i="10"/>
  <c r="D35" i="28"/>
  <c r="V2" i="9"/>
  <c r="V4" i="6"/>
  <c r="V5"/>
  <c r="F7" i="29"/>
  <c r="F8"/>
  <c r="B3" i="8"/>
  <c r="D2" i="29"/>
  <c r="D3"/>
  <c r="B7" i="4" s="1"/>
  <c r="F11" i="29"/>
  <c r="F12"/>
  <c r="B6" i="4"/>
  <c r="V3" i="6" s="1"/>
  <c r="N3"/>
  <c r="B12" i="8"/>
  <c r="B20"/>
  <c r="D200" i="28"/>
  <c r="D185"/>
  <c r="D170"/>
  <c r="D155"/>
  <c r="D140"/>
  <c r="D125"/>
  <c r="D110"/>
  <c r="D95"/>
  <c r="D80"/>
  <c r="D65"/>
  <c r="D50"/>
  <c r="D20"/>
  <c r="B9" i="6"/>
  <c r="C9" s="1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C2" i="9"/>
  <c r="C13"/>
  <c r="B11" i="8"/>
  <c r="B25"/>
  <c r="D5" i="6"/>
  <c r="E5"/>
  <c r="B11"/>
  <c r="C11" s="1"/>
  <c r="M3"/>
  <c r="M6" s="1"/>
  <c r="S16" i="10"/>
  <c r="T16" s="1"/>
  <c r="O3" i="6"/>
  <c r="O6" s="1"/>
  <c r="T3"/>
  <c r="T6" s="1"/>
  <c r="E15" i="10"/>
  <c r="G3" i="6"/>
  <c r="I3"/>
  <c r="I6" s="1"/>
  <c r="F3"/>
  <c r="F6" s="1"/>
  <c r="F15" i="10"/>
  <c r="E3" i="6"/>
  <c r="E6" s="1"/>
  <c r="R3"/>
  <c r="R6" s="1"/>
  <c r="H3"/>
  <c r="S3"/>
  <c r="S6" s="1"/>
  <c r="K3"/>
  <c r="C3"/>
  <c r="C6" s="1"/>
  <c r="Q3"/>
  <c r="P3"/>
  <c r="P6" s="1"/>
  <c r="D4" i="29"/>
  <c r="B8" i="4"/>
  <c r="B13" s="1"/>
  <c r="F5" i="6"/>
  <c r="G5"/>
  <c r="D2" i="9"/>
  <c r="E2"/>
  <c r="D13"/>
  <c r="H5" i="6"/>
  <c r="G6"/>
  <c r="F2" i="9"/>
  <c r="E13"/>
  <c r="I5" i="6"/>
  <c r="H6"/>
  <c r="J5"/>
  <c r="G2" i="9"/>
  <c r="F13"/>
  <c r="G13"/>
  <c r="H2"/>
  <c r="K5" i="6"/>
  <c r="L5"/>
  <c r="K6"/>
  <c r="H13" i="9"/>
  <c r="I2"/>
  <c r="I13"/>
  <c r="J2"/>
  <c r="M5" i="6"/>
  <c r="J13" i="9"/>
  <c r="K2"/>
  <c r="N5" i="6"/>
  <c r="O5"/>
  <c r="N6"/>
  <c r="K13" i="9"/>
  <c r="L2"/>
  <c r="L13"/>
  <c r="M2"/>
  <c r="P5" i="6"/>
  <c r="Q5"/>
  <c r="M13" i="9"/>
  <c r="N2"/>
  <c r="N13"/>
  <c r="O2"/>
  <c r="R5" i="6"/>
  <c r="Q6"/>
  <c r="P2" i="9"/>
  <c r="O13"/>
  <c r="S5" i="6"/>
  <c r="T5"/>
  <c r="Q2" i="9"/>
  <c r="P13"/>
  <c r="R2"/>
  <c r="U5" i="6"/>
  <c r="S2" i="9"/>
  <c r="T2"/>
  <c r="U2"/>
  <c r="G138" i="28"/>
  <c r="G175"/>
  <c r="H14" i="10"/>
  <c r="H15" s="1"/>
  <c r="G167" i="28"/>
  <c r="G128"/>
  <c r="G176"/>
  <c r="G124"/>
  <c r="G179"/>
  <c r="G119"/>
  <c r="G130"/>
  <c r="G109"/>
  <c r="G159"/>
  <c r="G168"/>
  <c r="G134"/>
  <c r="G195"/>
  <c r="G41"/>
  <c r="G173"/>
  <c r="G94"/>
  <c r="G137"/>
  <c r="G199"/>
  <c r="H199" s="1"/>
  <c r="G54"/>
  <c r="G121"/>
  <c r="G42"/>
  <c r="G188"/>
  <c r="G192"/>
  <c r="G89"/>
  <c r="G129"/>
  <c r="G71"/>
  <c r="G145"/>
  <c r="G123"/>
  <c r="G100"/>
  <c r="G26"/>
  <c r="G198"/>
  <c r="G146"/>
  <c r="G55"/>
  <c r="G63"/>
  <c r="G183"/>
  <c r="G164"/>
  <c r="G147"/>
  <c r="G99"/>
  <c r="G44"/>
  <c r="G23"/>
  <c r="G152"/>
  <c r="G64"/>
  <c r="G49" s="1"/>
  <c r="G88"/>
  <c r="G59"/>
  <c r="G70"/>
  <c r="G116"/>
  <c r="G165"/>
  <c r="G148"/>
  <c r="G40"/>
  <c r="G114"/>
  <c r="G90"/>
  <c r="G174"/>
  <c r="G166"/>
  <c r="G38"/>
  <c r="G182"/>
  <c r="G131"/>
  <c r="G184"/>
  <c r="G133"/>
  <c r="G161"/>
  <c r="G135"/>
  <c r="G83"/>
  <c r="G68"/>
  <c r="G74"/>
  <c r="G120"/>
  <c r="G191"/>
  <c r="G103"/>
  <c r="G85"/>
  <c r="G57"/>
  <c r="G115"/>
  <c r="G75"/>
  <c r="G108"/>
  <c r="B9" i="4"/>
  <c r="B5" i="8"/>
  <c r="B16" i="4"/>
  <c r="B19" s="1"/>
  <c r="B7" i="6"/>
  <c r="D7" s="1"/>
  <c r="E7" s="1"/>
  <c r="F7" s="1"/>
  <c r="C7"/>
  <c r="G194" i="28" l="1"/>
  <c r="G196"/>
  <c r="G117"/>
  <c r="G27"/>
  <c r="G76"/>
  <c r="G151"/>
  <c r="G72"/>
  <c r="G197"/>
  <c r="G107"/>
  <c r="G189"/>
  <c r="G169"/>
  <c r="G48"/>
  <c r="G86"/>
  <c r="G29"/>
  <c r="G118"/>
  <c r="G181"/>
  <c r="G113"/>
  <c r="G102"/>
  <c r="G122"/>
  <c r="G30"/>
  <c r="G53"/>
  <c r="G87"/>
  <c r="G132"/>
  <c r="G93"/>
  <c r="G78"/>
  <c r="G163"/>
  <c r="G177"/>
  <c r="G144"/>
  <c r="G45"/>
  <c r="G39"/>
  <c r="G178"/>
  <c r="G69"/>
  <c r="G43"/>
  <c r="G158"/>
  <c r="G162"/>
  <c r="G190"/>
  <c r="G79"/>
  <c r="G160"/>
  <c r="G24"/>
  <c r="G92"/>
  <c r="G25"/>
  <c r="G101"/>
  <c r="G153"/>
  <c r="G104"/>
  <c r="G150"/>
  <c r="G32"/>
  <c r="G60"/>
  <c r="G149"/>
  <c r="G56"/>
  <c r="G77"/>
  <c r="G193"/>
  <c r="G33"/>
  <c r="G106"/>
  <c r="G180"/>
  <c r="G139"/>
  <c r="G61"/>
  <c r="G91"/>
  <c r="G73"/>
  <c r="G154"/>
  <c r="G46"/>
  <c r="G62"/>
  <c r="G136"/>
  <c r="G143"/>
  <c r="G47"/>
  <c r="G105"/>
  <c r="G84"/>
  <c r="G31"/>
  <c r="G98"/>
  <c r="G34"/>
  <c r="G58"/>
  <c r="G28"/>
  <c r="V6" i="6"/>
  <c r="G17" i="30"/>
  <c r="G18" s="1"/>
  <c r="H17"/>
  <c r="H18" s="1"/>
  <c r="I17"/>
  <c r="D11" i="6"/>
  <c r="E11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T24" i="10"/>
  <c r="U16"/>
  <c r="S24"/>
  <c r="T27" i="30"/>
  <c r="U19"/>
  <c r="G8" i="28"/>
  <c r="G9"/>
  <c r="G10"/>
  <c r="G11"/>
  <c r="G12"/>
  <c r="G13"/>
  <c r="G14"/>
  <c r="G15"/>
  <c r="G16"/>
  <c r="G17"/>
  <c r="G18"/>
  <c r="I15" i="10"/>
  <c r="B6" i="8"/>
  <c r="B8" s="1"/>
  <c r="C8" i="6"/>
  <c r="C10" s="1"/>
  <c r="C12" s="1"/>
  <c r="C13" s="1"/>
  <c r="K14" i="10"/>
  <c r="J15"/>
  <c r="B11" i="4"/>
  <c r="B12" s="1"/>
  <c r="L3" i="6"/>
  <c r="L6" s="1"/>
  <c r="D3"/>
  <c r="D6" s="1"/>
  <c r="D8" s="1"/>
  <c r="D10" s="1"/>
  <c r="J3"/>
  <c r="J6" s="1"/>
  <c r="U3"/>
  <c r="U6" s="1"/>
  <c r="B3"/>
  <c r="B6" s="1"/>
  <c r="B8" s="1"/>
  <c r="B10" s="1"/>
  <c r="B12" s="1"/>
  <c r="B13" s="1"/>
  <c r="G14" i="10"/>
  <c r="G15" s="1"/>
  <c r="F8" i="6"/>
  <c r="F10" s="1"/>
  <c r="F12" s="1"/>
  <c r="F13" s="1"/>
  <c r="G7"/>
  <c r="G8" s="1"/>
  <c r="G10" s="1"/>
  <c r="E8"/>
  <c r="E10" s="1"/>
  <c r="E12" s="1"/>
  <c r="E13" s="1"/>
  <c r="G6" i="10"/>
  <c r="Y25" i="30" l="1"/>
  <c r="G12" i="6"/>
  <c r="G13" s="1"/>
  <c r="D12"/>
  <c r="D13" s="1"/>
  <c r="G5" i="10" s="1"/>
  <c r="G8" s="1"/>
  <c r="D26"/>
  <c r="D29" i="30"/>
  <c r="I18"/>
  <c r="J17"/>
  <c r="J5" i="10"/>
  <c r="J5" i="30"/>
  <c r="H5" i="10"/>
  <c r="H5" i="30"/>
  <c r="I5" i="10"/>
  <c r="I5" i="30"/>
  <c r="E5" i="10"/>
  <c r="E5" i="30"/>
  <c r="E8" s="1"/>
  <c r="E9" s="1"/>
  <c r="F5" i="10"/>
  <c r="F5" i="30"/>
  <c r="H8" i="10"/>
  <c r="V16"/>
  <c r="U24"/>
  <c r="U27" i="30"/>
  <c r="V19"/>
  <c r="D3" i="28"/>
  <c r="B36" i="4"/>
  <c r="H7" i="6"/>
  <c r="H8" s="1"/>
  <c r="H10" s="1"/>
  <c r="H12" s="1"/>
  <c r="H13" s="1"/>
  <c r="F8" i="10"/>
  <c r="Y22"/>
  <c r="B15" i="8"/>
  <c r="B21"/>
  <c r="B10"/>
  <c r="B13" s="1"/>
  <c r="B16" s="1"/>
  <c r="E21" i="30" s="1"/>
  <c r="K15" i="10"/>
  <c r="L14"/>
  <c r="J8"/>
  <c r="H6"/>
  <c r="I7" i="6" l="1"/>
  <c r="G5" i="30"/>
  <c r="G8" s="1"/>
  <c r="K17"/>
  <c r="J18"/>
  <c r="K5" i="10"/>
  <c r="K5" i="30"/>
  <c r="E8" i="10"/>
  <c r="E9" s="1"/>
  <c r="E10" s="1"/>
  <c r="E11" s="1"/>
  <c r="E12" s="1"/>
  <c r="F13" i="30"/>
  <c r="F14" s="1"/>
  <c r="F8"/>
  <c r="E10"/>
  <c r="E11" s="1"/>
  <c r="E15" s="1"/>
  <c r="F9"/>
  <c r="I13"/>
  <c r="I14" s="1"/>
  <c r="I8"/>
  <c r="H13"/>
  <c r="H14" s="1"/>
  <c r="H8"/>
  <c r="G13"/>
  <c r="G14" s="1"/>
  <c r="J13"/>
  <c r="J14" s="1"/>
  <c r="J8"/>
  <c r="F9" i="10"/>
  <c r="G9" s="1"/>
  <c r="I8"/>
  <c r="W16"/>
  <c r="V24"/>
  <c r="V27" i="30"/>
  <c r="W19"/>
  <c r="E194" i="28"/>
  <c r="E191"/>
  <c r="E184"/>
  <c r="E180"/>
  <c r="E176"/>
  <c r="E169"/>
  <c r="E165"/>
  <c r="E161"/>
  <c r="E158"/>
  <c r="E153"/>
  <c r="E151"/>
  <c r="E149"/>
  <c r="E147"/>
  <c r="E145"/>
  <c r="E143"/>
  <c r="E138"/>
  <c r="E136"/>
  <c r="E134"/>
  <c r="E132"/>
  <c r="E130"/>
  <c r="E128"/>
  <c r="E123"/>
  <c r="E121"/>
  <c r="E119"/>
  <c r="E117"/>
  <c r="E115"/>
  <c r="E113"/>
  <c r="E108"/>
  <c r="E106"/>
  <c r="E104"/>
  <c r="E102"/>
  <c r="E100"/>
  <c r="E98"/>
  <c r="E93"/>
  <c r="E91"/>
  <c r="E89"/>
  <c r="E87"/>
  <c r="E85"/>
  <c r="E83"/>
  <c r="E78"/>
  <c r="E76"/>
  <c r="E74"/>
  <c r="E72"/>
  <c r="E70"/>
  <c r="E68"/>
  <c r="E8"/>
  <c r="E48"/>
  <c r="E46"/>
  <c r="E44"/>
  <c r="E42"/>
  <c r="E40"/>
  <c r="E38"/>
  <c r="E33"/>
  <c r="E31"/>
  <c r="E29"/>
  <c r="E27"/>
  <c r="E25"/>
  <c r="E23"/>
  <c r="E61"/>
  <c r="E63"/>
  <c r="E54"/>
  <c r="E56"/>
  <c r="E58"/>
  <c r="E53"/>
  <c r="E193"/>
  <c r="E189"/>
  <c r="E182"/>
  <c r="E178"/>
  <c r="E174"/>
  <c r="E167"/>
  <c r="E163"/>
  <c r="E159"/>
  <c r="E154"/>
  <c r="E152"/>
  <c r="E150"/>
  <c r="E148"/>
  <c r="E146"/>
  <c r="E144"/>
  <c r="E139"/>
  <c r="E137"/>
  <c r="E135"/>
  <c r="E133"/>
  <c r="E131"/>
  <c r="E129"/>
  <c r="E124"/>
  <c r="E122"/>
  <c r="E120"/>
  <c r="E118"/>
  <c r="E116"/>
  <c r="E114"/>
  <c r="E109"/>
  <c r="E107"/>
  <c r="E105"/>
  <c r="E103"/>
  <c r="E101"/>
  <c r="E99"/>
  <c r="E94"/>
  <c r="E92"/>
  <c r="E90"/>
  <c r="E88"/>
  <c r="E86"/>
  <c r="E84"/>
  <c r="E79"/>
  <c r="E77"/>
  <c r="E75"/>
  <c r="E73"/>
  <c r="E71"/>
  <c r="E69"/>
  <c r="F8"/>
  <c r="E19"/>
  <c r="E18"/>
  <c r="E17"/>
  <c r="E16"/>
  <c r="E15"/>
  <c r="E14"/>
  <c r="E13"/>
  <c r="E12"/>
  <c r="E11"/>
  <c r="E10"/>
  <c r="E9"/>
  <c r="E49"/>
  <c r="E47"/>
  <c r="E45"/>
  <c r="E43"/>
  <c r="E41"/>
  <c r="E39"/>
  <c r="E34"/>
  <c r="E32"/>
  <c r="E30"/>
  <c r="E28"/>
  <c r="E26"/>
  <c r="E24"/>
  <c r="E60"/>
  <c r="E62"/>
  <c r="E64"/>
  <c r="E55"/>
  <c r="E57"/>
  <c r="E59"/>
  <c r="E162"/>
  <c r="E166"/>
  <c r="E173"/>
  <c r="E177"/>
  <c r="E181"/>
  <c r="E188"/>
  <c r="E192"/>
  <c r="E160"/>
  <c r="E164"/>
  <c r="E168"/>
  <c r="E175"/>
  <c r="E179"/>
  <c r="E183"/>
  <c r="E190"/>
  <c r="E155"/>
  <c r="B22" i="8"/>
  <c r="B10" i="9" s="1"/>
  <c r="E125" i="28"/>
  <c r="E18" i="10"/>
  <c r="B6" i="9" s="1"/>
  <c r="B17" i="8"/>
  <c r="B18"/>
  <c r="L15" i="10"/>
  <c r="M14"/>
  <c r="I8" i="6"/>
  <c r="I10" s="1"/>
  <c r="I12" s="1"/>
  <c r="I13" s="1"/>
  <c r="J7"/>
  <c r="K8" i="10"/>
  <c r="I6"/>
  <c r="E95" i="28" l="1"/>
  <c r="F10" i="10"/>
  <c r="F11" s="1"/>
  <c r="F12" s="1"/>
  <c r="E65" i="28"/>
  <c r="E110"/>
  <c r="K25" i="10" s="1"/>
  <c r="E80" i="28"/>
  <c r="K18" i="30"/>
  <c r="L17"/>
  <c r="H28"/>
  <c r="H25" i="10"/>
  <c r="L5"/>
  <c r="L8" s="1"/>
  <c r="L5" i="30"/>
  <c r="K28"/>
  <c r="L28"/>
  <c r="L25" i="10"/>
  <c r="J28" i="30"/>
  <c r="J25" i="10"/>
  <c r="G9" i="30"/>
  <c r="F10"/>
  <c r="F11" s="1"/>
  <c r="F15" s="1"/>
  <c r="I28"/>
  <c r="I25" i="10"/>
  <c r="N28" i="30"/>
  <c r="N25" i="10"/>
  <c r="K13" i="30"/>
  <c r="K14" s="1"/>
  <c r="K8"/>
  <c r="X16" i="10"/>
  <c r="W24"/>
  <c r="W27" i="30"/>
  <c r="X19"/>
  <c r="F9" i="28"/>
  <c r="H8"/>
  <c r="E185"/>
  <c r="E140"/>
  <c r="E170"/>
  <c r="E200"/>
  <c r="E35"/>
  <c r="E50"/>
  <c r="E20"/>
  <c r="C15" i="8"/>
  <c r="C16"/>
  <c r="F21" i="30" s="1"/>
  <c r="B23" i="8"/>
  <c r="C21" s="1"/>
  <c r="M15" i="10"/>
  <c r="N14"/>
  <c r="K7" i="6"/>
  <c r="J8"/>
  <c r="J10" s="1"/>
  <c r="J12" s="1"/>
  <c r="J13" s="1"/>
  <c r="G10" i="10"/>
  <c r="G11" s="1"/>
  <c r="G12" s="1"/>
  <c r="H9"/>
  <c r="J6"/>
  <c r="L18" i="30" l="1"/>
  <c r="M17"/>
  <c r="G28"/>
  <c r="G25" i="10"/>
  <c r="M28" i="30"/>
  <c r="M25" i="10"/>
  <c r="L13" i="30"/>
  <c r="L14" s="1"/>
  <c r="L8"/>
  <c r="Q28"/>
  <c r="Q25" i="10"/>
  <c r="M5"/>
  <c r="M5" i="30"/>
  <c r="E28"/>
  <c r="E25" i="10"/>
  <c r="F28" i="30"/>
  <c r="F25" i="10"/>
  <c r="O28" i="30"/>
  <c r="O25" i="10"/>
  <c r="P28" i="30"/>
  <c r="P25" i="10"/>
  <c r="G10" i="30"/>
  <c r="G11" s="1"/>
  <c r="G15" s="1"/>
  <c r="H9"/>
  <c r="Y16" i="10"/>
  <c r="Y24" s="1"/>
  <c r="X24"/>
  <c r="X27" i="30"/>
  <c r="Y19"/>
  <c r="Y27" s="1"/>
  <c r="H9" i="28"/>
  <c r="F10"/>
  <c r="C18" i="8"/>
  <c r="C22"/>
  <c r="C10" i="9" s="1"/>
  <c r="C17" i="8"/>
  <c r="F18" i="10"/>
  <c r="C6" i="9" s="1"/>
  <c r="O14" i="10"/>
  <c r="N15"/>
  <c r="M8"/>
  <c r="K8" i="6"/>
  <c r="K10" s="1"/>
  <c r="K12" s="1"/>
  <c r="K13" s="1"/>
  <c r="L7"/>
  <c r="I9" i="10"/>
  <c r="H10"/>
  <c r="H11" s="1"/>
  <c r="H12" s="1"/>
  <c r="K6"/>
  <c r="N17" i="30" l="1"/>
  <c r="M18"/>
  <c r="N5" i="10"/>
  <c r="N8" s="1"/>
  <c r="N5" i="30"/>
  <c r="I9"/>
  <c r="H10"/>
  <c r="H11" s="1"/>
  <c r="H15" s="1"/>
  <c r="M13"/>
  <c r="M14" s="1"/>
  <c r="M8"/>
  <c r="C23" i="8"/>
  <c r="D21" s="1"/>
  <c r="D22" s="1"/>
  <c r="D10" i="9" s="1"/>
  <c r="H10" i="28"/>
  <c r="F11"/>
  <c r="D16" i="8"/>
  <c r="G21" i="30" s="1"/>
  <c r="D15" i="8"/>
  <c r="O15" i="10"/>
  <c r="P14"/>
  <c r="L8" i="6"/>
  <c r="L10" s="1"/>
  <c r="L12" s="1"/>
  <c r="L13" s="1"/>
  <c r="M7"/>
  <c r="I10" i="10"/>
  <c r="I11" s="1"/>
  <c r="I12" s="1"/>
  <c r="J9"/>
  <c r="L6"/>
  <c r="N18" i="30" l="1"/>
  <c r="O17"/>
  <c r="O5" i="10"/>
  <c r="O5" i="30"/>
  <c r="I10"/>
  <c r="I11" s="1"/>
  <c r="I15" s="1"/>
  <c r="J9"/>
  <c r="N13"/>
  <c r="N14" s="1"/>
  <c r="N8"/>
  <c r="H11" i="28"/>
  <c r="F12"/>
  <c r="D23" i="8"/>
  <c r="D18"/>
  <c r="E16" s="1"/>
  <c r="E21"/>
  <c r="E22" s="1"/>
  <c r="E10" i="9" s="1"/>
  <c r="G18" i="10"/>
  <c r="D6" i="9" s="1"/>
  <c r="D17" i="8"/>
  <c r="E15"/>
  <c r="P15" i="10"/>
  <c r="Q14"/>
  <c r="O8"/>
  <c r="M8" i="6"/>
  <c r="M10" s="1"/>
  <c r="M12" s="1"/>
  <c r="M13" s="1"/>
  <c r="N7"/>
  <c r="J10" i="10"/>
  <c r="J11" s="1"/>
  <c r="J12" s="1"/>
  <c r="K9"/>
  <c r="M6"/>
  <c r="P17" i="30" l="1"/>
  <c r="O18"/>
  <c r="P5" i="10"/>
  <c r="P5" i="30"/>
  <c r="P8" s="1"/>
  <c r="H18" i="10"/>
  <c r="E6" i="9" s="1"/>
  <c r="H21" i="30"/>
  <c r="J10"/>
  <c r="J11" s="1"/>
  <c r="J15" s="1"/>
  <c r="K9"/>
  <c r="O13"/>
  <c r="O14" s="1"/>
  <c r="O8"/>
  <c r="P8" i="10"/>
  <c r="E23" i="8"/>
  <c r="F21" s="1"/>
  <c r="F22" s="1"/>
  <c r="F10" i="9" s="1"/>
  <c r="F13" i="28"/>
  <c r="H12"/>
  <c r="E17" i="8"/>
  <c r="E18"/>
  <c r="Q15" i="10"/>
  <c r="R14"/>
  <c r="N8" i="6"/>
  <c r="N10" s="1"/>
  <c r="N12" s="1"/>
  <c r="N13" s="1"/>
  <c r="O7"/>
  <c r="K10" i="10"/>
  <c r="K11" s="1"/>
  <c r="K12" s="1"/>
  <c r="L9"/>
  <c r="N6"/>
  <c r="Q17" i="30" l="1"/>
  <c r="P18"/>
  <c r="Q5" i="10"/>
  <c r="Q5" i="30"/>
  <c r="Q8" s="1"/>
  <c r="K10"/>
  <c r="K11" s="1"/>
  <c r="K15" s="1"/>
  <c r="L9"/>
  <c r="Q8" i="10"/>
  <c r="F23" i="8"/>
  <c r="G21" s="1"/>
  <c r="G22" s="1"/>
  <c r="G10" i="9" s="1"/>
  <c r="F14" i="28"/>
  <c r="H13"/>
  <c r="F15" i="8"/>
  <c r="F16"/>
  <c r="S14" i="10"/>
  <c r="R15"/>
  <c r="O8" i="6"/>
  <c r="O10" s="1"/>
  <c r="O12" s="1"/>
  <c r="O13" s="1"/>
  <c r="P7"/>
  <c r="L10" i="10"/>
  <c r="L11" s="1"/>
  <c r="L12" s="1"/>
  <c r="M9"/>
  <c r="O6"/>
  <c r="Q18" i="30" l="1"/>
  <c r="R17"/>
  <c r="L10"/>
  <c r="L11" s="1"/>
  <c r="L15" s="1"/>
  <c r="M9"/>
  <c r="R5" i="10"/>
  <c r="R5" i="30"/>
  <c r="R8" s="1"/>
  <c r="I18" i="10"/>
  <c r="F6" i="9" s="1"/>
  <c r="I21" i="30"/>
  <c r="R8" i="10"/>
  <c r="F15" i="28"/>
  <c r="H14"/>
  <c r="G23" i="8"/>
  <c r="H21" s="1"/>
  <c r="H22" s="1"/>
  <c r="H10" i="9" s="1"/>
  <c r="F17" i="8"/>
  <c r="F18"/>
  <c r="T14" i="10"/>
  <c r="S15"/>
  <c r="P8" i="6"/>
  <c r="P10" s="1"/>
  <c r="P12" s="1"/>
  <c r="P13" s="1"/>
  <c r="Q7"/>
  <c r="M10" i="10"/>
  <c r="M11" s="1"/>
  <c r="M12" s="1"/>
  <c r="N9"/>
  <c r="P6"/>
  <c r="R18" i="30" l="1"/>
  <c r="S17"/>
  <c r="S5" i="10"/>
  <c r="S5" i="30"/>
  <c r="S8" s="1"/>
  <c r="M10"/>
  <c r="M11" s="1"/>
  <c r="M15" s="1"/>
  <c r="N9"/>
  <c r="S8" i="10"/>
  <c r="F16" i="28"/>
  <c r="H15"/>
  <c r="H23" i="8"/>
  <c r="I21" s="1"/>
  <c r="I22" s="1"/>
  <c r="I10" i="9" s="1"/>
  <c r="G15" i="8"/>
  <c r="G16"/>
  <c r="U14" i="10"/>
  <c r="T15"/>
  <c r="R7" i="6"/>
  <c r="Q8"/>
  <c r="Q10" s="1"/>
  <c r="Q12" s="1"/>
  <c r="Q13" s="1"/>
  <c r="N10" i="10"/>
  <c r="N11" s="1"/>
  <c r="N12" s="1"/>
  <c r="O9"/>
  <c r="Q6"/>
  <c r="S18" i="30" l="1"/>
  <c r="T17"/>
  <c r="T5" i="10"/>
  <c r="T5" i="30"/>
  <c r="T8" s="1"/>
  <c r="J18" i="10"/>
  <c r="G6" i="9" s="1"/>
  <c r="J21" i="30"/>
  <c r="O9"/>
  <c r="N10"/>
  <c r="N11" s="1"/>
  <c r="N15" s="1"/>
  <c r="T8" i="10"/>
  <c r="F17" i="28"/>
  <c r="H16"/>
  <c r="G17" i="8"/>
  <c r="I23"/>
  <c r="G18"/>
  <c r="U15" i="10"/>
  <c r="V14"/>
  <c r="S7" i="6"/>
  <c r="R8"/>
  <c r="R10" s="1"/>
  <c r="R12" s="1"/>
  <c r="R13" s="1"/>
  <c r="P9" i="10"/>
  <c r="O10"/>
  <c r="O11" s="1"/>
  <c r="O12" s="1"/>
  <c r="R6"/>
  <c r="T18" i="30" l="1"/>
  <c r="U17"/>
  <c r="U5" i="10"/>
  <c r="U5" i="30"/>
  <c r="U8" s="1"/>
  <c r="O10"/>
  <c r="O11" s="1"/>
  <c r="O15" s="1"/>
  <c r="P9"/>
  <c r="U8" i="10"/>
  <c r="H17" i="28"/>
  <c r="F18"/>
  <c r="J21" i="8"/>
  <c r="J22" s="1"/>
  <c r="J10" i="9" s="1"/>
  <c r="H15" i="8"/>
  <c r="H16"/>
  <c r="W14" i="10"/>
  <c r="V15"/>
  <c r="S8" i="6"/>
  <c r="S10" s="1"/>
  <c r="S12" s="1"/>
  <c r="S13" s="1"/>
  <c r="T7"/>
  <c r="P10" i="10"/>
  <c r="P11" s="1"/>
  <c r="P12" s="1"/>
  <c r="Q9"/>
  <c r="S6"/>
  <c r="V17" i="30" l="1"/>
  <c r="U18"/>
  <c r="J23" i="8"/>
  <c r="K18" i="10"/>
  <c r="H6" i="9" s="1"/>
  <c r="K21" i="30"/>
  <c r="P10"/>
  <c r="P11" s="1"/>
  <c r="P15" s="1"/>
  <c r="Q9"/>
  <c r="V5" i="10"/>
  <c r="V8" s="1"/>
  <c r="V5" i="30"/>
  <c r="V8" s="1"/>
  <c r="F19" i="28"/>
  <c r="H18"/>
  <c r="K21" i="8"/>
  <c r="K22" s="1"/>
  <c r="K10" i="9" s="1"/>
  <c r="H17" i="8"/>
  <c r="H18"/>
  <c r="W15" i="10"/>
  <c r="X14"/>
  <c r="U7" i="6"/>
  <c r="T8"/>
  <c r="T10" s="1"/>
  <c r="T12" s="1"/>
  <c r="T13" s="1"/>
  <c r="R9" i="10"/>
  <c r="Q10"/>
  <c r="Q11" s="1"/>
  <c r="Q12" s="1"/>
  <c r="T6"/>
  <c r="V18" i="30" l="1"/>
  <c r="W17"/>
  <c r="Q10"/>
  <c r="Q11" s="1"/>
  <c r="Q15" s="1"/>
  <c r="R9"/>
  <c r="W5" i="10"/>
  <c r="W5" i="30"/>
  <c r="W8" s="1"/>
  <c r="W8" i="10"/>
  <c r="H19" i="28"/>
  <c r="H20" s="1"/>
  <c r="F23"/>
  <c r="I16" i="8"/>
  <c r="I17" s="1"/>
  <c r="I15"/>
  <c r="K23"/>
  <c r="Y14" i="10"/>
  <c r="Y15" s="1"/>
  <c r="X15"/>
  <c r="V7" i="6"/>
  <c r="V8" s="1"/>
  <c r="V10" s="1"/>
  <c r="V12" s="1"/>
  <c r="V13" s="1"/>
  <c r="U8"/>
  <c r="U10" s="1"/>
  <c r="U12" s="1"/>
  <c r="U13" s="1"/>
  <c r="R10" i="10"/>
  <c r="R11" s="1"/>
  <c r="R12" s="1"/>
  <c r="S9"/>
  <c r="U6"/>
  <c r="X17" i="30" l="1"/>
  <c r="W18"/>
  <c r="I18" i="8"/>
  <c r="J16" s="1"/>
  <c r="M21" i="30" s="1"/>
  <c r="X5" i="10"/>
  <c r="X8" s="1"/>
  <c r="X5" i="30"/>
  <c r="X8" s="1"/>
  <c r="Y5" i="10"/>
  <c r="Y8" s="1"/>
  <c r="Y5" i="30"/>
  <c r="Y8" s="1"/>
  <c r="L18" i="10"/>
  <c r="I6" i="9" s="1"/>
  <c r="L21" i="30"/>
  <c r="E16" i="10"/>
  <c r="E24" s="1"/>
  <c r="E19" i="30"/>
  <c r="R10"/>
  <c r="R11" s="1"/>
  <c r="R15" s="1"/>
  <c r="R20" s="1"/>
  <c r="S9"/>
  <c r="R17" i="10"/>
  <c r="H23" i="28"/>
  <c r="F24"/>
  <c r="L21" i="8"/>
  <c r="L22" s="1"/>
  <c r="L10" i="9" s="1"/>
  <c r="J15" i="8"/>
  <c r="S10" i="10"/>
  <c r="S11" s="1"/>
  <c r="S12" s="1"/>
  <c r="T9"/>
  <c r="V6"/>
  <c r="L23" i="8" l="1"/>
  <c r="M21" s="1"/>
  <c r="M22" s="1"/>
  <c r="M10" i="9" s="1"/>
  <c r="E17" i="10"/>
  <c r="E19" s="1"/>
  <c r="B4" i="9" s="1"/>
  <c r="B14" s="1"/>
  <c r="Y17" i="30"/>
  <c r="Y18" s="1"/>
  <c r="X18"/>
  <c r="E27"/>
  <c r="E20"/>
  <c r="E22" s="1"/>
  <c r="S10"/>
  <c r="S11" s="1"/>
  <c r="S15" s="1"/>
  <c r="S20" s="1"/>
  <c r="T9"/>
  <c r="S17" i="10"/>
  <c r="H24" i="28"/>
  <c r="F25"/>
  <c r="B7" i="9"/>
  <c r="B11" s="1"/>
  <c r="M18" i="10"/>
  <c r="J6" i="9" s="1"/>
  <c r="J17" i="8"/>
  <c r="M23"/>
  <c r="N21" s="1"/>
  <c r="N22" s="1"/>
  <c r="N10" i="9" s="1"/>
  <c r="J18" i="8"/>
  <c r="N23"/>
  <c r="O21" s="1"/>
  <c r="O22" s="1"/>
  <c r="T10" i="10"/>
  <c r="T11" s="1"/>
  <c r="T12" s="1"/>
  <c r="U9"/>
  <c r="W6"/>
  <c r="T10" i="30" l="1"/>
  <c r="T11" s="1"/>
  <c r="T15" s="1"/>
  <c r="T20" s="1"/>
  <c r="U9"/>
  <c r="T17" i="10"/>
  <c r="B13" i="9"/>
  <c r="B17" s="1"/>
  <c r="B12"/>
  <c r="H25" i="28"/>
  <c r="F26"/>
  <c r="K16" i="8"/>
  <c r="N21" i="30" s="1"/>
  <c r="K15" i="8"/>
  <c r="O10" i="9"/>
  <c r="O23" i="8"/>
  <c r="P21" s="1"/>
  <c r="P22" s="1"/>
  <c r="P10" i="9" s="1"/>
  <c r="U10" i="10"/>
  <c r="U11" s="1"/>
  <c r="U12" s="1"/>
  <c r="V9"/>
  <c r="X6"/>
  <c r="K18" i="8" l="1"/>
  <c r="L15" s="1"/>
  <c r="V9" i="30"/>
  <c r="U10"/>
  <c r="U11" s="1"/>
  <c r="U15" s="1"/>
  <c r="U20" s="1"/>
  <c r="U17" i="10"/>
  <c r="E20"/>
  <c r="E21" s="1"/>
  <c r="E26" s="1"/>
  <c r="E23" i="30"/>
  <c r="E24" s="1"/>
  <c r="E29" s="1"/>
  <c r="H26" i="28"/>
  <c r="F27"/>
  <c r="L16" i="8"/>
  <c r="N18" i="10"/>
  <c r="K6" i="9" s="1"/>
  <c r="K17" i="8"/>
  <c r="L17" s="1"/>
  <c r="P23"/>
  <c r="V10" i="10"/>
  <c r="V11" s="1"/>
  <c r="V12" s="1"/>
  <c r="W9"/>
  <c r="Y6"/>
  <c r="O18" l="1"/>
  <c r="L6" i="9" s="1"/>
  <c r="O21" i="30"/>
  <c r="V10"/>
  <c r="V11" s="1"/>
  <c r="V15" s="1"/>
  <c r="V20" s="1"/>
  <c r="W9"/>
  <c r="V17" i="10"/>
  <c r="H27" i="28"/>
  <c r="F28"/>
  <c r="L18" i="8"/>
  <c r="Q21"/>
  <c r="Q22" s="1"/>
  <c r="Q10" i="9" s="1"/>
  <c r="W10" i="10"/>
  <c r="W11" s="1"/>
  <c r="W12" s="1"/>
  <c r="X9"/>
  <c r="X9" i="30" l="1"/>
  <c r="W10"/>
  <c r="W11" s="1"/>
  <c r="W15" s="1"/>
  <c r="W20" s="1"/>
  <c r="W17" i="10"/>
  <c r="H28" i="28"/>
  <c r="F29"/>
  <c r="M16" i="8"/>
  <c r="P21" i="30" s="1"/>
  <c r="M15" i="8"/>
  <c r="Q23"/>
  <c r="X10" i="10"/>
  <c r="X11" s="1"/>
  <c r="X12" s="1"/>
  <c r="Y9"/>
  <c r="Y10" s="1"/>
  <c r="Y11" s="1"/>
  <c r="Y12" s="1"/>
  <c r="M18" i="8" l="1"/>
  <c r="Y9" i="30"/>
  <c r="Y10" s="1"/>
  <c r="Y11" s="1"/>
  <c r="Y15" s="1"/>
  <c r="Y20" s="1"/>
  <c r="X10"/>
  <c r="X11" s="1"/>
  <c r="X15" s="1"/>
  <c r="X20" s="1"/>
  <c r="X17" i="10"/>
  <c r="Y17"/>
  <c r="H29" i="28"/>
  <c r="F30"/>
  <c r="N15" i="8"/>
  <c r="N16"/>
  <c r="P18" i="10"/>
  <c r="M6" i="9" s="1"/>
  <c r="M17" i="8"/>
  <c r="N17" s="1"/>
  <c r="R21"/>
  <c r="R22" s="1"/>
  <c r="R10" i="9" s="1"/>
  <c r="Q18" i="10" l="1"/>
  <c r="N6" i="9" s="1"/>
  <c r="Q21" i="30"/>
  <c r="H30" i="28"/>
  <c r="F31"/>
  <c r="N18" i="8"/>
  <c r="R23"/>
  <c r="S21" s="1"/>
  <c r="S22" s="1"/>
  <c r="S10" i="9" s="1"/>
  <c r="H31" i="28" l="1"/>
  <c r="F32"/>
  <c r="O16" i="8"/>
  <c r="R21" i="30" s="1"/>
  <c r="R22" s="1"/>
  <c r="O15" i="8"/>
  <c r="S23"/>
  <c r="H32" i="28" l="1"/>
  <c r="F33"/>
  <c r="O18" i="8"/>
  <c r="P16" s="1"/>
  <c r="R18" i="10"/>
  <c r="O17" i="8"/>
  <c r="T21"/>
  <c r="T22" s="1"/>
  <c r="T10" i="9" s="1"/>
  <c r="P17" i="8" l="1"/>
  <c r="P15"/>
  <c r="P18" s="1"/>
  <c r="Q15" s="1"/>
  <c r="S18" i="10"/>
  <c r="S21" i="30"/>
  <c r="S22" s="1"/>
  <c r="F34" i="28"/>
  <c r="H33"/>
  <c r="O6" i="9"/>
  <c r="R19" i="10"/>
  <c r="O4" i="9" s="1"/>
  <c r="T23" i="8"/>
  <c r="U21" s="1"/>
  <c r="U22" s="1"/>
  <c r="U10" i="9" s="1"/>
  <c r="Q16" i="8" l="1"/>
  <c r="T18" i="10" s="1"/>
  <c r="S19"/>
  <c r="P4" i="9" s="1"/>
  <c r="P6"/>
  <c r="F38" i="28"/>
  <c r="H34"/>
  <c r="H35" s="1"/>
  <c r="O7" i="9"/>
  <c r="O11" s="1"/>
  <c r="O14"/>
  <c r="O17" s="1"/>
  <c r="U23" i="8"/>
  <c r="T21" i="30" l="1"/>
  <c r="T22" s="1"/>
  <c r="Q18" i="8"/>
  <c r="Q17"/>
  <c r="F16" i="10"/>
  <c r="F24" s="1"/>
  <c r="F19" i="30"/>
  <c r="P14" i="9"/>
  <c r="P17" s="1"/>
  <c r="P7"/>
  <c r="P11" s="1"/>
  <c r="T19" i="10"/>
  <c r="Q4" i="9" s="1"/>
  <c r="Q6"/>
  <c r="R20" i="10"/>
  <c r="R21" s="1"/>
  <c r="R26" s="1"/>
  <c r="R23" i="30"/>
  <c r="R24" s="1"/>
  <c r="R29" s="1"/>
  <c r="H38" i="28"/>
  <c r="F39"/>
  <c r="F17" i="10"/>
  <c r="F19" s="1"/>
  <c r="C4" i="9" s="1"/>
  <c r="V21" i="8"/>
  <c r="V22" s="1"/>
  <c r="V10" i="9" s="1"/>
  <c r="R15" i="8" l="1"/>
  <c r="R16"/>
  <c r="F27" i="30"/>
  <c r="F20"/>
  <c r="F22" s="1"/>
  <c r="Q7" i="9"/>
  <c r="Q11" s="1"/>
  <c r="Q14"/>
  <c r="S20" i="10"/>
  <c r="S21" s="1"/>
  <c r="S26" s="1"/>
  <c r="S23" i="30"/>
  <c r="S24" s="1"/>
  <c r="S29" s="1"/>
  <c r="C7" i="9"/>
  <c r="C11" s="1"/>
  <c r="C12" s="1"/>
  <c r="C14"/>
  <c r="C17" s="1"/>
  <c r="F40" i="28"/>
  <c r="H39"/>
  <c r="V23" i="8"/>
  <c r="U21" i="30" l="1"/>
  <c r="U22" s="1"/>
  <c r="U18" i="10"/>
  <c r="R17" i="8"/>
  <c r="R18"/>
  <c r="F20" i="10"/>
  <c r="F21" s="1"/>
  <c r="F26" s="1"/>
  <c r="F23" i="30"/>
  <c r="F24" s="1"/>
  <c r="F29" s="1"/>
  <c r="F41" i="28"/>
  <c r="H40"/>
  <c r="S16" i="8" l="1"/>
  <c r="S15"/>
  <c r="U19" i="10"/>
  <c r="R4" i="9" s="1"/>
  <c r="R6"/>
  <c r="S17" i="8"/>
  <c r="F42" i="28"/>
  <c r="H41"/>
  <c r="S18" i="8" l="1"/>
  <c r="T16" s="1"/>
  <c r="T17" s="1"/>
  <c r="R7" i="9"/>
  <c r="R11" s="1"/>
  <c r="R14"/>
  <c r="V21" i="30"/>
  <c r="V22" s="1"/>
  <c r="V18" i="10"/>
  <c r="H42" i="28"/>
  <c r="F43"/>
  <c r="T15" i="8" l="1"/>
  <c r="T18" s="1"/>
  <c r="S6" i="9"/>
  <c r="V19" i="10"/>
  <c r="S4" i="9" s="1"/>
  <c r="W21" i="30"/>
  <c r="W22" s="1"/>
  <c r="W18" i="10"/>
  <c r="F44" i="28"/>
  <c r="H43"/>
  <c r="U15" i="8" l="1"/>
  <c r="U16"/>
  <c r="X18" i="10" s="1"/>
  <c r="T6" i="9"/>
  <c r="W19" i="10"/>
  <c r="T4" i="9" s="1"/>
  <c r="S7"/>
  <c r="S11" s="1"/>
  <c r="S14"/>
  <c r="H44" i="28"/>
  <c r="F45"/>
  <c r="U17" i="8" l="1"/>
  <c r="X21" i="30"/>
  <c r="X22" s="1"/>
  <c r="U18" i="8"/>
  <c r="V15" s="1"/>
  <c r="T14" i="9"/>
  <c r="T7"/>
  <c r="T11" s="1"/>
  <c r="U6"/>
  <c r="X19" i="10"/>
  <c r="U4" i="9" s="1"/>
  <c r="H45" i="28"/>
  <c r="F46"/>
  <c r="V16" i="8" l="1"/>
  <c r="U7" i="9"/>
  <c r="U11" s="1"/>
  <c r="U14"/>
  <c r="Y21" i="30"/>
  <c r="Y22" s="1"/>
  <c r="Y18" i="10"/>
  <c r="V17" i="8"/>
  <c r="V18"/>
  <c r="F47" i="28"/>
  <c r="H46"/>
  <c r="Y19" i="10" l="1"/>
  <c r="V4" i="9" s="1"/>
  <c r="V6"/>
  <c r="F48" i="28"/>
  <c r="H47"/>
  <c r="V14" i="9" l="1"/>
  <c r="V7"/>
  <c r="V11" s="1"/>
  <c r="F49" i="28"/>
  <c r="H48"/>
  <c r="H49" l="1"/>
  <c r="H50" s="1"/>
  <c r="F53"/>
  <c r="G16" i="10" l="1"/>
  <c r="G17" s="1"/>
  <c r="G19" s="1"/>
  <c r="D4" i="9" s="1"/>
  <c r="G19" i="30"/>
  <c r="F54" i="28"/>
  <c r="H53"/>
  <c r="G24" i="10"/>
  <c r="G27" i="30" l="1"/>
  <c r="G20"/>
  <c r="G22" s="1"/>
  <c r="D7" i="9"/>
  <c r="D11" s="1"/>
  <c r="D12" s="1"/>
  <c r="D14"/>
  <c r="D17" s="1"/>
  <c r="F55" i="28"/>
  <c r="H54"/>
  <c r="G20" i="10" l="1"/>
  <c r="G21" s="1"/>
  <c r="G26" s="1"/>
  <c r="G23" i="30"/>
  <c r="G24" s="1"/>
  <c r="G29" s="1"/>
  <c r="F56" i="28"/>
  <c r="H55"/>
  <c r="H56" l="1"/>
  <c r="F57"/>
  <c r="H57" l="1"/>
  <c r="F58"/>
  <c r="H58" l="1"/>
  <c r="F59"/>
  <c r="F60" l="1"/>
  <c r="H59"/>
  <c r="H60" l="1"/>
  <c r="F61"/>
  <c r="F62" l="1"/>
  <c r="H61"/>
  <c r="F63" l="1"/>
  <c r="H62"/>
  <c r="H63" l="1"/>
  <c r="F64"/>
  <c r="H64" l="1"/>
  <c r="H65" s="1"/>
  <c r="F68"/>
  <c r="H16" i="10" l="1"/>
  <c r="H17" s="1"/>
  <c r="H19" s="1"/>
  <c r="E4" i="9" s="1"/>
  <c r="H19" i="30"/>
  <c r="F69" i="28"/>
  <c r="H68"/>
  <c r="H24" i="10"/>
  <c r="H27" i="30" l="1"/>
  <c r="H20"/>
  <c r="H22" s="1"/>
  <c r="E14" i="9"/>
  <c r="E17" s="1"/>
  <c r="E7"/>
  <c r="E11" s="1"/>
  <c r="E12" s="1"/>
  <c r="F70" i="28"/>
  <c r="H69"/>
  <c r="H20" i="10" l="1"/>
  <c r="H21" s="1"/>
  <c r="H26" s="1"/>
  <c r="H23" i="30"/>
  <c r="H24" s="1"/>
  <c r="H29" s="1"/>
  <c r="H70" i="28"/>
  <c r="F71"/>
  <c r="F72" l="1"/>
  <c r="H71"/>
  <c r="H72" l="1"/>
  <c r="F73"/>
  <c r="F74" l="1"/>
  <c r="H73"/>
  <c r="F75" l="1"/>
  <c r="H74"/>
  <c r="F76" l="1"/>
  <c r="H75"/>
  <c r="H76" l="1"/>
  <c r="F77"/>
  <c r="F78" l="1"/>
  <c r="H77"/>
  <c r="H78" l="1"/>
  <c r="F79"/>
  <c r="F83" l="1"/>
  <c r="H79"/>
  <c r="H80" s="1"/>
  <c r="I16" i="10" l="1"/>
  <c r="I24" s="1"/>
  <c r="I19" i="30"/>
  <c r="I17" i="10"/>
  <c r="I19" s="1"/>
  <c r="F4" i="9" s="1"/>
  <c r="H83" i="28"/>
  <c r="F84"/>
  <c r="I27" i="30" l="1"/>
  <c r="I20"/>
  <c r="I22" s="1"/>
  <c r="F85" i="28"/>
  <c r="H84"/>
  <c r="F14" i="9"/>
  <c r="F17" s="1"/>
  <c r="F7"/>
  <c r="F11" s="1"/>
  <c r="F12" s="1"/>
  <c r="I20" i="10" l="1"/>
  <c r="I21" s="1"/>
  <c r="I26" s="1"/>
  <c r="I23" i="30"/>
  <c r="I24" s="1"/>
  <c r="I29" s="1"/>
  <c r="H85" i="28"/>
  <c r="F86"/>
  <c r="F87" l="1"/>
  <c r="H86"/>
  <c r="H87" l="1"/>
  <c r="F88"/>
  <c r="F89" l="1"/>
  <c r="H88"/>
  <c r="F90" l="1"/>
  <c r="H89"/>
  <c r="H90" l="1"/>
  <c r="F91"/>
  <c r="F92" l="1"/>
  <c r="H91"/>
  <c r="H92" l="1"/>
  <c r="F93"/>
  <c r="H93" l="1"/>
  <c r="F94"/>
  <c r="H94" l="1"/>
  <c r="H95" s="1"/>
  <c r="F98"/>
  <c r="J16" i="10" l="1"/>
  <c r="J24" s="1"/>
  <c r="J19" i="30"/>
  <c r="H98" i="28"/>
  <c r="F99"/>
  <c r="J17" i="10"/>
  <c r="J19" s="1"/>
  <c r="G4" i="9" s="1"/>
  <c r="J27" i="30" l="1"/>
  <c r="J20"/>
  <c r="J22" s="1"/>
  <c r="F100" i="28"/>
  <c r="H99"/>
  <c r="G7" i="9"/>
  <c r="G11" s="1"/>
  <c r="G12" s="1"/>
  <c r="G14"/>
  <c r="G17" s="1"/>
  <c r="J20" i="10" l="1"/>
  <c r="J21" s="1"/>
  <c r="J26" s="1"/>
  <c r="J23" i="30"/>
  <c r="J24" s="1"/>
  <c r="J29" s="1"/>
  <c r="H100" i="28"/>
  <c r="F101"/>
  <c r="F102" l="1"/>
  <c r="H101"/>
  <c r="H102" l="1"/>
  <c r="F103"/>
  <c r="H103" l="1"/>
  <c r="F104"/>
  <c r="H104" l="1"/>
  <c r="F105"/>
  <c r="F106" l="1"/>
  <c r="H105"/>
  <c r="F107" l="1"/>
  <c r="H106"/>
  <c r="F108" l="1"/>
  <c r="H107"/>
  <c r="H108" l="1"/>
  <c r="F109"/>
  <c r="F113" l="1"/>
  <c r="H109"/>
  <c r="H110" s="1"/>
  <c r="K16" i="10" l="1"/>
  <c r="K19" i="30"/>
  <c r="K24" i="10"/>
  <c r="K17"/>
  <c r="K19" s="1"/>
  <c r="H4" i="9" s="1"/>
  <c r="H113" i="28"/>
  <c r="F114"/>
  <c r="K27" i="30" l="1"/>
  <c r="K20"/>
  <c r="K22" s="1"/>
  <c r="H114" i="28"/>
  <c r="F115"/>
  <c r="H14" i="9"/>
  <c r="H17" s="1"/>
  <c r="H7"/>
  <c r="H11" s="1"/>
  <c r="H12" s="1"/>
  <c r="K20" i="10" l="1"/>
  <c r="K21" s="1"/>
  <c r="K26" s="1"/>
  <c r="K23" i="30"/>
  <c r="K24" s="1"/>
  <c r="K29" s="1"/>
  <c r="H115" i="28"/>
  <c r="F116"/>
  <c r="H116" l="1"/>
  <c r="F117"/>
  <c r="H117" l="1"/>
  <c r="F118"/>
  <c r="H118" l="1"/>
  <c r="F119"/>
  <c r="F120" l="1"/>
  <c r="H119"/>
  <c r="F121" l="1"/>
  <c r="H120"/>
  <c r="H121" l="1"/>
  <c r="F122"/>
  <c r="H122" l="1"/>
  <c r="F123"/>
  <c r="H123" l="1"/>
  <c r="F124"/>
  <c r="F128" l="1"/>
  <c r="H124"/>
  <c r="H125" s="1"/>
  <c r="L16" i="10" l="1"/>
  <c r="L19" i="30"/>
  <c r="F129" i="28"/>
  <c r="H128"/>
  <c r="L24" i="10"/>
  <c r="L17"/>
  <c r="L19" s="1"/>
  <c r="I4" i="9" s="1"/>
  <c r="L27" i="30" l="1"/>
  <c r="L20"/>
  <c r="L22" s="1"/>
  <c r="I14" i="9"/>
  <c r="I17" s="1"/>
  <c r="I7"/>
  <c r="I11" s="1"/>
  <c r="I12" s="1"/>
  <c r="H129" i="28"/>
  <c r="F130"/>
  <c r="L20" i="10" l="1"/>
  <c r="L21" s="1"/>
  <c r="L26" s="1"/>
  <c r="L23" i="30"/>
  <c r="L24" s="1"/>
  <c r="L29" s="1"/>
  <c r="F131" i="28"/>
  <c r="H130"/>
  <c r="F132" l="1"/>
  <c r="H131"/>
  <c r="H132" l="1"/>
  <c r="F133"/>
  <c r="F134" l="1"/>
  <c r="H133"/>
  <c r="F135" l="1"/>
  <c r="H134"/>
  <c r="H135" l="1"/>
  <c r="F136"/>
  <c r="H136" l="1"/>
  <c r="F137"/>
  <c r="F138" l="1"/>
  <c r="H137"/>
  <c r="F139" l="1"/>
  <c r="H138"/>
  <c r="H139" l="1"/>
  <c r="H140" s="1"/>
  <c r="F143"/>
  <c r="M16" i="10" l="1"/>
  <c r="M19" i="30"/>
  <c r="F144" i="28"/>
  <c r="H143"/>
  <c r="M24" i="10"/>
  <c r="M17"/>
  <c r="M19" s="1"/>
  <c r="J4" i="9" s="1"/>
  <c r="M27" i="30" l="1"/>
  <c r="M20"/>
  <c r="M22" s="1"/>
  <c r="J7" i="9"/>
  <c r="J11" s="1"/>
  <c r="J12" s="1"/>
  <c r="J14"/>
  <c r="J17" s="1"/>
  <c r="F145" i="28"/>
  <c r="H144"/>
  <c r="M20" i="10" l="1"/>
  <c r="M21" s="1"/>
  <c r="M26" s="1"/>
  <c r="M23" i="30"/>
  <c r="M24" s="1"/>
  <c r="M29" s="1"/>
  <c r="H145" i="28"/>
  <c r="F146"/>
  <c r="F147" l="1"/>
  <c r="H146"/>
  <c r="F148" l="1"/>
  <c r="H147"/>
  <c r="F149" l="1"/>
  <c r="H148"/>
  <c r="F150" l="1"/>
  <c r="H149"/>
  <c r="F151" l="1"/>
  <c r="H150"/>
  <c r="F152" l="1"/>
  <c r="H151"/>
  <c r="F153" l="1"/>
  <c r="H152"/>
  <c r="F154" l="1"/>
  <c r="H153"/>
  <c r="F158" l="1"/>
  <c r="H154"/>
  <c r="H155" s="1"/>
  <c r="N16" i="10" l="1"/>
  <c r="N19" i="30"/>
  <c r="F159" i="28"/>
  <c r="H158"/>
  <c r="N24" i="10"/>
  <c r="N17"/>
  <c r="N19" s="1"/>
  <c r="K4" i="9" s="1"/>
  <c r="N27" i="30" l="1"/>
  <c r="N20"/>
  <c r="N22" s="1"/>
  <c r="F160" i="28"/>
  <c r="H159"/>
  <c r="K7" i="9"/>
  <c r="K11" s="1"/>
  <c r="K12" s="1"/>
  <c r="K14"/>
  <c r="K17" s="1"/>
  <c r="N20" i="10" l="1"/>
  <c r="N21" s="1"/>
  <c r="N26" s="1"/>
  <c r="N23" i="30"/>
  <c r="N24" s="1"/>
  <c r="N29" s="1"/>
  <c r="H160" i="28"/>
  <c r="F161"/>
  <c r="F162" l="1"/>
  <c r="H161"/>
  <c r="H162" l="1"/>
  <c r="F163"/>
  <c r="H163" l="1"/>
  <c r="F164"/>
  <c r="H164" l="1"/>
  <c r="F165"/>
  <c r="F166" l="1"/>
  <c r="H165"/>
  <c r="H166" l="1"/>
  <c r="F167"/>
  <c r="H167" l="1"/>
  <c r="F168"/>
  <c r="F169" l="1"/>
  <c r="H168"/>
  <c r="F173" l="1"/>
  <c r="H169"/>
  <c r="H170" s="1"/>
  <c r="O16" i="10" l="1"/>
  <c r="O24" s="1"/>
  <c r="O19" i="30"/>
  <c r="H173" i="28"/>
  <c r="F174"/>
  <c r="O17" i="10"/>
  <c r="O19" s="1"/>
  <c r="L4" i="9" s="1"/>
  <c r="O27" i="30" l="1"/>
  <c r="O20"/>
  <c r="O22" s="1"/>
  <c r="F175" i="28"/>
  <c r="H174"/>
  <c r="L7" i="9"/>
  <c r="L11" s="1"/>
  <c r="L12" s="1"/>
  <c r="L14"/>
  <c r="L17" s="1"/>
  <c r="O20" i="10" l="1"/>
  <c r="O21" s="1"/>
  <c r="O26" s="1"/>
  <c r="O23" i="30"/>
  <c r="O24" s="1"/>
  <c r="O29" s="1"/>
  <c r="H175" i="28"/>
  <c r="F176"/>
  <c r="F177" l="1"/>
  <c r="H176"/>
  <c r="F178" l="1"/>
  <c r="H177"/>
  <c r="H178" l="1"/>
  <c r="F179"/>
  <c r="H179" l="1"/>
  <c r="F180"/>
  <c r="F181" l="1"/>
  <c r="H180"/>
  <c r="F182" l="1"/>
  <c r="H181"/>
  <c r="H182" l="1"/>
  <c r="F183"/>
  <c r="F184" l="1"/>
  <c r="H183"/>
  <c r="F188" l="1"/>
  <c r="H184"/>
  <c r="H185" s="1"/>
  <c r="P16" i="10" l="1"/>
  <c r="P19" i="30"/>
  <c r="P24" i="10"/>
  <c r="P17"/>
  <c r="P19" s="1"/>
  <c r="M4" i="9" s="1"/>
  <c r="H188" i="28"/>
  <c r="F189"/>
  <c r="P27" i="30" l="1"/>
  <c r="P20"/>
  <c r="P22" s="1"/>
  <c r="F190" i="28"/>
  <c r="H189"/>
  <c r="M14" i="9"/>
  <c r="M17" s="1"/>
  <c r="M7"/>
  <c r="M11" s="1"/>
  <c r="M12" s="1"/>
  <c r="P20" i="10" l="1"/>
  <c r="P21" s="1"/>
  <c r="P26" s="1"/>
  <c r="P23" i="30"/>
  <c r="P24" s="1"/>
  <c r="P29" s="1"/>
  <c r="F191" i="28"/>
  <c r="H190"/>
  <c r="F192" l="1"/>
  <c r="H191"/>
  <c r="F193" l="1"/>
  <c r="H192"/>
  <c r="F194" l="1"/>
  <c r="H193"/>
  <c r="F195" l="1"/>
  <c r="H194"/>
  <c r="H195" l="1"/>
  <c r="F196"/>
  <c r="H196" l="1"/>
  <c r="F197"/>
  <c r="F198" l="1"/>
  <c r="H198" s="1"/>
  <c r="H197"/>
  <c r="H200" l="1"/>
  <c r="Q16" i="10" l="1"/>
  <c r="Q17" s="1"/>
  <c r="Q19" s="1"/>
  <c r="N4" i="9" s="1"/>
  <c r="Q19" i="30"/>
  <c r="Q24" i="10"/>
  <c r="Q27" i="30" l="1"/>
  <c r="Q20"/>
  <c r="Q22" s="1"/>
  <c r="N14" i="9"/>
  <c r="N7"/>
  <c r="N11" s="1"/>
  <c r="N12" s="1"/>
  <c r="O12" s="1"/>
  <c r="P12" s="1"/>
  <c r="Q12" s="1"/>
  <c r="Q13" l="1"/>
  <c r="R12"/>
  <c r="N17"/>
  <c r="Q15"/>
  <c r="Q20" i="10" l="1"/>
  <c r="Q21" s="1"/>
  <c r="Q26" s="1"/>
  <c r="Q23" i="30"/>
  <c r="Q24" s="1"/>
  <c r="Q29" s="1"/>
  <c r="S12" i="9"/>
  <c r="R13"/>
  <c r="Q16"/>
  <c r="R15" s="1"/>
  <c r="T12" l="1"/>
  <c r="S13"/>
  <c r="Q17"/>
  <c r="R16"/>
  <c r="R17" s="1"/>
  <c r="U20" i="10" l="1"/>
  <c r="U21" s="1"/>
  <c r="U26" s="1"/>
  <c r="U23" i="30"/>
  <c r="U24" s="1"/>
  <c r="U29" s="1"/>
  <c r="T20" i="10"/>
  <c r="T21" s="1"/>
  <c r="T26" s="1"/>
  <c r="T23" i="30"/>
  <c r="T24" s="1"/>
  <c r="T29" s="1"/>
  <c r="U12" i="9"/>
  <c r="T13"/>
  <c r="S15"/>
  <c r="S16" l="1"/>
  <c r="S17" s="1"/>
  <c r="V12"/>
  <c r="V13" s="1"/>
  <c r="V17" s="1"/>
  <c r="U13"/>
  <c r="U17" s="1"/>
  <c r="T15" l="1"/>
  <c r="T16" s="1"/>
  <c r="T17" s="1"/>
  <c r="Y20" i="10"/>
  <c r="Y21" s="1"/>
  <c r="Y26" s="1"/>
  <c r="Y23" i="30"/>
  <c r="Y24" s="1"/>
  <c r="Y29" s="1"/>
  <c r="V20" i="10"/>
  <c r="V21" s="1"/>
  <c r="V26" s="1"/>
  <c r="V23" i="30"/>
  <c r="V24" s="1"/>
  <c r="V29" s="1"/>
  <c r="X20" i="10"/>
  <c r="X21" s="1"/>
  <c r="X26" s="1"/>
  <c r="X23" i="30"/>
  <c r="X24" s="1"/>
  <c r="X29" s="1"/>
  <c r="U15" i="9" l="1"/>
  <c r="U16" s="1"/>
  <c r="V15" s="1"/>
  <c r="V16" s="1"/>
  <c r="W20" i="10"/>
  <c r="W21" s="1"/>
  <c r="W26" s="1"/>
  <c r="C27" s="1"/>
  <c r="E7" i="25" s="1"/>
  <c r="W23" i="30"/>
  <c r="W24" s="1"/>
  <c r="W29" s="1"/>
  <c r="C30" s="1"/>
  <c r="F7" i="25" s="1"/>
  <c r="D21" l="1"/>
  <c r="D22"/>
  <c r="D20"/>
  <c r="D19"/>
</calcChain>
</file>

<file path=xl/sharedStrings.xml><?xml version="1.0" encoding="utf-8"?>
<sst xmlns="http://schemas.openxmlformats.org/spreadsheetml/2006/main" count="784" uniqueCount="211">
  <si>
    <t>Assumptions:</t>
  </si>
  <si>
    <t xml:space="preserve">Location  - State </t>
  </si>
  <si>
    <t xml:space="preserve">                Place</t>
  </si>
  <si>
    <t>Project Size</t>
  </si>
  <si>
    <t>MW</t>
  </si>
  <si>
    <t>nos</t>
  </si>
  <si>
    <t>Total Project Cost</t>
  </si>
  <si>
    <t>Means of Finance</t>
  </si>
  <si>
    <t xml:space="preserve">Debt </t>
  </si>
  <si>
    <t>Equity</t>
  </si>
  <si>
    <t>Opearating Parameters</t>
  </si>
  <si>
    <t>Total Generation for the project at above PLF</t>
  </si>
  <si>
    <t>Grid Availability</t>
  </si>
  <si>
    <t>Line Loss</t>
  </si>
  <si>
    <t>OM Contract</t>
  </si>
  <si>
    <t>Total generation after Line Loss</t>
  </si>
  <si>
    <t>Life of the Wind Turbine</t>
  </si>
  <si>
    <t>Years</t>
  </si>
  <si>
    <t xml:space="preserve">O &amp; M cost </t>
  </si>
  <si>
    <t>Financial Parameters</t>
  </si>
  <si>
    <t>Interest on Term Loan</t>
  </si>
  <si>
    <t>Rupee Loan</t>
  </si>
  <si>
    <t xml:space="preserve">Tariff </t>
  </si>
  <si>
    <t>Tariff escalation</t>
  </si>
  <si>
    <t>Depreciation Rate</t>
  </si>
  <si>
    <t>As per companies Act</t>
  </si>
  <si>
    <t>Plant and machinery - SLM</t>
  </si>
  <si>
    <t>As per Income Tax Act</t>
  </si>
  <si>
    <t>Depreciation rate- first year</t>
  </si>
  <si>
    <t>Taxation</t>
  </si>
  <si>
    <t>Corporate Tax</t>
  </si>
  <si>
    <t>Land cost</t>
  </si>
  <si>
    <t>Cost per MW</t>
  </si>
  <si>
    <t>Months in period</t>
  </si>
  <si>
    <t>Fiscal year</t>
  </si>
  <si>
    <t>No.of Days</t>
  </si>
  <si>
    <t>Number of hours in a day</t>
  </si>
  <si>
    <t>Total generation at 100%, KWh</t>
  </si>
  <si>
    <t>PLF%</t>
  </si>
  <si>
    <t>Net Export,KWh</t>
  </si>
  <si>
    <t>Term Loan</t>
  </si>
  <si>
    <t>Wind Mill</t>
  </si>
  <si>
    <t>TL Amount</t>
  </si>
  <si>
    <t>Rate of Interest</t>
  </si>
  <si>
    <t>Month</t>
  </si>
  <si>
    <t>Particulars</t>
  </si>
  <si>
    <t xml:space="preserve">Debit </t>
  </si>
  <si>
    <t>Credit</t>
  </si>
  <si>
    <t>Balance</t>
  </si>
  <si>
    <t>Interest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</si>
  <si>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</si>
  <si>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</si>
  <si>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</si>
  <si>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</si>
  <si>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</si>
  <si>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</si>
  <si>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</si>
  <si>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</si>
  <si>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</si>
  <si>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</si>
  <si>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</si>
  <si>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</si>
  <si>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 xml:space="preserve">Total </t>
  </si>
  <si>
    <t>Opening Balance</t>
  </si>
  <si>
    <t>By Installment</t>
  </si>
  <si>
    <t>Year</t>
  </si>
  <si>
    <t>Depreciation Details</t>
  </si>
  <si>
    <t>Project Cost</t>
  </si>
  <si>
    <t>Less:</t>
  </si>
  <si>
    <t>100% of the asset is to be written off</t>
  </si>
  <si>
    <t xml:space="preserve">Life of the asset is </t>
  </si>
  <si>
    <t xml:space="preserve">Rate of depreciation </t>
  </si>
  <si>
    <t>Amount of depreciation on SLM</t>
  </si>
  <si>
    <t>Opening Value of assets</t>
  </si>
  <si>
    <t>Depreication</t>
  </si>
  <si>
    <t>Cumulative Depreciation</t>
  </si>
  <si>
    <t>Closing Value of Assets</t>
  </si>
  <si>
    <t>Depreciation as per Income tax Act</t>
  </si>
  <si>
    <t>Rate</t>
  </si>
  <si>
    <t>Opening value</t>
  </si>
  <si>
    <t>Depreciation for each year</t>
  </si>
  <si>
    <t>Closing value</t>
  </si>
  <si>
    <t>Tax Thereon</t>
  </si>
  <si>
    <t>Tax Calculations</t>
  </si>
  <si>
    <t>Profit Before Tax</t>
  </si>
  <si>
    <t xml:space="preserve">Add: </t>
  </si>
  <si>
    <t>Depreciation as per P/L</t>
  </si>
  <si>
    <t>TOTAL</t>
  </si>
  <si>
    <t xml:space="preserve">Depreciation as per </t>
  </si>
  <si>
    <t>Income tax Act</t>
  </si>
  <si>
    <t>Taxable Profit</t>
  </si>
  <si>
    <t>Cumulative Profit/Loss</t>
  </si>
  <si>
    <t>Tax Thereon
(10 yr tax holiday)</t>
  </si>
  <si>
    <t>Amount of Tax Payable</t>
  </si>
  <si>
    <t>P&amp;L Without CDM</t>
  </si>
  <si>
    <t>Description</t>
  </si>
  <si>
    <t>Income</t>
  </si>
  <si>
    <t>Operation &amp; Maintenance</t>
  </si>
  <si>
    <t>Total operating  Expenses</t>
  </si>
  <si>
    <t>Total Interest</t>
  </si>
  <si>
    <t>Profit/Loss  before Depreciation and Tax</t>
  </si>
  <si>
    <t>Depreciation for year</t>
  </si>
  <si>
    <t>Profit/Loss after Depreciation but before Tax</t>
  </si>
  <si>
    <t>Tax</t>
  </si>
  <si>
    <t>Profit/ Loss after tax</t>
  </si>
  <si>
    <t>Salvage Value</t>
  </si>
  <si>
    <t>INR</t>
  </si>
  <si>
    <t>Power Evacuation, kWh</t>
  </si>
  <si>
    <t>Generaton, kWh</t>
  </si>
  <si>
    <t>Percent of Asset depreciation</t>
  </si>
  <si>
    <t>PLF</t>
  </si>
  <si>
    <t>O&amp;M</t>
  </si>
  <si>
    <t>INR Millions</t>
  </si>
  <si>
    <t>Million kWh p.a.</t>
  </si>
  <si>
    <t>Net Export, Million KWh</t>
  </si>
  <si>
    <t>Net Export (in Million kWh)</t>
  </si>
  <si>
    <t>Rate per kWh (Rs).</t>
  </si>
  <si>
    <t>Total Income (Million INR)</t>
  </si>
  <si>
    <t>Expenses, Millions INR</t>
  </si>
  <si>
    <t>Depreciation as per Companies act</t>
  </si>
  <si>
    <t>Sensitivity analysis</t>
  </si>
  <si>
    <t>For sensitiity analysis please enter values in the respective cells as given below</t>
  </si>
  <si>
    <t>Tariff</t>
  </si>
  <si>
    <t>Generation Based Incentive</t>
  </si>
  <si>
    <t>GBI</t>
  </si>
  <si>
    <t>CDM Revenues</t>
  </si>
  <si>
    <t>CERs</t>
  </si>
  <si>
    <t>Emission factor</t>
  </si>
  <si>
    <t>CER price</t>
  </si>
  <si>
    <t>MAT</t>
  </si>
  <si>
    <t>CER revenues</t>
  </si>
  <si>
    <t>Capacity of each WTG</t>
  </si>
  <si>
    <t>Capacity(MW)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</si>
  <si>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</si>
  <si>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</si>
  <si>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</si>
  <si>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</si>
  <si>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</si>
  <si>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</si>
  <si>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</si>
  <si>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</si>
  <si>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</si>
  <si>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</si>
  <si>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2010-11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</si>
  <si>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</si>
  <si>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</si>
  <si>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</si>
  <si>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</si>
  <si>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</si>
  <si>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</si>
  <si>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</si>
  <si>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</si>
  <si>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</si>
  <si>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</si>
  <si>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2031-2032</t>
  </si>
  <si>
    <t>Sl.N.</t>
  </si>
  <si>
    <t>Item</t>
  </si>
  <si>
    <t>No.of units</t>
  </si>
  <si>
    <t>Total Price (INR million)</t>
  </si>
  <si>
    <t>TOTAL PROJECT COST</t>
  </si>
  <si>
    <t>O&amp;M - common facility</t>
  </si>
  <si>
    <r>
      <t>TOTAL O&amp;M COST</t>
    </r>
    <r>
      <rPr>
        <b/>
        <sz val="10"/>
        <color indexed="10"/>
        <rFont val="Arial"/>
        <family val="2"/>
      </rPr>
      <t>*</t>
    </r>
  </si>
  <si>
    <r>
      <rPr>
        <b/>
        <sz val="10"/>
        <color indexed="10"/>
        <rFont val="Arial"/>
        <family val="2"/>
      </rPr>
      <t xml:space="preserve">* </t>
    </r>
    <r>
      <rPr>
        <sz val="10"/>
        <rFont val="Arial"/>
        <family val="2"/>
      </rPr>
      <t>5% escalation year on year</t>
    </r>
  </si>
  <si>
    <t>INR million</t>
  </si>
  <si>
    <t>Cost per WTG</t>
  </si>
  <si>
    <t>Interest on term loan</t>
  </si>
  <si>
    <t>Equity IRR</t>
  </si>
  <si>
    <t>Debt repayment</t>
  </si>
  <si>
    <t>Net cash flow</t>
  </si>
  <si>
    <t>Project cost</t>
  </si>
  <si>
    <t>Rajasthan</t>
  </si>
  <si>
    <t>Kaladonger</t>
  </si>
  <si>
    <t>WTG</t>
  </si>
  <si>
    <t>Price per unit (INR million)</t>
  </si>
  <si>
    <t>Annual escallation from 4th year</t>
  </si>
  <si>
    <t>10 euros has been taken</t>
  </si>
  <si>
    <t>%</t>
  </si>
  <si>
    <t>INR/KWh</t>
  </si>
  <si>
    <t>tCO2/MWh</t>
  </si>
  <si>
    <t>Board resolution of Caparo Energy (India) Limited dated 22 July 2012</t>
  </si>
  <si>
    <t>Quotations from Suzlon Energy Limited dated 04 July 2011</t>
  </si>
  <si>
    <t>Calculated</t>
  </si>
  <si>
    <t>Technical Specification document from Suzlon.</t>
  </si>
  <si>
    <t>O &amp; M Cost (in Lacs) from 3rd Year of operation</t>
  </si>
  <si>
    <t>http://www.x-rates.com/d/INR/EUR/hist2011.html</t>
  </si>
  <si>
    <t>Term Loan Parameters</t>
  </si>
  <si>
    <t>Repayment period</t>
  </si>
  <si>
    <t>Morotorium period</t>
  </si>
  <si>
    <t>Number of installments</t>
  </si>
  <si>
    <t>Installment amount</t>
  </si>
  <si>
    <t>INR Million</t>
  </si>
  <si>
    <t>O&amp;M Cost</t>
  </si>
  <si>
    <t>MAT credit available</t>
  </si>
  <si>
    <t>MATset off</t>
  </si>
  <si>
    <t>Equity IRR without CDM</t>
  </si>
  <si>
    <t>Equity IRR with CDM</t>
  </si>
  <si>
    <t>Source</t>
  </si>
  <si>
    <t>Third party Wind Assessment Report by AWS TruePower dated 14 Jan 2011</t>
  </si>
  <si>
    <t>Calculated Combined Margin Emission Factor for NEWNE grid</t>
  </si>
  <si>
    <t>Parameters</t>
  </si>
  <si>
    <t>Units</t>
  </si>
  <si>
    <t>2011-12</t>
  </si>
  <si>
    <t>http://www.cwet.tn.nic.in/Docu/Tariff_SERC_23_08_2010.pdf</t>
  </si>
  <si>
    <t xml:space="preserve">Debt to Equity ratio as per IREDA loand sanction letter </t>
  </si>
  <si>
    <t>http://www.rerc.rajasthan.gov.in/Orders/Order115.rar</t>
  </si>
  <si>
    <t>No of WTGs</t>
  </si>
  <si>
    <t>Plant Load Factor (net of Transmission loss)</t>
  </si>
  <si>
    <t>Loan sanction letter dated 15/02/2012</t>
  </si>
  <si>
    <t>Appendix I of Income Tax Rules</t>
  </si>
  <si>
    <t>Exchange rate</t>
  </si>
  <si>
    <t>Actual values based on Loan sanction letter dated 15/02/2012</t>
  </si>
</sst>
</file>

<file path=xl/styles.xml><?xml version="1.0" encoding="utf-8"?>
<styleSheet xmlns="http://schemas.openxmlformats.org/spreadsheetml/2006/main">
  <numFmts count="7">
    <numFmt numFmtId="164" formatCode="0.0"/>
    <numFmt numFmtId="165" formatCode="_(* #,##0_);_(* \(#,##0\);_(* &quot;-&quot;??_);_(@_)"/>
    <numFmt numFmtId="166" formatCode="#,##0.000"/>
    <numFmt numFmtId="167" formatCode="#,##0.0000000"/>
    <numFmt numFmtId="168" formatCode="0.0000"/>
    <numFmt numFmtId="169" formatCode="0.000"/>
    <numFmt numFmtId="170" formatCode="0.00000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1" fillId="2" borderId="1" xfId="0" applyFont="1" applyFill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0" borderId="0" xfId="0" applyFont="1" applyFill="1" applyBorder="1"/>
    <xf numFmtId="164" fontId="1" fillId="0" borderId="1" xfId="0" applyNumberFormat="1" applyFont="1" applyFill="1" applyBorder="1"/>
    <xf numFmtId="0" fontId="1" fillId="0" borderId="1" xfId="0" applyFont="1" applyBorder="1"/>
    <xf numFmtId="0" fontId="1" fillId="0" borderId="1" xfId="0" applyFont="1" applyFill="1" applyBorder="1" applyAlignment="1">
      <alignment horizontal="left"/>
    </xf>
    <xf numFmtId="10" fontId="2" fillId="0" borderId="0" xfId="0" applyNumberFormat="1" applyFont="1"/>
    <xf numFmtId="10" fontId="2" fillId="0" borderId="1" xfId="0" applyNumberFormat="1" applyFont="1" applyFill="1" applyBorder="1"/>
    <xf numFmtId="9" fontId="2" fillId="0" borderId="1" xfId="0" applyNumberFormat="1" applyFont="1" applyFill="1" applyBorder="1"/>
    <xf numFmtId="0" fontId="2" fillId="0" borderId="2" xfId="0" applyFont="1" applyFill="1" applyBorder="1"/>
    <xf numFmtId="10" fontId="2" fillId="0" borderId="1" xfId="0" applyNumberFormat="1" applyFont="1" applyBorder="1"/>
    <xf numFmtId="2" fontId="2" fillId="0" borderId="1" xfId="0" applyNumberFormat="1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165" fontId="2" fillId="0" borderId="1" xfId="0" applyNumberFormat="1" applyFont="1" applyBorder="1"/>
    <xf numFmtId="0" fontId="1" fillId="0" borderId="1" xfId="0" applyFont="1" applyFill="1" applyBorder="1"/>
    <xf numFmtId="1" fontId="2" fillId="0" borderId="1" xfId="0" applyNumberFormat="1" applyFont="1" applyBorder="1"/>
    <xf numFmtId="1" fontId="2" fillId="0" borderId="0" xfId="0" applyNumberFormat="1" applyFont="1"/>
    <xf numFmtId="10" fontId="0" fillId="0" borderId="0" xfId="0" applyNumberFormat="1"/>
    <xf numFmtId="0" fontId="1" fillId="0" borderId="0" xfId="0" applyFont="1"/>
    <xf numFmtId="0" fontId="0" fillId="0" borderId="1" xfId="0" applyBorder="1"/>
    <xf numFmtId="1" fontId="0" fillId="0" borderId="0" xfId="0" applyNumberFormat="1" applyFill="1"/>
    <xf numFmtId="10" fontId="0" fillId="0" borderId="1" xfId="0" applyNumberFormat="1" applyBorder="1"/>
    <xf numFmtId="2" fontId="0" fillId="0" borderId="1" xfId="0" applyNumberFormat="1" applyBorder="1"/>
    <xf numFmtId="9" fontId="0" fillId="0" borderId="1" xfId="0" applyNumberFormat="1" applyBorder="1"/>
    <xf numFmtId="10" fontId="0" fillId="0" borderId="1" xfId="0" applyNumberFormat="1" applyFill="1" applyBorder="1"/>
    <xf numFmtId="0" fontId="0" fillId="0" borderId="1" xfId="0" applyFill="1" applyBorder="1"/>
    <xf numFmtId="0" fontId="1" fillId="2" borderId="1" xfId="0" applyFont="1" applyFill="1" applyBorder="1" applyAlignment="1">
      <alignment horizontal="left"/>
    </xf>
    <xf numFmtId="0" fontId="3" fillId="0" borderId="1" xfId="0" applyFont="1" applyBorder="1"/>
    <xf numFmtId="2" fontId="0" fillId="0" borderId="0" xfId="0" applyNumberFormat="1"/>
    <xf numFmtId="4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1" fillId="0" borderId="0" xfId="0" applyFont="1" applyFill="1"/>
    <xf numFmtId="4" fontId="1" fillId="0" borderId="1" xfId="0" applyNumberFormat="1" applyFont="1" applyFill="1" applyBorder="1"/>
    <xf numFmtId="4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2" fontId="0" fillId="0" borderId="1" xfId="0" applyNumberFormat="1" applyFill="1" applyBorder="1"/>
    <xf numFmtId="9" fontId="0" fillId="0" borderId="1" xfId="0" applyNumberFormat="1" applyFill="1" applyBorder="1"/>
    <xf numFmtId="2" fontId="0" fillId="0" borderId="0" xfId="0" applyNumberFormat="1" applyBorder="1"/>
    <xf numFmtId="0" fontId="1" fillId="3" borderId="3" xfId="0" applyFont="1" applyFill="1" applyBorder="1" applyAlignment="1"/>
    <xf numFmtId="166" fontId="0" fillId="0" borderId="1" xfId="0" applyNumberFormat="1" applyBorder="1"/>
    <xf numFmtId="166" fontId="1" fillId="0" borderId="1" xfId="0" applyNumberFormat="1" applyFont="1" applyFill="1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0" fontId="0" fillId="4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 applyFill="1" applyBorder="1"/>
    <xf numFmtId="0" fontId="0" fillId="5" borderId="1" xfId="0" applyFill="1" applyBorder="1" applyAlignment="1">
      <alignment wrapText="1"/>
    </xf>
    <xf numFmtId="4" fontId="1" fillId="0" borderId="1" xfId="0" applyNumberFormat="1" applyFont="1" applyFill="1" applyBorder="1" applyAlignment="1">
      <alignment horizontal="left"/>
    </xf>
    <xf numFmtId="1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8" xfId="0" applyBorder="1"/>
    <xf numFmtId="1" fontId="0" fillId="0" borderId="1" xfId="0" applyNumberFormat="1" applyBorder="1"/>
    <xf numFmtId="10" fontId="0" fillId="0" borderId="9" xfId="0" applyNumberFormat="1" applyBorder="1"/>
    <xf numFmtId="1" fontId="0" fillId="0" borderId="10" xfId="0" applyNumberFormat="1" applyBorder="1"/>
    <xf numFmtId="10" fontId="0" fillId="0" borderId="11" xfId="0" applyNumberFormat="1" applyBorder="1" applyAlignment="1">
      <alignment horizontal="right"/>
    </xf>
    <xf numFmtId="0" fontId="0" fillId="0" borderId="12" xfId="0" applyBorder="1"/>
    <xf numFmtId="0" fontId="0" fillId="0" borderId="13" xfId="0" applyBorder="1"/>
    <xf numFmtId="1" fontId="0" fillId="0" borderId="13" xfId="0" applyNumberFormat="1" applyBorder="1"/>
    <xf numFmtId="10" fontId="0" fillId="0" borderId="14" xfId="0" applyNumberFormat="1" applyBorder="1"/>
    <xf numFmtId="1" fontId="0" fillId="0" borderId="15" xfId="0" applyNumberFormat="1" applyBorder="1"/>
    <xf numFmtId="4" fontId="1" fillId="0" borderId="1" xfId="0" applyNumberFormat="1" applyFont="1" applyBorder="1" applyAlignment="1">
      <alignment horizontal="right"/>
    </xf>
    <xf numFmtId="167" fontId="1" fillId="0" borderId="1" xfId="0" applyNumberFormat="1" applyFont="1" applyBorder="1"/>
    <xf numFmtId="1" fontId="0" fillId="6" borderId="1" xfId="0" applyNumberFormat="1" applyFill="1" applyBorder="1"/>
    <xf numFmtId="1" fontId="0" fillId="6" borderId="13" xfId="0" applyNumberFormat="1" applyFill="1" applyBorder="1"/>
    <xf numFmtId="1" fontId="0" fillId="0" borderId="0" xfId="0" applyNumberFormat="1" applyFill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1" fontId="0" fillId="0" borderId="10" xfId="0" applyNumberFormat="1" applyFill="1" applyBorder="1"/>
    <xf numFmtId="0" fontId="0" fillId="7" borderId="0" xfId="0" applyFill="1" applyAlignment="1">
      <alignment horizontal="center"/>
    </xf>
    <xf numFmtId="0" fontId="0" fillId="7" borderId="8" xfId="0" applyFill="1" applyBorder="1"/>
    <xf numFmtId="0" fontId="0" fillId="7" borderId="1" xfId="0" applyFill="1" applyBorder="1"/>
    <xf numFmtId="1" fontId="0" fillId="7" borderId="1" xfId="0" applyNumberFormat="1" applyFill="1" applyBorder="1"/>
    <xf numFmtId="10" fontId="0" fillId="7" borderId="11" xfId="0" applyNumberFormat="1" applyFill="1" applyBorder="1" applyAlignment="1">
      <alignment horizontal="right"/>
    </xf>
    <xf numFmtId="1" fontId="0" fillId="7" borderId="10" xfId="0" applyNumberFormat="1" applyFill="1" applyBorder="1"/>
    <xf numFmtId="0" fontId="0" fillId="0" borderId="0" xfId="0" applyFill="1" applyAlignment="1">
      <alignment horizontal="center"/>
    </xf>
    <xf numFmtId="0" fontId="0" fillId="0" borderId="8" xfId="0" applyFill="1" applyBorder="1"/>
    <xf numFmtId="1" fontId="0" fillId="0" borderId="1" xfId="0" applyNumberFormat="1" applyFill="1" applyBorder="1"/>
    <xf numFmtId="10" fontId="0" fillId="0" borderId="11" xfId="0" applyNumberFormat="1" applyFill="1" applyBorder="1" applyAlignment="1">
      <alignment horizontal="right"/>
    </xf>
    <xf numFmtId="0" fontId="0" fillId="8" borderId="0" xfId="0" applyFill="1" applyAlignment="1">
      <alignment horizontal="center"/>
    </xf>
    <xf numFmtId="1" fontId="0" fillId="6" borderId="5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68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  <xf numFmtId="168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Border="1"/>
    <xf numFmtId="2" fontId="1" fillId="0" borderId="1" xfId="0" applyNumberFormat="1" applyFont="1" applyBorder="1"/>
    <xf numFmtId="164" fontId="2" fillId="0" borderId="1" xfId="0" applyNumberFormat="1" applyFont="1" applyFill="1" applyBorder="1"/>
    <xf numFmtId="10" fontId="0" fillId="0" borderId="0" xfId="0" applyNumberFormat="1" applyFill="1"/>
    <xf numFmtId="0" fontId="1" fillId="10" borderId="0" xfId="0" applyFont="1" applyFill="1"/>
    <xf numFmtId="4" fontId="2" fillId="10" borderId="1" xfId="0" applyNumberFormat="1" applyFont="1" applyFill="1" applyBorder="1"/>
    <xf numFmtId="4" fontId="1" fillId="5" borderId="1" xfId="0" applyNumberFormat="1" applyFont="1" applyFill="1" applyBorder="1"/>
    <xf numFmtId="1" fontId="0" fillId="5" borderId="10" xfId="0" applyNumberFormat="1" applyFill="1" applyBorder="1"/>
    <xf numFmtId="1" fontId="0" fillId="5" borderId="15" xfId="0" applyNumberFormat="1" applyFill="1" applyBorder="1"/>
    <xf numFmtId="1" fontId="0" fillId="5" borderId="7" xfId="0" applyNumberFormat="1" applyFill="1" applyBorder="1" applyAlignment="1">
      <alignment horizontal="center"/>
    </xf>
    <xf numFmtId="0" fontId="2" fillId="0" borderId="1" xfId="0" applyNumberFormat="1" applyFont="1" applyFill="1" applyBorder="1"/>
    <xf numFmtId="0" fontId="2" fillId="5" borderId="1" xfId="0" applyFont="1" applyFill="1" applyBorder="1" applyAlignment="1">
      <alignment wrapText="1"/>
    </xf>
    <xf numFmtId="166" fontId="0" fillId="0" borderId="0" xfId="0" applyNumberFormat="1"/>
    <xf numFmtId="169" fontId="0" fillId="0" borderId="0" xfId="0" applyNumberFormat="1"/>
    <xf numFmtId="0" fontId="6" fillId="11" borderId="1" xfId="0" applyFont="1" applyFill="1" applyBorder="1" applyAlignment="1">
      <alignment horizontal="justify" vertical="top" wrapText="1"/>
    </xf>
    <xf numFmtId="9" fontId="6" fillId="11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10" fontId="7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/>
    </xf>
    <xf numFmtId="0" fontId="2" fillId="5" borderId="1" xfId="0" applyFont="1" applyFill="1" applyBorder="1"/>
    <xf numFmtId="0" fontId="1" fillId="5" borderId="1" xfId="0" applyFont="1" applyFill="1" applyBorder="1"/>
    <xf numFmtId="0" fontId="0" fillId="5" borderId="0" xfId="0" applyFill="1" applyAlignment="1">
      <alignment horizontal="center"/>
    </xf>
    <xf numFmtId="0" fontId="0" fillId="5" borderId="8" xfId="0" applyFill="1" applyBorder="1"/>
    <xf numFmtId="1" fontId="0" fillId="5" borderId="0" xfId="0" applyNumberFormat="1" applyFill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9" xfId="0" applyFill="1" applyBorder="1" applyAlignment="1">
      <alignment horizontal="right"/>
    </xf>
    <xf numFmtId="2" fontId="0" fillId="5" borderId="1" xfId="0" applyNumberFormat="1" applyFill="1" applyBorder="1"/>
    <xf numFmtId="4" fontId="2" fillId="5" borderId="1" xfId="0" applyNumberFormat="1" applyFont="1" applyFill="1" applyBorder="1"/>
    <xf numFmtId="0" fontId="2" fillId="0" borderId="2" xfId="0" applyFont="1" applyFill="1" applyBorder="1" applyAlignment="1">
      <alignment horizontal="right"/>
    </xf>
    <xf numFmtId="1" fontId="2" fillId="0" borderId="9" xfId="0" applyNumberFormat="1" applyFont="1" applyBorder="1" applyAlignment="1">
      <alignment horizontal="center"/>
    </xf>
    <xf numFmtId="0" fontId="2" fillId="0" borderId="9" xfId="0" applyFont="1" applyBorder="1"/>
    <xf numFmtId="4" fontId="2" fillId="0" borderId="9" xfId="0" applyNumberFormat="1" applyFont="1" applyBorder="1"/>
    <xf numFmtId="4" fontId="2" fillId="0" borderId="9" xfId="0" applyNumberFormat="1" applyFont="1" applyFill="1" applyBorder="1"/>
    <xf numFmtId="4" fontId="2" fillId="10" borderId="9" xfId="0" applyNumberFormat="1" applyFont="1" applyFill="1" applyBorder="1"/>
    <xf numFmtId="2" fontId="1" fillId="0" borderId="9" xfId="0" applyNumberFormat="1" applyFont="1" applyBorder="1"/>
    <xf numFmtId="0" fontId="1" fillId="0" borderId="9" xfId="0" applyFont="1" applyBorder="1"/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/>
    <xf numFmtId="0" fontId="2" fillId="0" borderId="0" xfId="0" applyFont="1" applyFill="1"/>
    <xf numFmtId="10" fontId="2" fillId="0" borderId="0" xfId="0" applyNumberFormat="1" applyFont="1" applyFill="1" applyBorder="1"/>
    <xf numFmtId="2" fontId="2" fillId="0" borderId="0" xfId="0" applyNumberFormat="1" applyFont="1" applyFill="1"/>
    <xf numFmtId="10" fontId="2" fillId="0" borderId="0" xfId="0" applyNumberFormat="1" applyFont="1" applyFill="1" applyBorder="1" applyAlignment="1"/>
    <xf numFmtId="4" fontId="2" fillId="0" borderId="0" xfId="0" applyNumberFormat="1" applyFont="1" applyFill="1" applyBorder="1"/>
    <xf numFmtId="10" fontId="1" fillId="0" borderId="0" xfId="0" applyNumberFormat="1" applyFont="1" applyFill="1" applyBorder="1" applyAlignment="1">
      <alignment horizontal="left"/>
    </xf>
    <xf numFmtId="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70" fontId="2" fillId="0" borderId="0" xfId="0" applyNumberFormat="1" applyFont="1" applyFill="1"/>
    <xf numFmtId="0" fontId="8" fillId="0" borderId="0" xfId="1" applyFill="1" applyBorder="1" applyAlignment="1" applyProtection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9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1" fontId="2" fillId="0" borderId="1" xfId="0" applyNumberFormat="1" applyFont="1" applyFill="1" applyBorder="1"/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0" fontId="8" fillId="0" borderId="0" xfId="1" applyFill="1" applyAlignment="1" applyProtection="1"/>
    <xf numFmtId="0" fontId="8" fillId="0" borderId="1" xfId="1" applyFill="1" applyBorder="1" applyAlignment="1" applyProtection="1"/>
    <xf numFmtId="17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1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0" fontId="0" fillId="0" borderId="6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0" fontId="0" fillId="0" borderId="9" xfId="0" applyNumberFormat="1" applyFill="1" applyBorder="1"/>
    <xf numFmtId="166" fontId="0" fillId="0" borderId="1" xfId="0" applyNumberFormat="1" applyFill="1" applyBorder="1"/>
    <xf numFmtId="4" fontId="1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/>
    <xf numFmtId="10" fontId="1" fillId="0" borderId="1" xfId="0" applyNumberFormat="1" applyFont="1" applyFill="1" applyBorder="1"/>
    <xf numFmtId="0" fontId="2" fillId="0" borderId="17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1" fontId="0" fillId="0" borderId="0" xfId="0" applyNumberFormat="1" applyFill="1" applyAlignment="1">
      <alignment horizontal="center"/>
    </xf>
    <xf numFmtId="4" fontId="1" fillId="5" borderId="20" xfId="0" applyNumberFormat="1" applyFont="1" applyFill="1" applyBorder="1" applyAlignment="1">
      <alignment horizontal="left" vertical="center"/>
    </xf>
    <xf numFmtId="4" fontId="1" fillId="5" borderId="21" xfId="0" applyNumberFormat="1" applyFont="1" applyFill="1" applyBorder="1" applyAlignment="1">
      <alignment horizontal="left" vertical="center"/>
    </xf>
    <xf numFmtId="4" fontId="1" fillId="5" borderId="22" xfId="0" applyNumberFormat="1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wet.tn.nic.in/Docu/Tariff_SERC_23_08_2010.pdf" TargetMode="External"/><Relationship Id="rId2" Type="http://schemas.openxmlformats.org/officeDocument/2006/relationships/hyperlink" Target="http://www.x-rates.com/d/INR/EUR/hist2011.html" TargetMode="External"/><Relationship Id="rId1" Type="http://schemas.openxmlformats.org/officeDocument/2006/relationships/hyperlink" Target="http://www.rerc.rajasthan.gov.in/Orders/Order115.ra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topLeftCell="B1" zoomScaleNormal="100" workbookViewId="0">
      <selection activeCell="E26" sqref="E26"/>
    </sheetView>
  </sheetViews>
  <sheetFormatPr defaultRowHeight="12.75"/>
  <cols>
    <col min="1" max="1" width="51.85546875" style="155" bestFit="1" customWidth="1"/>
    <col min="2" max="2" width="18.140625" style="155" bestFit="1" customWidth="1"/>
    <col min="3" max="3" width="18.140625" style="155" customWidth="1"/>
    <col min="4" max="5" width="51" style="155" customWidth="1"/>
    <col min="6" max="6" width="35.140625" style="155" bestFit="1" customWidth="1"/>
    <col min="7" max="7" width="17.5703125" style="157" bestFit="1" customWidth="1"/>
    <col min="8" max="16384" width="9.140625" style="155"/>
  </cols>
  <sheetData>
    <row r="1" spans="1:7">
      <c r="A1" s="165" t="s">
        <v>0</v>
      </c>
      <c r="B1" s="165" t="s">
        <v>199</v>
      </c>
      <c r="C1" s="165" t="s">
        <v>200</v>
      </c>
      <c r="D1" s="165" t="s">
        <v>196</v>
      </c>
      <c r="E1" s="166"/>
      <c r="G1" s="155"/>
    </row>
    <row r="2" spans="1:7" ht="25.5">
      <c r="A2" s="5" t="s">
        <v>1</v>
      </c>
      <c r="B2" s="24" t="s">
        <v>170</v>
      </c>
      <c r="C2" s="24"/>
      <c r="D2" s="167" t="s">
        <v>179</v>
      </c>
      <c r="E2" s="168"/>
      <c r="F2" s="156"/>
    </row>
    <row r="3" spans="1:7">
      <c r="A3" s="5" t="s">
        <v>2</v>
      </c>
      <c r="B3" s="169" t="s">
        <v>171</v>
      </c>
      <c r="C3" s="169"/>
      <c r="D3" s="170"/>
      <c r="E3" s="171"/>
      <c r="F3" s="158"/>
    </row>
    <row r="4" spans="1:7">
      <c r="A4" s="5" t="s">
        <v>205</v>
      </c>
      <c r="B4" s="5">
        <v>36</v>
      </c>
      <c r="C4" s="5" t="s">
        <v>5</v>
      </c>
      <c r="D4" s="5" t="s">
        <v>180</v>
      </c>
      <c r="E4" s="7"/>
      <c r="F4" s="159"/>
    </row>
    <row r="5" spans="1:7">
      <c r="A5" s="5" t="s">
        <v>131</v>
      </c>
      <c r="B5" s="5">
        <v>2.1</v>
      </c>
      <c r="C5" s="5" t="s">
        <v>4</v>
      </c>
      <c r="D5" s="5" t="s">
        <v>180</v>
      </c>
      <c r="E5" s="7"/>
      <c r="F5" s="7"/>
    </row>
    <row r="6" spans="1:7" ht="25.5">
      <c r="A6" s="5" t="s">
        <v>3</v>
      </c>
      <c r="B6" s="5">
        <f>B4*B5</f>
        <v>75.600000000000009</v>
      </c>
      <c r="C6" s="5" t="s">
        <v>4</v>
      </c>
      <c r="D6" s="167" t="s">
        <v>179</v>
      </c>
      <c r="E6" s="168"/>
      <c r="F6" s="7"/>
    </row>
    <row r="7" spans="1:7">
      <c r="A7" s="5" t="s">
        <v>164</v>
      </c>
      <c r="B7" s="6">
        <f>'Project Cost'!D3</f>
        <v>131.19999999999999</v>
      </c>
      <c r="C7" s="5" t="s">
        <v>112</v>
      </c>
      <c r="D7" s="5" t="s">
        <v>180</v>
      </c>
      <c r="E7" s="7"/>
      <c r="F7" s="7"/>
    </row>
    <row r="8" spans="1:7">
      <c r="A8" s="5" t="s">
        <v>6</v>
      </c>
      <c r="B8" s="172">
        <f>'Project Cost'!D2*(1+'Sensitivity Analysis'!C12)</f>
        <v>4723.2</v>
      </c>
      <c r="C8" s="5" t="s">
        <v>112</v>
      </c>
      <c r="D8" s="5" t="s">
        <v>181</v>
      </c>
      <c r="E8" s="7"/>
      <c r="F8" s="7"/>
    </row>
    <row r="9" spans="1:7">
      <c r="A9" s="5" t="s">
        <v>32</v>
      </c>
      <c r="B9" s="117">
        <f>B8/B6</f>
        <v>62.476190476190467</v>
      </c>
      <c r="C9" s="5" t="s">
        <v>112</v>
      </c>
      <c r="D9" s="5" t="s">
        <v>181</v>
      </c>
      <c r="E9" s="7"/>
      <c r="F9" s="7"/>
    </row>
    <row r="10" spans="1:7">
      <c r="A10" s="26" t="s">
        <v>7</v>
      </c>
      <c r="B10" s="6"/>
      <c r="C10" s="6"/>
      <c r="D10" s="5"/>
      <c r="E10" s="7"/>
      <c r="F10" s="7"/>
    </row>
    <row r="11" spans="1:7">
      <c r="A11" s="5" t="s">
        <v>8</v>
      </c>
      <c r="B11" s="8">
        <f>B13*66.09%</f>
        <v>3121.56288</v>
      </c>
      <c r="C11" s="5" t="s">
        <v>112</v>
      </c>
      <c r="D11" s="189" t="s">
        <v>203</v>
      </c>
      <c r="E11" s="173" t="s">
        <v>210</v>
      </c>
      <c r="F11" s="160"/>
    </row>
    <row r="12" spans="1:7">
      <c r="A12" s="5" t="s">
        <v>9</v>
      </c>
      <c r="B12" s="8">
        <f>B13-B11</f>
        <v>1601.6371199999999</v>
      </c>
      <c r="C12" s="5" t="s">
        <v>112</v>
      </c>
      <c r="D12" s="190"/>
      <c r="E12" s="173"/>
      <c r="F12" s="161"/>
    </row>
    <row r="13" spans="1:7">
      <c r="A13" s="26" t="s">
        <v>6</v>
      </c>
      <c r="B13" s="8">
        <f>B8</f>
        <v>4723.2</v>
      </c>
      <c r="C13" s="10" t="s">
        <v>112</v>
      </c>
      <c r="D13" s="14" t="s">
        <v>181</v>
      </c>
      <c r="E13" s="7"/>
      <c r="F13" s="162"/>
    </row>
    <row r="14" spans="1:7">
      <c r="A14" s="26" t="s">
        <v>10</v>
      </c>
      <c r="B14" s="5"/>
      <c r="C14" s="5"/>
      <c r="D14" s="5"/>
      <c r="E14" s="7"/>
      <c r="F14" s="7"/>
    </row>
    <row r="15" spans="1:7" ht="25.5">
      <c r="A15" s="5" t="s">
        <v>206</v>
      </c>
      <c r="B15" s="118">
        <f>20.1%*(1+'Sensitivity Analysis'!C6)</f>
        <v>0.20100000000000001</v>
      </c>
      <c r="C15" s="118" t="s">
        <v>176</v>
      </c>
      <c r="D15" s="167" t="s">
        <v>197</v>
      </c>
      <c r="E15" s="168"/>
      <c r="F15" s="7"/>
    </row>
    <row r="16" spans="1:7">
      <c r="A16" s="5" t="s">
        <v>11</v>
      </c>
      <c r="B16" s="6">
        <f>+B6*24*365*1000/10^6*B15</f>
        <v>133.11345600000001</v>
      </c>
      <c r="C16" s="5" t="s">
        <v>113</v>
      </c>
      <c r="D16" s="14" t="s">
        <v>181</v>
      </c>
      <c r="E16" s="7"/>
      <c r="F16" s="7"/>
    </row>
    <row r="17" spans="1:7" ht="25.5">
      <c r="A17" s="5" t="s">
        <v>12</v>
      </c>
      <c r="B17" s="12">
        <v>1</v>
      </c>
      <c r="C17" s="12" t="s">
        <v>176</v>
      </c>
      <c r="D17" s="167" t="s">
        <v>197</v>
      </c>
      <c r="E17" s="168"/>
      <c r="F17" s="7"/>
      <c r="G17" s="163"/>
    </row>
    <row r="18" spans="1:7">
      <c r="A18" s="5" t="s">
        <v>13</v>
      </c>
      <c r="B18" s="36">
        <v>0</v>
      </c>
      <c r="C18" s="36" t="s">
        <v>176</v>
      </c>
      <c r="D18" s="5" t="s">
        <v>14</v>
      </c>
      <c r="E18" s="7"/>
      <c r="F18" s="7"/>
    </row>
    <row r="19" spans="1:7">
      <c r="A19" s="5" t="s">
        <v>15</v>
      </c>
      <c r="B19" s="6">
        <f>+B16*(1-B18)</f>
        <v>133.11345600000001</v>
      </c>
      <c r="C19" s="5" t="s">
        <v>113</v>
      </c>
      <c r="D19" s="5" t="s">
        <v>181</v>
      </c>
      <c r="E19" s="7"/>
      <c r="F19" s="7"/>
    </row>
    <row r="20" spans="1:7">
      <c r="A20" s="5" t="s">
        <v>16</v>
      </c>
      <c r="B20" s="6">
        <v>20</v>
      </c>
      <c r="C20" s="5" t="s">
        <v>17</v>
      </c>
      <c r="D20" s="5" t="s">
        <v>182</v>
      </c>
      <c r="E20" s="7"/>
      <c r="F20" s="7"/>
    </row>
    <row r="21" spans="1:7">
      <c r="A21" s="26" t="s">
        <v>18</v>
      </c>
      <c r="B21" s="6"/>
      <c r="C21" s="6"/>
      <c r="D21" s="5"/>
      <c r="E21" s="7"/>
      <c r="G21" s="7"/>
    </row>
    <row r="22" spans="1:7">
      <c r="A22" s="5" t="s">
        <v>183</v>
      </c>
      <c r="B22" s="6">
        <f>80.28*(1+'Sensitivity Analysis'!C8)</f>
        <v>80.28</v>
      </c>
      <c r="C22" s="6" t="s">
        <v>112</v>
      </c>
      <c r="D22" s="5" t="s">
        <v>180</v>
      </c>
      <c r="E22" s="7"/>
      <c r="G22" s="7"/>
    </row>
    <row r="23" spans="1:7">
      <c r="A23" s="5" t="s">
        <v>174</v>
      </c>
      <c r="B23" s="12">
        <v>0.05</v>
      </c>
      <c r="C23" s="12" t="s">
        <v>176</v>
      </c>
      <c r="D23" s="5" t="s">
        <v>180</v>
      </c>
      <c r="E23" s="7"/>
      <c r="G23" s="7"/>
    </row>
    <row r="24" spans="1:7">
      <c r="A24" s="5"/>
      <c r="B24" s="6"/>
      <c r="C24" s="6"/>
      <c r="D24" s="5"/>
      <c r="E24" s="7"/>
      <c r="G24" s="7"/>
    </row>
    <row r="25" spans="1:7">
      <c r="A25" s="5"/>
      <c r="B25" s="12"/>
      <c r="C25" s="12"/>
      <c r="D25" s="5"/>
      <c r="E25" s="7"/>
      <c r="G25" s="156"/>
    </row>
    <row r="26" spans="1:7">
      <c r="A26" s="26" t="s">
        <v>19</v>
      </c>
      <c r="B26" s="5"/>
      <c r="C26" s="5"/>
      <c r="D26" s="5"/>
      <c r="E26" s="7"/>
      <c r="G26" s="7"/>
    </row>
    <row r="27" spans="1:7">
      <c r="A27" s="5" t="s">
        <v>20</v>
      </c>
      <c r="B27" s="5"/>
      <c r="C27" s="5"/>
      <c r="D27" s="5"/>
      <c r="E27" s="7"/>
      <c r="G27" s="7"/>
    </row>
    <row r="28" spans="1:7">
      <c r="A28" s="5" t="s">
        <v>21</v>
      </c>
      <c r="B28" s="12">
        <f>9.75%+3.25%-0.35%</f>
        <v>0.1265</v>
      </c>
      <c r="C28" s="12" t="s">
        <v>176</v>
      </c>
      <c r="D28" s="5" t="s">
        <v>207</v>
      </c>
      <c r="E28" s="173" t="s">
        <v>210</v>
      </c>
      <c r="G28" s="7"/>
    </row>
    <row r="29" spans="1:7">
      <c r="A29" s="5" t="s">
        <v>22</v>
      </c>
      <c r="B29" s="6">
        <v>4.22</v>
      </c>
      <c r="C29" s="174" t="s">
        <v>177</v>
      </c>
      <c r="D29" s="175" t="s">
        <v>204</v>
      </c>
      <c r="E29" s="175"/>
      <c r="F29" s="164"/>
    </row>
    <row r="30" spans="1:7">
      <c r="A30" s="5" t="s">
        <v>23</v>
      </c>
      <c r="B30" s="12">
        <v>0</v>
      </c>
      <c r="C30" s="12" t="s">
        <v>176</v>
      </c>
      <c r="D30" s="5"/>
      <c r="E30" s="7"/>
      <c r="F30" s="7"/>
    </row>
    <row r="31" spans="1:7">
      <c r="A31" s="26"/>
      <c r="B31" s="12"/>
      <c r="C31" s="12"/>
      <c r="D31" s="5"/>
      <c r="E31" s="7"/>
      <c r="F31" s="7"/>
    </row>
    <row r="32" spans="1:7">
      <c r="A32" s="26" t="s">
        <v>185</v>
      </c>
      <c r="B32" s="12"/>
      <c r="C32" s="12"/>
      <c r="D32" s="5"/>
      <c r="E32" s="7"/>
      <c r="F32" s="7"/>
    </row>
    <row r="33" spans="1:6">
      <c r="A33" s="5" t="s">
        <v>186</v>
      </c>
      <c r="B33" s="6">
        <v>12.5</v>
      </c>
      <c r="C33" s="12" t="s">
        <v>17</v>
      </c>
      <c r="D33" s="5" t="s">
        <v>207</v>
      </c>
      <c r="E33" s="173" t="s">
        <v>210</v>
      </c>
      <c r="F33" s="7"/>
    </row>
    <row r="34" spans="1:6">
      <c r="A34" s="5" t="s">
        <v>187</v>
      </c>
      <c r="B34" s="125">
        <v>0</v>
      </c>
      <c r="C34" s="12" t="s">
        <v>17</v>
      </c>
      <c r="D34" s="5"/>
      <c r="E34" s="7"/>
      <c r="F34" s="7"/>
    </row>
    <row r="35" spans="1:6">
      <c r="A35" s="5" t="s">
        <v>188</v>
      </c>
      <c r="B35" s="125">
        <f>B33*12</f>
        <v>150</v>
      </c>
      <c r="D35" s="5"/>
      <c r="E35" s="7"/>
      <c r="F35" s="7"/>
    </row>
    <row r="36" spans="1:6">
      <c r="A36" s="5" t="s">
        <v>189</v>
      </c>
      <c r="B36" s="125">
        <f>B11/B35</f>
        <v>20.810419199999998</v>
      </c>
      <c r="C36" s="12" t="s">
        <v>190</v>
      </c>
      <c r="D36" s="5"/>
      <c r="E36" s="7"/>
      <c r="F36" s="7"/>
    </row>
    <row r="37" spans="1:6">
      <c r="A37" s="26" t="s">
        <v>24</v>
      </c>
      <c r="B37" s="13"/>
      <c r="C37" s="13"/>
      <c r="D37" s="5"/>
      <c r="E37" s="7"/>
      <c r="F37" s="7"/>
    </row>
    <row r="38" spans="1:6">
      <c r="A38" s="26" t="s">
        <v>25</v>
      </c>
      <c r="B38" s="13"/>
      <c r="C38" s="13"/>
      <c r="D38" s="5"/>
      <c r="E38" s="7"/>
      <c r="F38" s="7"/>
    </row>
    <row r="39" spans="1:6">
      <c r="A39" s="5" t="s">
        <v>26</v>
      </c>
      <c r="B39" s="12">
        <v>5.28E-2</v>
      </c>
      <c r="C39" s="12" t="s">
        <v>176</v>
      </c>
      <c r="D39" s="175" t="s">
        <v>202</v>
      </c>
      <c r="E39" s="175"/>
      <c r="F39" s="7"/>
    </row>
    <row r="40" spans="1:6">
      <c r="A40" s="26" t="s">
        <v>27</v>
      </c>
      <c r="B40" s="13"/>
      <c r="C40" s="13"/>
      <c r="D40" s="5"/>
      <c r="E40" s="7"/>
      <c r="F40" s="7"/>
    </row>
    <row r="41" spans="1:6">
      <c r="A41" s="5" t="s">
        <v>28</v>
      </c>
      <c r="B41" s="13">
        <v>0.15</v>
      </c>
      <c r="C41" s="13" t="s">
        <v>176</v>
      </c>
      <c r="D41" s="5" t="s">
        <v>208</v>
      </c>
      <c r="E41" s="7"/>
      <c r="F41" s="7"/>
    </row>
    <row r="42" spans="1:6">
      <c r="A42" s="5"/>
      <c r="B42" s="13"/>
      <c r="C42" s="13"/>
      <c r="D42" s="5"/>
      <c r="E42" s="7"/>
      <c r="F42" s="7"/>
    </row>
    <row r="43" spans="1:6">
      <c r="A43" s="26" t="s">
        <v>29</v>
      </c>
      <c r="B43" s="13"/>
      <c r="C43" s="13"/>
      <c r="D43" s="5"/>
      <c r="E43" s="7"/>
      <c r="F43" s="7"/>
    </row>
    <row r="44" spans="1:6">
      <c r="A44" s="5" t="s">
        <v>30</v>
      </c>
      <c r="B44" s="12">
        <v>0.32450000000000001</v>
      </c>
      <c r="C44" s="12" t="s">
        <v>176</v>
      </c>
      <c r="D44" s="5"/>
      <c r="E44" s="7"/>
      <c r="F44" s="7"/>
    </row>
    <row r="45" spans="1:6">
      <c r="A45" s="5" t="s">
        <v>129</v>
      </c>
      <c r="B45" s="13">
        <v>0.2001</v>
      </c>
      <c r="C45" s="13" t="s">
        <v>176</v>
      </c>
      <c r="D45" s="5"/>
      <c r="E45" s="7"/>
    </row>
    <row r="46" spans="1:6">
      <c r="A46" s="26" t="s">
        <v>126</v>
      </c>
      <c r="B46" s="5"/>
      <c r="C46" s="5"/>
      <c r="D46" s="5"/>
      <c r="E46" s="7"/>
    </row>
    <row r="47" spans="1:6" ht="25.5">
      <c r="A47" s="5" t="s">
        <v>127</v>
      </c>
      <c r="B47" s="5">
        <v>0.95269999999999999</v>
      </c>
      <c r="C47" s="5" t="s">
        <v>178</v>
      </c>
      <c r="D47" s="167" t="s">
        <v>198</v>
      </c>
      <c r="E47" s="168"/>
    </row>
    <row r="48" spans="1:6">
      <c r="A48" s="5" t="s">
        <v>128</v>
      </c>
      <c r="B48" s="5">
        <v>10</v>
      </c>
      <c r="C48" s="5"/>
      <c r="D48" s="5" t="s">
        <v>175</v>
      </c>
      <c r="E48" s="7"/>
    </row>
    <row r="49" spans="1:5">
      <c r="A49" s="14" t="s">
        <v>209</v>
      </c>
      <c r="B49" s="5">
        <v>64.52</v>
      </c>
      <c r="C49" s="5" t="s">
        <v>106</v>
      </c>
      <c r="D49" s="176" t="s">
        <v>184</v>
      </c>
      <c r="E49" s="164"/>
    </row>
    <row r="50" spans="1:5">
      <c r="A50" s="5"/>
      <c r="B50" s="177"/>
      <c r="C50" s="177"/>
    </row>
  </sheetData>
  <dataConsolidate/>
  <mergeCells count="1">
    <mergeCell ref="D11:D12"/>
  </mergeCells>
  <phoneticPr fontId="0" type="noConversion"/>
  <hyperlinks>
    <hyperlink ref="D29" r:id="rId1"/>
    <hyperlink ref="D49" r:id="rId2"/>
    <hyperlink ref="D39" r:id="rId3"/>
  </hyperlinks>
  <pageMargins left="0" right="0" top="0" bottom="0" header="0" footer="0"/>
  <pageSetup orientation="portrait" verticalDpi="180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I14"/>
  <sheetViews>
    <sheetView workbookViewId="0">
      <selection activeCell="D18" sqref="D18"/>
    </sheetView>
  </sheetViews>
  <sheetFormatPr defaultRowHeight="12.75"/>
  <cols>
    <col min="2" max="2" width="5.140625" style="114" customWidth="1"/>
    <col min="3" max="3" width="28.140625" style="112" customWidth="1"/>
    <col min="4" max="4" width="14.7109375" style="114" customWidth="1"/>
    <col min="5" max="5" width="9.85546875" style="114" bestFit="1" customWidth="1"/>
    <col min="6" max="6" width="12.28515625" style="114" customWidth="1"/>
    <col min="7" max="7" width="9.140625" style="114"/>
    <col min="8" max="8" width="11.5703125" style="114" bestFit="1" customWidth="1"/>
    <col min="9" max="9" width="11" style="114" bestFit="1" customWidth="1"/>
    <col min="10" max="10" width="20.28515625" bestFit="1" customWidth="1"/>
  </cols>
  <sheetData>
    <row r="2" spans="2:9">
      <c r="C2" s="108" t="s">
        <v>6</v>
      </c>
      <c r="D2" s="133">
        <f>F8</f>
        <v>4723.2</v>
      </c>
      <c r="E2" s="134" t="s">
        <v>163</v>
      </c>
    </row>
    <row r="3" spans="2:9">
      <c r="C3" s="108" t="s">
        <v>164</v>
      </c>
      <c r="D3" s="134">
        <f>D2/Assumptions!B4</f>
        <v>131.19999999999999</v>
      </c>
      <c r="E3" s="134" t="s">
        <v>163</v>
      </c>
    </row>
    <row r="4" spans="2:9">
      <c r="C4" s="108" t="s">
        <v>32</v>
      </c>
      <c r="D4" s="133">
        <f>D2/Assumptions!B6</f>
        <v>62.476190476190467</v>
      </c>
      <c r="E4" s="134" t="s">
        <v>163</v>
      </c>
    </row>
    <row r="6" spans="2:9" s="22" customFormat="1" ht="25.5">
      <c r="B6" s="105" t="s">
        <v>155</v>
      </c>
      <c r="C6" s="105" t="s">
        <v>156</v>
      </c>
      <c r="D6" s="105" t="s">
        <v>173</v>
      </c>
      <c r="E6" s="105" t="s">
        <v>157</v>
      </c>
      <c r="F6" s="105" t="s">
        <v>158</v>
      </c>
      <c r="G6" s="106"/>
      <c r="H6" s="106"/>
      <c r="I6" s="106"/>
    </row>
    <row r="7" spans="2:9" s="18" customFormat="1">
      <c r="B7" s="107">
        <v>1</v>
      </c>
      <c r="C7" s="108" t="s">
        <v>172</v>
      </c>
      <c r="D7" s="107">
        <v>131.19999999999999</v>
      </c>
      <c r="E7" s="107">
        <v>36</v>
      </c>
      <c r="F7" s="109">
        <f>E7*D7</f>
        <v>4723.2</v>
      </c>
      <c r="G7" s="110"/>
      <c r="H7" s="110"/>
      <c r="I7" s="110"/>
    </row>
    <row r="8" spans="2:9" s="18" customFormat="1">
      <c r="B8" s="191" t="s">
        <v>159</v>
      </c>
      <c r="C8" s="191"/>
      <c r="D8" s="191"/>
      <c r="E8" s="191"/>
      <c r="F8" s="111">
        <f>F7</f>
        <v>4723.2</v>
      </c>
      <c r="G8" s="110"/>
      <c r="H8" s="110"/>
      <c r="I8" s="110"/>
    </row>
    <row r="9" spans="2:9" s="18" customFormat="1">
      <c r="B9" s="110"/>
      <c r="C9" s="112"/>
      <c r="D9" s="110"/>
      <c r="E9" s="110"/>
      <c r="F9" s="110"/>
      <c r="G9" s="110"/>
      <c r="H9" s="110"/>
      <c r="I9" s="110"/>
    </row>
    <row r="10" spans="2:9" s="18" customFormat="1">
      <c r="B10" s="107">
        <v>1</v>
      </c>
      <c r="C10" s="192" t="s">
        <v>111</v>
      </c>
      <c r="D10" s="193"/>
      <c r="E10" s="193"/>
      <c r="F10" s="194"/>
      <c r="G10" s="110"/>
      <c r="H10" s="110"/>
      <c r="I10" s="110"/>
    </row>
    <row r="11" spans="2:9" s="18" customFormat="1">
      <c r="B11" s="107"/>
      <c r="C11" s="108" t="s">
        <v>160</v>
      </c>
      <c r="D11" s="135">
        <v>2230000</v>
      </c>
      <c r="E11" s="113">
        <v>36</v>
      </c>
      <c r="F11" s="109">
        <f>(D11*E11)/10^6</f>
        <v>80.28</v>
      </c>
      <c r="G11" s="110"/>
      <c r="H11" s="110"/>
      <c r="I11" s="110"/>
    </row>
    <row r="12" spans="2:9">
      <c r="B12" s="195" t="s">
        <v>161</v>
      </c>
      <c r="C12" s="196"/>
      <c r="D12" s="196"/>
      <c r="E12" s="197"/>
      <c r="F12" s="111">
        <f>SUM(F11:F11)</f>
        <v>80.28</v>
      </c>
    </row>
    <row r="14" spans="2:9" s="114" customFormat="1">
      <c r="C14" s="198" t="s">
        <v>162</v>
      </c>
      <c r="D14" s="198"/>
    </row>
  </sheetData>
  <mergeCells count="4">
    <mergeCell ref="B8:E8"/>
    <mergeCell ref="C10:F10"/>
    <mergeCell ref="B12:E12"/>
    <mergeCell ref="C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"/>
  <sheetViews>
    <sheetView workbookViewId="0">
      <selection activeCell="D22" sqref="D22"/>
    </sheetView>
  </sheetViews>
  <sheetFormatPr defaultColWidth="0" defaultRowHeight="12.75"/>
  <cols>
    <col min="1" max="1" width="27.42578125" style="3" bestFit="1" customWidth="1"/>
    <col min="2" max="22" width="12.28515625" style="3" bestFit="1" customWidth="1"/>
    <col min="23" max="16384" width="0" style="3" hidden="1"/>
  </cols>
  <sheetData>
    <row r="1" spans="1:22" s="21" customFormat="1">
      <c r="A1" s="137" t="s">
        <v>34</v>
      </c>
      <c r="B1" s="178" t="s">
        <v>201</v>
      </c>
      <c r="C1" s="178" t="s">
        <v>133</v>
      </c>
      <c r="D1" s="21" t="s">
        <v>134</v>
      </c>
      <c r="E1" s="21" t="s">
        <v>135</v>
      </c>
      <c r="F1" s="21" t="s">
        <v>136</v>
      </c>
      <c r="G1" s="21" t="s">
        <v>137</v>
      </c>
      <c r="H1" s="21" t="s">
        <v>138</v>
      </c>
      <c r="I1" s="21" t="s">
        <v>139</v>
      </c>
      <c r="J1" s="21" t="s">
        <v>140</v>
      </c>
      <c r="K1" s="21" t="s">
        <v>141</v>
      </c>
      <c r="L1" s="21" t="s">
        <v>142</v>
      </c>
      <c r="M1" s="21" t="s">
        <v>144</v>
      </c>
      <c r="N1" s="21" t="s">
        <v>145</v>
      </c>
      <c r="O1" s="21" t="s">
        <v>146</v>
      </c>
      <c r="P1" s="21" t="s">
        <v>147</v>
      </c>
      <c r="Q1" s="21" t="s">
        <v>148</v>
      </c>
      <c r="R1" s="21" t="s">
        <v>149</v>
      </c>
      <c r="S1" s="21" t="s">
        <v>150</v>
      </c>
      <c r="T1" s="21" t="s">
        <v>151</v>
      </c>
      <c r="U1" s="21" t="s">
        <v>152</v>
      </c>
      <c r="V1" s="21" t="s">
        <v>153</v>
      </c>
    </row>
    <row r="2" spans="1:22" ht="13.5" customHeight="1">
      <c r="A2" s="9" t="s">
        <v>33</v>
      </c>
      <c r="B2" s="26">
        <v>12</v>
      </c>
      <c r="C2" s="26">
        <v>12</v>
      </c>
      <c r="D2" s="9">
        <v>12</v>
      </c>
      <c r="E2" s="9">
        <v>12</v>
      </c>
      <c r="F2" s="9">
        <v>12</v>
      </c>
      <c r="G2" s="9">
        <v>12</v>
      </c>
      <c r="H2" s="9">
        <v>12</v>
      </c>
      <c r="I2" s="9">
        <v>12</v>
      </c>
      <c r="J2" s="9">
        <v>12</v>
      </c>
      <c r="K2" s="9">
        <v>12</v>
      </c>
      <c r="L2" s="9">
        <v>12</v>
      </c>
      <c r="M2" s="9">
        <v>12</v>
      </c>
      <c r="N2" s="9">
        <v>12</v>
      </c>
      <c r="O2" s="9">
        <v>12</v>
      </c>
      <c r="P2" s="9">
        <v>12</v>
      </c>
      <c r="Q2" s="9">
        <v>12</v>
      </c>
      <c r="R2" s="9">
        <v>12</v>
      </c>
      <c r="S2" s="9">
        <v>12</v>
      </c>
      <c r="T2" s="9">
        <v>12</v>
      </c>
      <c r="U2" s="9">
        <v>12</v>
      </c>
      <c r="V2" s="9">
        <v>12</v>
      </c>
    </row>
    <row r="3" spans="1:22" ht="13.5" customHeight="1">
      <c r="A3" s="2" t="s">
        <v>132</v>
      </c>
      <c r="B3" s="2">
        <f>Assumptions!B6</f>
        <v>75.600000000000009</v>
      </c>
      <c r="C3" s="2">
        <f>Assumptions!$B$6</f>
        <v>75.600000000000009</v>
      </c>
      <c r="D3" s="2">
        <f>Assumptions!$B$6</f>
        <v>75.600000000000009</v>
      </c>
      <c r="E3" s="2">
        <f>Assumptions!$B$6</f>
        <v>75.600000000000009</v>
      </c>
      <c r="F3" s="2">
        <f>Assumptions!$B$6</f>
        <v>75.600000000000009</v>
      </c>
      <c r="G3" s="2">
        <f>Assumptions!$B$6</f>
        <v>75.600000000000009</v>
      </c>
      <c r="H3" s="2">
        <f>Assumptions!$B$6</f>
        <v>75.600000000000009</v>
      </c>
      <c r="I3" s="2">
        <f>Assumptions!$B$6</f>
        <v>75.600000000000009</v>
      </c>
      <c r="J3" s="2">
        <f>Assumptions!$B$6</f>
        <v>75.600000000000009</v>
      </c>
      <c r="K3" s="2">
        <f>Assumptions!$B$6</f>
        <v>75.600000000000009</v>
      </c>
      <c r="L3" s="2">
        <f>Assumptions!$B$6</f>
        <v>75.600000000000009</v>
      </c>
      <c r="M3" s="2">
        <f>Assumptions!$B$6</f>
        <v>75.600000000000009</v>
      </c>
      <c r="N3" s="2">
        <f>Assumptions!$B$6</f>
        <v>75.600000000000009</v>
      </c>
      <c r="O3" s="2">
        <f>Assumptions!$B$6</f>
        <v>75.600000000000009</v>
      </c>
      <c r="P3" s="2">
        <f>Assumptions!$B$6</f>
        <v>75.600000000000009</v>
      </c>
      <c r="Q3" s="2">
        <f>Assumptions!$B$6</f>
        <v>75.600000000000009</v>
      </c>
      <c r="R3" s="2">
        <f>Assumptions!$B$6</f>
        <v>75.600000000000009</v>
      </c>
      <c r="S3" s="2">
        <f>Assumptions!$B$6</f>
        <v>75.600000000000009</v>
      </c>
      <c r="T3" s="2">
        <f>Assumptions!$B$6</f>
        <v>75.600000000000009</v>
      </c>
      <c r="U3" s="2">
        <f>Assumptions!$B$6</f>
        <v>75.600000000000009</v>
      </c>
      <c r="V3" s="2">
        <f>Assumptions!$B$6</f>
        <v>75.600000000000009</v>
      </c>
    </row>
    <row r="4" spans="1:22" ht="13.5" customHeight="1">
      <c r="A4" s="136" t="s">
        <v>35</v>
      </c>
      <c r="B4" s="5">
        <v>1</v>
      </c>
      <c r="C4" s="4">
        <v>365</v>
      </c>
      <c r="D4" s="4">
        <v>365</v>
      </c>
      <c r="E4" s="4">
        <v>366</v>
      </c>
      <c r="F4" s="4">
        <v>365</v>
      </c>
      <c r="G4" s="4">
        <v>365</v>
      </c>
      <c r="H4" s="4">
        <v>365</v>
      </c>
      <c r="I4" s="4">
        <v>366</v>
      </c>
      <c r="J4" s="4">
        <v>365</v>
      </c>
      <c r="K4" s="4">
        <v>365</v>
      </c>
      <c r="L4" s="4">
        <v>365</v>
      </c>
      <c r="M4" s="4">
        <v>366</v>
      </c>
      <c r="N4" s="4">
        <v>365</v>
      </c>
      <c r="O4" s="4">
        <v>365</v>
      </c>
      <c r="P4" s="4">
        <v>365</v>
      </c>
      <c r="Q4" s="4">
        <v>366</v>
      </c>
      <c r="R4" s="4">
        <v>365</v>
      </c>
      <c r="S4" s="4">
        <v>365</v>
      </c>
      <c r="T4" s="4">
        <v>365</v>
      </c>
      <c r="U4" s="4">
        <v>366</v>
      </c>
      <c r="V4" s="145">
        <f>365-Operations!B4</f>
        <v>364</v>
      </c>
    </row>
    <row r="5" spans="1:22" ht="13.5" customHeight="1">
      <c r="A5" s="2" t="s">
        <v>36</v>
      </c>
      <c r="B5" s="2">
        <v>24</v>
      </c>
      <c r="C5" s="2">
        <v>24</v>
      </c>
      <c r="D5" s="2">
        <f t="shared" ref="D5:V5" si="0">C5</f>
        <v>24</v>
      </c>
      <c r="E5" s="2">
        <f t="shared" si="0"/>
        <v>24</v>
      </c>
      <c r="F5" s="2">
        <f t="shared" si="0"/>
        <v>24</v>
      </c>
      <c r="G5" s="2">
        <f t="shared" si="0"/>
        <v>24</v>
      </c>
      <c r="H5" s="2">
        <f t="shared" si="0"/>
        <v>24</v>
      </c>
      <c r="I5" s="2">
        <f t="shared" si="0"/>
        <v>24</v>
      </c>
      <c r="J5" s="2">
        <f t="shared" si="0"/>
        <v>24</v>
      </c>
      <c r="K5" s="2">
        <f t="shared" si="0"/>
        <v>24</v>
      </c>
      <c r="L5" s="2">
        <f t="shared" si="0"/>
        <v>24</v>
      </c>
      <c r="M5" s="2">
        <f t="shared" si="0"/>
        <v>24</v>
      </c>
      <c r="N5" s="2">
        <f t="shared" si="0"/>
        <v>24</v>
      </c>
      <c r="O5" s="2">
        <f t="shared" si="0"/>
        <v>24</v>
      </c>
      <c r="P5" s="2">
        <f t="shared" si="0"/>
        <v>24</v>
      </c>
      <c r="Q5" s="2">
        <f t="shared" si="0"/>
        <v>24</v>
      </c>
      <c r="R5" s="2">
        <f t="shared" si="0"/>
        <v>24</v>
      </c>
      <c r="S5" s="2">
        <f t="shared" si="0"/>
        <v>24</v>
      </c>
      <c r="T5" s="2">
        <f t="shared" si="0"/>
        <v>24</v>
      </c>
      <c r="U5" s="2">
        <f t="shared" si="0"/>
        <v>24</v>
      </c>
      <c r="V5" s="2">
        <f t="shared" si="0"/>
        <v>24</v>
      </c>
    </row>
    <row r="6" spans="1:22" ht="13.5" customHeight="1">
      <c r="A6" s="2" t="s">
        <v>37</v>
      </c>
      <c r="B6" s="25">
        <f>B3*B4*B5*1000</f>
        <v>1814400</v>
      </c>
      <c r="C6" s="25">
        <f t="shared" ref="C6:V6" si="1">C3*C4*C5*1000</f>
        <v>662256000.00000012</v>
      </c>
      <c r="D6" s="25">
        <f t="shared" si="1"/>
        <v>662256000.00000012</v>
      </c>
      <c r="E6" s="25">
        <f t="shared" si="1"/>
        <v>664070400</v>
      </c>
      <c r="F6" s="25">
        <f t="shared" si="1"/>
        <v>662256000.00000012</v>
      </c>
      <c r="G6" s="25">
        <f t="shared" si="1"/>
        <v>662256000.00000012</v>
      </c>
      <c r="H6" s="25">
        <f t="shared" si="1"/>
        <v>662256000.00000012</v>
      </c>
      <c r="I6" s="25">
        <f t="shared" si="1"/>
        <v>664070400</v>
      </c>
      <c r="J6" s="25">
        <f t="shared" si="1"/>
        <v>662256000.00000012</v>
      </c>
      <c r="K6" s="25">
        <f t="shared" si="1"/>
        <v>662256000.00000012</v>
      </c>
      <c r="L6" s="25">
        <f t="shared" si="1"/>
        <v>662256000.00000012</v>
      </c>
      <c r="M6" s="25">
        <f t="shared" si="1"/>
        <v>664070400</v>
      </c>
      <c r="N6" s="25">
        <f t="shared" si="1"/>
        <v>662256000.00000012</v>
      </c>
      <c r="O6" s="25">
        <f t="shared" si="1"/>
        <v>662256000.00000012</v>
      </c>
      <c r="P6" s="25">
        <f t="shared" si="1"/>
        <v>662256000.00000012</v>
      </c>
      <c r="Q6" s="25">
        <f t="shared" si="1"/>
        <v>664070400</v>
      </c>
      <c r="R6" s="25">
        <f t="shared" si="1"/>
        <v>662256000.00000012</v>
      </c>
      <c r="S6" s="25">
        <f t="shared" si="1"/>
        <v>662256000.00000012</v>
      </c>
      <c r="T6" s="25">
        <f t="shared" si="1"/>
        <v>662256000.00000012</v>
      </c>
      <c r="U6" s="25">
        <f t="shared" si="1"/>
        <v>664070400</v>
      </c>
      <c r="V6" s="25">
        <f t="shared" si="1"/>
        <v>660441600.00000012</v>
      </c>
    </row>
    <row r="7" spans="1:22" ht="13.5" customHeight="1">
      <c r="A7" s="2" t="s">
        <v>38</v>
      </c>
      <c r="B7" s="15">
        <f>Assumptions!B15</f>
        <v>0.20100000000000001</v>
      </c>
      <c r="C7" s="11">
        <f>B7</f>
        <v>0.20100000000000001</v>
      </c>
      <c r="D7" s="15">
        <f>B7</f>
        <v>0.20100000000000001</v>
      </c>
      <c r="E7" s="15">
        <f t="shared" ref="E7:V7" si="2">D7</f>
        <v>0.20100000000000001</v>
      </c>
      <c r="F7" s="15">
        <f t="shared" si="2"/>
        <v>0.20100000000000001</v>
      </c>
      <c r="G7" s="15">
        <f t="shared" si="2"/>
        <v>0.20100000000000001</v>
      </c>
      <c r="H7" s="15">
        <f t="shared" si="2"/>
        <v>0.20100000000000001</v>
      </c>
      <c r="I7" s="15">
        <f t="shared" si="2"/>
        <v>0.20100000000000001</v>
      </c>
      <c r="J7" s="15">
        <f t="shared" si="2"/>
        <v>0.20100000000000001</v>
      </c>
      <c r="K7" s="15">
        <f t="shared" si="2"/>
        <v>0.20100000000000001</v>
      </c>
      <c r="L7" s="15">
        <f t="shared" si="2"/>
        <v>0.20100000000000001</v>
      </c>
      <c r="M7" s="15">
        <f t="shared" si="2"/>
        <v>0.20100000000000001</v>
      </c>
      <c r="N7" s="15">
        <f t="shared" si="2"/>
        <v>0.20100000000000001</v>
      </c>
      <c r="O7" s="15">
        <f t="shared" si="2"/>
        <v>0.20100000000000001</v>
      </c>
      <c r="P7" s="15">
        <f t="shared" si="2"/>
        <v>0.20100000000000001</v>
      </c>
      <c r="Q7" s="15">
        <f t="shared" si="2"/>
        <v>0.20100000000000001</v>
      </c>
      <c r="R7" s="15">
        <f t="shared" si="2"/>
        <v>0.20100000000000001</v>
      </c>
      <c r="S7" s="15">
        <f t="shared" si="2"/>
        <v>0.20100000000000001</v>
      </c>
      <c r="T7" s="15">
        <f t="shared" si="2"/>
        <v>0.20100000000000001</v>
      </c>
      <c r="U7" s="15">
        <f t="shared" si="2"/>
        <v>0.20100000000000001</v>
      </c>
      <c r="V7" s="15">
        <f t="shared" si="2"/>
        <v>0.20100000000000001</v>
      </c>
    </row>
    <row r="8" spans="1:22" ht="13.5" customHeight="1">
      <c r="A8" s="26" t="s">
        <v>108</v>
      </c>
      <c r="B8" s="27">
        <f t="shared" ref="B8:V8" si="3">B6*B7</f>
        <v>364694.4</v>
      </c>
      <c r="C8" s="27">
        <f t="shared" si="3"/>
        <v>133113456.00000003</v>
      </c>
      <c r="D8" s="27">
        <f t="shared" si="3"/>
        <v>133113456.00000003</v>
      </c>
      <c r="E8" s="27">
        <f t="shared" si="3"/>
        <v>133478150.40000001</v>
      </c>
      <c r="F8" s="27">
        <f t="shared" si="3"/>
        <v>133113456.00000003</v>
      </c>
      <c r="G8" s="27">
        <f t="shared" si="3"/>
        <v>133113456.00000003</v>
      </c>
      <c r="H8" s="27">
        <f t="shared" si="3"/>
        <v>133113456.00000003</v>
      </c>
      <c r="I8" s="27">
        <f t="shared" si="3"/>
        <v>133478150.40000001</v>
      </c>
      <c r="J8" s="27">
        <f t="shared" si="3"/>
        <v>133113456.00000003</v>
      </c>
      <c r="K8" s="27">
        <f t="shared" si="3"/>
        <v>133113456.00000003</v>
      </c>
      <c r="L8" s="27">
        <f t="shared" si="3"/>
        <v>133113456.00000003</v>
      </c>
      <c r="M8" s="27">
        <f t="shared" si="3"/>
        <v>133478150.40000001</v>
      </c>
      <c r="N8" s="27">
        <f t="shared" si="3"/>
        <v>133113456.00000003</v>
      </c>
      <c r="O8" s="27">
        <f t="shared" si="3"/>
        <v>133113456.00000003</v>
      </c>
      <c r="P8" s="27">
        <f t="shared" si="3"/>
        <v>133113456.00000003</v>
      </c>
      <c r="Q8" s="27">
        <f t="shared" si="3"/>
        <v>133478150.40000001</v>
      </c>
      <c r="R8" s="27">
        <f t="shared" si="3"/>
        <v>133113456.00000003</v>
      </c>
      <c r="S8" s="27">
        <f t="shared" si="3"/>
        <v>133113456.00000003</v>
      </c>
      <c r="T8" s="27">
        <f t="shared" si="3"/>
        <v>133113456.00000003</v>
      </c>
      <c r="U8" s="27">
        <f t="shared" si="3"/>
        <v>133478150.40000001</v>
      </c>
      <c r="V8" s="27">
        <f t="shared" si="3"/>
        <v>132748761.60000004</v>
      </c>
    </row>
    <row r="9" spans="1:22" ht="13.5" customHeight="1">
      <c r="A9" s="26" t="s">
        <v>12</v>
      </c>
      <c r="B9" s="15">
        <f>Assumptions!B17</f>
        <v>1</v>
      </c>
      <c r="C9" s="15">
        <f>B9</f>
        <v>1</v>
      </c>
      <c r="D9" s="15">
        <f t="shared" ref="D9:V9" si="4">+C9</f>
        <v>1</v>
      </c>
      <c r="E9" s="15">
        <f t="shared" si="4"/>
        <v>1</v>
      </c>
      <c r="F9" s="15">
        <f t="shared" si="4"/>
        <v>1</v>
      </c>
      <c r="G9" s="15">
        <f t="shared" si="4"/>
        <v>1</v>
      </c>
      <c r="H9" s="15">
        <f t="shared" si="4"/>
        <v>1</v>
      </c>
      <c r="I9" s="15">
        <f t="shared" si="4"/>
        <v>1</v>
      </c>
      <c r="J9" s="15">
        <f t="shared" si="4"/>
        <v>1</v>
      </c>
      <c r="K9" s="15">
        <f t="shared" si="4"/>
        <v>1</v>
      </c>
      <c r="L9" s="15">
        <f t="shared" si="4"/>
        <v>1</v>
      </c>
      <c r="M9" s="15">
        <f t="shared" si="4"/>
        <v>1</v>
      </c>
      <c r="N9" s="15">
        <f t="shared" si="4"/>
        <v>1</v>
      </c>
      <c r="O9" s="15">
        <f t="shared" si="4"/>
        <v>1</v>
      </c>
      <c r="P9" s="15">
        <f t="shared" si="4"/>
        <v>1</v>
      </c>
      <c r="Q9" s="15">
        <f t="shared" si="4"/>
        <v>1</v>
      </c>
      <c r="R9" s="15">
        <f t="shared" si="4"/>
        <v>1</v>
      </c>
      <c r="S9" s="15">
        <f t="shared" si="4"/>
        <v>1</v>
      </c>
      <c r="T9" s="15">
        <f t="shared" si="4"/>
        <v>1</v>
      </c>
      <c r="U9" s="15">
        <f t="shared" si="4"/>
        <v>1</v>
      </c>
      <c r="V9" s="15">
        <f t="shared" si="4"/>
        <v>1</v>
      </c>
    </row>
    <row r="10" spans="1:22" ht="13.5" customHeight="1">
      <c r="A10" s="26" t="s">
        <v>107</v>
      </c>
      <c r="B10" s="27">
        <f t="shared" ref="B10:V10" si="5">B8*B9</f>
        <v>364694.4</v>
      </c>
      <c r="C10" s="27">
        <f t="shared" si="5"/>
        <v>133113456.00000003</v>
      </c>
      <c r="D10" s="27">
        <f t="shared" si="5"/>
        <v>133113456.00000003</v>
      </c>
      <c r="E10" s="27">
        <f t="shared" si="5"/>
        <v>133478150.40000001</v>
      </c>
      <c r="F10" s="27">
        <f t="shared" si="5"/>
        <v>133113456.00000003</v>
      </c>
      <c r="G10" s="27">
        <f t="shared" si="5"/>
        <v>133113456.00000003</v>
      </c>
      <c r="H10" s="27">
        <f t="shared" si="5"/>
        <v>133113456.00000003</v>
      </c>
      <c r="I10" s="27">
        <f t="shared" si="5"/>
        <v>133478150.40000001</v>
      </c>
      <c r="J10" s="27">
        <f t="shared" si="5"/>
        <v>133113456.00000003</v>
      </c>
      <c r="K10" s="27">
        <f t="shared" si="5"/>
        <v>133113456.00000003</v>
      </c>
      <c r="L10" s="27">
        <f t="shared" si="5"/>
        <v>133113456.00000003</v>
      </c>
      <c r="M10" s="27">
        <f t="shared" si="5"/>
        <v>133478150.40000001</v>
      </c>
      <c r="N10" s="27">
        <f t="shared" si="5"/>
        <v>133113456.00000003</v>
      </c>
      <c r="O10" s="27">
        <f t="shared" si="5"/>
        <v>133113456.00000003</v>
      </c>
      <c r="P10" s="27">
        <f t="shared" si="5"/>
        <v>133113456.00000003</v>
      </c>
      <c r="Q10" s="27">
        <f t="shared" si="5"/>
        <v>133478150.40000001</v>
      </c>
      <c r="R10" s="27">
        <f t="shared" si="5"/>
        <v>133113456.00000003</v>
      </c>
      <c r="S10" s="27">
        <f t="shared" si="5"/>
        <v>133113456.00000003</v>
      </c>
      <c r="T10" s="27">
        <f t="shared" si="5"/>
        <v>133113456.00000003</v>
      </c>
      <c r="U10" s="27">
        <f t="shared" si="5"/>
        <v>133478150.40000001</v>
      </c>
      <c r="V10" s="27">
        <f t="shared" si="5"/>
        <v>132748761.60000004</v>
      </c>
    </row>
    <row r="11" spans="1:22" ht="13.5" customHeight="1">
      <c r="A11" s="26" t="s">
        <v>13</v>
      </c>
      <c r="B11" s="15">
        <f>+Assumptions!B18</f>
        <v>0</v>
      </c>
      <c r="C11" s="11">
        <f>B11</f>
        <v>0</v>
      </c>
      <c r="D11" s="15">
        <f>+B11</f>
        <v>0</v>
      </c>
      <c r="E11" s="15">
        <f t="shared" ref="E11:V11" si="6">+D11</f>
        <v>0</v>
      </c>
      <c r="F11" s="15">
        <f t="shared" si="6"/>
        <v>0</v>
      </c>
      <c r="G11" s="15">
        <f t="shared" si="6"/>
        <v>0</v>
      </c>
      <c r="H11" s="15">
        <f t="shared" si="6"/>
        <v>0</v>
      </c>
      <c r="I11" s="15">
        <f t="shared" si="6"/>
        <v>0</v>
      </c>
      <c r="J11" s="15">
        <f t="shared" si="6"/>
        <v>0</v>
      </c>
      <c r="K11" s="15">
        <f t="shared" si="6"/>
        <v>0</v>
      </c>
      <c r="L11" s="15">
        <f t="shared" si="6"/>
        <v>0</v>
      </c>
      <c r="M11" s="15">
        <f t="shared" si="6"/>
        <v>0</v>
      </c>
      <c r="N11" s="15">
        <f t="shared" si="6"/>
        <v>0</v>
      </c>
      <c r="O11" s="15">
        <f t="shared" si="6"/>
        <v>0</v>
      </c>
      <c r="P11" s="15">
        <f t="shared" si="6"/>
        <v>0</v>
      </c>
      <c r="Q11" s="15">
        <f t="shared" si="6"/>
        <v>0</v>
      </c>
      <c r="R11" s="15">
        <f t="shared" si="6"/>
        <v>0</v>
      </c>
      <c r="S11" s="15">
        <f t="shared" si="6"/>
        <v>0</v>
      </c>
      <c r="T11" s="15">
        <f t="shared" si="6"/>
        <v>0</v>
      </c>
      <c r="U11" s="15">
        <f t="shared" si="6"/>
        <v>0</v>
      </c>
      <c r="V11" s="15">
        <f t="shared" si="6"/>
        <v>0</v>
      </c>
    </row>
    <row r="12" spans="1:22" ht="13.5" customHeight="1">
      <c r="A12" s="2" t="s">
        <v>39</v>
      </c>
      <c r="B12" s="27">
        <f>B10*(1-B11)</f>
        <v>364694.4</v>
      </c>
      <c r="C12" s="27">
        <f t="shared" ref="C12:V12" si="7">C10*(1-C11)</f>
        <v>133113456.00000003</v>
      </c>
      <c r="D12" s="27">
        <f t="shared" si="7"/>
        <v>133113456.00000003</v>
      </c>
      <c r="E12" s="27">
        <f t="shared" si="7"/>
        <v>133478150.40000001</v>
      </c>
      <c r="F12" s="27">
        <f t="shared" si="7"/>
        <v>133113456.00000003</v>
      </c>
      <c r="G12" s="27">
        <f t="shared" si="7"/>
        <v>133113456.00000003</v>
      </c>
      <c r="H12" s="27">
        <f t="shared" si="7"/>
        <v>133113456.00000003</v>
      </c>
      <c r="I12" s="27">
        <f t="shared" si="7"/>
        <v>133478150.40000001</v>
      </c>
      <c r="J12" s="27">
        <f t="shared" si="7"/>
        <v>133113456.00000003</v>
      </c>
      <c r="K12" s="27">
        <f t="shared" si="7"/>
        <v>133113456.00000003</v>
      </c>
      <c r="L12" s="27">
        <f t="shared" si="7"/>
        <v>133113456.00000003</v>
      </c>
      <c r="M12" s="27">
        <f t="shared" si="7"/>
        <v>133478150.40000001</v>
      </c>
      <c r="N12" s="27">
        <f t="shared" si="7"/>
        <v>133113456.00000003</v>
      </c>
      <c r="O12" s="27">
        <f t="shared" si="7"/>
        <v>133113456.00000003</v>
      </c>
      <c r="P12" s="27">
        <f t="shared" si="7"/>
        <v>133113456.00000003</v>
      </c>
      <c r="Q12" s="27">
        <f t="shared" si="7"/>
        <v>133478150.40000001</v>
      </c>
      <c r="R12" s="27">
        <f t="shared" si="7"/>
        <v>133113456.00000003</v>
      </c>
      <c r="S12" s="27">
        <f t="shared" si="7"/>
        <v>133113456.00000003</v>
      </c>
      <c r="T12" s="27">
        <f t="shared" si="7"/>
        <v>133113456.00000003</v>
      </c>
      <c r="U12" s="27">
        <f t="shared" si="7"/>
        <v>133478150.40000001</v>
      </c>
      <c r="V12" s="27">
        <f t="shared" si="7"/>
        <v>132748761.60000004</v>
      </c>
    </row>
    <row r="13" spans="1:22" ht="13.5" customHeight="1">
      <c r="A13" s="2" t="s">
        <v>114</v>
      </c>
      <c r="B13" s="16">
        <f>+B12/1000000</f>
        <v>0.36469440000000003</v>
      </c>
      <c r="C13" s="16">
        <f t="shared" ref="C13:V13" si="8">+C12/1000000</f>
        <v>133.11345600000004</v>
      </c>
      <c r="D13" s="16">
        <f t="shared" si="8"/>
        <v>133.11345600000004</v>
      </c>
      <c r="E13" s="16">
        <f t="shared" si="8"/>
        <v>133.4781504</v>
      </c>
      <c r="F13" s="16">
        <f t="shared" si="8"/>
        <v>133.11345600000004</v>
      </c>
      <c r="G13" s="16">
        <f t="shared" si="8"/>
        <v>133.11345600000004</v>
      </c>
      <c r="H13" s="16">
        <f t="shared" si="8"/>
        <v>133.11345600000004</v>
      </c>
      <c r="I13" s="16">
        <f t="shared" si="8"/>
        <v>133.4781504</v>
      </c>
      <c r="J13" s="16">
        <f t="shared" si="8"/>
        <v>133.11345600000004</v>
      </c>
      <c r="K13" s="16">
        <f t="shared" si="8"/>
        <v>133.11345600000004</v>
      </c>
      <c r="L13" s="16">
        <f t="shared" si="8"/>
        <v>133.11345600000004</v>
      </c>
      <c r="M13" s="16">
        <f t="shared" si="8"/>
        <v>133.4781504</v>
      </c>
      <c r="N13" s="16">
        <f t="shared" si="8"/>
        <v>133.11345600000004</v>
      </c>
      <c r="O13" s="16">
        <f t="shared" si="8"/>
        <v>133.11345600000004</v>
      </c>
      <c r="P13" s="16">
        <f t="shared" si="8"/>
        <v>133.11345600000004</v>
      </c>
      <c r="Q13" s="16">
        <f t="shared" si="8"/>
        <v>133.4781504</v>
      </c>
      <c r="R13" s="16">
        <f t="shared" si="8"/>
        <v>133.11345600000004</v>
      </c>
      <c r="S13" s="16">
        <f t="shared" si="8"/>
        <v>133.11345600000004</v>
      </c>
      <c r="T13" s="16">
        <f t="shared" si="8"/>
        <v>133.11345600000004</v>
      </c>
      <c r="U13" s="16">
        <f t="shared" si="8"/>
        <v>133.4781504</v>
      </c>
      <c r="V13" s="16">
        <f t="shared" si="8"/>
        <v>132.74876160000005</v>
      </c>
    </row>
    <row r="14" spans="1:22">
      <c r="A14" s="7"/>
      <c r="B14" s="7"/>
      <c r="C14" s="28"/>
    </row>
  </sheetData>
  <phoneticPr fontId="0" type="noConversion"/>
  <printOptions horizontalCentered="1"/>
  <pageMargins left="0" right="0" top="0" bottom="0" header="0" footer="0"/>
  <pageSetup scale="57" orientation="landscape" r:id="rId1"/>
  <headerFooter alignWithMargins="0"/>
  <ignoredErrors>
    <ignoredError sqref="E6:U6 D7 E10:U10 C10 C8 B9:U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X200"/>
  <sheetViews>
    <sheetView workbookViewId="0">
      <selection activeCell="J11" sqref="J11"/>
    </sheetView>
  </sheetViews>
  <sheetFormatPr defaultColWidth="13.140625" defaultRowHeight="12.75"/>
  <cols>
    <col min="1" max="1" width="11.28515625" style="18" customWidth="1"/>
    <col min="2" max="2" width="8.42578125" bestFit="1" customWidth="1"/>
    <col min="3" max="3" width="16" bestFit="1" customWidth="1"/>
    <col min="4" max="4" width="13.28515625" customWidth="1"/>
    <col min="5" max="5" width="10" bestFit="1" customWidth="1"/>
    <col min="6" max="6" width="11" bestFit="1" customWidth="1"/>
    <col min="7" max="7" width="7.85546875" bestFit="1" customWidth="1"/>
    <col min="8" max="8" width="10" bestFit="1" customWidth="1"/>
  </cols>
  <sheetData>
    <row r="1" spans="1:10">
      <c r="G1" s="29"/>
    </row>
    <row r="2" spans="1:10">
      <c r="C2" t="s">
        <v>40</v>
      </c>
      <c r="D2" s="30" t="s">
        <v>41</v>
      </c>
      <c r="E2" s="65"/>
      <c r="F2" s="65"/>
      <c r="G2" s="29"/>
      <c r="H2" s="65"/>
    </row>
    <row r="3" spans="1:10">
      <c r="B3" s="20"/>
      <c r="C3" s="20" t="s">
        <v>42</v>
      </c>
      <c r="D3" s="32">
        <f>Assumptions!$B$11</f>
        <v>3121.56288</v>
      </c>
      <c r="E3" s="32" t="s">
        <v>112</v>
      </c>
      <c r="F3" s="20"/>
      <c r="G3" s="20"/>
      <c r="H3" s="32"/>
    </row>
    <row r="4" spans="1:10">
      <c r="B4" s="20"/>
      <c r="C4" s="20" t="s">
        <v>43</v>
      </c>
      <c r="D4" s="118">
        <f>Assumptions!$B$28</f>
        <v>0.1265</v>
      </c>
      <c r="E4" s="32"/>
      <c r="F4" s="32"/>
      <c r="G4" s="199"/>
      <c r="H4" s="199"/>
    </row>
    <row r="5" spans="1:10" ht="13.5" thickBot="1">
      <c r="B5" s="20"/>
      <c r="C5" s="20"/>
      <c r="D5" s="32"/>
      <c r="E5" s="32"/>
      <c r="F5" s="32"/>
      <c r="G5" s="118"/>
      <c r="H5" s="32"/>
    </row>
    <row r="6" spans="1:10">
      <c r="B6" s="180" t="s">
        <v>44</v>
      </c>
      <c r="C6" s="181" t="s">
        <v>45</v>
      </c>
      <c r="D6" s="179" t="s">
        <v>46</v>
      </c>
      <c r="E6" s="179" t="s">
        <v>47</v>
      </c>
      <c r="F6" s="179" t="s">
        <v>48</v>
      </c>
      <c r="G6" s="182"/>
      <c r="H6" s="183" t="s">
        <v>49</v>
      </c>
      <c r="J6" s="85"/>
    </row>
    <row r="7" spans="1:10">
      <c r="B7" s="37"/>
      <c r="C7" s="37" t="s">
        <v>63</v>
      </c>
      <c r="D7" s="97"/>
      <c r="E7" s="97"/>
      <c r="F7" s="97"/>
      <c r="G7" s="36"/>
      <c r="H7" s="97"/>
    </row>
    <row r="8" spans="1:10">
      <c r="A8" s="89"/>
      <c r="B8" s="91" t="s">
        <v>50</v>
      </c>
      <c r="C8" s="91" t="s">
        <v>64</v>
      </c>
      <c r="D8" s="92"/>
      <c r="E8" s="83">
        <f>$D$3/12.5/12</f>
        <v>20.810419200000002</v>
      </c>
      <c r="F8" s="92">
        <f>D3</f>
        <v>3121.56288</v>
      </c>
      <c r="G8" s="93">
        <f>$D$4</f>
        <v>0.1265</v>
      </c>
      <c r="H8" s="94">
        <f>F8*G8/12</f>
        <v>32.906475360000002</v>
      </c>
    </row>
    <row r="9" spans="1:10">
      <c r="A9" s="95"/>
      <c r="B9" s="37" t="s">
        <v>51</v>
      </c>
      <c r="C9" s="37" t="s">
        <v>64</v>
      </c>
      <c r="D9" s="97"/>
      <c r="E9" s="83">
        <f t="shared" ref="E9:E19" si="0">$D$3/12.5/12</f>
        <v>20.810419200000002</v>
      </c>
      <c r="F9" s="72">
        <f t="shared" ref="F9:F19" si="1">F8-E9</f>
        <v>3100.7524607999999</v>
      </c>
      <c r="G9" s="98">
        <f t="shared" ref="G9:G19" si="2">$D$4</f>
        <v>0.1265</v>
      </c>
      <c r="H9" s="88">
        <f t="shared" ref="H9:H11" si="3">F9*G9/12</f>
        <v>32.687098857599999</v>
      </c>
    </row>
    <row r="10" spans="1:10" s="20" customFormat="1">
      <c r="A10" s="95"/>
      <c r="B10" s="37" t="s">
        <v>52</v>
      </c>
      <c r="C10" s="37" t="s">
        <v>64</v>
      </c>
      <c r="D10" s="97"/>
      <c r="E10" s="83">
        <f t="shared" si="0"/>
        <v>20.810419200000002</v>
      </c>
      <c r="F10" s="72">
        <f t="shared" si="1"/>
        <v>3079.9420415999998</v>
      </c>
      <c r="G10" s="98">
        <f t="shared" si="2"/>
        <v>0.1265</v>
      </c>
      <c r="H10" s="88">
        <f t="shared" si="3"/>
        <v>32.467722355200003</v>
      </c>
    </row>
    <row r="11" spans="1:10">
      <c r="B11" s="31" t="s">
        <v>53</v>
      </c>
      <c r="C11" s="31" t="s">
        <v>64</v>
      </c>
      <c r="D11" s="72"/>
      <c r="E11" s="83">
        <f t="shared" si="0"/>
        <v>20.810419200000002</v>
      </c>
      <c r="F11" s="72">
        <f t="shared" si="1"/>
        <v>3059.1316223999997</v>
      </c>
      <c r="G11" s="75">
        <f t="shared" si="2"/>
        <v>0.1265</v>
      </c>
      <c r="H11" s="122">
        <f t="shared" si="3"/>
        <v>32.248345852799993</v>
      </c>
    </row>
    <row r="12" spans="1:10" s="20" customFormat="1">
      <c r="A12" s="95"/>
      <c r="B12" s="37" t="s">
        <v>54</v>
      </c>
      <c r="C12" s="37" t="s">
        <v>64</v>
      </c>
      <c r="D12" s="97"/>
      <c r="E12" s="83">
        <f t="shared" si="0"/>
        <v>20.810419200000002</v>
      </c>
      <c r="F12" s="72">
        <f t="shared" si="1"/>
        <v>3038.3212031999997</v>
      </c>
      <c r="G12" s="98">
        <f t="shared" si="2"/>
        <v>0.1265</v>
      </c>
      <c r="H12" s="122">
        <f>F12*G12/12</f>
        <v>32.028969350399997</v>
      </c>
    </row>
    <row r="13" spans="1:10">
      <c r="B13" s="31" t="s">
        <v>55</v>
      </c>
      <c r="C13" s="31" t="s">
        <v>64</v>
      </c>
      <c r="D13" s="72"/>
      <c r="E13" s="83">
        <f t="shared" si="0"/>
        <v>20.810419200000002</v>
      </c>
      <c r="F13" s="72">
        <f t="shared" si="1"/>
        <v>3017.5107839999996</v>
      </c>
      <c r="G13" s="75">
        <f t="shared" si="2"/>
        <v>0.1265</v>
      </c>
      <c r="H13" s="122">
        <f t="shared" ref="H13:H19" si="4">F13*G13/12</f>
        <v>31.809592847999994</v>
      </c>
    </row>
    <row r="14" spans="1:10">
      <c r="B14" s="31" t="s">
        <v>56</v>
      </c>
      <c r="C14" s="31" t="s">
        <v>64</v>
      </c>
      <c r="D14" s="72"/>
      <c r="E14" s="83">
        <f t="shared" si="0"/>
        <v>20.810419200000002</v>
      </c>
      <c r="F14" s="72">
        <f t="shared" si="1"/>
        <v>2996.7003647999995</v>
      </c>
      <c r="G14" s="75">
        <f t="shared" si="2"/>
        <v>0.1265</v>
      </c>
      <c r="H14" s="122">
        <f t="shared" si="4"/>
        <v>31.590216345599995</v>
      </c>
    </row>
    <row r="15" spans="1:10">
      <c r="B15" s="31" t="s">
        <v>57</v>
      </c>
      <c r="C15" s="31" t="s">
        <v>64</v>
      </c>
      <c r="D15" s="72"/>
      <c r="E15" s="83">
        <f>$D$3/12.5/12</f>
        <v>20.810419200000002</v>
      </c>
      <c r="F15" s="72">
        <f t="shared" si="1"/>
        <v>2975.8899455999995</v>
      </c>
      <c r="G15" s="75">
        <f t="shared" si="2"/>
        <v>0.1265</v>
      </c>
      <c r="H15" s="122">
        <f t="shared" si="4"/>
        <v>31.370839843199992</v>
      </c>
    </row>
    <row r="16" spans="1:10">
      <c r="B16" s="31" t="s">
        <v>58</v>
      </c>
      <c r="C16" s="31" t="s">
        <v>64</v>
      </c>
      <c r="D16" s="72"/>
      <c r="E16" s="83">
        <f t="shared" si="0"/>
        <v>20.810419200000002</v>
      </c>
      <c r="F16" s="72">
        <f t="shared" si="1"/>
        <v>2955.0795263999994</v>
      </c>
      <c r="G16" s="75">
        <f t="shared" si="2"/>
        <v>0.1265</v>
      </c>
      <c r="H16" s="122">
        <f t="shared" si="4"/>
        <v>31.151463340799992</v>
      </c>
    </row>
    <row r="17" spans="2:8">
      <c r="B17" s="31" t="s">
        <v>59</v>
      </c>
      <c r="C17" s="31" t="s">
        <v>64</v>
      </c>
      <c r="D17" s="72"/>
      <c r="E17" s="83">
        <f t="shared" si="0"/>
        <v>20.810419200000002</v>
      </c>
      <c r="F17" s="72">
        <f t="shared" si="1"/>
        <v>2934.2691071999993</v>
      </c>
      <c r="G17" s="75">
        <f t="shared" si="2"/>
        <v>0.1265</v>
      </c>
      <c r="H17" s="122">
        <f t="shared" si="4"/>
        <v>30.932086838399993</v>
      </c>
    </row>
    <row r="18" spans="2:8">
      <c r="B18" s="31" t="s">
        <v>60</v>
      </c>
      <c r="C18" s="31" t="s">
        <v>64</v>
      </c>
      <c r="D18" s="72"/>
      <c r="E18" s="83">
        <f t="shared" si="0"/>
        <v>20.810419200000002</v>
      </c>
      <c r="F18" s="72">
        <f t="shared" si="1"/>
        <v>2913.4586879999993</v>
      </c>
      <c r="G18" s="75">
        <f t="shared" si="2"/>
        <v>0.1265</v>
      </c>
      <c r="H18" s="122">
        <f t="shared" si="4"/>
        <v>30.71271033599999</v>
      </c>
    </row>
    <row r="19" spans="2:8">
      <c r="B19" s="31" t="s">
        <v>61</v>
      </c>
      <c r="C19" s="31" t="s">
        <v>64</v>
      </c>
      <c r="D19" s="72"/>
      <c r="E19" s="83">
        <f t="shared" si="0"/>
        <v>20.810419200000002</v>
      </c>
      <c r="F19" s="72">
        <f t="shared" si="1"/>
        <v>2892.6482687999992</v>
      </c>
      <c r="G19" s="75">
        <f t="shared" si="2"/>
        <v>0.1265</v>
      </c>
      <c r="H19" s="122">
        <f t="shared" si="4"/>
        <v>30.493333833599991</v>
      </c>
    </row>
    <row r="20" spans="2:8" ht="13.5" thickBot="1">
      <c r="B20" s="76"/>
      <c r="C20" s="77" t="s">
        <v>62</v>
      </c>
      <c r="D20" s="78">
        <f>SUM(D8:D19)</f>
        <v>0</v>
      </c>
      <c r="E20" s="78">
        <f>SUM(E8:E19)</f>
        <v>249.72503040000007</v>
      </c>
      <c r="F20" s="78"/>
      <c r="G20" s="79"/>
      <c r="H20" s="123">
        <f>SUM(H8:H19)</f>
        <v>380.3988551615999</v>
      </c>
    </row>
    <row r="21" spans="2:8">
      <c r="B21" s="66" t="s">
        <v>44</v>
      </c>
      <c r="C21" s="67" t="s">
        <v>45</v>
      </c>
      <c r="D21" s="68" t="s">
        <v>46</v>
      </c>
      <c r="E21" s="68" t="s">
        <v>47</v>
      </c>
      <c r="F21" s="68" t="s">
        <v>48</v>
      </c>
      <c r="G21" s="69"/>
      <c r="H21" s="124" t="s">
        <v>49</v>
      </c>
    </row>
    <row r="22" spans="2:8">
      <c r="B22" s="96"/>
      <c r="C22" s="37" t="s">
        <v>63</v>
      </c>
      <c r="D22" s="97"/>
      <c r="E22" s="97"/>
      <c r="F22" s="97"/>
      <c r="G22" s="184"/>
      <c r="H22" s="88"/>
    </row>
    <row r="23" spans="2:8">
      <c r="B23" s="90" t="s">
        <v>50</v>
      </c>
      <c r="C23" s="91" t="s">
        <v>64</v>
      </c>
      <c r="D23" s="92"/>
      <c r="E23" s="83">
        <f>$D$3/12.5/12</f>
        <v>20.810419200000002</v>
      </c>
      <c r="F23" s="72">
        <f>F19-E23</f>
        <v>2871.8378495999991</v>
      </c>
      <c r="G23" s="93">
        <f>$D$4</f>
        <v>0.1265</v>
      </c>
      <c r="H23" s="94">
        <f>F23*G23/12</f>
        <v>30.273957331199991</v>
      </c>
    </row>
    <row r="24" spans="2:8">
      <c r="B24" s="96" t="s">
        <v>51</v>
      </c>
      <c r="C24" s="37" t="s">
        <v>64</v>
      </c>
      <c r="D24" s="97"/>
      <c r="E24" s="83">
        <f t="shared" ref="E24:E34" si="5">$D$3/12.5/12</f>
        <v>20.810419200000002</v>
      </c>
      <c r="F24" s="72">
        <f t="shared" ref="F24:F34" si="6">F23-E24</f>
        <v>2851.027430399999</v>
      </c>
      <c r="G24" s="98">
        <f t="shared" ref="G24:G34" si="7">$D$4</f>
        <v>0.1265</v>
      </c>
      <c r="H24" s="88">
        <f t="shared" ref="H24:H34" si="8">F24*G24/12</f>
        <v>30.054580828799988</v>
      </c>
    </row>
    <row r="25" spans="2:8">
      <c r="B25" s="96" t="s">
        <v>52</v>
      </c>
      <c r="C25" s="37" t="s">
        <v>64</v>
      </c>
      <c r="D25" s="97"/>
      <c r="E25" s="83">
        <f t="shared" si="5"/>
        <v>20.810419200000002</v>
      </c>
      <c r="F25" s="72">
        <f t="shared" si="6"/>
        <v>2830.217011199999</v>
      </c>
      <c r="G25" s="98">
        <f t="shared" si="7"/>
        <v>0.1265</v>
      </c>
      <c r="H25" s="88">
        <f t="shared" si="8"/>
        <v>29.835204326399989</v>
      </c>
    </row>
    <row r="26" spans="2:8">
      <c r="B26" s="71" t="s">
        <v>53</v>
      </c>
      <c r="C26" s="31" t="s">
        <v>64</v>
      </c>
      <c r="D26" s="72"/>
      <c r="E26" s="83">
        <f t="shared" si="5"/>
        <v>20.810419200000002</v>
      </c>
      <c r="F26" s="72">
        <f t="shared" si="6"/>
        <v>2809.4065919999989</v>
      </c>
      <c r="G26" s="75">
        <f t="shared" si="7"/>
        <v>0.1265</v>
      </c>
      <c r="H26" s="122">
        <f t="shared" si="8"/>
        <v>29.615827823999989</v>
      </c>
    </row>
    <row r="27" spans="2:8">
      <c r="B27" s="96" t="s">
        <v>54</v>
      </c>
      <c r="C27" s="37" t="s">
        <v>64</v>
      </c>
      <c r="D27" s="97"/>
      <c r="E27" s="83">
        <f t="shared" si="5"/>
        <v>20.810419200000002</v>
      </c>
      <c r="F27" s="72">
        <f t="shared" si="6"/>
        <v>2788.5961727999988</v>
      </c>
      <c r="G27" s="98">
        <f t="shared" si="7"/>
        <v>0.1265</v>
      </c>
      <c r="H27" s="122">
        <f>F27*G27/12</f>
        <v>29.396451321599987</v>
      </c>
    </row>
    <row r="28" spans="2:8">
      <c r="B28" s="71" t="s">
        <v>55</v>
      </c>
      <c r="C28" s="31" t="s">
        <v>64</v>
      </c>
      <c r="D28" s="72"/>
      <c r="E28" s="83">
        <f t="shared" si="5"/>
        <v>20.810419200000002</v>
      </c>
      <c r="F28" s="72">
        <f t="shared" si="6"/>
        <v>2767.7857535999988</v>
      </c>
      <c r="G28" s="75">
        <f t="shared" si="7"/>
        <v>0.1265</v>
      </c>
      <c r="H28" s="122">
        <f t="shared" si="8"/>
        <v>29.177074819199987</v>
      </c>
    </row>
    <row r="29" spans="2:8">
      <c r="B29" s="71" t="s">
        <v>56</v>
      </c>
      <c r="C29" s="31" t="s">
        <v>64</v>
      </c>
      <c r="D29" s="72"/>
      <c r="E29" s="83">
        <f t="shared" si="5"/>
        <v>20.810419200000002</v>
      </c>
      <c r="F29" s="72">
        <f t="shared" si="6"/>
        <v>2746.9753343999987</v>
      </c>
      <c r="G29" s="75">
        <f t="shared" si="7"/>
        <v>0.1265</v>
      </c>
      <c r="H29" s="122">
        <f t="shared" si="8"/>
        <v>28.957698316799988</v>
      </c>
    </row>
    <row r="30" spans="2:8">
      <c r="B30" s="71" t="s">
        <v>57</v>
      </c>
      <c r="C30" s="31" t="s">
        <v>64</v>
      </c>
      <c r="D30" s="72"/>
      <c r="E30" s="83">
        <f>$D$3/12.5/12</f>
        <v>20.810419200000002</v>
      </c>
      <c r="F30" s="72">
        <f t="shared" si="6"/>
        <v>2726.1649151999986</v>
      </c>
      <c r="G30" s="75">
        <f t="shared" si="7"/>
        <v>0.1265</v>
      </c>
      <c r="H30" s="122">
        <f t="shared" si="8"/>
        <v>28.738321814399985</v>
      </c>
    </row>
    <row r="31" spans="2:8">
      <c r="B31" s="71" t="s">
        <v>58</v>
      </c>
      <c r="C31" s="31" t="s">
        <v>64</v>
      </c>
      <c r="D31" s="72"/>
      <c r="E31" s="83">
        <f t="shared" si="5"/>
        <v>20.810419200000002</v>
      </c>
      <c r="F31" s="72">
        <f t="shared" si="6"/>
        <v>2705.3544959999986</v>
      </c>
      <c r="G31" s="75">
        <f t="shared" si="7"/>
        <v>0.1265</v>
      </c>
      <c r="H31" s="122">
        <f t="shared" si="8"/>
        <v>28.518945311999985</v>
      </c>
    </row>
    <row r="32" spans="2:8">
      <c r="B32" s="71" t="s">
        <v>59</v>
      </c>
      <c r="C32" s="31" t="s">
        <v>64</v>
      </c>
      <c r="D32" s="72"/>
      <c r="E32" s="83">
        <f t="shared" si="5"/>
        <v>20.810419200000002</v>
      </c>
      <c r="F32" s="72">
        <f t="shared" si="6"/>
        <v>2684.5440767999985</v>
      </c>
      <c r="G32" s="75">
        <f t="shared" si="7"/>
        <v>0.1265</v>
      </c>
      <c r="H32" s="122">
        <f t="shared" si="8"/>
        <v>28.299568809599986</v>
      </c>
    </row>
    <row r="33" spans="2:9">
      <c r="B33" s="71" t="s">
        <v>60</v>
      </c>
      <c r="C33" s="31" t="s">
        <v>64</v>
      </c>
      <c r="D33" s="72"/>
      <c r="E33" s="83">
        <f t="shared" si="5"/>
        <v>20.810419200000002</v>
      </c>
      <c r="F33" s="72">
        <f t="shared" si="6"/>
        <v>2663.7336575999984</v>
      </c>
      <c r="G33" s="75">
        <f t="shared" si="7"/>
        <v>0.1265</v>
      </c>
      <c r="H33" s="122">
        <f t="shared" si="8"/>
        <v>28.080192307199983</v>
      </c>
    </row>
    <row r="34" spans="2:9">
      <c r="B34" s="71" t="s">
        <v>61</v>
      </c>
      <c r="C34" s="31" t="s">
        <v>64</v>
      </c>
      <c r="D34" s="72"/>
      <c r="E34" s="83">
        <f t="shared" si="5"/>
        <v>20.810419200000002</v>
      </c>
      <c r="F34" s="72">
        <f t="shared" si="6"/>
        <v>2642.9232383999984</v>
      </c>
      <c r="G34" s="75">
        <f t="shared" si="7"/>
        <v>0.1265</v>
      </c>
      <c r="H34" s="122">
        <f t="shared" si="8"/>
        <v>27.860815804799984</v>
      </c>
    </row>
    <row r="35" spans="2:9" ht="13.5" thickBot="1">
      <c r="B35" s="76"/>
      <c r="C35" s="77" t="s">
        <v>62</v>
      </c>
      <c r="D35" s="78">
        <f>SUM(D23:D34)</f>
        <v>0</v>
      </c>
      <c r="E35" s="78">
        <f>SUM(E23:E34)</f>
        <v>249.72503040000007</v>
      </c>
      <c r="F35" s="78"/>
      <c r="G35" s="79"/>
      <c r="H35" s="123">
        <f>SUM(H23:H34)</f>
        <v>348.80863881599987</v>
      </c>
    </row>
    <row r="36" spans="2:9">
      <c r="B36" s="66" t="s">
        <v>44</v>
      </c>
      <c r="C36" s="67" t="s">
        <v>45</v>
      </c>
      <c r="D36" s="68" t="s">
        <v>46</v>
      </c>
      <c r="E36" s="68" t="s">
        <v>47</v>
      </c>
      <c r="F36" s="68" t="s">
        <v>48</v>
      </c>
      <c r="G36" s="69"/>
      <c r="H36" s="124" t="s">
        <v>49</v>
      </c>
    </row>
    <row r="37" spans="2:9">
      <c r="B37" s="71"/>
      <c r="C37" s="31" t="s">
        <v>63</v>
      </c>
      <c r="D37" s="72"/>
      <c r="E37" s="72"/>
      <c r="F37" s="72"/>
      <c r="G37" s="75"/>
      <c r="H37" s="122"/>
    </row>
    <row r="38" spans="2:9">
      <c r="B38" s="71" t="s">
        <v>50</v>
      </c>
      <c r="C38" s="31" t="s">
        <v>64</v>
      </c>
      <c r="D38" s="72"/>
      <c r="E38" s="83">
        <f>$D$3/12.5/12</f>
        <v>20.810419200000002</v>
      </c>
      <c r="F38" s="72">
        <f>F34-E38</f>
        <v>2622.1128191999983</v>
      </c>
      <c r="G38" s="75">
        <f t="shared" ref="G38:G48" si="9">$D$4</f>
        <v>0.1265</v>
      </c>
      <c r="H38" s="122">
        <f t="shared" ref="H38:H49" si="10">F38*G38/12</f>
        <v>27.641439302399984</v>
      </c>
      <c r="I38" s="32"/>
    </row>
    <row r="39" spans="2:9">
      <c r="B39" s="71" t="s">
        <v>51</v>
      </c>
      <c r="C39" s="31" t="s">
        <v>64</v>
      </c>
      <c r="D39" s="72"/>
      <c r="E39" s="83">
        <f t="shared" ref="E39:E49" si="11">$D$3/12.5/12</f>
        <v>20.810419200000002</v>
      </c>
      <c r="F39" s="72">
        <f>F38-E39</f>
        <v>2601.3023999999982</v>
      </c>
      <c r="G39" s="75">
        <f t="shared" si="9"/>
        <v>0.1265</v>
      </c>
      <c r="H39" s="122">
        <f t="shared" si="10"/>
        <v>27.422062799999981</v>
      </c>
    </row>
    <row r="40" spans="2:9">
      <c r="B40" s="71" t="s">
        <v>52</v>
      </c>
      <c r="C40" s="31" t="s">
        <v>64</v>
      </c>
      <c r="D40" s="72"/>
      <c r="E40" s="83">
        <f t="shared" si="11"/>
        <v>20.810419200000002</v>
      </c>
      <c r="F40" s="72">
        <f t="shared" ref="F40:F49" si="12">F39-E40</f>
        <v>2580.4919807999981</v>
      </c>
      <c r="G40" s="75">
        <f t="shared" si="9"/>
        <v>0.1265</v>
      </c>
      <c r="H40" s="122">
        <f t="shared" si="10"/>
        <v>27.202686297599982</v>
      </c>
    </row>
    <row r="41" spans="2:9">
      <c r="B41" s="71" t="s">
        <v>53</v>
      </c>
      <c r="C41" s="31" t="s">
        <v>64</v>
      </c>
      <c r="D41" s="72"/>
      <c r="E41" s="83">
        <f t="shared" si="11"/>
        <v>20.810419200000002</v>
      </c>
      <c r="F41" s="72">
        <f t="shared" si="12"/>
        <v>2559.6815615999981</v>
      </c>
      <c r="G41" s="75">
        <f t="shared" si="9"/>
        <v>0.1265</v>
      </c>
      <c r="H41" s="122">
        <f t="shared" si="10"/>
        <v>26.983309795199983</v>
      </c>
    </row>
    <row r="42" spans="2:9">
      <c r="B42" s="71" t="s">
        <v>54</v>
      </c>
      <c r="C42" s="31" t="s">
        <v>64</v>
      </c>
      <c r="D42" s="72"/>
      <c r="E42" s="83">
        <f t="shared" si="11"/>
        <v>20.810419200000002</v>
      </c>
      <c r="F42" s="72">
        <f t="shared" si="12"/>
        <v>2538.871142399998</v>
      </c>
      <c r="G42" s="75">
        <f t="shared" si="9"/>
        <v>0.1265</v>
      </c>
      <c r="H42" s="122">
        <f t="shared" si="10"/>
        <v>26.76393329279998</v>
      </c>
    </row>
    <row r="43" spans="2:9">
      <c r="B43" s="71" t="s">
        <v>55</v>
      </c>
      <c r="C43" s="31" t="s">
        <v>64</v>
      </c>
      <c r="D43" s="72"/>
      <c r="E43" s="83">
        <f t="shared" si="11"/>
        <v>20.810419200000002</v>
      </c>
      <c r="F43" s="72">
        <f t="shared" si="12"/>
        <v>2518.0607231999979</v>
      </c>
      <c r="G43" s="75">
        <f t="shared" si="9"/>
        <v>0.1265</v>
      </c>
      <c r="H43" s="122">
        <f t="shared" si="10"/>
        <v>26.54455679039998</v>
      </c>
    </row>
    <row r="44" spans="2:9">
      <c r="B44" s="71" t="s">
        <v>56</v>
      </c>
      <c r="C44" s="31" t="s">
        <v>64</v>
      </c>
      <c r="D44" s="72"/>
      <c r="E44" s="83">
        <f t="shared" si="11"/>
        <v>20.810419200000002</v>
      </c>
      <c r="F44" s="72">
        <f t="shared" si="12"/>
        <v>2497.2503039999979</v>
      </c>
      <c r="G44" s="75">
        <f t="shared" si="9"/>
        <v>0.1265</v>
      </c>
      <c r="H44" s="122">
        <f t="shared" si="10"/>
        <v>26.325180287999981</v>
      </c>
    </row>
    <row r="45" spans="2:9">
      <c r="B45" s="71" t="s">
        <v>57</v>
      </c>
      <c r="C45" s="31" t="s">
        <v>64</v>
      </c>
      <c r="D45" s="72"/>
      <c r="E45" s="83">
        <f>$D$3/12.5/12</f>
        <v>20.810419200000002</v>
      </c>
      <c r="F45" s="72">
        <f t="shared" si="12"/>
        <v>2476.4398847999978</v>
      </c>
      <c r="G45" s="75">
        <f t="shared" si="9"/>
        <v>0.1265</v>
      </c>
      <c r="H45" s="122">
        <f t="shared" si="10"/>
        <v>26.105803785599978</v>
      </c>
    </row>
    <row r="46" spans="2:9">
      <c r="B46" s="71" t="s">
        <v>58</v>
      </c>
      <c r="C46" s="31" t="s">
        <v>64</v>
      </c>
      <c r="D46" s="72"/>
      <c r="E46" s="83">
        <f t="shared" si="11"/>
        <v>20.810419200000002</v>
      </c>
      <c r="F46" s="72">
        <f t="shared" si="12"/>
        <v>2455.6294655999977</v>
      </c>
      <c r="G46" s="75">
        <f t="shared" si="9"/>
        <v>0.1265</v>
      </c>
      <c r="H46" s="122">
        <f t="shared" si="10"/>
        <v>25.886427283199978</v>
      </c>
    </row>
    <row r="47" spans="2:9">
      <c r="B47" s="71" t="s">
        <v>59</v>
      </c>
      <c r="C47" s="31" t="s">
        <v>64</v>
      </c>
      <c r="D47" s="72"/>
      <c r="E47" s="83">
        <f t="shared" si="11"/>
        <v>20.810419200000002</v>
      </c>
      <c r="F47" s="72">
        <f t="shared" si="12"/>
        <v>2434.8190463999977</v>
      </c>
      <c r="G47" s="75">
        <f t="shared" si="9"/>
        <v>0.1265</v>
      </c>
      <c r="H47" s="122">
        <f t="shared" si="10"/>
        <v>25.667050780799979</v>
      </c>
    </row>
    <row r="48" spans="2:9">
      <c r="B48" s="71" t="s">
        <v>60</v>
      </c>
      <c r="C48" s="31" t="s">
        <v>64</v>
      </c>
      <c r="D48" s="72"/>
      <c r="E48" s="83">
        <f t="shared" si="11"/>
        <v>20.810419200000002</v>
      </c>
      <c r="F48" s="72">
        <f t="shared" si="12"/>
        <v>2414.0086271999976</v>
      </c>
      <c r="G48" s="75">
        <f t="shared" si="9"/>
        <v>0.1265</v>
      </c>
      <c r="H48" s="122">
        <f t="shared" si="10"/>
        <v>25.447674278399973</v>
      </c>
    </row>
    <row r="49" spans="1:50">
      <c r="B49" s="71" t="s">
        <v>61</v>
      </c>
      <c r="C49" s="31" t="s">
        <v>64</v>
      </c>
      <c r="D49" s="72"/>
      <c r="E49" s="83">
        <f t="shared" si="11"/>
        <v>20.810419200000002</v>
      </c>
      <c r="F49" s="72">
        <f t="shared" si="12"/>
        <v>2393.1982079999975</v>
      </c>
      <c r="G49" s="75">
        <f>$G$64</f>
        <v>0.1265</v>
      </c>
      <c r="H49" s="122">
        <f t="shared" si="10"/>
        <v>25.228297775999973</v>
      </c>
    </row>
    <row r="50" spans="1:50" ht="13.5" thickBot="1">
      <c r="B50" s="76"/>
      <c r="C50" s="77" t="s">
        <v>62</v>
      </c>
      <c r="D50" s="78">
        <f>SUM(D38:D49)</f>
        <v>0</v>
      </c>
      <c r="E50" s="78">
        <f>SUM(E38:E49)</f>
        <v>249.72503040000007</v>
      </c>
      <c r="F50" s="78"/>
      <c r="G50" s="79"/>
      <c r="H50" s="123">
        <f>SUM(H38:H49)</f>
        <v>317.21842247039979</v>
      </c>
      <c r="I50" s="32"/>
    </row>
    <row r="51" spans="1:50">
      <c r="B51" s="66" t="s">
        <v>44</v>
      </c>
      <c r="C51" s="67" t="s">
        <v>45</v>
      </c>
      <c r="D51" s="68" t="s">
        <v>46</v>
      </c>
      <c r="E51" s="179" t="s">
        <v>47</v>
      </c>
      <c r="F51" s="68" t="s">
        <v>48</v>
      </c>
      <c r="G51" s="69"/>
      <c r="H51" s="124" t="s">
        <v>49</v>
      </c>
    </row>
    <row r="52" spans="1:50">
      <c r="B52" s="71"/>
      <c r="C52" s="31" t="s">
        <v>63</v>
      </c>
      <c r="D52" s="72"/>
      <c r="E52" s="72"/>
      <c r="F52" s="72"/>
      <c r="G52" s="73"/>
      <c r="H52" s="122"/>
    </row>
    <row r="53" spans="1:50">
      <c r="B53" s="71" t="s">
        <v>50</v>
      </c>
      <c r="C53" s="31" t="s">
        <v>64</v>
      </c>
      <c r="D53" s="72"/>
      <c r="E53" s="83">
        <f>$D$3/12.5/12</f>
        <v>20.810419200000002</v>
      </c>
      <c r="F53" s="72">
        <f>F49-E53</f>
        <v>2372.3877887999975</v>
      </c>
      <c r="G53" s="75">
        <f>$D$4</f>
        <v>0.1265</v>
      </c>
      <c r="H53" s="88">
        <f t="shared" ref="H53:H64" si="13">F53*G53/12</f>
        <v>25.00892127359997</v>
      </c>
    </row>
    <row r="54" spans="1:50">
      <c r="B54" s="71" t="s">
        <v>51</v>
      </c>
      <c r="C54" s="71" t="s">
        <v>64</v>
      </c>
      <c r="D54" s="72"/>
      <c r="E54" s="83">
        <f t="shared" ref="E54:E64" si="14">$D$3/12.5/12</f>
        <v>20.810419200000002</v>
      </c>
      <c r="F54" s="72">
        <f t="shared" ref="F54:F64" si="15">F53-E54</f>
        <v>2351.5773695999974</v>
      </c>
      <c r="G54" s="75">
        <f t="shared" ref="G54:G64" si="16">$D$4</f>
        <v>0.1265</v>
      </c>
      <c r="H54" s="122">
        <f>F54*G54/12</f>
        <v>24.789544771199971</v>
      </c>
    </row>
    <row r="55" spans="1:50" s="99" customFormat="1">
      <c r="A55" s="138"/>
      <c r="B55" s="139" t="s">
        <v>52</v>
      </c>
      <c r="C55" s="139" t="s">
        <v>64</v>
      </c>
      <c r="D55" s="138"/>
      <c r="E55" s="83">
        <f t="shared" si="14"/>
        <v>20.810419200000002</v>
      </c>
      <c r="F55" s="140">
        <f>F54-E55</f>
        <v>2330.7669503999973</v>
      </c>
      <c r="G55" s="141">
        <f t="shared" si="16"/>
        <v>0.1265</v>
      </c>
      <c r="H55" s="142">
        <f t="shared" si="13"/>
        <v>24.570168268799971</v>
      </c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1:50">
      <c r="B56" s="71" t="s">
        <v>53</v>
      </c>
      <c r="C56" s="71" t="s">
        <v>64</v>
      </c>
      <c r="D56" s="72"/>
      <c r="E56" s="83">
        <f t="shared" si="14"/>
        <v>20.810419200000002</v>
      </c>
      <c r="F56" s="72">
        <f t="shared" si="15"/>
        <v>2309.9565311999972</v>
      </c>
      <c r="G56" s="75">
        <f t="shared" si="16"/>
        <v>0.1265</v>
      </c>
      <c r="H56" s="88">
        <f t="shared" si="13"/>
        <v>24.350791766399968</v>
      </c>
    </row>
    <row r="57" spans="1:50" s="20" customFormat="1">
      <c r="A57" s="95"/>
      <c r="B57" s="71" t="s">
        <v>54</v>
      </c>
      <c r="C57" s="71" t="s">
        <v>64</v>
      </c>
      <c r="D57" s="97"/>
      <c r="E57" s="83">
        <f t="shared" si="14"/>
        <v>20.810419200000002</v>
      </c>
      <c r="F57" s="97">
        <f t="shared" si="15"/>
        <v>2289.1461119999972</v>
      </c>
      <c r="G57" s="98">
        <f t="shared" si="16"/>
        <v>0.1265</v>
      </c>
      <c r="H57" s="88">
        <f t="shared" si="13"/>
        <v>24.131415263999969</v>
      </c>
    </row>
    <row r="58" spans="1:50">
      <c r="B58" s="71" t="s">
        <v>55</v>
      </c>
      <c r="C58" s="71" t="s">
        <v>64</v>
      </c>
      <c r="D58" s="72"/>
      <c r="E58" s="83">
        <f t="shared" si="14"/>
        <v>20.810419200000002</v>
      </c>
      <c r="F58" s="72">
        <f t="shared" si="15"/>
        <v>2268.3356927999971</v>
      </c>
      <c r="G58" s="75">
        <f t="shared" si="16"/>
        <v>0.1265</v>
      </c>
      <c r="H58" s="74">
        <f t="shared" si="13"/>
        <v>23.91203876159997</v>
      </c>
    </row>
    <row r="59" spans="1:50">
      <c r="B59" s="71" t="s">
        <v>56</v>
      </c>
      <c r="C59" s="31" t="s">
        <v>64</v>
      </c>
      <c r="D59" s="72"/>
      <c r="E59" s="83">
        <f t="shared" si="14"/>
        <v>20.810419200000002</v>
      </c>
      <c r="F59" s="72">
        <f t="shared" si="15"/>
        <v>2247.525273599997</v>
      </c>
      <c r="G59" s="75">
        <f t="shared" si="16"/>
        <v>0.1265</v>
      </c>
      <c r="H59" s="74">
        <f t="shared" si="13"/>
        <v>23.692662259199967</v>
      </c>
    </row>
    <row r="60" spans="1:50">
      <c r="B60" s="71" t="s">
        <v>57</v>
      </c>
      <c r="C60" s="31" t="s">
        <v>64</v>
      </c>
      <c r="D60" s="72"/>
      <c r="E60" s="83">
        <f>$D$3/12.5/12</f>
        <v>20.810419200000002</v>
      </c>
      <c r="F60" s="72">
        <f t="shared" si="15"/>
        <v>2226.714854399997</v>
      </c>
      <c r="G60" s="75">
        <f t="shared" si="16"/>
        <v>0.1265</v>
      </c>
      <c r="H60" s="74">
        <f t="shared" si="13"/>
        <v>23.473285756799967</v>
      </c>
    </row>
    <row r="61" spans="1:50">
      <c r="B61" s="71" t="s">
        <v>58</v>
      </c>
      <c r="C61" s="31" t="s">
        <v>64</v>
      </c>
      <c r="D61" s="72"/>
      <c r="E61" s="83">
        <f t="shared" si="14"/>
        <v>20.810419200000002</v>
      </c>
      <c r="F61" s="72">
        <f t="shared" si="15"/>
        <v>2205.9044351999969</v>
      </c>
      <c r="G61" s="75">
        <f t="shared" si="16"/>
        <v>0.1265</v>
      </c>
      <c r="H61" s="74">
        <f t="shared" si="13"/>
        <v>23.253909254399968</v>
      </c>
    </row>
    <row r="62" spans="1:50">
      <c r="B62" s="71" t="s">
        <v>59</v>
      </c>
      <c r="C62" s="31" t="s">
        <v>64</v>
      </c>
      <c r="D62" s="72"/>
      <c r="E62" s="83">
        <f t="shared" si="14"/>
        <v>20.810419200000002</v>
      </c>
      <c r="F62" s="72">
        <f t="shared" si="15"/>
        <v>2185.0940159999968</v>
      </c>
      <c r="G62" s="75">
        <f t="shared" si="16"/>
        <v>0.1265</v>
      </c>
      <c r="H62" s="74">
        <f t="shared" si="13"/>
        <v>23.034532751999965</v>
      </c>
    </row>
    <row r="63" spans="1:50">
      <c r="B63" s="71" t="s">
        <v>60</v>
      </c>
      <c r="C63" s="31" t="s">
        <v>64</v>
      </c>
      <c r="D63" s="72"/>
      <c r="E63" s="83">
        <f t="shared" si="14"/>
        <v>20.810419200000002</v>
      </c>
      <c r="F63" s="72">
        <f t="shared" si="15"/>
        <v>2164.2835967999968</v>
      </c>
      <c r="G63" s="75">
        <f t="shared" si="16"/>
        <v>0.1265</v>
      </c>
      <c r="H63" s="74">
        <f t="shared" si="13"/>
        <v>22.815156249599966</v>
      </c>
    </row>
    <row r="64" spans="1:50">
      <c r="B64" s="71" t="s">
        <v>61</v>
      </c>
      <c r="C64" s="31" t="s">
        <v>64</v>
      </c>
      <c r="D64" s="72"/>
      <c r="E64" s="83">
        <f t="shared" si="14"/>
        <v>20.810419200000002</v>
      </c>
      <c r="F64" s="72">
        <f t="shared" si="15"/>
        <v>2143.4731775999967</v>
      </c>
      <c r="G64" s="75">
        <f t="shared" si="16"/>
        <v>0.1265</v>
      </c>
      <c r="H64" s="74">
        <f t="shared" si="13"/>
        <v>22.595779747199966</v>
      </c>
    </row>
    <row r="65" spans="2:8" ht="13.5" thickBot="1">
      <c r="B65" s="76"/>
      <c r="C65" s="77" t="s">
        <v>62</v>
      </c>
      <c r="D65" s="78">
        <f>SUM(D53:D64)</f>
        <v>0</v>
      </c>
      <c r="E65" s="83">
        <f>SUM(E53:E64)</f>
        <v>249.72503040000007</v>
      </c>
      <c r="F65" s="78"/>
      <c r="G65" s="79"/>
      <c r="H65" s="80">
        <f>SUM(H53:H64)</f>
        <v>285.62820612479959</v>
      </c>
    </row>
    <row r="66" spans="2:8">
      <c r="B66" s="66" t="s">
        <v>44</v>
      </c>
      <c r="C66" s="67" t="s">
        <v>45</v>
      </c>
      <c r="D66" s="68" t="s">
        <v>46</v>
      </c>
      <c r="E66" s="101" t="s">
        <v>47</v>
      </c>
      <c r="F66" s="68" t="s">
        <v>48</v>
      </c>
      <c r="G66" s="69"/>
      <c r="H66" s="70" t="s">
        <v>49</v>
      </c>
    </row>
    <row r="67" spans="2:8">
      <c r="B67" s="71"/>
      <c r="C67" s="31" t="s">
        <v>63</v>
      </c>
      <c r="D67" s="72"/>
      <c r="E67" s="83"/>
      <c r="F67" s="72"/>
      <c r="G67" s="73"/>
      <c r="H67" s="74"/>
    </row>
    <row r="68" spans="2:8">
      <c r="B68" s="71" t="s">
        <v>50</v>
      </c>
      <c r="C68" s="31" t="s">
        <v>64</v>
      </c>
      <c r="D68" s="72"/>
      <c r="E68" s="83">
        <f>$D$3/12.5/12</f>
        <v>20.810419200000002</v>
      </c>
      <c r="F68" s="72">
        <f>F64-E68</f>
        <v>2122.6627583999966</v>
      </c>
      <c r="G68" s="75">
        <f>$D$4</f>
        <v>0.1265</v>
      </c>
      <c r="H68" s="74">
        <f t="shared" ref="H68:H79" si="17">F68*G68/12</f>
        <v>22.376403244799963</v>
      </c>
    </row>
    <row r="69" spans="2:8">
      <c r="B69" s="71" t="s">
        <v>51</v>
      </c>
      <c r="C69" s="31" t="s">
        <v>64</v>
      </c>
      <c r="D69" s="72"/>
      <c r="E69" s="83">
        <f t="shared" ref="E69:E79" si="18">$D$3/12.5/12</f>
        <v>20.810419200000002</v>
      </c>
      <c r="F69" s="72">
        <f t="shared" ref="F69:F79" si="19">F68-E69</f>
        <v>2101.8523391999965</v>
      </c>
      <c r="G69" s="75">
        <f t="shared" ref="G69:G79" si="20">$D$4</f>
        <v>0.1265</v>
      </c>
      <c r="H69" s="74">
        <f t="shared" si="17"/>
        <v>22.157026742399964</v>
      </c>
    </row>
    <row r="70" spans="2:8">
      <c r="B70" s="71" t="s">
        <v>52</v>
      </c>
      <c r="C70" s="31" t="s">
        <v>64</v>
      </c>
      <c r="D70" s="72"/>
      <c r="E70" s="83">
        <f t="shared" si="18"/>
        <v>20.810419200000002</v>
      </c>
      <c r="F70" s="72">
        <f t="shared" si="19"/>
        <v>2081.0419199999965</v>
      </c>
      <c r="G70" s="75">
        <f t="shared" si="20"/>
        <v>0.1265</v>
      </c>
      <c r="H70" s="74">
        <f t="shared" si="17"/>
        <v>21.937650239999964</v>
      </c>
    </row>
    <row r="71" spans="2:8">
      <c r="B71" s="71" t="s">
        <v>53</v>
      </c>
      <c r="C71" s="31" t="s">
        <v>64</v>
      </c>
      <c r="D71" s="72"/>
      <c r="E71" s="83">
        <f t="shared" si="18"/>
        <v>20.810419200000002</v>
      </c>
      <c r="F71" s="72">
        <f t="shared" si="19"/>
        <v>2060.2315007999964</v>
      </c>
      <c r="G71" s="75">
        <f t="shared" si="20"/>
        <v>0.1265</v>
      </c>
      <c r="H71" s="74">
        <f t="shared" si="17"/>
        <v>21.718273737599961</v>
      </c>
    </row>
    <row r="72" spans="2:8">
      <c r="B72" s="71" t="s">
        <v>54</v>
      </c>
      <c r="C72" s="31" t="s">
        <v>64</v>
      </c>
      <c r="D72" s="72"/>
      <c r="E72" s="83">
        <f t="shared" si="18"/>
        <v>20.810419200000002</v>
      </c>
      <c r="F72" s="72">
        <f t="shared" si="19"/>
        <v>2039.4210815999963</v>
      </c>
      <c r="G72" s="75">
        <f t="shared" si="20"/>
        <v>0.1265</v>
      </c>
      <c r="H72" s="74">
        <f t="shared" si="17"/>
        <v>21.498897235199962</v>
      </c>
    </row>
    <row r="73" spans="2:8">
      <c r="B73" s="71" t="s">
        <v>55</v>
      </c>
      <c r="C73" s="31" t="s">
        <v>64</v>
      </c>
      <c r="D73" s="72"/>
      <c r="E73" s="83">
        <f t="shared" si="18"/>
        <v>20.810419200000002</v>
      </c>
      <c r="F73" s="72">
        <f t="shared" si="19"/>
        <v>2018.6106623999963</v>
      </c>
      <c r="G73" s="75">
        <f t="shared" si="20"/>
        <v>0.1265</v>
      </c>
      <c r="H73" s="74">
        <f t="shared" si="17"/>
        <v>21.279520732799963</v>
      </c>
    </row>
    <row r="74" spans="2:8">
      <c r="B74" s="71" t="s">
        <v>56</v>
      </c>
      <c r="C74" s="31" t="s">
        <v>64</v>
      </c>
      <c r="D74" s="72"/>
      <c r="E74" s="83">
        <f t="shared" si="18"/>
        <v>20.810419200000002</v>
      </c>
      <c r="F74" s="72">
        <f t="shared" si="19"/>
        <v>1997.8002431999962</v>
      </c>
      <c r="G74" s="75">
        <f t="shared" si="20"/>
        <v>0.1265</v>
      </c>
      <c r="H74" s="74">
        <f t="shared" si="17"/>
        <v>21.06014423039996</v>
      </c>
    </row>
    <row r="75" spans="2:8">
      <c r="B75" s="71" t="s">
        <v>57</v>
      </c>
      <c r="C75" s="31" t="s">
        <v>64</v>
      </c>
      <c r="D75" s="72"/>
      <c r="E75" s="83">
        <f>$D$3/12.5/12</f>
        <v>20.810419200000002</v>
      </c>
      <c r="F75" s="72">
        <f t="shared" si="19"/>
        <v>1976.9898239999961</v>
      </c>
      <c r="G75" s="75">
        <f t="shared" si="20"/>
        <v>0.1265</v>
      </c>
      <c r="H75" s="74">
        <f t="shared" si="17"/>
        <v>20.84076772799996</v>
      </c>
    </row>
    <row r="76" spans="2:8">
      <c r="B76" s="71" t="s">
        <v>58</v>
      </c>
      <c r="C76" s="31" t="s">
        <v>64</v>
      </c>
      <c r="D76" s="72"/>
      <c r="E76" s="83">
        <f t="shared" si="18"/>
        <v>20.810419200000002</v>
      </c>
      <c r="F76" s="72">
        <f t="shared" si="19"/>
        <v>1956.1794047999961</v>
      </c>
      <c r="G76" s="75">
        <f t="shared" si="20"/>
        <v>0.1265</v>
      </c>
      <c r="H76" s="74">
        <f t="shared" si="17"/>
        <v>20.621391225599961</v>
      </c>
    </row>
    <row r="77" spans="2:8">
      <c r="B77" s="71" t="s">
        <v>59</v>
      </c>
      <c r="C77" s="31" t="s">
        <v>64</v>
      </c>
      <c r="D77" s="72"/>
      <c r="E77" s="83">
        <f t="shared" si="18"/>
        <v>20.810419200000002</v>
      </c>
      <c r="F77" s="72">
        <f t="shared" si="19"/>
        <v>1935.368985599996</v>
      </c>
      <c r="G77" s="75">
        <f t="shared" si="20"/>
        <v>0.1265</v>
      </c>
      <c r="H77" s="74">
        <f t="shared" si="17"/>
        <v>20.402014723199958</v>
      </c>
    </row>
    <row r="78" spans="2:8">
      <c r="B78" s="71" t="s">
        <v>60</v>
      </c>
      <c r="C78" s="31" t="s">
        <v>64</v>
      </c>
      <c r="D78" s="72"/>
      <c r="E78" s="83">
        <f t="shared" si="18"/>
        <v>20.810419200000002</v>
      </c>
      <c r="F78" s="72">
        <f t="shared" si="19"/>
        <v>1914.5585663999959</v>
      </c>
      <c r="G78" s="75">
        <f t="shared" si="20"/>
        <v>0.1265</v>
      </c>
      <c r="H78" s="74">
        <f t="shared" si="17"/>
        <v>20.182638220799955</v>
      </c>
    </row>
    <row r="79" spans="2:8">
      <c r="B79" s="71" t="s">
        <v>61</v>
      </c>
      <c r="C79" s="31" t="s">
        <v>64</v>
      </c>
      <c r="D79" s="72"/>
      <c r="E79" s="83">
        <f t="shared" si="18"/>
        <v>20.810419200000002</v>
      </c>
      <c r="F79" s="72">
        <f t="shared" si="19"/>
        <v>1893.7481471999959</v>
      </c>
      <c r="G79" s="75">
        <f t="shared" si="20"/>
        <v>0.1265</v>
      </c>
      <c r="H79" s="74">
        <f t="shared" si="17"/>
        <v>19.963261718399956</v>
      </c>
    </row>
    <row r="80" spans="2:8" ht="13.5" thickBot="1">
      <c r="B80" s="76"/>
      <c r="C80" s="77" t="s">
        <v>62</v>
      </c>
      <c r="D80" s="78">
        <f>SUM(D68:D79)</f>
        <v>0</v>
      </c>
      <c r="E80" s="83">
        <f>SUM(E68:E79)</f>
        <v>249.72503040000007</v>
      </c>
      <c r="F80" s="78"/>
      <c r="G80" s="79"/>
      <c r="H80" s="80">
        <f>SUM(H68:H79)</f>
        <v>254.03798977919951</v>
      </c>
    </row>
    <row r="81" spans="2:8">
      <c r="B81" s="66" t="s">
        <v>44</v>
      </c>
      <c r="C81" s="67" t="s">
        <v>45</v>
      </c>
      <c r="D81" s="68" t="s">
        <v>46</v>
      </c>
      <c r="E81" s="101" t="s">
        <v>47</v>
      </c>
      <c r="F81" s="68" t="s">
        <v>48</v>
      </c>
      <c r="G81" s="69"/>
      <c r="H81" s="70" t="s">
        <v>49</v>
      </c>
    </row>
    <row r="82" spans="2:8">
      <c r="B82" s="71"/>
      <c r="C82" s="31" t="s">
        <v>63</v>
      </c>
      <c r="D82" s="72"/>
      <c r="E82" s="83"/>
      <c r="F82" s="72"/>
      <c r="G82" s="73"/>
      <c r="H82" s="74"/>
    </row>
    <row r="83" spans="2:8">
      <c r="B83" s="71" t="s">
        <v>50</v>
      </c>
      <c r="C83" s="31" t="s">
        <v>64</v>
      </c>
      <c r="D83" s="72"/>
      <c r="E83" s="83">
        <f>$D$3/12.5/12</f>
        <v>20.810419200000002</v>
      </c>
      <c r="F83" s="72">
        <f>F79-E83</f>
        <v>1872.9377279999958</v>
      </c>
      <c r="G83" s="75">
        <f>$D$4</f>
        <v>0.1265</v>
      </c>
      <c r="H83" s="74">
        <f t="shared" ref="H83:H94" si="21">F83*G83/12</f>
        <v>19.743885215999956</v>
      </c>
    </row>
    <row r="84" spans="2:8">
      <c r="B84" s="71" t="s">
        <v>51</v>
      </c>
      <c r="C84" s="31" t="s">
        <v>64</v>
      </c>
      <c r="D84" s="72"/>
      <c r="E84" s="83">
        <f t="shared" ref="E84:E94" si="22">$D$3/12.5/12</f>
        <v>20.810419200000002</v>
      </c>
      <c r="F84" s="72">
        <f t="shared" ref="F84:F94" si="23">F83-E84</f>
        <v>1852.1273087999957</v>
      </c>
      <c r="G84" s="75">
        <f t="shared" ref="G84:G94" si="24">$D$4</f>
        <v>0.1265</v>
      </c>
      <c r="H84" s="74">
        <f t="shared" si="21"/>
        <v>19.524508713599953</v>
      </c>
    </row>
    <row r="85" spans="2:8">
      <c r="B85" s="71" t="s">
        <v>52</v>
      </c>
      <c r="C85" s="31" t="s">
        <v>64</v>
      </c>
      <c r="D85" s="72"/>
      <c r="E85" s="83">
        <f t="shared" si="22"/>
        <v>20.810419200000002</v>
      </c>
      <c r="F85" s="72">
        <f t="shared" si="23"/>
        <v>1831.3168895999956</v>
      </c>
      <c r="G85" s="75">
        <f t="shared" si="24"/>
        <v>0.1265</v>
      </c>
      <c r="H85" s="74">
        <f t="shared" si="21"/>
        <v>19.305132211199954</v>
      </c>
    </row>
    <row r="86" spans="2:8">
      <c r="B86" s="71" t="s">
        <v>53</v>
      </c>
      <c r="C86" s="31" t="s">
        <v>64</v>
      </c>
      <c r="D86" s="72"/>
      <c r="E86" s="83">
        <f t="shared" si="22"/>
        <v>20.810419200000002</v>
      </c>
      <c r="F86" s="72">
        <f t="shared" si="23"/>
        <v>1810.5064703999956</v>
      </c>
      <c r="G86" s="75">
        <f t="shared" si="24"/>
        <v>0.1265</v>
      </c>
      <c r="H86" s="74">
        <f t="shared" si="21"/>
        <v>19.085755708799955</v>
      </c>
    </row>
    <row r="87" spans="2:8">
      <c r="B87" s="71" t="s">
        <v>54</v>
      </c>
      <c r="C87" s="31" t="s">
        <v>64</v>
      </c>
      <c r="D87" s="72"/>
      <c r="E87" s="83">
        <f t="shared" si="22"/>
        <v>20.810419200000002</v>
      </c>
      <c r="F87" s="72">
        <f t="shared" si="23"/>
        <v>1789.6960511999955</v>
      </c>
      <c r="G87" s="75">
        <f t="shared" si="24"/>
        <v>0.1265</v>
      </c>
      <c r="H87" s="74">
        <f t="shared" si="21"/>
        <v>18.866379206399952</v>
      </c>
    </row>
    <row r="88" spans="2:8">
      <c r="B88" s="71" t="s">
        <v>55</v>
      </c>
      <c r="C88" s="31" t="s">
        <v>64</v>
      </c>
      <c r="D88" s="72"/>
      <c r="E88" s="83">
        <f t="shared" si="22"/>
        <v>20.810419200000002</v>
      </c>
      <c r="F88" s="72">
        <f t="shared" si="23"/>
        <v>1768.8856319999954</v>
      </c>
      <c r="G88" s="75">
        <f t="shared" si="24"/>
        <v>0.1265</v>
      </c>
      <c r="H88" s="74">
        <f t="shared" si="21"/>
        <v>18.647002703999952</v>
      </c>
    </row>
    <row r="89" spans="2:8">
      <c r="B89" s="71" t="s">
        <v>56</v>
      </c>
      <c r="C89" s="31" t="s">
        <v>64</v>
      </c>
      <c r="D89" s="72"/>
      <c r="E89" s="83">
        <f t="shared" si="22"/>
        <v>20.810419200000002</v>
      </c>
      <c r="F89" s="72">
        <f t="shared" si="23"/>
        <v>1748.0752127999954</v>
      </c>
      <c r="G89" s="75">
        <f t="shared" si="24"/>
        <v>0.1265</v>
      </c>
      <c r="H89" s="74">
        <f t="shared" si="21"/>
        <v>18.427626201599953</v>
      </c>
    </row>
    <row r="90" spans="2:8">
      <c r="B90" s="71" t="s">
        <v>57</v>
      </c>
      <c r="C90" s="31" t="s">
        <v>64</v>
      </c>
      <c r="D90" s="72"/>
      <c r="E90" s="83">
        <f>$D$3/12.5/12</f>
        <v>20.810419200000002</v>
      </c>
      <c r="F90" s="72">
        <f t="shared" si="23"/>
        <v>1727.2647935999953</v>
      </c>
      <c r="G90" s="75">
        <f t="shared" si="24"/>
        <v>0.1265</v>
      </c>
      <c r="H90" s="74">
        <f t="shared" si="21"/>
        <v>18.20824969919995</v>
      </c>
    </row>
    <row r="91" spans="2:8">
      <c r="B91" s="71" t="s">
        <v>58</v>
      </c>
      <c r="C91" s="31" t="s">
        <v>64</v>
      </c>
      <c r="D91" s="72"/>
      <c r="E91" s="83">
        <f t="shared" si="22"/>
        <v>20.810419200000002</v>
      </c>
      <c r="F91" s="72">
        <f t="shared" si="23"/>
        <v>1706.4543743999952</v>
      </c>
      <c r="G91" s="75">
        <f t="shared" si="24"/>
        <v>0.1265</v>
      </c>
      <c r="H91" s="74">
        <f t="shared" si="21"/>
        <v>17.98887319679995</v>
      </c>
    </row>
    <row r="92" spans="2:8">
      <c r="B92" s="71" t="s">
        <v>59</v>
      </c>
      <c r="C92" s="31" t="s">
        <v>64</v>
      </c>
      <c r="D92" s="72"/>
      <c r="E92" s="83">
        <f t="shared" si="22"/>
        <v>20.810419200000002</v>
      </c>
      <c r="F92" s="72">
        <f t="shared" si="23"/>
        <v>1685.6439551999952</v>
      </c>
      <c r="G92" s="75">
        <f t="shared" si="24"/>
        <v>0.1265</v>
      </c>
      <c r="H92" s="74">
        <f t="shared" si="21"/>
        <v>17.769496694399951</v>
      </c>
    </row>
    <row r="93" spans="2:8">
      <c r="B93" s="71" t="s">
        <v>60</v>
      </c>
      <c r="C93" s="31" t="s">
        <v>64</v>
      </c>
      <c r="D93" s="72"/>
      <c r="E93" s="83">
        <f t="shared" si="22"/>
        <v>20.810419200000002</v>
      </c>
      <c r="F93" s="72">
        <f t="shared" si="23"/>
        <v>1664.8335359999951</v>
      </c>
      <c r="G93" s="75">
        <f t="shared" si="24"/>
        <v>0.1265</v>
      </c>
      <c r="H93" s="74">
        <f t="shared" si="21"/>
        <v>17.550120191999948</v>
      </c>
    </row>
    <row r="94" spans="2:8">
      <c r="B94" s="71" t="s">
        <v>61</v>
      </c>
      <c r="C94" s="31" t="s">
        <v>64</v>
      </c>
      <c r="D94" s="72"/>
      <c r="E94" s="83">
        <f t="shared" si="22"/>
        <v>20.810419200000002</v>
      </c>
      <c r="F94" s="72">
        <f t="shared" si="23"/>
        <v>1644.023116799995</v>
      </c>
      <c r="G94" s="75">
        <f t="shared" si="24"/>
        <v>0.1265</v>
      </c>
      <c r="H94" s="74">
        <f t="shared" si="21"/>
        <v>17.330743689599949</v>
      </c>
    </row>
    <row r="95" spans="2:8" ht="13.5" thickBot="1">
      <c r="B95" s="76"/>
      <c r="C95" s="77" t="s">
        <v>62</v>
      </c>
      <c r="D95" s="78">
        <f>SUM(D83:D94)</f>
        <v>0</v>
      </c>
      <c r="E95" s="84">
        <f>SUM(E83:E94)</f>
        <v>249.72503040000007</v>
      </c>
      <c r="F95" s="78"/>
      <c r="G95" s="79"/>
      <c r="H95" s="80">
        <f>SUM(H83:H94)</f>
        <v>222.44777343359942</v>
      </c>
    </row>
    <row r="96" spans="2:8">
      <c r="B96" s="66" t="s">
        <v>44</v>
      </c>
      <c r="C96" s="67" t="s">
        <v>45</v>
      </c>
      <c r="D96" s="68" t="s">
        <v>46</v>
      </c>
      <c r="E96" s="100" t="s">
        <v>47</v>
      </c>
      <c r="F96" s="68" t="s">
        <v>48</v>
      </c>
      <c r="G96" s="69"/>
      <c r="H96" s="70" t="s">
        <v>49</v>
      </c>
    </row>
    <row r="97" spans="2:8">
      <c r="B97" s="71"/>
      <c r="C97" s="31" t="s">
        <v>63</v>
      </c>
      <c r="D97" s="72"/>
      <c r="E97" s="83"/>
      <c r="F97" s="72"/>
      <c r="G97" s="73"/>
      <c r="H97" s="74"/>
    </row>
    <row r="98" spans="2:8">
      <c r="B98" s="71" t="s">
        <v>50</v>
      </c>
      <c r="C98" s="31" t="s">
        <v>64</v>
      </c>
      <c r="D98" s="72"/>
      <c r="E98" s="83">
        <f>$D$3/12.5/12</f>
        <v>20.810419200000002</v>
      </c>
      <c r="F98" s="72">
        <f>F94-E98</f>
        <v>1623.212697599995</v>
      </c>
      <c r="G98" s="75">
        <f>$D$4</f>
        <v>0.1265</v>
      </c>
      <c r="H98" s="74">
        <f t="shared" ref="H98:H109" si="25">F98*G98/12</f>
        <v>17.111367187199949</v>
      </c>
    </row>
    <row r="99" spans="2:8">
      <c r="B99" s="71" t="s">
        <v>51</v>
      </c>
      <c r="C99" s="31" t="s">
        <v>64</v>
      </c>
      <c r="D99" s="72"/>
      <c r="E99" s="83">
        <f t="shared" ref="E99:E109" si="26">$D$3/12.5/12</f>
        <v>20.810419200000002</v>
      </c>
      <c r="F99" s="72">
        <f t="shared" ref="F99:F109" si="27">F98-E99</f>
        <v>1602.4022783999949</v>
      </c>
      <c r="G99" s="75">
        <f t="shared" ref="G99:G109" si="28">$D$4</f>
        <v>0.1265</v>
      </c>
      <c r="H99" s="74">
        <f t="shared" si="25"/>
        <v>16.891990684799946</v>
      </c>
    </row>
    <row r="100" spans="2:8">
      <c r="B100" s="71" t="s">
        <v>52</v>
      </c>
      <c r="C100" s="31" t="s">
        <v>64</v>
      </c>
      <c r="D100" s="72"/>
      <c r="E100" s="83">
        <f t="shared" si="26"/>
        <v>20.810419200000002</v>
      </c>
      <c r="F100" s="72">
        <f t="shared" si="27"/>
        <v>1581.5918591999948</v>
      </c>
      <c r="G100" s="75">
        <f t="shared" si="28"/>
        <v>0.1265</v>
      </c>
      <c r="H100" s="74">
        <f t="shared" si="25"/>
        <v>16.672614182399943</v>
      </c>
    </row>
    <row r="101" spans="2:8">
      <c r="B101" s="71" t="s">
        <v>53</v>
      </c>
      <c r="C101" s="31" t="s">
        <v>64</v>
      </c>
      <c r="D101" s="72"/>
      <c r="E101" s="83">
        <f t="shared" si="26"/>
        <v>20.810419200000002</v>
      </c>
      <c r="F101" s="72">
        <f t="shared" si="27"/>
        <v>1560.7814399999947</v>
      </c>
      <c r="G101" s="75">
        <f t="shared" si="28"/>
        <v>0.1265</v>
      </c>
      <c r="H101" s="74">
        <f t="shared" si="25"/>
        <v>16.453237679999944</v>
      </c>
    </row>
    <row r="102" spans="2:8">
      <c r="B102" s="71" t="s">
        <v>54</v>
      </c>
      <c r="C102" s="31" t="s">
        <v>64</v>
      </c>
      <c r="D102" s="72"/>
      <c r="E102" s="83">
        <f t="shared" si="26"/>
        <v>20.810419200000002</v>
      </c>
      <c r="F102" s="72">
        <f t="shared" si="27"/>
        <v>1539.9710207999947</v>
      </c>
      <c r="G102" s="75">
        <f t="shared" si="28"/>
        <v>0.1265</v>
      </c>
      <c r="H102" s="74">
        <f t="shared" si="25"/>
        <v>16.233861177599945</v>
      </c>
    </row>
    <row r="103" spans="2:8">
      <c r="B103" s="71" t="s">
        <v>55</v>
      </c>
      <c r="C103" s="31" t="s">
        <v>64</v>
      </c>
      <c r="D103" s="72"/>
      <c r="E103" s="83">
        <f t="shared" si="26"/>
        <v>20.810419200000002</v>
      </c>
      <c r="F103" s="72">
        <f t="shared" si="27"/>
        <v>1519.1606015999946</v>
      </c>
      <c r="G103" s="75">
        <f t="shared" si="28"/>
        <v>0.1265</v>
      </c>
      <c r="H103" s="74">
        <f t="shared" si="25"/>
        <v>16.014484675199942</v>
      </c>
    </row>
    <row r="104" spans="2:8">
      <c r="B104" s="71" t="s">
        <v>56</v>
      </c>
      <c r="C104" s="31" t="s">
        <v>64</v>
      </c>
      <c r="D104" s="72"/>
      <c r="E104" s="83">
        <f t="shared" si="26"/>
        <v>20.810419200000002</v>
      </c>
      <c r="F104" s="72">
        <f t="shared" si="27"/>
        <v>1498.3501823999945</v>
      </c>
      <c r="G104" s="75">
        <f t="shared" si="28"/>
        <v>0.1265</v>
      </c>
      <c r="H104" s="74">
        <f t="shared" si="25"/>
        <v>15.795108172799942</v>
      </c>
    </row>
    <row r="105" spans="2:8">
      <c r="B105" s="71" t="s">
        <v>57</v>
      </c>
      <c r="C105" s="31" t="s">
        <v>64</v>
      </c>
      <c r="D105" s="72"/>
      <c r="E105" s="83">
        <f>$D$3/12.5/12</f>
        <v>20.810419200000002</v>
      </c>
      <c r="F105" s="72">
        <f t="shared" si="27"/>
        <v>1477.5397631999945</v>
      </c>
      <c r="G105" s="75">
        <f t="shared" si="28"/>
        <v>0.1265</v>
      </c>
      <c r="H105" s="74">
        <f t="shared" si="25"/>
        <v>15.575731670399941</v>
      </c>
    </row>
    <row r="106" spans="2:8">
      <c r="B106" s="71" t="s">
        <v>58</v>
      </c>
      <c r="C106" s="31" t="s">
        <v>64</v>
      </c>
      <c r="D106" s="72"/>
      <c r="E106" s="83">
        <f t="shared" si="26"/>
        <v>20.810419200000002</v>
      </c>
      <c r="F106" s="72">
        <f t="shared" si="27"/>
        <v>1456.7293439999944</v>
      </c>
      <c r="G106" s="75">
        <f t="shared" si="28"/>
        <v>0.1265</v>
      </c>
      <c r="H106" s="74">
        <f t="shared" si="25"/>
        <v>15.356355167999942</v>
      </c>
    </row>
    <row r="107" spans="2:8">
      <c r="B107" s="71" t="s">
        <v>59</v>
      </c>
      <c r="C107" s="31" t="s">
        <v>64</v>
      </c>
      <c r="D107" s="72"/>
      <c r="E107" s="83">
        <f t="shared" si="26"/>
        <v>20.810419200000002</v>
      </c>
      <c r="F107" s="72">
        <f t="shared" si="27"/>
        <v>1435.9189247999943</v>
      </c>
      <c r="G107" s="75">
        <f t="shared" si="28"/>
        <v>0.1265</v>
      </c>
      <c r="H107" s="74">
        <f t="shared" si="25"/>
        <v>15.136978665599941</v>
      </c>
    </row>
    <row r="108" spans="2:8">
      <c r="B108" s="71" t="s">
        <v>60</v>
      </c>
      <c r="C108" s="31" t="s">
        <v>64</v>
      </c>
      <c r="D108" s="72"/>
      <c r="E108" s="83">
        <f t="shared" si="26"/>
        <v>20.810419200000002</v>
      </c>
      <c r="F108" s="72">
        <f t="shared" si="27"/>
        <v>1415.1085055999943</v>
      </c>
      <c r="G108" s="75">
        <f t="shared" si="28"/>
        <v>0.1265</v>
      </c>
      <c r="H108" s="74">
        <f t="shared" si="25"/>
        <v>14.917602163199939</v>
      </c>
    </row>
    <row r="109" spans="2:8">
      <c r="B109" s="71" t="s">
        <v>61</v>
      </c>
      <c r="C109" s="31" t="s">
        <v>64</v>
      </c>
      <c r="D109" s="72"/>
      <c r="E109" s="83">
        <f t="shared" si="26"/>
        <v>20.810419200000002</v>
      </c>
      <c r="F109" s="72">
        <f t="shared" si="27"/>
        <v>1394.2980863999942</v>
      </c>
      <c r="G109" s="75">
        <f t="shared" si="28"/>
        <v>0.1265</v>
      </c>
      <c r="H109" s="74">
        <f t="shared" si="25"/>
        <v>14.69822566079994</v>
      </c>
    </row>
    <row r="110" spans="2:8" ht="13.5" thickBot="1">
      <c r="B110" s="76"/>
      <c r="C110" s="77" t="s">
        <v>62</v>
      </c>
      <c r="D110" s="78">
        <f>SUM(D98:D109)</f>
        <v>0</v>
      </c>
      <c r="E110" s="84">
        <f>SUM(E98:E109)</f>
        <v>249.72503040000007</v>
      </c>
      <c r="F110" s="78"/>
      <c r="G110" s="79"/>
      <c r="H110" s="80">
        <f>SUM(H98:H109)</f>
        <v>190.85755708799931</v>
      </c>
    </row>
    <row r="111" spans="2:8">
      <c r="B111" s="66" t="s">
        <v>44</v>
      </c>
      <c r="C111" s="67" t="s">
        <v>45</v>
      </c>
      <c r="D111" s="68" t="s">
        <v>46</v>
      </c>
      <c r="E111" s="100" t="s">
        <v>47</v>
      </c>
      <c r="F111" s="68" t="s">
        <v>48</v>
      </c>
      <c r="G111" s="69"/>
      <c r="H111" s="70" t="s">
        <v>49</v>
      </c>
    </row>
    <row r="112" spans="2:8">
      <c r="B112" s="71"/>
      <c r="C112" s="31" t="s">
        <v>63</v>
      </c>
      <c r="D112" s="72"/>
      <c r="E112" s="83"/>
      <c r="F112" s="72"/>
      <c r="G112" s="73"/>
      <c r="H112" s="74"/>
    </row>
    <row r="113" spans="2:8">
      <c r="B113" s="71" t="s">
        <v>50</v>
      </c>
      <c r="C113" s="31" t="s">
        <v>64</v>
      </c>
      <c r="D113" s="72"/>
      <c r="E113" s="83">
        <f>$D$3/12.5/12</f>
        <v>20.810419200000002</v>
      </c>
      <c r="F113" s="72">
        <f>F109-E113</f>
        <v>1373.4876671999941</v>
      </c>
      <c r="G113" s="75">
        <f>$D$4</f>
        <v>0.1265</v>
      </c>
      <c r="H113" s="74">
        <f t="shared" ref="H113:H124" si="29">F113*G113/12</f>
        <v>14.478849158399939</v>
      </c>
    </row>
    <row r="114" spans="2:8">
      <c r="B114" s="71" t="s">
        <v>51</v>
      </c>
      <c r="C114" s="31" t="s">
        <v>64</v>
      </c>
      <c r="D114" s="72"/>
      <c r="E114" s="83">
        <f t="shared" ref="E114:E124" si="30">$D$3/12.5/12</f>
        <v>20.810419200000002</v>
      </c>
      <c r="F114" s="72">
        <f t="shared" ref="F114:F124" si="31">F113-E114</f>
        <v>1352.6772479999941</v>
      </c>
      <c r="G114" s="75">
        <f t="shared" ref="G114:G124" si="32">$D$4</f>
        <v>0.1265</v>
      </c>
      <c r="H114" s="74">
        <f t="shared" si="29"/>
        <v>14.259472655999938</v>
      </c>
    </row>
    <row r="115" spans="2:8">
      <c r="B115" s="71" t="s">
        <v>52</v>
      </c>
      <c r="C115" s="31" t="s">
        <v>64</v>
      </c>
      <c r="D115" s="72"/>
      <c r="E115" s="83">
        <f t="shared" si="30"/>
        <v>20.810419200000002</v>
      </c>
      <c r="F115" s="72">
        <f t="shared" si="31"/>
        <v>1331.866828799994</v>
      </c>
      <c r="G115" s="75">
        <f t="shared" si="32"/>
        <v>0.1265</v>
      </c>
      <c r="H115" s="74">
        <f t="shared" si="29"/>
        <v>14.040096153599938</v>
      </c>
    </row>
    <row r="116" spans="2:8">
      <c r="B116" s="71" t="s">
        <v>53</v>
      </c>
      <c r="C116" s="31" t="s">
        <v>64</v>
      </c>
      <c r="D116" s="72"/>
      <c r="E116" s="83">
        <f t="shared" si="30"/>
        <v>20.810419200000002</v>
      </c>
      <c r="F116" s="72">
        <f t="shared" si="31"/>
        <v>1311.0564095999939</v>
      </c>
      <c r="G116" s="75">
        <f t="shared" si="32"/>
        <v>0.1265</v>
      </c>
      <c r="H116" s="74">
        <f t="shared" si="29"/>
        <v>13.820719651199937</v>
      </c>
    </row>
    <row r="117" spans="2:8">
      <c r="B117" s="71" t="s">
        <v>54</v>
      </c>
      <c r="C117" s="31" t="s">
        <v>64</v>
      </c>
      <c r="D117" s="72"/>
      <c r="E117" s="83">
        <f t="shared" si="30"/>
        <v>20.810419200000002</v>
      </c>
      <c r="F117" s="72">
        <f t="shared" si="31"/>
        <v>1290.2459903999938</v>
      </c>
      <c r="G117" s="75">
        <f t="shared" si="32"/>
        <v>0.1265</v>
      </c>
      <c r="H117" s="74">
        <f t="shared" si="29"/>
        <v>13.601343148799934</v>
      </c>
    </row>
    <row r="118" spans="2:8">
      <c r="B118" s="71" t="s">
        <v>55</v>
      </c>
      <c r="C118" s="31" t="s">
        <v>64</v>
      </c>
      <c r="D118" s="72"/>
      <c r="E118" s="83">
        <f t="shared" si="30"/>
        <v>20.810419200000002</v>
      </c>
      <c r="F118" s="72">
        <f t="shared" si="31"/>
        <v>1269.4355711999938</v>
      </c>
      <c r="G118" s="75">
        <f t="shared" si="32"/>
        <v>0.1265</v>
      </c>
      <c r="H118" s="74">
        <f t="shared" si="29"/>
        <v>13.381966646399933</v>
      </c>
    </row>
    <row r="119" spans="2:8">
      <c r="B119" s="71" t="s">
        <v>56</v>
      </c>
      <c r="C119" s="31" t="s">
        <v>64</v>
      </c>
      <c r="D119" s="72"/>
      <c r="E119" s="83">
        <f t="shared" si="30"/>
        <v>20.810419200000002</v>
      </c>
      <c r="F119" s="72">
        <f t="shared" si="31"/>
        <v>1248.6251519999937</v>
      </c>
      <c r="G119" s="75">
        <f t="shared" si="32"/>
        <v>0.1265</v>
      </c>
      <c r="H119" s="74">
        <f t="shared" si="29"/>
        <v>13.162590143999934</v>
      </c>
    </row>
    <row r="120" spans="2:8">
      <c r="B120" s="71" t="s">
        <v>57</v>
      </c>
      <c r="C120" s="31" t="s">
        <v>64</v>
      </c>
      <c r="D120" s="72"/>
      <c r="E120" s="83">
        <f>$D$3/12.5/12</f>
        <v>20.810419200000002</v>
      </c>
      <c r="F120" s="72">
        <f t="shared" si="31"/>
        <v>1227.8147327999936</v>
      </c>
      <c r="G120" s="75">
        <f t="shared" si="32"/>
        <v>0.1265</v>
      </c>
      <c r="H120" s="74">
        <f t="shared" si="29"/>
        <v>12.943213641599932</v>
      </c>
    </row>
    <row r="121" spans="2:8">
      <c r="B121" s="71" t="s">
        <v>58</v>
      </c>
      <c r="C121" s="31" t="s">
        <v>64</v>
      </c>
      <c r="D121" s="72"/>
      <c r="E121" s="83">
        <f t="shared" si="30"/>
        <v>20.810419200000002</v>
      </c>
      <c r="F121" s="72">
        <f t="shared" si="31"/>
        <v>1207.0043135999936</v>
      </c>
      <c r="G121" s="75">
        <f t="shared" si="32"/>
        <v>0.1265</v>
      </c>
      <c r="H121" s="74">
        <f t="shared" si="29"/>
        <v>12.723837139199931</v>
      </c>
    </row>
    <row r="122" spans="2:8">
      <c r="B122" s="71" t="s">
        <v>59</v>
      </c>
      <c r="C122" s="31" t="s">
        <v>64</v>
      </c>
      <c r="D122" s="72"/>
      <c r="E122" s="83">
        <f t="shared" si="30"/>
        <v>20.810419200000002</v>
      </c>
      <c r="F122" s="72">
        <f t="shared" si="31"/>
        <v>1186.1938943999935</v>
      </c>
      <c r="G122" s="75">
        <f t="shared" si="32"/>
        <v>0.1265</v>
      </c>
      <c r="H122" s="74">
        <f t="shared" si="29"/>
        <v>12.504460636799932</v>
      </c>
    </row>
    <row r="123" spans="2:8">
      <c r="B123" s="71" t="s">
        <v>60</v>
      </c>
      <c r="C123" s="31" t="s">
        <v>64</v>
      </c>
      <c r="D123" s="72"/>
      <c r="E123" s="83">
        <f t="shared" si="30"/>
        <v>20.810419200000002</v>
      </c>
      <c r="F123" s="72">
        <f t="shared" si="31"/>
        <v>1165.3834751999934</v>
      </c>
      <c r="G123" s="75">
        <f t="shared" si="32"/>
        <v>0.1265</v>
      </c>
      <c r="H123" s="74">
        <f t="shared" si="29"/>
        <v>12.285084134399931</v>
      </c>
    </row>
    <row r="124" spans="2:8">
      <c r="B124" s="71" t="s">
        <v>61</v>
      </c>
      <c r="C124" s="31" t="s">
        <v>64</v>
      </c>
      <c r="D124" s="72"/>
      <c r="E124" s="83">
        <f t="shared" si="30"/>
        <v>20.810419200000002</v>
      </c>
      <c r="F124" s="72">
        <f t="shared" si="31"/>
        <v>1144.5730559999934</v>
      </c>
      <c r="G124" s="75">
        <f t="shared" si="32"/>
        <v>0.1265</v>
      </c>
      <c r="H124" s="74">
        <f t="shared" si="29"/>
        <v>12.065707631999929</v>
      </c>
    </row>
    <row r="125" spans="2:8" ht="13.5" thickBot="1">
      <c r="B125" s="76"/>
      <c r="C125" s="77" t="s">
        <v>62</v>
      </c>
      <c r="D125" s="78">
        <f>SUM(D113:D124)</f>
        <v>0</v>
      </c>
      <c r="E125" s="84">
        <f>SUM(E113:E124)</f>
        <v>249.72503040000007</v>
      </c>
      <c r="F125" s="78"/>
      <c r="G125" s="79"/>
      <c r="H125" s="80">
        <f>SUM(H113:H124)</f>
        <v>159.26734074239923</v>
      </c>
    </row>
    <row r="126" spans="2:8">
      <c r="B126" s="66" t="s">
        <v>44</v>
      </c>
      <c r="C126" s="67" t="s">
        <v>45</v>
      </c>
      <c r="D126" s="68" t="s">
        <v>46</v>
      </c>
      <c r="E126" s="100" t="s">
        <v>47</v>
      </c>
      <c r="F126" s="68" t="s">
        <v>48</v>
      </c>
      <c r="G126" s="69"/>
      <c r="H126" s="70" t="s">
        <v>49</v>
      </c>
    </row>
    <row r="127" spans="2:8">
      <c r="B127" s="71"/>
      <c r="C127" s="31" t="s">
        <v>63</v>
      </c>
      <c r="D127" s="72"/>
      <c r="E127" s="83"/>
      <c r="F127" s="72"/>
      <c r="G127" s="73"/>
      <c r="H127" s="74"/>
    </row>
    <row r="128" spans="2:8">
      <c r="B128" s="71" t="s">
        <v>50</v>
      </c>
      <c r="C128" s="31" t="s">
        <v>64</v>
      </c>
      <c r="D128" s="72"/>
      <c r="E128" s="83">
        <f>$D$3/12.5/12</f>
        <v>20.810419200000002</v>
      </c>
      <c r="F128" s="72">
        <f>F124-E128</f>
        <v>1123.7626367999933</v>
      </c>
      <c r="G128" s="75">
        <f>$D$4</f>
        <v>0.1265</v>
      </c>
      <c r="H128" s="74">
        <f t="shared" ref="H128:H139" si="33">F128*G128/12</f>
        <v>11.84633112959993</v>
      </c>
    </row>
    <row r="129" spans="2:8">
      <c r="B129" s="71" t="s">
        <v>51</v>
      </c>
      <c r="C129" s="31" t="s">
        <v>64</v>
      </c>
      <c r="D129" s="72"/>
      <c r="E129" s="83">
        <f t="shared" ref="E129:E139" si="34">$D$3/12.5/12</f>
        <v>20.810419200000002</v>
      </c>
      <c r="F129" s="72">
        <f t="shared" ref="F129:F139" si="35">F128-E129</f>
        <v>1102.9522175999932</v>
      </c>
      <c r="G129" s="75">
        <f t="shared" ref="G129:G139" si="36">$D$4</f>
        <v>0.1265</v>
      </c>
      <c r="H129" s="74">
        <f t="shared" si="33"/>
        <v>11.626954627199929</v>
      </c>
    </row>
    <row r="130" spans="2:8">
      <c r="B130" s="71" t="s">
        <v>52</v>
      </c>
      <c r="C130" s="31" t="s">
        <v>64</v>
      </c>
      <c r="D130" s="72"/>
      <c r="E130" s="83">
        <f t="shared" si="34"/>
        <v>20.810419200000002</v>
      </c>
      <c r="F130" s="72">
        <f t="shared" si="35"/>
        <v>1082.1417983999931</v>
      </c>
      <c r="G130" s="75">
        <f t="shared" si="36"/>
        <v>0.1265</v>
      </c>
      <c r="H130" s="74">
        <f t="shared" si="33"/>
        <v>11.407578124799928</v>
      </c>
    </row>
    <row r="131" spans="2:8">
      <c r="B131" s="71" t="s">
        <v>53</v>
      </c>
      <c r="C131" s="31" t="s">
        <v>64</v>
      </c>
      <c r="D131" s="72"/>
      <c r="E131" s="83">
        <f t="shared" si="34"/>
        <v>20.810419200000002</v>
      </c>
      <c r="F131" s="72">
        <f t="shared" si="35"/>
        <v>1061.3313791999931</v>
      </c>
      <c r="G131" s="75">
        <f t="shared" si="36"/>
        <v>0.1265</v>
      </c>
      <c r="H131" s="74">
        <f t="shared" si="33"/>
        <v>11.188201622399928</v>
      </c>
    </row>
    <row r="132" spans="2:8">
      <c r="B132" s="71" t="s">
        <v>54</v>
      </c>
      <c r="C132" s="31" t="s">
        <v>64</v>
      </c>
      <c r="D132" s="72"/>
      <c r="E132" s="83">
        <f t="shared" si="34"/>
        <v>20.810419200000002</v>
      </c>
      <c r="F132" s="72">
        <f t="shared" si="35"/>
        <v>1040.520959999993</v>
      </c>
      <c r="G132" s="75">
        <f t="shared" si="36"/>
        <v>0.1265</v>
      </c>
      <c r="H132" s="74">
        <f t="shared" si="33"/>
        <v>10.968825119999927</v>
      </c>
    </row>
    <row r="133" spans="2:8">
      <c r="B133" s="71" t="s">
        <v>55</v>
      </c>
      <c r="C133" s="31" t="s">
        <v>64</v>
      </c>
      <c r="D133" s="72"/>
      <c r="E133" s="83">
        <f t="shared" si="34"/>
        <v>20.810419200000002</v>
      </c>
      <c r="F133" s="72">
        <f t="shared" si="35"/>
        <v>1019.7105407999931</v>
      </c>
      <c r="G133" s="75">
        <f t="shared" si="36"/>
        <v>0.1265</v>
      </c>
      <c r="H133" s="74">
        <f t="shared" si="33"/>
        <v>10.749448617599926</v>
      </c>
    </row>
    <row r="134" spans="2:8">
      <c r="B134" s="71" t="s">
        <v>56</v>
      </c>
      <c r="C134" s="31" t="s">
        <v>64</v>
      </c>
      <c r="D134" s="72"/>
      <c r="E134" s="83">
        <f t="shared" si="34"/>
        <v>20.810419200000002</v>
      </c>
      <c r="F134" s="72">
        <f t="shared" si="35"/>
        <v>998.9001215999931</v>
      </c>
      <c r="G134" s="75">
        <f t="shared" si="36"/>
        <v>0.1265</v>
      </c>
      <c r="H134" s="74">
        <f t="shared" si="33"/>
        <v>10.530072115199927</v>
      </c>
    </row>
    <row r="135" spans="2:8">
      <c r="B135" s="71" t="s">
        <v>57</v>
      </c>
      <c r="C135" s="31" t="s">
        <v>64</v>
      </c>
      <c r="D135" s="72"/>
      <c r="E135" s="83">
        <f>$D$3/12.5/12</f>
        <v>20.810419200000002</v>
      </c>
      <c r="F135" s="72">
        <f t="shared" si="35"/>
        <v>978.08970239999314</v>
      </c>
      <c r="G135" s="75">
        <f t="shared" si="36"/>
        <v>0.1265</v>
      </c>
      <c r="H135" s="74">
        <f t="shared" si="33"/>
        <v>10.310695612799927</v>
      </c>
    </row>
    <row r="136" spans="2:8">
      <c r="B136" s="71" t="s">
        <v>58</v>
      </c>
      <c r="C136" s="31" t="s">
        <v>64</v>
      </c>
      <c r="D136" s="72"/>
      <c r="E136" s="83">
        <f t="shared" si="34"/>
        <v>20.810419200000002</v>
      </c>
      <c r="F136" s="72">
        <f t="shared" si="35"/>
        <v>957.27928319999319</v>
      </c>
      <c r="G136" s="75">
        <f t="shared" si="36"/>
        <v>0.1265</v>
      </c>
      <c r="H136" s="74">
        <f t="shared" si="33"/>
        <v>10.091319110399928</v>
      </c>
    </row>
    <row r="137" spans="2:8">
      <c r="B137" s="71" t="s">
        <v>59</v>
      </c>
      <c r="C137" s="31" t="s">
        <v>64</v>
      </c>
      <c r="D137" s="72"/>
      <c r="E137" s="83">
        <f t="shared" si="34"/>
        <v>20.810419200000002</v>
      </c>
      <c r="F137" s="72">
        <f t="shared" si="35"/>
        <v>936.46886399999323</v>
      </c>
      <c r="G137" s="75">
        <f t="shared" si="36"/>
        <v>0.1265</v>
      </c>
      <c r="H137" s="74">
        <f t="shared" si="33"/>
        <v>9.8719426079999284</v>
      </c>
    </row>
    <row r="138" spans="2:8">
      <c r="B138" s="71" t="s">
        <v>60</v>
      </c>
      <c r="C138" s="31" t="s">
        <v>64</v>
      </c>
      <c r="D138" s="72"/>
      <c r="E138" s="83">
        <f t="shared" si="34"/>
        <v>20.810419200000002</v>
      </c>
      <c r="F138" s="72">
        <f t="shared" si="35"/>
        <v>915.65844479999328</v>
      </c>
      <c r="G138" s="75">
        <f t="shared" si="36"/>
        <v>0.1265</v>
      </c>
      <c r="H138" s="74">
        <f t="shared" si="33"/>
        <v>9.652566105599929</v>
      </c>
    </row>
    <row r="139" spans="2:8">
      <c r="B139" s="71" t="s">
        <v>61</v>
      </c>
      <c r="C139" s="31" t="s">
        <v>64</v>
      </c>
      <c r="D139" s="72"/>
      <c r="E139" s="83">
        <f t="shared" si="34"/>
        <v>20.810419200000002</v>
      </c>
      <c r="F139" s="72">
        <f t="shared" si="35"/>
        <v>894.84802559999332</v>
      </c>
      <c r="G139" s="75">
        <f t="shared" si="36"/>
        <v>0.1265</v>
      </c>
      <c r="H139" s="74">
        <f t="shared" si="33"/>
        <v>9.4331896031999296</v>
      </c>
    </row>
    <row r="140" spans="2:8" ht="13.5" thickBot="1">
      <c r="B140" s="76"/>
      <c r="C140" s="77" t="s">
        <v>62</v>
      </c>
      <c r="D140" s="78">
        <f>SUM(D128:D139)</f>
        <v>0</v>
      </c>
      <c r="E140" s="84">
        <f>SUM(E128:E139)</f>
        <v>249.72503040000007</v>
      </c>
      <c r="F140" s="78"/>
      <c r="G140" s="79"/>
      <c r="H140" s="80">
        <f>SUM(H128:H139)</f>
        <v>127.67712439679914</v>
      </c>
    </row>
    <row r="141" spans="2:8">
      <c r="B141" s="66" t="s">
        <v>44</v>
      </c>
      <c r="C141" s="67" t="s">
        <v>45</v>
      </c>
      <c r="D141" s="68" t="s">
        <v>46</v>
      </c>
      <c r="E141" s="100" t="s">
        <v>47</v>
      </c>
      <c r="F141" s="68" t="s">
        <v>48</v>
      </c>
      <c r="G141" s="69"/>
      <c r="H141" s="70" t="s">
        <v>49</v>
      </c>
    </row>
    <row r="142" spans="2:8">
      <c r="B142" s="71"/>
      <c r="C142" s="31" t="s">
        <v>63</v>
      </c>
      <c r="D142" s="72"/>
      <c r="E142" s="83"/>
      <c r="F142" s="72"/>
      <c r="G142" s="73"/>
      <c r="H142" s="74"/>
    </row>
    <row r="143" spans="2:8">
      <c r="B143" s="71" t="s">
        <v>50</v>
      </c>
      <c r="C143" s="31" t="s">
        <v>64</v>
      </c>
      <c r="D143" s="72"/>
      <c r="E143" s="83">
        <f>$D$3/12.5/12</f>
        <v>20.810419200000002</v>
      </c>
      <c r="F143" s="72">
        <f>F139-E143</f>
        <v>874.03760639999336</v>
      </c>
      <c r="G143" s="75">
        <f>$D$4</f>
        <v>0.1265</v>
      </c>
      <c r="H143" s="74">
        <f t="shared" ref="H143:H154" si="37">F143*G143/12</f>
        <v>9.2138131007999302</v>
      </c>
    </row>
    <row r="144" spans="2:8">
      <c r="B144" s="71" t="s">
        <v>51</v>
      </c>
      <c r="C144" s="31" t="s">
        <v>64</v>
      </c>
      <c r="D144" s="72"/>
      <c r="E144" s="83">
        <f t="shared" ref="E144:E154" si="38">$D$3/12.5/12</f>
        <v>20.810419200000002</v>
      </c>
      <c r="F144" s="72">
        <f t="shared" ref="F144:F154" si="39">F143-E144</f>
        <v>853.22718719999341</v>
      </c>
      <c r="G144" s="75">
        <f t="shared" ref="G144:G154" si="40">$D$4</f>
        <v>0.1265</v>
      </c>
      <c r="H144" s="74">
        <f t="shared" si="37"/>
        <v>8.9944365983999308</v>
      </c>
    </row>
    <row r="145" spans="2:8">
      <c r="B145" s="71" t="s">
        <v>52</v>
      </c>
      <c r="C145" s="31" t="s">
        <v>64</v>
      </c>
      <c r="D145" s="72"/>
      <c r="E145" s="83">
        <f t="shared" si="38"/>
        <v>20.810419200000002</v>
      </c>
      <c r="F145" s="72">
        <f t="shared" si="39"/>
        <v>832.41676799999345</v>
      </c>
      <c r="G145" s="75">
        <f t="shared" si="40"/>
        <v>0.1265</v>
      </c>
      <c r="H145" s="74">
        <f t="shared" si="37"/>
        <v>8.7750600959999314</v>
      </c>
    </row>
    <row r="146" spans="2:8">
      <c r="B146" s="71" t="s">
        <v>53</v>
      </c>
      <c r="C146" s="31" t="s">
        <v>64</v>
      </c>
      <c r="D146" s="72"/>
      <c r="E146" s="83">
        <f t="shared" si="38"/>
        <v>20.810419200000002</v>
      </c>
      <c r="F146" s="72">
        <f t="shared" si="39"/>
        <v>811.6063487999935</v>
      </c>
      <c r="G146" s="75">
        <f t="shared" si="40"/>
        <v>0.1265</v>
      </c>
      <c r="H146" s="74">
        <f t="shared" si="37"/>
        <v>8.555683593599932</v>
      </c>
    </row>
    <row r="147" spans="2:8">
      <c r="B147" s="71" t="s">
        <v>54</v>
      </c>
      <c r="C147" s="31" t="s">
        <v>64</v>
      </c>
      <c r="D147" s="72"/>
      <c r="E147" s="83">
        <f t="shared" si="38"/>
        <v>20.810419200000002</v>
      </c>
      <c r="F147" s="72">
        <f t="shared" si="39"/>
        <v>790.79592959999354</v>
      </c>
      <c r="G147" s="75">
        <f t="shared" si="40"/>
        <v>0.1265</v>
      </c>
      <c r="H147" s="74">
        <f t="shared" si="37"/>
        <v>8.3363070911999326</v>
      </c>
    </row>
    <row r="148" spans="2:8">
      <c r="B148" s="71" t="s">
        <v>55</v>
      </c>
      <c r="C148" s="31" t="s">
        <v>64</v>
      </c>
      <c r="D148" s="72"/>
      <c r="E148" s="83">
        <f t="shared" si="38"/>
        <v>20.810419200000002</v>
      </c>
      <c r="F148" s="72">
        <f t="shared" si="39"/>
        <v>769.98551039999359</v>
      </c>
      <c r="G148" s="75">
        <f t="shared" si="40"/>
        <v>0.1265</v>
      </c>
      <c r="H148" s="74">
        <f t="shared" si="37"/>
        <v>8.1169305887999332</v>
      </c>
    </row>
    <row r="149" spans="2:8">
      <c r="B149" s="71" t="s">
        <v>56</v>
      </c>
      <c r="C149" s="31" t="s">
        <v>64</v>
      </c>
      <c r="D149" s="72"/>
      <c r="E149" s="83">
        <f t="shared" si="38"/>
        <v>20.810419200000002</v>
      </c>
      <c r="F149" s="72">
        <f t="shared" si="39"/>
        <v>749.17509119999363</v>
      </c>
      <c r="G149" s="75">
        <f t="shared" si="40"/>
        <v>0.1265</v>
      </c>
      <c r="H149" s="74">
        <f t="shared" si="37"/>
        <v>7.8975540863999329</v>
      </c>
    </row>
    <row r="150" spans="2:8">
      <c r="B150" s="71" t="s">
        <v>57</v>
      </c>
      <c r="C150" s="31" t="s">
        <v>64</v>
      </c>
      <c r="D150" s="72"/>
      <c r="E150" s="83">
        <f>$D$3/12.5/12</f>
        <v>20.810419200000002</v>
      </c>
      <c r="F150" s="72">
        <f t="shared" si="39"/>
        <v>728.36467199999367</v>
      </c>
      <c r="G150" s="75">
        <f t="shared" si="40"/>
        <v>0.1265</v>
      </c>
      <c r="H150" s="74">
        <f t="shared" si="37"/>
        <v>7.6781775839999336</v>
      </c>
    </row>
    <row r="151" spans="2:8">
      <c r="B151" s="71" t="s">
        <v>58</v>
      </c>
      <c r="C151" s="31" t="s">
        <v>64</v>
      </c>
      <c r="D151" s="72"/>
      <c r="E151" s="83">
        <f t="shared" si="38"/>
        <v>20.810419200000002</v>
      </c>
      <c r="F151" s="72">
        <f t="shared" si="39"/>
        <v>707.55425279999372</v>
      </c>
      <c r="G151" s="75">
        <f t="shared" si="40"/>
        <v>0.1265</v>
      </c>
      <c r="H151" s="74">
        <f t="shared" si="37"/>
        <v>7.4588010815999342</v>
      </c>
    </row>
    <row r="152" spans="2:8">
      <c r="B152" s="71" t="s">
        <v>59</v>
      </c>
      <c r="C152" s="31" t="s">
        <v>64</v>
      </c>
      <c r="D152" s="72"/>
      <c r="E152" s="83">
        <f t="shared" si="38"/>
        <v>20.810419200000002</v>
      </c>
      <c r="F152" s="72">
        <f t="shared" si="39"/>
        <v>686.74383359999376</v>
      </c>
      <c r="G152" s="75">
        <f t="shared" si="40"/>
        <v>0.1265</v>
      </c>
      <c r="H152" s="74">
        <f t="shared" si="37"/>
        <v>7.2394245791999339</v>
      </c>
    </row>
    <row r="153" spans="2:8">
      <c r="B153" s="71" t="s">
        <v>60</v>
      </c>
      <c r="C153" s="31" t="s">
        <v>64</v>
      </c>
      <c r="D153" s="72"/>
      <c r="E153" s="83">
        <f t="shared" si="38"/>
        <v>20.810419200000002</v>
      </c>
      <c r="F153" s="72">
        <f t="shared" si="39"/>
        <v>665.93341439999381</v>
      </c>
      <c r="G153" s="75">
        <f t="shared" si="40"/>
        <v>0.1265</v>
      </c>
      <c r="H153" s="74">
        <f t="shared" si="37"/>
        <v>7.0200480767999345</v>
      </c>
    </row>
    <row r="154" spans="2:8">
      <c r="B154" s="71" t="s">
        <v>61</v>
      </c>
      <c r="C154" s="31" t="s">
        <v>64</v>
      </c>
      <c r="D154" s="72"/>
      <c r="E154" s="83">
        <f t="shared" si="38"/>
        <v>20.810419200000002</v>
      </c>
      <c r="F154" s="72">
        <f t="shared" si="39"/>
        <v>645.12299519999385</v>
      </c>
      <c r="G154" s="75">
        <f t="shared" si="40"/>
        <v>0.1265</v>
      </c>
      <c r="H154" s="74">
        <f t="shared" si="37"/>
        <v>6.8006715743999351</v>
      </c>
    </row>
    <row r="155" spans="2:8" ht="13.5" thickBot="1">
      <c r="B155" s="76"/>
      <c r="C155" s="77" t="s">
        <v>62</v>
      </c>
      <c r="D155" s="78">
        <f>SUM(D143:D154)</f>
        <v>0</v>
      </c>
      <c r="E155" s="84">
        <f>SUM(E143:E154)</f>
        <v>249.72503040000007</v>
      </c>
      <c r="F155" s="78"/>
      <c r="G155" s="79"/>
      <c r="H155" s="80">
        <f>SUM(H143:H154)</f>
        <v>96.086908051199202</v>
      </c>
    </row>
    <row r="156" spans="2:8">
      <c r="B156" s="66" t="s">
        <v>44</v>
      </c>
      <c r="C156" s="67" t="s">
        <v>45</v>
      </c>
      <c r="D156" s="68" t="s">
        <v>46</v>
      </c>
      <c r="E156" s="100" t="s">
        <v>47</v>
      </c>
      <c r="F156" s="68" t="s">
        <v>48</v>
      </c>
      <c r="G156" s="69"/>
      <c r="H156" s="70" t="s">
        <v>49</v>
      </c>
    </row>
    <row r="157" spans="2:8">
      <c r="B157" s="71"/>
      <c r="C157" s="31" t="s">
        <v>63</v>
      </c>
      <c r="D157" s="72"/>
      <c r="E157" s="83"/>
      <c r="F157" s="72"/>
      <c r="G157" s="73"/>
      <c r="H157" s="74"/>
    </row>
    <row r="158" spans="2:8">
      <c r="B158" s="71" t="s">
        <v>50</v>
      </c>
      <c r="C158" s="31" t="s">
        <v>64</v>
      </c>
      <c r="D158" s="72"/>
      <c r="E158" s="83">
        <f>$D$3/12.5/12</f>
        <v>20.810419200000002</v>
      </c>
      <c r="F158" s="72">
        <f>F154-E158</f>
        <v>624.3125759999939</v>
      </c>
      <c r="G158" s="75">
        <f>$D$4</f>
        <v>0.1265</v>
      </c>
      <c r="H158" s="74">
        <f t="shared" ref="H158:H169" si="41">F158*G158/12</f>
        <v>6.5812950719999357</v>
      </c>
    </row>
    <row r="159" spans="2:8">
      <c r="B159" s="71" t="s">
        <v>51</v>
      </c>
      <c r="C159" s="31" t="s">
        <v>64</v>
      </c>
      <c r="D159" s="72"/>
      <c r="E159" s="83">
        <f t="shared" ref="E159:E169" si="42">$D$3/12.5/12</f>
        <v>20.810419200000002</v>
      </c>
      <c r="F159" s="72">
        <f t="shared" ref="F159:F169" si="43">F158-E159</f>
        <v>603.50215679999394</v>
      </c>
      <c r="G159" s="75">
        <f t="shared" ref="G159:G169" si="44">$D$4</f>
        <v>0.1265</v>
      </c>
      <c r="H159" s="74">
        <f t="shared" si="41"/>
        <v>6.3619185695999363</v>
      </c>
    </row>
    <row r="160" spans="2:8">
      <c r="B160" s="71" t="s">
        <v>52</v>
      </c>
      <c r="C160" s="31" t="s">
        <v>64</v>
      </c>
      <c r="D160" s="72"/>
      <c r="E160" s="83">
        <f t="shared" si="42"/>
        <v>20.810419200000002</v>
      </c>
      <c r="F160" s="72">
        <f t="shared" si="43"/>
        <v>582.69173759999398</v>
      </c>
      <c r="G160" s="75">
        <f t="shared" si="44"/>
        <v>0.1265</v>
      </c>
      <c r="H160" s="74">
        <f t="shared" si="41"/>
        <v>6.1425420671999369</v>
      </c>
    </row>
    <row r="161" spans="2:8">
      <c r="B161" s="71" t="s">
        <v>53</v>
      </c>
      <c r="C161" s="31" t="s">
        <v>64</v>
      </c>
      <c r="D161" s="72"/>
      <c r="E161" s="83">
        <f t="shared" si="42"/>
        <v>20.810419200000002</v>
      </c>
      <c r="F161" s="72">
        <f t="shared" si="43"/>
        <v>561.88131839999403</v>
      </c>
      <c r="G161" s="75">
        <f t="shared" si="44"/>
        <v>0.1265</v>
      </c>
      <c r="H161" s="74">
        <f t="shared" si="41"/>
        <v>5.9231655647999375</v>
      </c>
    </row>
    <row r="162" spans="2:8">
      <c r="B162" s="71" t="s">
        <v>54</v>
      </c>
      <c r="C162" s="31" t="s">
        <v>64</v>
      </c>
      <c r="D162" s="72"/>
      <c r="E162" s="83">
        <f t="shared" si="42"/>
        <v>20.810419200000002</v>
      </c>
      <c r="F162" s="72">
        <f t="shared" si="43"/>
        <v>541.07089919999407</v>
      </c>
      <c r="G162" s="75">
        <f t="shared" si="44"/>
        <v>0.1265</v>
      </c>
      <c r="H162" s="74">
        <f t="shared" si="41"/>
        <v>5.7037890623999381</v>
      </c>
    </row>
    <row r="163" spans="2:8">
      <c r="B163" s="71" t="s">
        <v>55</v>
      </c>
      <c r="C163" s="31" t="s">
        <v>64</v>
      </c>
      <c r="D163" s="72"/>
      <c r="E163" s="83">
        <f t="shared" si="42"/>
        <v>20.810419200000002</v>
      </c>
      <c r="F163" s="72">
        <f t="shared" si="43"/>
        <v>520.26047999999412</v>
      </c>
      <c r="G163" s="75">
        <f t="shared" si="44"/>
        <v>0.1265</v>
      </c>
      <c r="H163" s="74">
        <f t="shared" si="41"/>
        <v>5.4844125599999378</v>
      </c>
    </row>
    <row r="164" spans="2:8">
      <c r="B164" s="71" t="s">
        <v>56</v>
      </c>
      <c r="C164" s="31" t="s">
        <v>64</v>
      </c>
      <c r="D164" s="72"/>
      <c r="E164" s="83">
        <f t="shared" si="42"/>
        <v>20.810419200000002</v>
      </c>
      <c r="F164" s="72">
        <f t="shared" si="43"/>
        <v>499.45006079999411</v>
      </c>
      <c r="G164" s="75">
        <f t="shared" si="44"/>
        <v>0.1265</v>
      </c>
      <c r="H164" s="74">
        <f t="shared" si="41"/>
        <v>5.2650360575999384</v>
      </c>
    </row>
    <row r="165" spans="2:8">
      <c r="B165" s="71" t="s">
        <v>57</v>
      </c>
      <c r="C165" s="31" t="s">
        <v>64</v>
      </c>
      <c r="D165" s="72"/>
      <c r="E165" s="83">
        <f>$D$3/12.5/12</f>
        <v>20.810419200000002</v>
      </c>
      <c r="F165" s="72">
        <f t="shared" si="43"/>
        <v>478.63964159999409</v>
      </c>
      <c r="G165" s="75">
        <f t="shared" si="44"/>
        <v>0.1265</v>
      </c>
      <c r="H165" s="74">
        <f t="shared" si="41"/>
        <v>5.0456595551999373</v>
      </c>
    </row>
    <row r="166" spans="2:8">
      <c r="B166" s="71" t="s">
        <v>58</v>
      </c>
      <c r="C166" s="31" t="s">
        <v>64</v>
      </c>
      <c r="D166" s="72"/>
      <c r="E166" s="83">
        <f t="shared" si="42"/>
        <v>20.810419200000002</v>
      </c>
      <c r="F166" s="72">
        <f t="shared" si="43"/>
        <v>457.82922239999408</v>
      </c>
      <c r="G166" s="75">
        <f t="shared" si="44"/>
        <v>0.1265</v>
      </c>
      <c r="H166" s="74">
        <f t="shared" si="41"/>
        <v>4.8262830527999379</v>
      </c>
    </row>
    <row r="167" spans="2:8">
      <c r="B167" s="71" t="s">
        <v>59</v>
      </c>
      <c r="C167" s="31" t="s">
        <v>64</v>
      </c>
      <c r="D167" s="72"/>
      <c r="E167" s="83">
        <f t="shared" si="42"/>
        <v>20.810419200000002</v>
      </c>
      <c r="F167" s="72">
        <f t="shared" si="43"/>
        <v>437.01880319999407</v>
      </c>
      <c r="G167" s="75">
        <f t="shared" si="44"/>
        <v>0.1265</v>
      </c>
      <c r="H167" s="74">
        <f t="shared" si="41"/>
        <v>4.6069065503999376</v>
      </c>
    </row>
    <row r="168" spans="2:8">
      <c r="B168" s="71" t="s">
        <v>60</v>
      </c>
      <c r="C168" s="31" t="s">
        <v>64</v>
      </c>
      <c r="D168" s="72"/>
      <c r="E168" s="83">
        <f t="shared" si="42"/>
        <v>20.810419200000002</v>
      </c>
      <c r="F168" s="72">
        <f t="shared" si="43"/>
        <v>416.20838399999406</v>
      </c>
      <c r="G168" s="75">
        <f t="shared" si="44"/>
        <v>0.1265</v>
      </c>
      <c r="H168" s="74">
        <f t="shared" si="41"/>
        <v>4.3875300479999373</v>
      </c>
    </row>
    <row r="169" spans="2:8">
      <c r="B169" s="71" t="s">
        <v>61</v>
      </c>
      <c r="C169" s="31" t="s">
        <v>64</v>
      </c>
      <c r="D169" s="72"/>
      <c r="E169" s="83">
        <f t="shared" si="42"/>
        <v>20.810419200000002</v>
      </c>
      <c r="F169" s="72">
        <f t="shared" si="43"/>
        <v>395.39796479999404</v>
      </c>
      <c r="G169" s="75">
        <f t="shared" si="44"/>
        <v>0.1265</v>
      </c>
      <c r="H169" s="74">
        <f t="shared" si="41"/>
        <v>4.168153545599937</v>
      </c>
    </row>
    <row r="170" spans="2:8" ht="13.5" thickBot="1">
      <c r="B170" s="76"/>
      <c r="C170" s="77" t="s">
        <v>62</v>
      </c>
      <c r="D170" s="78">
        <f>SUM(D158:D169)</f>
        <v>0</v>
      </c>
      <c r="E170" s="84">
        <f>SUM(E158:E169)</f>
        <v>249.72503040000007</v>
      </c>
      <c r="F170" s="78"/>
      <c r="G170" s="79"/>
      <c r="H170" s="80">
        <f>SUM(H158:H169)</f>
        <v>64.496691705599247</v>
      </c>
    </row>
    <row r="171" spans="2:8">
      <c r="B171" s="66" t="s">
        <v>44</v>
      </c>
      <c r="C171" s="67" t="s">
        <v>45</v>
      </c>
      <c r="D171" s="68" t="s">
        <v>46</v>
      </c>
      <c r="E171" s="100" t="s">
        <v>47</v>
      </c>
      <c r="F171" s="68" t="s">
        <v>48</v>
      </c>
      <c r="G171" s="69"/>
      <c r="H171" s="70" t="s">
        <v>49</v>
      </c>
    </row>
    <row r="172" spans="2:8">
      <c r="B172" s="71"/>
      <c r="C172" s="31" t="s">
        <v>63</v>
      </c>
      <c r="D172" s="72"/>
      <c r="E172" s="83"/>
      <c r="F172" s="72"/>
      <c r="G172" s="73"/>
      <c r="H172" s="74"/>
    </row>
    <row r="173" spans="2:8">
      <c r="B173" s="71" t="s">
        <v>50</v>
      </c>
      <c r="C173" s="31" t="s">
        <v>64</v>
      </c>
      <c r="D173" s="72"/>
      <c r="E173" s="83">
        <f>$D$3/12.5/12</f>
        <v>20.810419200000002</v>
      </c>
      <c r="F173" s="72">
        <f>F169-E173</f>
        <v>374.58754559999403</v>
      </c>
      <c r="G173" s="75">
        <f>$D$4</f>
        <v>0.1265</v>
      </c>
      <c r="H173" s="74">
        <f t="shared" ref="H173:H184" si="45">F173*G173/12</f>
        <v>3.9487770431999372</v>
      </c>
    </row>
    <row r="174" spans="2:8">
      <c r="B174" s="71" t="s">
        <v>51</v>
      </c>
      <c r="C174" s="31" t="s">
        <v>64</v>
      </c>
      <c r="D174" s="72"/>
      <c r="E174" s="83">
        <f t="shared" ref="E174:E184" si="46">$D$3/12.5/12</f>
        <v>20.810419200000002</v>
      </c>
      <c r="F174" s="72">
        <f t="shared" ref="F174:F184" si="47">F173-E174</f>
        <v>353.77712639999402</v>
      </c>
      <c r="G174" s="75">
        <f t="shared" ref="G174:G184" si="48">$D$4</f>
        <v>0.1265</v>
      </c>
      <c r="H174" s="74">
        <f t="shared" si="45"/>
        <v>3.7294005407999369</v>
      </c>
    </row>
    <row r="175" spans="2:8">
      <c r="B175" s="71" t="s">
        <v>52</v>
      </c>
      <c r="C175" s="31" t="s">
        <v>64</v>
      </c>
      <c r="D175" s="72"/>
      <c r="E175" s="83">
        <f t="shared" si="46"/>
        <v>20.810419200000002</v>
      </c>
      <c r="F175" s="72">
        <f t="shared" si="47"/>
        <v>332.966707199994</v>
      </c>
      <c r="G175" s="75">
        <f t="shared" si="48"/>
        <v>0.1265</v>
      </c>
      <c r="H175" s="74">
        <f t="shared" si="45"/>
        <v>3.510024038399937</v>
      </c>
    </row>
    <row r="176" spans="2:8">
      <c r="B176" s="71" t="s">
        <v>53</v>
      </c>
      <c r="C176" s="31" t="s">
        <v>64</v>
      </c>
      <c r="D176" s="72"/>
      <c r="E176" s="83">
        <f t="shared" si="46"/>
        <v>20.810419200000002</v>
      </c>
      <c r="F176" s="72">
        <f t="shared" si="47"/>
        <v>312.15628799999399</v>
      </c>
      <c r="G176" s="75">
        <f t="shared" si="48"/>
        <v>0.1265</v>
      </c>
      <c r="H176" s="74">
        <f t="shared" si="45"/>
        <v>3.2906475359999363</v>
      </c>
    </row>
    <row r="177" spans="2:8">
      <c r="B177" s="71" t="s">
        <v>54</v>
      </c>
      <c r="C177" s="31" t="s">
        <v>64</v>
      </c>
      <c r="D177" s="72"/>
      <c r="E177" s="83">
        <f t="shared" si="46"/>
        <v>20.810419200000002</v>
      </c>
      <c r="F177" s="72">
        <f t="shared" si="47"/>
        <v>291.34586879999398</v>
      </c>
      <c r="G177" s="75">
        <f t="shared" si="48"/>
        <v>0.1265</v>
      </c>
      <c r="H177" s="74">
        <f t="shared" si="45"/>
        <v>3.0712710335999365</v>
      </c>
    </row>
    <row r="178" spans="2:8">
      <c r="B178" s="71" t="s">
        <v>55</v>
      </c>
      <c r="C178" s="31" t="s">
        <v>64</v>
      </c>
      <c r="D178" s="72"/>
      <c r="E178" s="83">
        <f t="shared" si="46"/>
        <v>20.810419200000002</v>
      </c>
      <c r="F178" s="72">
        <f t="shared" si="47"/>
        <v>270.53544959999397</v>
      </c>
      <c r="G178" s="75">
        <f t="shared" si="48"/>
        <v>0.1265</v>
      </c>
      <c r="H178" s="74">
        <f t="shared" si="45"/>
        <v>2.8518945311999366</v>
      </c>
    </row>
    <row r="179" spans="2:8">
      <c r="B179" s="71" t="s">
        <v>56</v>
      </c>
      <c r="C179" s="31" t="s">
        <v>64</v>
      </c>
      <c r="D179" s="72"/>
      <c r="E179" s="83">
        <f t="shared" si="46"/>
        <v>20.810419200000002</v>
      </c>
      <c r="F179" s="72">
        <f t="shared" si="47"/>
        <v>249.72503039999395</v>
      </c>
      <c r="G179" s="75">
        <f t="shared" si="48"/>
        <v>0.1265</v>
      </c>
      <c r="H179" s="74">
        <f t="shared" si="45"/>
        <v>2.6325180287999363</v>
      </c>
    </row>
    <row r="180" spans="2:8">
      <c r="B180" s="71" t="s">
        <v>57</v>
      </c>
      <c r="C180" s="31" t="s">
        <v>64</v>
      </c>
      <c r="D180" s="72"/>
      <c r="E180" s="83">
        <f>$D$3/12.5/12</f>
        <v>20.810419200000002</v>
      </c>
      <c r="F180" s="72">
        <f t="shared" si="47"/>
        <v>228.91461119999394</v>
      </c>
      <c r="G180" s="75">
        <f t="shared" si="48"/>
        <v>0.1265</v>
      </c>
      <c r="H180" s="74">
        <f t="shared" si="45"/>
        <v>2.4131415263999361</v>
      </c>
    </row>
    <row r="181" spans="2:8">
      <c r="B181" s="71" t="s">
        <v>58</v>
      </c>
      <c r="C181" s="31" t="s">
        <v>64</v>
      </c>
      <c r="D181" s="72"/>
      <c r="E181" s="83">
        <f t="shared" si="46"/>
        <v>20.810419200000002</v>
      </c>
      <c r="F181" s="72">
        <f t="shared" si="47"/>
        <v>208.10419199999393</v>
      </c>
      <c r="G181" s="75">
        <f t="shared" si="48"/>
        <v>0.1265</v>
      </c>
      <c r="H181" s="74">
        <f t="shared" si="45"/>
        <v>2.1937650239999358</v>
      </c>
    </row>
    <row r="182" spans="2:8">
      <c r="B182" s="71" t="s">
        <v>59</v>
      </c>
      <c r="C182" s="31" t="s">
        <v>64</v>
      </c>
      <c r="D182" s="72"/>
      <c r="E182" s="83">
        <f t="shared" si="46"/>
        <v>20.810419200000002</v>
      </c>
      <c r="F182" s="72">
        <f t="shared" si="47"/>
        <v>187.29377279999392</v>
      </c>
      <c r="G182" s="75">
        <f t="shared" si="48"/>
        <v>0.1265</v>
      </c>
      <c r="H182" s="74">
        <f t="shared" si="45"/>
        <v>1.9743885215999359</v>
      </c>
    </row>
    <row r="183" spans="2:8">
      <c r="B183" s="71" t="s">
        <v>60</v>
      </c>
      <c r="C183" s="31" t="s">
        <v>64</v>
      </c>
      <c r="D183" s="72"/>
      <c r="E183" s="83">
        <f t="shared" si="46"/>
        <v>20.810419200000002</v>
      </c>
      <c r="F183" s="72">
        <f t="shared" si="47"/>
        <v>166.4833535999939</v>
      </c>
      <c r="G183" s="75">
        <f t="shared" si="48"/>
        <v>0.1265</v>
      </c>
      <c r="H183" s="74">
        <f t="shared" si="45"/>
        <v>1.7550120191999357</v>
      </c>
    </row>
    <row r="184" spans="2:8">
      <c r="B184" s="71" t="s">
        <v>61</v>
      </c>
      <c r="C184" s="31" t="s">
        <v>64</v>
      </c>
      <c r="D184" s="72"/>
      <c r="E184" s="83">
        <f t="shared" si="46"/>
        <v>20.810419200000002</v>
      </c>
      <c r="F184" s="72">
        <f t="shared" si="47"/>
        <v>145.67293439999389</v>
      </c>
      <c r="G184" s="75">
        <f t="shared" si="48"/>
        <v>0.1265</v>
      </c>
      <c r="H184" s="74">
        <f t="shared" si="45"/>
        <v>1.5356355167999356</v>
      </c>
    </row>
    <row r="185" spans="2:8" ht="13.5" thickBot="1">
      <c r="B185" s="76"/>
      <c r="C185" s="77" t="s">
        <v>62</v>
      </c>
      <c r="D185" s="78">
        <f>SUM(D173:D184)</f>
        <v>0</v>
      </c>
      <c r="E185" s="84">
        <f>SUM(E173:E184)</f>
        <v>249.72503040000007</v>
      </c>
      <c r="F185" s="78"/>
      <c r="G185" s="79"/>
      <c r="H185" s="80">
        <f>SUM(H173:H184)</f>
        <v>32.906475359999234</v>
      </c>
    </row>
    <row r="186" spans="2:8">
      <c r="B186" s="66" t="s">
        <v>44</v>
      </c>
      <c r="C186" s="67" t="s">
        <v>45</v>
      </c>
      <c r="D186" s="68" t="s">
        <v>46</v>
      </c>
      <c r="E186" s="100" t="s">
        <v>47</v>
      </c>
      <c r="F186" s="68" t="s">
        <v>48</v>
      </c>
      <c r="G186" s="69"/>
      <c r="H186" s="70" t="s">
        <v>49</v>
      </c>
    </row>
    <row r="187" spans="2:8">
      <c r="B187" s="71"/>
      <c r="C187" s="31" t="s">
        <v>63</v>
      </c>
      <c r="D187" s="72"/>
      <c r="E187" s="83"/>
      <c r="F187" s="72"/>
      <c r="G187" s="73"/>
      <c r="H187" s="74"/>
    </row>
    <row r="188" spans="2:8">
      <c r="B188" s="71" t="s">
        <v>50</v>
      </c>
      <c r="C188" s="31" t="s">
        <v>64</v>
      </c>
      <c r="D188" s="72"/>
      <c r="E188" s="83">
        <f>$D$3/12.5/12</f>
        <v>20.810419200000002</v>
      </c>
      <c r="F188" s="72">
        <f>F184-E188</f>
        <v>124.86251519999389</v>
      </c>
      <c r="G188" s="75">
        <f>$D$4</f>
        <v>0.1265</v>
      </c>
      <c r="H188" s="74">
        <f t="shared" ref="H188:H199" si="49">F188*G188/12</f>
        <v>1.3162590143999358</v>
      </c>
    </row>
    <row r="189" spans="2:8">
      <c r="B189" s="71" t="s">
        <v>51</v>
      </c>
      <c r="C189" s="31" t="s">
        <v>64</v>
      </c>
      <c r="D189" s="72"/>
      <c r="E189" s="83">
        <f t="shared" ref="E189:E194" si="50">$D$3/12.5/12</f>
        <v>20.810419200000002</v>
      </c>
      <c r="F189" s="72">
        <f t="shared" ref="F189:F198" si="51">F188-E189</f>
        <v>104.0520959999939</v>
      </c>
      <c r="G189" s="75">
        <f t="shared" ref="G189:G199" si="52">$D$4</f>
        <v>0.1265</v>
      </c>
      <c r="H189" s="74">
        <f t="shared" si="49"/>
        <v>1.0968825119999357</v>
      </c>
    </row>
    <row r="190" spans="2:8">
      <c r="B190" s="71" t="s">
        <v>52</v>
      </c>
      <c r="C190" s="31" t="s">
        <v>64</v>
      </c>
      <c r="D190" s="72"/>
      <c r="E190" s="83">
        <f t="shared" si="50"/>
        <v>20.810419200000002</v>
      </c>
      <c r="F190" s="72">
        <f t="shared" si="51"/>
        <v>83.241676799993897</v>
      </c>
      <c r="G190" s="75">
        <f t="shared" si="52"/>
        <v>0.1265</v>
      </c>
      <c r="H190" s="74">
        <f t="shared" si="49"/>
        <v>0.87750600959993574</v>
      </c>
    </row>
    <row r="191" spans="2:8">
      <c r="B191" s="71" t="s">
        <v>53</v>
      </c>
      <c r="C191" s="31" t="s">
        <v>64</v>
      </c>
      <c r="D191" s="72"/>
      <c r="E191" s="83">
        <f t="shared" si="50"/>
        <v>20.810419200000002</v>
      </c>
      <c r="F191" s="72">
        <f t="shared" si="51"/>
        <v>62.431257599993899</v>
      </c>
      <c r="G191" s="75">
        <f t="shared" si="52"/>
        <v>0.1265</v>
      </c>
      <c r="H191" s="74">
        <f t="shared" si="49"/>
        <v>0.65812950719993568</v>
      </c>
    </row>
    <row r="192" spans="2:8">
      <c r="B192" s="71" t="s">
        <v>54</v>
      </c>
      <c r="C192" s="31" t="s">
        <v>64</v>
      </c>
      <c r="D192" s="72"/>
      <c r="E192" s="83">
        <f t="shared" si="50"/>
        <v>20.810419200000002</v>
      </c>
      <c r="F192" s="72">
        <f t="shared" si="51"/>
        <v>41.6208383999939</v>
      </c>
      <c r="G192" s="75">
        <f t="shared" si="52"/>
        <v>0.1265</v>
      </c>
      <c r="H192" s="74">
        <f t="shared" si="49"/>
        <v>0.43875300479993573</v>
      </c>
    </row>
    <row r="193" spans="2:8">
      <c r="B193" s="71" t="s">
        <v>55</v>
      </c>
      <c r="C193" s="31" t="s">
        <v>64</v>
      </c>
      <c r="D193" s="72"/>
      <c r="E193" s="83">
        <f t="shared" si="50"/>
        <v>20.810419200000002</v>
      </c>
      <c r="F193" s="72">
        <f t="shared" si="51"/>
        <v>20.810419199993898</v>
      </c>
      <c r="G193" s="75">
        <f t="shared" si="52"/>
        <v>0.1265</v>
      </c>
      <c r="H193" s="74">
        <f t="shared" si="49"/>
        <v>0.21937650239993567</v>
      </c>
    </row>
    <row r="194" spans="2:8">
      <c r="B194" s="71" t="s">
        <v>56</v>
      </c>
      <c r="C194" s="31" t="s">
        <v>64</v>
      </c>
      <c r="D194" s="72"/>
      <c r="E194" s="83">
        <f t="shared" si="50"/>
        <v>20.810419200000002</v>
      </c>
      <c r="F194" s="72">
        <f t="shared" si="51"/>
        <v>-6.1035621001792606E-12</v>
      </c>
      <c r="G194" s="75">
        <f t="shared" si="52"/>
        <v>0.1265</v>
      </c>
      <c r="H194" s="74">
        <f t="shared" si="49"/>
        <v>-6.4341717139389709E-14</v>
      </c>
    </row>
    <row r="195" spans="2:8">
      <c r="B195" s="71" t="s">
        <v>57</v>
      </c>
      <c r="C195" s="31" t="s">
        <v>64</v>
      </c>
      <c r="D195" s="72"/>
      <c r="E195" s="83"/>
      <c r="F195" s="72">
        <f t="shared" si="51"/>
        <v>-6.1035621001792606E-12</v>
      </c>
      <c r="G195" s="75">
        <f t="shared" si="52"/>
        <v>0.1265</v>
      </c>
      <c r="H195" s="74">
        <f t="shared" si="49"/>
        <v>-6.4341717139389709E-14</v>
      </c>
    </row>
    <row r="196" spans="2:8">
      <c r="B196" s="71" t="s">
        <v>58</v>
      </c>
      <c r="C196" s="31" t="s">
        <v>64</v>
      </c>
      <c r="D196" s="72"/>
      <c r="E196" s="83"/>
      <c r="F196" s="72">
        <f t="shared" si="51"/>
        <v>-6.1035621001792606E-12</v>
      </c>
      <c r="G196" s="75">
        <f t="shared" si="52"/>
        <v>0.1265</v>
      </c>
      <c r="H196" s="74">
        <f t="shared" si="49"/>
        <v>-6.4341717139389709E-14</v>
      </c>
    </row>
    <row r="197" spans="2:8">
      <c r="B197" s="71" t="s">
        <v>59</v>
      </c>
      <c r="C197" s="31" t="s">
        <v>64</v>
      </c>
      <c r="D197" s="72"/>
      <c r="E197" s="83"/>
      <c r="F197" s="72">
        <f t="shared" si="51"/>
        <v>-6.1035621001792606E-12</v>
      </c>
      <c r="G197" s="75">
        <f t="shared" si="52"/>
        <v>0.1265</v>
      </c>
      <c r="H197" s="74">
        <f t="shared" si="49"/>
        <v>-6.4341717139389709E-14</v>
      </c>
    </row>
    <row r="198" spans="2:8">
      <c r="B198" s="71" t="s">
        <v>60</v>
      </c>
      <c r="C198" s="31" t="s">
        <v>64</v>
      </c>
      <c r="D198" s="72"/>
      <c r="E198" s="83"/>
      <c r="F198" s="72">
        <f t="shared" si="51"/>
        <v>-6.1035621001792606E-12</v>
      </c>
      <c r="G198" s="75">
        <f t="shared" si="52"/>
        <v>0.1265</v>
      </c>
      <c r="H198" s="74">
        <f t="shared" si="49"/>
        <v>-6.4341717139389709E-14</v>
      </c>
    </row>
    <row r="199" spans="2:8">
      <c r="B199" s="71" t="s">
        <v>61</v>
      </c>
      <c r="C199" s="31" t="s">
        <v>64</v>
      </c>
      <c r="D199" s="72"/>
      <c r="E199" s="83"/>
      <c r="F199" s="72">
        <v>0</v>
      </c>
      <c r="G199" s="75">
        <f t="shared" si="52"/>
        <v>0.1265</v>
      </c>
      <c r="H199" s="74">
        <f t="shared" si="49"/>
        <v>0</v>
      </c>
    </row>
    <row r="200" spans="2:8" ht="13.5" thickBot="1">
      <c r="B200" s="76"/>
      <c r="C200" s="77" t="s">
        <v>62</v>
      </c>
      <c r="D200" s="78">
        <f>SUM(D188:D199)</f>
        <v>0</v>
      </c>
      <c r="E200" s="84">
        <f>SUM(E188:E199)</f>
        <v>145.6729344</v>
      </c>
      <c r="F200" s="78"/>
      <c r="G200" s="79"/>
      <c r="H200" s="80">
        <f>SUM(H188:H199)</f>
        <v>4.6069065503992945</v>
      </c>
    </row>
  </sheetData>
  <mergeCells count="1">
    <mergeCell ref="G4:H4"/>
  </mergeCells>
  <pageMargins left="0.75" right="0.75" top="0.61" bottom="0.63" header="0.5" footer="0.5"/>
  <pageSetup scale="86" orientation="portrait" r:id="rId1"/>
  <headerFooter alignWithMargins="0"/>
  <rowBreaks count="2" manualBreakCount="2">
    <brk id="49" max="16383" man="1"/>
    <brk id="109" max="16383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V29"/>
  <sheetViews>
    <sheetView workbookViewId="0">
      <pane ySplit="1" topLeftCell="A2" activePane="bottomLeft" state="frozen"/>
      <selection activeCell="H34" sqref="H34"/>
      <selection pane="bottomLeft" activeCell="E26" sqref="E26"/>
    </sheetView>
  </sheetViews>
  <sheetFormatPr defaultRowHeight="12.75"/>
  <cols>
    <col min="1" max="1" width="48.42578125" bestFit="1" customWidth="1"/>
    <col min="2" max="2" width="9" bestFit="1" customWidth="1"/>
    <col min="3" max="21" width="8.7109375" bestFit="1" customWidth="1"/>
  </cols>
  <sheetData>
    <row r="1" spans="1:22" s="18" customFormat="1"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</row>
    <row r="2" spans="1:22">
      <c r="A2" s="1" t="s">
        <v>66</v>
      </c>
      <c r="B2" s="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2">
      <c r="A3" s="31" t="s">
        <v>67</v>
      </c>
      <c r="B3" s="34">
        <f>'Project Cost'!F8</f>
        <v>4723.2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2">
      <c r="A4" s="31" t="s">
        <v>68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2">
      <c r="A5" s="31" t="s">
        <v>31</v>
      </c>
      <c r="B5" s="143">
        <f>B3*10%</f>
        <v>472.32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2">
      <c r="A6" s="31"/>
      <c r="B6" s="34">
        <f>B3-B5</f>
        <v>4250.88</v>
      </c>
      <c r="C6" s="31"/>
      <c r="D6" s="31"/>
      <c r="E6" s="31"/>
      <c r="F6" s="31"/>
      <c r="G6" s="31"/>
      <c r="H6" s="31"/>
      <c r="I6" s="31"/>
      <c r="J6" s="33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2">
      <c r="A7" s="2" t="s">
        <v>109</v>
      </c>
      <c r="B7" s="33">
        <v>1</v>
      </c>
      <c r="C7" s="31"/>
      <c r="D7" s="31"/>
      <c r="E7" s="31"/>
      <c r="F7" s="31"/>
      <c r="G7" s="31"/>
      <c r="H7" s="31"/>
      <c r="I7" s="31"/>
      <c r="J7" s="33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2">
      <c r="A8" s="31"/>
      <c r="B8" s="34">
        <f>B6*B7</f>
        <v>4250.88</v>
      </c>
      <c r="C8" s="31"/>
      <c r="D8" s="31"/>
      <c r="E8" s="31"/>
      <c r="F8" s="31"/>
      <c r="G8" s="31"/>
      <c r="H8" s="31"/>
      <c r="I8" s="31"/>
      <c r="J8" s="33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2">
      <c r="A9" s="1" t="s">
        <v>119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</row>
    <row r="10" spans="1:22">
      <c r="A10" s="31" t="s">
        <v>69</v>
      </c>
      <c r="B10" s="34">
        <f>B8</f>
        <v>4250.88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</row>
    <row r="11" spans="1:22">
      <c r="A11" s="31" t="s">
        <v>70</v>
      </c>
      <c r="B11" s="34">
        <f>Assumptions!B20</f>
        <v>20</v>
      </c>
      <c r="C11" s="31" t="s">
        <v>17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2">
      <c r="A12" s="31" t="s">
        <v>71</v>
      </c>
      <c r="B12" s="36">
        <f>Assumptions!$B$39</f>
        <v>5.28E-2</v>
      </c>
      <c r="C12" s="31"/>
      <c r="D12" s="33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2">
      <c r="A13" s="31" t="s">
        <v>72</v>
      </c>
      <c r="B13" s="34">
        <f>+B10*B12</f>
        <v>224.44646399999999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2" s="30" customFormat="1">
      <c r="A14" s="26" t="s">
        <v>119</v>
      </c>
      <c r="B14" s="103" t="s">
        <v>201</v>
      </c>
      <c r="C14" s="103" t="s">
        <v>133</v>
      </c>
      <c r="D14" s="103" t="s">
        <v>134</v>
      </c>
      <c r="E14" s="103" t="s">
        <v>135</v>
      </c>
      <c r="F14" s="103" t="s">
        <v>136</v>
      </c>
      <c r="G14" s="103" t="s">
        <v>137</v>
      </c>
      <c r="H14" s="103" t="s">
        <v>138</v>
      </c>
      <c r="I14" s="103" t="s">
        <v>139</v>
      </c>
      <c r="J14" s="103" t="s">
        <v>140</v>
      </c>
      <c r="K14" s="103" t="s">
        <v>141</v>
      </c>
      <c r="L14" s="103" t="s">
        <v>142</v>
      </c>
      <c r="M14" s="103" t="s">
        <v>144</v>
      </c>
      <c r="N14" s="103" t="s">
        <v>145</v>
      </c>
      <c r="O14" s="103" t="s">
        <v>146</v>
      </c>
      <c r="P14" s="103" t="s">
        <v>147</v>
      </c>
      <c r="Q14" s="103" t="s">
        <v>148</v>
      </c>
      <c r="R14" s="103" t="s">
        <v>149</v>
      </c>
      <c r="S14" s="103" t="s">
        <v>150</v>
      </c>
      <c r="T14" s="103" t="s">
        <v>151</v>
      </c>
      <c r="U14" s="103" t="s">
        <v>152</v>
      </c>
      <c r="V14" s="103" t="s">
        <v>153</v>
      </c>
    </row>
    <row r="15" spans="1:22">
      <c r="A15" s="31" t="s">
        <v>73</v>
      </c>
      <c r="B15" s="34">
        <f>B8</f>
        <v>4250.88</v>
      </c>
      <c r="C15" s="34">
        <f t="shared" ref="C15:V15" si="0">+B18</f>
        <v>4250.2650781808225</v>
      </c>
      <c r="D15" s="34">
        <f t="shared" si="0"/>
        <v>4025.8186141808224</v>
      </c>
      <c r="E15" s="34">
        <f t="shared" si="0"/>
        <v>3801.3721501808222</v>
      </c>
      <c r="F15" s="34">
        <f t="shared" si="0"/>
        <v>3576.9256861808221</v>
      </c>
      <c r="G15" s="34">
        <f t="shared" si="0"/>
        <v>3352.479222180822</v>
      </c>
      <c r="H15" s="34">
        <f t="shared" si="0"/>
        <v>3128.0327581808219</v>
      </c>
      <c r="I15" s="34">
        <f t="shared" si="0"/>
        <v>2903.5862941808218</v>
      </c>
      <c r="J15" s="34">
        <f t="shared" si="0"/>
        <v>2679.1398301808217</v>
      </c>
      <c r="K15" s="34">
        <f t="shared" si="0"/>
        <v>2454.6933661808216</v>
      </c>
      <c r="L15" s="34">
        <f t="shared" si="0"/>
        <v>2230.2469021808215</v>
      </c>
      <c r="M15" s="34">
        <f t="shared" si="0"/>
        <v>2005.8004381808214</v>
      </c>
      <c r="N15" s="34">
        <f t="shared" si="0"/>
        <v>1781.3539741808213</v>
      </c>
      <c r="O15" s="34">
        <f t="shared" si="0"/>
        <v>1556.9075101808212</v>
      </c>
      <c r="P15" s="34">
        <f t="shared" si="0"/>
        <v>1332.4610461808211</v>
      </c>
      <c r="Q15" s="34">
        <f t="shared" si="0"/>
        <v>1108.014582180821</v>
      </c>
      <c r="R15" s="34">
        <f t="shared" si="0"/>
        <v>883.56811818082099</v>
      </c>
      <c r="S15" s="34">
        <f t="shared" si="0"/>
        <v>659.121654180821</v>
      </c>
      <c r="T15" s="34">
        <f t="shared" si="0"/>
        <v>434.67519018082101</v>
      </c>
      <c r="U15" s="34">
        <f t="shared" si="0"/>
        <v>210.22872618082101</v>
      </c>
      <c r="V15" s="34">
        <f t="shared" si="0"/>
        <v>0</v>
      </c>
    </row>
    <row r="16" spans="1:22">
      <c r="A16" s="31" t="s">
        <v>74</v>
      </c>
      <c r="B16" s="143">
        <f>+B13*Operations!B4/365</f>
        <v>0.6149218191780822</v>
      </c>
      <c r="C16" s="34">
        <f t="shared" ref="C16:S16" si="1">IF($B$13&lt;B18,$B$13,B18)</f>
        <v>224.44646399999999</v>
      </c>
      <c r="D16" s="34">
        <f t="shared" si="1"/>
        <v>224.44646399999999</v>
      </c>
      <c r="E16" s="34">
        <f t="shared" si="1"/>
        <v>224.44646399999999</v>
      </c>
      <c r="F16" s="34">
        <f t="shared" si="1"/>
        <v>224.44646399999999</v>
      </c>
      <c r="G16" s="34">
        <f t="shared" si="1"/>
        <v>224.44646399999999</v>
      </c>
      <c r="H16" s="34">
        <f t="shared" si="1"/>
        <v>224.44646399999999</v>
      </c>
      <c r="I16" s="34">
        <f t="shared" si="1"/>
        <v>224.44646399999999</v>
      </c>
      <c r="J16" s="34">
        <f t="shared" si="1"/>
        <v>224.44646399999999</v>
      </c>
      <c r="K16" s="34">
        <f t="shared" si="1"/>
        <v>224.44646399999999</v>
      </c>
      <c r="L16" s="34">
        <f t="shared" si="1"/>
        <v>224.44646399999999</v>
      </c>
      <c r="M16" s="34">
        <f t="shared" si="1"/>
        <v>224.44646399999999</v>
      </c>
      <c r="N16" s="34">
        <f t="shared" si="1"/>
        <v>224.44646399999999</v>
      </c>
      <c r="O16" s="34">
        <f t="shared" si="1"/>
        <v>224.44646399999999</v>
      </c>
      <c r="P16" s="34">
        <f t="shared" si="1"/>
        <v>224.44646399999999</v>
      </c>
      <c r="Q16" s="34">
        <f t="shared" si="1"/>
        <v>224.44646399999999</v>
      </c>
      <c r="R16" s="34">
        <f t="shared" si="1"/>
        <v>224.44646399999999</v>
      </c>
      <c r="S16" s="34">
        <f t="shared" si="1"/>
        <v>224.44646399999999</v>
      </c>
      <c r="T16" s="34">
        <f>IF($B$13&lt;S18,$B$13,S18)</f>
        <v>224.44646399999999</v>
      </c>
      <c r="U16" s="34">
        <f>IF($B$13&lt;T18,$B$13,T18)</f>
        <v>210.22872618082101</v>
      </c>
      <c r="V16" s="34">
        <f>IF($B$13&lt;U18,$B$13,U18)</f>
        <v>0</v>
      </c>
    </row>
    <row r="17" spans="1:22">
      <c r="A17" s="31" t="s">
        <v>75</v>
      </c>
      <c r="B17" s="34">
        <f>+B16</f>
        <v>0.6149218191780822</v>
      </c>
      <c r="C17" s="34">
        <f>+C16+B17</f>
        <v>225.06138581917807</v>
      </c>
      <c r="D17" s="34">
        <f>+D16+C17</f>
        <v>449.50784981917809</v>
      </c>
      <c r="E17" s="34">
        <f t="shared" ref="E17:R17" si="2">+D17+E16</f>
        <v>673.95431381917808</v>
      </c>
      <c r="F17" s="34">
        <f t="shared" si="2"/>
        <v>898.40077781917807</v>
      </c>
      <c r="G17" s="34">
        <f t="shared" si="2"/>
        <v>1122.8472418191782</v>
      </c>
      <c r="H17" s="34">
        <f t="shared" si="2"/>
        <v>1347.2937058191783</v>
      </c>
      <c r="I17" s="34">
        <f t="shared" si="2"/>
        <v>1571.7401698191784</v>
      </c>
      <c r="J17" s="34">
        <f t="shared" si="2"/>
        <v>1796.1866338191785</v>
      </c>
      <c r="K17" s="34">
        <f t="shared" si="2"/>
        <v>2020.6330978191786</v>
      </c>
      <c r="L17" s="34">
        <f t="shared" si="2"/>
        <v>2245.0795618191787</v>
      </c>
      <c r="M17" s="34">
        <f t="shared" si="2"/>
        <v>2469.5260258191788</v>
      </c>
      <c r="N17" s="34">
        <f t="shared" si="2"/>
        <v>2693.9724898191789</v>
      </c>
      <c r="O17" s="34">
        <f t="shared" si="2"/>
        <v>2918.418953819179</v>
      </c>
      <c r="P17" s="34">
        <f t="shared" si="2"/>
        <v>3142.8654178191791</v>
      </c>
      <c r="Q17" s="34">
        <f t="shared" si="2"/>
        <v>3367.3118818191792</v>
      </c>
      <c r="R17" s="34">
        <f t="shared" si="2"/>
        <v>3591.7583458191793</v>
      </c>
      <c r="S17" s="34">
        <f>+R17+S16</f>
        <v>3816.2048098191794</v>
      </c>
      <c r="T17" s="34">
        <f>+S17+T16</f>
        <v>4040.6512738191796</v>
      </c>
      <c r="U17" s="34">
        <f>+T17+U16</f>
        <v>4250.880000000001</v>
      </c>
      <c r="V17" s="34">
        <f>+U17+V16</f>
        <v>4250.880000000001</v>
      </c>
    </row>
    <row r="18" spans="1:22">
      <c r="A18" s="31" t="s">
        <v>76</v>
      </c>
      <c r="B18" s="34">
        <f>+B15-B16</f>
        <v>4250.2650781808225</v>
      </c>
      <c r="C18" s="34">
        <f t="shared" ref="C18:V18" si="3">IF((C15-C16)&gt;0,(C15-C16),0)</f>
        <v>4025.8186141808224</v>
      </c>
      <c r="D18" s="34">
        <f t="shared" si="3"/>
        <v>3801.3721501808222</v>
      </c>
      <c r="E18" s="34">
        <f t="shared" si="3"/>
        <v>3576.9256861808221</v>
      </c>
      <c r="F18" s="34">
        <f t="shared" si="3"/>
        <v>3352.479222180822</v>
      </c>
      <c r="G18" s="34">
        <f t="shared" si="3"/>
        <v>3128.0327581808219</v>
      </c>
      <c r="H18" s="34">
        <f t="shared" si="3"/>
        <v>2903.5862941808218</v>
      </c>
      <c r="I18" s="34">
        <f t="shared" si="3"/>
        <v>2679.1398301808217</v>
      </c>
      <c r="J18" s="34">
        <f t="shared" si="3"/>
        <v>2454.6933661808216</v>
      </c>
      <c r="K18" s="34">
        <f t="shared" si="3"/>
        <v>2230.2469021808215</v>
      </c>
      <c r="L18" s="34">
        <f t="shared" si="3"/>
        <v>2005.8004381808214</v>
      </c>
      <c r="M18" s="34">
        <f t="shared" si="3"/>
        <v>1781.3539741808213</v>
      </c>
      <c r="N18" s="34">
        <f t="shared" si="3"/>
        <v>1556.9075101808212</v>
      </c>
      <c r="O18" s="34">
        <f t="shared" si="3"/>
        <v>1332.4610461808211</v>
      </c>
      <c r="P18" s="34">
        <f t="shared" si="3"/>
        <v>1108.014582180821</v>
      </c>
      <c r="Q18" s="34">
        <f t="shared" si="3"/>
        <v>883.56811818082099</v>
      </c>
      <c r="R18" s="34">
        <f t="shared" si="3"/>
        <v>659.121654180821</v>
      </c>
      <c r="S18" s="34">
        <f>IF((S15-S16)&gt;0,(S15-S16),0)</f>
        <v>434.67519018082101</v>
      </c>
      <c r="T18" s="34">
        <f>IF((T15-T16)&gt;0,(T15-T16),0)</f>
        <v>210.22872618082101</v>
      </c>
      <c r="U18" s="34">
        <f t="shared" si="3"/>
        <v>0</v>
      </c>
      <c r="V18" s="34">
        <f t="shared" si="3"/>
        <v>0</v>
      </c>
    </row>
    <row r="19" spans="1:22" s="30" customFormat="1">
      <c r="A19" s="1" t="s">
        <v>77</v>
      </c>
      <c r="B19" s="103" t="s">
        <v>201</v>
      </c>
      <c r="C19" s="103" t="s">
        <v>133</v>
      </c>
      <c r="D19" s="103" t="s">
        <v>134</v>
      </c>
      <c r="E19" s="103" t="s">
        <v>135</v>
      </c>
      <c r="F19" s="103" t="s">
        <v>136</v>
      </c>
      <c r="G19" s="103" t="s">
        <v>137</v>
      </c>
      <c r="H19" s="103" t="s">
        <v>138</v>
      </c>
      <c r="I19" s="103" t="s">
        <v>139</v>
      </c>
      <c r="J19" s="103" t="s">
        <v>140</v>
      </c>
      <c r="K19" s="103" t="s">
        <v>141</v>
      </c>
      <c r="L19" s="103" t="s">
        <v>142</v>
      </c>
      <c r="M19" s="103" t="s">
        <v>144</v>
      </c>
      <c r="N19" s="103" t="s">
        <v>145</v>
      </c>
      <c r="O19" s="103" t="s">
        <v>146</v>
      </c>
      <c r="P19" s="103" t="s">
        <v>147</v>
      </c>
      <c r="Q19" s="103" t="s">
        <v>148</v>
      </c>
      <c r="R19" s="103" t="s">
        <v>149</v>
      </c>
      <c r="S19" s="103" t="s">
        <v>150</v>
      </c>
      <c r="T19" s="103" t="s">
        <v>151</v>
      </c>
      <c r="U19" s="103" t="s">
        <v>152</v>
      </c>
      <c r="V19" s="103" t="s">
        <v>153</v>
      </c>
    </row>
    <row r="20" spans="1:22">
      <c r="A20" s="31" t="s">
        <v>78</v>
      </c>
      <c r="B20" s="52">
        <f>Assumptions!$B$41</f>
        <v>0.15</v>
      </c>
      <c r="C20" s="35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2">
      <c r="A21" s="31" t="s">
        <v>79</v>
      </c>
      <c r="B21" s="51">
        <f>B8</f>
        <v>4250.88</v>
      </c>
      <c r="C21" s="34">
        <f t="shared" ref="C21:L21" si="4">+B23</f>
        <v>3932.0640000000003</v>
      </c>
      <c r="D21" s="34">
        <f t="shared" si="4"/>
        <v>3342.2544000000003</v>
      </c>
      <c r="E21" s="34">
        <f t="shared" si="4"/>
        <v>2840.9162400000005</v>
      </c>
      <c r="F21" s="34">
        <f t="shared" si="4"/>
        <v>2414.7788040000005</v>
      </c>
      <c r="G21" s="34">
        <f t="shared" si="4"/>
        <v>2052.5619834000004</v>
      </c>
      <c r="H21" s="34">
        <f t="shared" si="4"/>
        <v>1744.6776858900002</v>
      </c>
      <c r="I21" s="34">
        <f t="shared" si="4"/>
        <v>1482.9760330065003</v>
      </c>
      <c r="J21" s="34">
        <f t="shared" si="4"/>
        <v>1260.5296280555253</v>
      </c>
      <c r="K21" s="34">
        <f t="shared" si="4"/>
        <v>1071.4501838471965</v>
      </c>
      <c r="L21" s="34">
        <f t="shared" si="4"/>
        <v>910.7326562701171</v>
      </c>
      <c r="M21" s="34">
        <f t="shared" ref="M21:V21" si="5">+L23</f>
        <v>774.12275782959955</v>
      </c>
      <c r="N21" s="34">
        <f t="shared" si="5"/>
        <v>658.00434415515963</v>
      </c>
      <c r="O21" s="34">
        <f t="shared" si="5"/>
        <v>559.30369253188564</v>
      </c>
      <c r="P21" s="34">
        <f t="shared" si="5"/>
        <v>475.40813865210282</v>
      </c>
      <c r="Q21" s="34">
        <f t="shared" si="5"/>
        <v>404.09691785428743</v>
      </c>
      <c r="R21" s="34">
        <f t="shared" si="5"/>
        <v>343.48238017614432</v>
      </c>
      <c r="S21" s="34">
        <f t="shared" si="5"/>
        <v>291.9600231497227</v>
      </c>
      <c r="T21" s="34">
        <f t="shared" si="5"/>
        <v>248.1660196772643</v>
      </c>
      <c r="U21" s="34">
        <f t="shared" si="5"/>
        <v>210.94111672567465</v>
      </c>
      <c r="V21" s="34">
        <f t="shared" si="5"/>
        <v>179.29994921682345</v>
      </c>
    </row>
    <row r="22" spans="1:22">
      <c r="A22" s="31" t="s">
        <v>80</v>
      </c>
      <c r="B22" s="143">
        <f>+B21*$B$20/2</f>
        <v>318.81599999999997</v>
      </c>
      <c r="C22" s="51">
        <f t="shared" ref="C22:L22" si="6">+C21*$B$20</f>
        <v>589.80960000000005</v>
      </c>
      <c r="D22" s="51">
        <f t="shared" si="6"/>
        <v>501.33816000000002</v>
      </c>
      <c r="E22" s="51">
        <f t="shared" si="6"/>
        <v>426.13743600000004</v>
      </c>
      <c r="F22" s="51">
        <f t="shared" si="6"/>
        <v>362.21682060000006</v>
      </c>
      <c r="G22" s="51">
        <f t="shared" si="6"/>
        <v>307.88429751000007</v>
      </c>
      <c r="H22" s="51">
        <f t="shared" si="6"/>
        <v>261.7016528835</v>
      </c>
      <c r="I22" s="51">
        <f t="shared" si="6"/>
        <v>222.44640495097505</v>
      </c>
      <c r="J22" s="51">
        <f t="shared" si="6"/>
        <v>189.07944420832879</v>
      </c>
      <c r="K22" s="51">
        <f t="shared" si="6"/>
        <v>160.71752757707947</v>
      </c>
      <c r="L22" s="51">
        <f t="shared" si="6"/>
        <v>136.60989844051755</v>
      </c>
      <c r="M22" s="51">
        <f t="shared" ref="M22:V22" si="7">+M21*$B$20</f>
        <v>116.11841367443992</v>
      </c>
      <c r="N22" s="51">
        <f t="shared" si="7"/>
        <v>98.700651623273941</v>
      </c>
      <c r="O22" s="51">
        <f t="shared" si="7"/>
        <v>83.895553879782838</v>
      </c>
      <c r="P22" s="51">
        <f t="shared" si="7"/>
        <v>71.311220797815423</v>
      </c>
      <c r="Q22" s="51">
        <f t="shared" si="7"/>
        <v>60.614537678143108</v>
      </c>
      <c r="R22" s="51">
        <f t="shared" si="7"/>
        <v>51.522357026421645</v>
      </c>
      <c r="S22" s="51">
        <f t="shared" si="7"/>
        <v>43.794003472458407</v>
      </c>
      <c r="T22" s="51">
        <f t="shared" si="7"/>
        <v>37.224902951589641</v>
      </c>
      <c r="U22" s="51">
        <f t="shared" si="7"/>
        <v>31.641167508851197</v>
      </c>
      <c r="V22" s="51">
        <f t="shared" si="7"/>
        <v>26.894992382523515</v>
      </c>
    </row>
    <row r="23" spans="1:22">
      <c r="A23" s="37" t="s">
        <v>81</v>
      </c>
      <c r="B23" s="51">
        <f>+B21-B22</f>
        <v>3932.0640000000003</v>
      </c>
      <c r="C23" s="34">
        <f>C21-C22</f>
        <v>3342.2544000000003</v>
      </c>
      <c r="D23" s="34">
        <f t="shared" ref="D23:L23" si="8">+C23-D22</f>
        <v>2840.9162400000005</v>
      </c>
      <c r="E23" s="34">
        <f t="shared" si="8"/>
        <v>2414.7788040000005</v>
      </c>
      <c r="F23" s="34">
        <f t="shared" si="8"/>
        <v>2052.5619834000004</v>
      </c>
      <c r="G23" s="34">
        <f t="shared" si="8"/>
        <v>1744.6776858900002</v>
      </c>
      <c r="H23" s="34">
        <f t="shared" si="8"/>
        <v>1482.9760330065003</v>
      </c>
      <c r="I23" s="34">
        <f t="shared" si="8"/>
        <v>1260.5296280555253</v>
      </c>
      <c r="J23" s="34">
        <f t="shared" si="8"/>
        <v>1071.4501838471965</v>
      </c>
      <c r="K23" s="34">
        <f t="shared" si="8"/>
        <v>910.7326562701171</v>
      </c>
      <c r="L23" s="34">
        <f t="shared" si="8"/>
        <v>774.12275782959955</v>
      </c>
      <c r="M23" s="34">
        <f t="shared" ref="M23:V23" si="9">+L23-M22</f>
        <v>658.00434415515963</v>
      </c>
      <c r="N23" s="34">
        <f t="shared" si="9"/>
        <v>559.30369253188564</v>
      </c>
      <c r="O23" s="34">
        <f t="shared" si="9"/>
        <v>475.40813865210282</v>
      </c>
      <c r="P23" s="34">
        <f t="shared" si="9"/>
        <v>404.09691785428743</v>
      </c>
      <c r="Q23" s="34">
        <f t="shared" si="9"/>
        <v>343.48238017614432</v>
      </c>
      <c r="R23" s="34">
        <f t="shared" si="9"/>
        <v>291.9600231497227</v>
      </c>
      <c r="S23" s="34">
        <f t="shared" si="9"/>
        <v>248.1660196772643</v>
      </c>
      <c r="T23" s="34">
        <f t="shared" si="9"/>
        <v>210.94111672567465</v>
      </c>
      <c r="U23" s="34">
        <f t="shared" si="9"/>
        <v>179.29994921682345</v>
      </c>
      <c r="V23" s="34">
        <f t="shared" si="9"/>
        <v>152.40495683429992</v>
      </c>
    </row>
    <row r="24" spans="1:22">
      <c r="A24" s="19"/>
      <c r="B24" s="6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17"/>
      <c r="N24" s="17"/>
      <c r="O24" s="17"/>
      <c r="P24" s="17"/>
      <c r="Q24" s="17"/>
      <c r="R24" s="17"/>
      <c r="S24" s="17"/>
      <c r="T24" s="17"/>
      <c r="U24" s="17"/>
    </row>
    <row r="25" spans="1:22">
      <c r="A25" s="47" t="s">
        <v>82</v>
      </c>
      <c r="B25" s="118">
        <f>+Assumptions!B44</f>
        <v>0.32450000000000001</v>
      </c>
      <c r="D25" s="40"/>
    </row>
    <row r="29" spans="1:22">
      <c r="D29" s="29"/>
    </row>
  </sheetData>
  <phoneticPr fontId="0" type="noConversion"/>
  <pageMargins left="0.75" right="0.75" top="1" bottom="1" header="0.5" footer="0.5"/>
  <pageSetup scale="53" orientation="landscape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9"/>
  <sheetViews>
    <sheetView topLeftCell="F1" workbookViewId="0">
      <pane ySplit="3" topLeftCell="A4" activePane="bottomLeft" state="frozen"/>
      <selection activeCell="H34" sqref="H34"/>
      <selection pane="bottomLeft" activeCell="X15" sqref="X15"/>
    </sheetView>
  </sheetViews>
  <sheetFormatPr defaultRowHeight="12.75"/>
  <cols>
    <col min="1" max="1" width="22.7109375" bestFit="1" customWidth="1"/>
    <col min="2" max="3" width="9.7109375" bestFit="1" customWidth="1"/>
    <col min="4" max="4" width="11.42578125" customWidth="1"/>
    <col min="5" max="12" width="9.7109375" bestFit="1" customWidth="1"/>
    <col min="13" max="13" width="12.28515625" customWidth="1"/>
    <col min="14" max="21" width="9.140625" bestFit="1" customWidth="1"/>
  </cols>
  <sheetData>
    <row r="1" spans="1:22">
      <c r="A1" s="38" t="s">
        <v>83</v>
      </c>
      <c r="B1" s="21" t="s">
        <v>201</v>
      </c>
      <c r="C1" s="21" t="s">
        <v>133</v>
      </c>
      <c r="D1" s="21" t="s">
        <v>134</v>
      </c>
      <c r="E1" s="21" t="s">
        <v>135</v>
      </c>
      <c r="F1" s="21" t="s">
        <v>136</v>
      </c>
      <c r="G1" s="21" t="s">
        <v>137</v>
      </c>
      <c r="H1" s="21" t="s">
        <v>138</v>
      </c>
      <c r="I1" s="21" t="s">
        <v>139</v>
      </c>
      <c r="J1" s="21" t="s">
        <v>140</v>
      </c>
      <c r="K1" s="21" t="s">
        <v>141</v>
      </c>
      <c r="L1" s="21" t="s">
        <v>142</v>
      </c>
      <c r="M1" s="21" t="s">
        <v>144</v>
      </c>
      <c r="N1" s="21" t="s">
        <v>145</v>
      </c>
      <c r="O1" s="21" t="s">
        <v>146</v>
      </c>
      <c r="P1" s="21" t="s">
        <v>147</v>
      </c>
      <c r="Q1" s="21" t="s">
        <v>148</v>
      </c>
      <c r="R1" s="21" t="s">
        <v>149</v>
      </c>
      <c r="S1" s="21" t="s">
        <v>150</v>
      </c>
      <c r="T1" s="21" t="s">
        <v>151</v>
      </c>
      <c r="U1" s="21" t="s">
        <v>152</v>
      </c>
      <c r="V1" s="21" t="s">
        <v>153</v>
      </c>
    </row>
    <row r="2" spans="1:22">
      <c r="A2" s="39" t="s">
        <v>65</v>
      </c>
      <c r="B2" s="39">
        <v>1</v>
      </c>
      <c r="C2" s="39">
        <f t="shared" ref="C2:V2" si="0">B2+1</f>
        <v>2</v>
      </c>
      <c r="D2" s="39">
        <f t="shared" si="0"/>
        <v>3</v>
      </c>
      <c r="E2" s="39">
        <f t="shared" si="0"/>
        <v>4</v>
      </c>
      <c r="F2" s="39">
        <f t="shared" si="0"/>
        <v>5</v>
      </c>
      <c r="G2" s="39">
        <f t="shared" si="0"/>
        <v>6</v>
      </c>
      <c r="H2" s="39">
        <f t="shared" si="0"/>
        <v>7</v>
      </c>
      <c r="I2" s="39">
        <f t="shared" si="0"/>
        <v>8</v>
      </c>
      <c r="J2" s="39">
        <f t="shared" si="0"/>
        <v>9</v>
      </c>
      <c r="K2" s="39">
        <f t="shared" si="0"/>
        <v>10</v>
      </c>
      <c r="L2" s="39">
        <f t="shared" si="0"/>
        <v>11</v>
      </c>
      <c r="M2" s="39">
        <f t="shared" si="0"/>
        <v>12</v>
      </c>
      <c r="N2" s="39">
        <f t="shared" si="0"/>
        <v>13</v>
      </c>
      <c r="O2" s="39">
        <f t="shared" si="0"/>
        <v>14</v>
      </c>
      <c r="P2" s="39">
        <f t="shared" si="0"/>
        <v>15</v>
      </c>
      <c r="Q2" s="39">
        <f t="shared" si="0"/>
        <v>16</v>
      </c>
      <c r="R2" s="39">
        <f t="shared" si="0"/>
        <v>17</v>
      </c>
      <c r="S2" s="39">
        <f t="shared" si="0"/>
        <v>18</v>
      </c>
      <c r="T2" s="39">
        <f t="shared" si="0"/>
        <v>19</v>
      </c>
      <c r="U2" s="39">
        <f t="shared" si="0"/>
        <v>20</v>
      </c>
      <c r="V2" s="39">
        <f t="shared" si="0"/>
        <v>21</v>
      </c>
    </row>
    <row r="3" spans="1:22">
      <c r="A3" s="9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2">
      <c r="A4" s="31" t="s">
        <v>84</v>
      </c>
      <c r="B4" s="55">
        <f>'P&amp;L'!E19</f>
        <v>-379.29241941277803</v>
      </c>
      <c r="C4" s="55">
        <f>'P&amp;L'!F19</f>
        <v>55.040409504000309</v>
      </c>
      <c r="D4" s="55">
        <f>'P&amp;L'!G19</f>
        <v>86.41068064412093</v>
      </c>
      <c r="E4" s="55">
        <f>'P&amp;L'!H19</f>
        <v>39.66219976320042</v>
      </c>
      <c r="F4" s="55">
        <f>'P&amp;L'!I19</f>
        <v>65.51705854080069</v>
      </c>
      <c r="G4" s="55">
        <f>'P&amp;L'!J19</f>
        <v>92.89257488640078</v>
      </c>
      <c r="H4" s="55">
        <f>'P&amp;L'!K19</f>
        <v>120.05735623200087</v>
      </c>
      <c r="I4" s="55">
        <f>'P&amp;L'!L19</f>
        <v>153.36893014560076</v>
      </c>
      <c r="J4" s="55">
        <f>'P&amp;L'!M19</f>
        <v>118.95692332320107</v>
      </c>
      <c r="K4" s="55">
        <f>'P&amp;L'!N19</f>
        <v>148.27127726880093</v>
      </c>
      <c r="L4" s="55">
        <f>'P&amp;L'!O19</f>
        <v>179.8614936144009</v>
      </c>
      <c r="M4" s="55">
        <f>'P&amp;L'!P19</f>
        <v>212.99072032800075</v>
      </c>
      <c r="N4" s="55">
        <f>'P&amp;L'!Q19</f>
        <v>239.75127876960084</v>
      </c>
      <c r="O4" s="55">
        <f>'P&amp;L'!R19</f>
        <v>244.35818532000013</v>
      </c>
      <c r="P4" s="55">
        <f>'P&amp;L'!S19</f>
        <v>244.35818532000013</v>
      </c>
      <c r="Q4" s="55">
        <f>'P&amp;L'!T19</f>
        <v>245.89719568799995</v>
      </c>
      <c r="R4" s="55">
        <f>'P&amp;L'!U19</f>
        <v>244.35818532000013</v>
      </c>
      <c r="S4" s="55">
        <f>'P&amp;L'!V19</f>
        <v>244.35818532000013</v>
      </c>
      <c r="T4" s="55">
        <f>'P&amp;L'!W19</f>
        <v>244.35818532000013</v>
      </c>
      <c r="U4" s="55">
        <f>'P&amp;L'!X19</f>
        <v>260.11493350717893</v>
      </c>
      <c r="V4" s="55">
        <f>'P&amp;L'!Y19</f>
        <v>467.52025302049333</v>
      </c>
    </row>
    <row r="5" spans="1:22">
      <c r="A5" s="9" t="s">
        <v>85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</row>
    <row r="6" spans="1:22">
      <c r="A6" s="31" t="s">
        <v>86</v>
      </c>
      <c r="B6" s="55">
        <f>'P&amp;L'!E18</f>
        <v>0.6149218191780822</v>
      </c>
      <c r="C6" s="55">
        <f>'P&amp;L'!F18</f>
        <v>224.44646399999999</v>
      </c>
      <c r="D6" s="55">
        <f>'P&amp;L'!G18</f>
        <v>224.44646399999999</v>
      </c>
      <c r="E6" s="55">
        <f>'P&amp;L'!H18</f>
        <v>224.44646399999999</v>
      </c>
      <c r="F6" s="55">
        <f>'P&amp;L'!I18</f>
        <v>224.44646399999999</v>
      </c>
      <c r="G6" s="55">
        <f>'P&amp;L'!J18</f>
        <v>224.44646399999999</v>
      </c>
      <c r="H6" s="55">
        <f>'P&amp;L'!K18</f>
        <v>224.44646399999999</v>
      </c>
      <c r="I6" s="55">
        <f>'P&amp;L'!L18</f>
        <v>224.44646399999999</v>
      </c>
      <c r="J6" s="55">
        <f>'P&amp;L'!M18</f>
        <v>224.44646399999999</v>
      </c>
      <c r="K6" s="55">
        <f>'P&amp;L'!N18</f>
        <v>224.44646399999999</v>
      </c>
      <c r="L6" s="55">
        <f>'P&amp;L'!O18</f>
        <v>224.44646399999999</v>
      </c>
      <c r="M6" s="55">
        <f>'P&amp;L'!P18</f>
        <v>224.44646399999999</v>
      </c>
      <c r="N6" s="55">
        <f>'P&amp;L'!Q18</f>
        <v>224.44646399999999</v>
      </c>
      <c r="O6" s="55">
        <f>'P&amp;L'!R18</f>
        <v>224.44646399999999</v>
      </c>
      <c r="P6" s="55">
        <f>'P&amp;L'!S18</f>
        <v>224.44646399999999</v>
      </c>
      <c r="Q6" s="55">
        <f>'P&amp;L'!T18</f>
        <v>224.44646399999999</v>
      </c>
      <c r="R6" s="55">
        <f>'P&amp;L'!U18</f>
        <v>224.44646399999999</v>
      </c>
      <c r="S6" s="55">
        <f>'P&amp;L'!V18</f>
        <v>224.44646399999999</v>
      </c>
      <c r="T6" s="55">
        <f>'P&amp;L'!W18</f>
        <v>224.44646399999999</v>
      </c>
      <c r="U6" s="55">
        <f>'P&amp;L'!X18</f>
        <v>210.22872618082101</v>
      </c>
      <c r="V6" s="55">
        <f>'P&amp;L'!Y18</f>
        <v>0</v>
      </c>
    </row>
    <row r="7" spans="1:22">
      <c r="A7" s="31" t="s">
        <v>87</v>
      </c>
      <c r="B7" s="55">
        <f t="shared" ref="B7:V7" si="1">+B4+B6</f>
        <v>-378.67749759359992</v>
      </c>
      <c r="C7" s="55">
        <f t="shared" si="1"/>
        <v>279.4868735040003</v>
      </c>
      <c r="D7" s="55">
        <f t="shared" si="1"/>
        <v>310.85714464412092</v>
      </c>
      <c r="E7" s="55">
        <f t="shared" si="1"/>
        <v>264.10866376320041</v>
      </c>
      <c r="F7" s="55">
        <f t="shared" si="1"/>
        <v>289.96352254080068</v>
      </c>
      <c r="G7" s="55">
        <f t="shared" si="1"/>
        <v>317.33903888640077</v>
      </c>
      <c r="H7" s="55">
        <f t="shared" si="1"/>
        <v>344.50382023200086</v>
      </c>
      <c r="I7" s="55">
        <f t="shared" si="1"/>
        <v>377.81539414560075</v>
      </c>
      <c r="J7" s="55">
        <f t="shared" si="1"/>
        <v>343.40338732320106</v>
      </c>
      <c r="K7" s="55">
        <f t="shared" si="1"/>
        <v>372.71774126880092</v>
      </c>
      <c r="L7" s="55">
        <f t="shared" si="1"/>
        <v>404.30795761440089</v>
      </c>
      <c r="M7" s="55">
        <f t="shared" si="1"/>
        <v>437.43718432800074</v>
      </c>
      <c r="N7" s="55">
        <f t="shared" si="1"/>
        <v>464.19774276960084</v>
      </c>
      <c r="O7" s="55">
        <f t="shared" si="1"/>
        <v>468.80464932000012</v>
      </c>
      <c r="P7" s="55">
        <f t="shared" si="1"/>
        <v>468.80464932000012</v>
      </c>
      <c r="Q7" s="55">
        <f t="shared" si="1"/>
        <v>470.34365968799995</v>
      </c>
      <c r="R7" s="55">
        <f t="shared" si="1"/>
        <v>468.80464932000012</v>
      </c>
      <c r="S7" s="55">
        <f t="shared" si="1"/>
        <v>468.80464932000012</v>
      </c>
      <c r="T7" s="55">
        <f t="shared" si="1"/>
        <v>468.80464932000012</v>
      </c>
      <c r="U7" s="55">
        <f t="shared" si="1"/>
        <v>470.34365968799995</v>
      </c>
      <c r="V7" s="55">
        <f t="shared" si="1"/>
        <v>467.52025302049333</v>
      </c>
    </row>
    <row r="8" spans="1:22">
      <c r="A8" s="9" t="s">
        <v>68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2">
      <c r="A9" s="31" t="s">
        <v>88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</row>
    <row r="10" spans="1:22">
      <c r="A10" s="31" t="s">
        <v>89</v>
      </c>
      <c r="B10" s="55">
        <f>Depreciation!B22</f>
        <v>318.81599999999997</v>
      </c>
      <c r="C10" s="55">
        <f>Depreciation!C22</f>
        <v>589.80960000000005</v>
      </c>
      <c r="D10" s="55">
        <f>Depreciation!D22</f>
        <v>501.33816000000002</v>
      </c>
      <c r="E10" s="55">
        <f>Depreciation!E22</f>
        <v>426.13743600000004</v>
      </c>
      <c r="F10" s="55">
        <f>Depreciation!F22</f>
        <v>362.21682060000006</v>
      </c>
      <c r="G10" s="55">
        <f>Depreciation!G22</f>
        <v>307.88429751000007</v>
      </c>
      <c r="H10" s="55">
        <f>Depreciation!H22</f>
        <v>261.7016528835</v>
      </c>
      <c r="I10" s="55">
        <f>Depreciation!I22</f>
        <v>222.44640495097505</v>
      </c>
      <c r="J10" s="55">
        <f>Depreciation!J22</f>
        <v>189.07944420832879</v>
      </c>
      <c r="K10" s="55">
        <f>Depreciation!K22</f>
        <v>160.71752757707947</v>
      </c>
      <c r="L10" s="55">
        <f>Depreciation!L22</f>
        <v>136.60989844051755</v>
      </c>
      <c r="M10" s="55">
        <f>Depreciation!M22</f>
        <v>116.11841367443992</v>
      </c>
      <c r="N10" s="55">
        <f>Depreciation!N22</f>
        <v>98.700651623273941</v>
      </c>
      <c r="O10" s="55">
        <f>Depreciation!O22</f>
        <v>83.895553879782838</v>
      </c>
      <c r="P10" s="55">
        <f>Depreciation!P22</f>
        <v>71.311220797815423</v>
      </c>
      <c r="Q10" s="55">
        <f>Depreciation!Q22</f>
        <v>60.614537678143108</v>
      </c>
      <c r="R10" s="55">
        <f>Depreciation!R22</f>
        <v>51.522357026421645</v>
      </c>
      <c r="S10" s="55">
        <f>Depreciation!S22</f>
        <v>43.794003472458407</v>
      </c>
      <c r="T10" s="55">
        <f>Depreciation!T22</f>
        <v>37.224902951589641</v>
      </c>
      <c r="U10" s="55">
        <f>Depreciation!U22</f>
        <v>31.641167508851197</v>
      </c>
      <c r="V10" s="55">
        <f>Depreciation!V22</f>
        <v>26.894992382523515</v>
      </c>
    </row>
    <row r="11" spans="1:22">
      <c r="A11" s="37" t="s">
        <v>90</v>
      </c>
      <c r="B11" s="55">
        <f t="shared" ref="B11:V11" si="2">+B7-B10</f>
        <v>-697.49349759359984</v>
      </c>
      <c r="C11" s="55">
        <f t="shared" si="2"/>
        <v>-310.32272649599975</v>
      </c>
      <c r="D11" s="55">
        <f t="shared" si="2"/>
        <v>-190.48101535587909</v>
      </c>
      <c r="E11" s="55">
        <f t="shared" si="2"/>
        <v>-162.02877223679963</v>
      </c>
      <c r="F11" s="55">
        <f t="shared" si="2"/>
        <v>-72.253298059199381</v>
      </c>
      <c r="G11" s="55">
        <f t="shared" si="2"/>
        <v>9.4547413764007047</v>
      </c>
      <c r="H11" s="55">
        <f t="shared" si="2"/>
        <v>82.802167348500859</v>
      </c>
      <c r="I11" s="55">
        <f t="shared" si="2"/>
        <v>155.3689891946257</v>
      </c>
      <c r="J11" s="55">
        <f t="shared" si="2"/>
        <v>154.32394311487226</v>
      </c>
      <c r="K11" s="55">
        <f t="shared" si="2"/>
        <v>212.00021369172146</v>
      </c>
      <c r="L11" s="55">
        <f t="shared" si="2"/>
        <v>267.69805917388334</v>
      </c>
      <c r="M11" s="55">
        <f t="shared" si="2"/>
        <v>321.31877065356082</v>
      </c>
      <c r="N11" s="55">
        <f t="shared" si="2"/>
        <v>365.49709114632691</v>
      </c>
      <c r="O11" s="55">
        <f t="shared" si="2"/>
        <v>384.9090954402173</v>
      </c>
      <c r="P11" s="55">
        <f t="shared" si="2"/>
        <v>397.49342852218467</v>
      </c>
      <c r="Q11" s="55">
        <f t="shared" si="2"/>
        <v>409.72912200985684</v>
      </c>
      <c r="R11" s="55">
        <f t="shared" si="2"/>
        <v>417.28229229357851</v>
      </c>
      <c r="S11" s="55">
        <f t="shared" si="2"/>
        <v>425.0106458475417</v>
      </c>
      <c r="T11" s="55">
        <f t="shared" si="2"/>
        <v>431.5797463684105</v>
      </c>
      <c r="U11" s="55">
        <f t="shared" si="2"/>
        <v>438.70249217914875</v>
      </c>
      <c r="V11" s="55">
        <f t="shared" si="2"/>
        <v>440.6252606379698</v>
      </c>
    </row>
    <row r="12" spans="1:22">
      <c r="A12" s="31" t="s">
        <v>91</v>
      </c>
      <c r="B12" s="55">
        <f>B11</f>
        <v>-697.49349759359984</v>
      </c>
      <c r="C12" s="55">
        <f t="shared" ref="C12:V12" si="3">B12+C11</f>
        <v>-1007.8162240895996</v>
      </c>
      <c r="D12" s="55">
        <f t="shared" si="3"/>
        <v>-1198.2972394454787</v>
      </c>
      <c r="E12" s="55">
        <f t="shared" si="3"/>
        <v>-1360.3260116822782</v>
      </c>
      <c r="F12" s="55">
        <f t="shared" si="3"/>
        <v>-1432.5793097414776</v>
      </c>
      <c r="G12" s="55">
        <f t="shared" si="3"/>
        <v>-1423.1245683650768</v>
      </c>
      <c r="H12" s="55">
        <f t="shared" si="3"/>
        <v>-1340.3224010165759</v>
      </c>
      <c r="I12" s="55">
        <f t="shared" si="3"/>
        <v>-1184.9534118219501</v>
      </c>
      <c r="J12" s="55">
        <f t="shared" si="3"/>
        <v>-1030.6294687070779</v>
      </c>
      <c r="K12" s="55">
        <f t="shared" si="3"/>
        <v>-818.62925501535642</v>
      </c>
      <c r="L12" s="55">
        <f t="shared" si="3"/>
        <v>-550.93119584147303</v>
      </c>
      <c r="M12" s="55">
        <f t="shared" si="3"/>
        <v>-229.61242518791221</v>
      </c>
      <c r="N12" s="55">
        <f t="shared" si="3"/>
        <v>135.8846659584147</v>
      </c>
      <c r="O12" s="55">
        <f t="shared" si="3"/>
        <v>520.793761398632</v>
      </c>
      <c r="P12" s="55">
        <f t="shared" si="3"/>
        <v>918.28718992081667</v>
      </c>
      <c r="Q12" s="55">
        <f t="shared" si="3"/>
        <v>1328.0163119306735</v>
      </c>
      <c r="R12" s="55">
        <f t="shared" si="3"/>
        <v>1745.2986042242519</v>
      </c>
      <c r="S12" s="55">
        <f t="shared" si="3"/>
        <v>2170.3092500717935</v>
      </c>
      <c r="T12" s="55">
        <f t="shared" si="3"/>
        <v>2601.8889964402042</v>
      </c>
      <c r="U12" s="55">
        <f t="shared" si="3"/>
        <v>3040.5914886193532</v>
      </c>
      <c r="V12" s="55">
        <f t="shared" si="3"/>
        <v>3481.216749257323</v>
      </c>
    </row>
    <row r="13" spans="1:22" ht="25.5">
      <c r="A13" s="63" t="s">
        <v>92</v>
      </c>
      <c r="B13" s="55">
        <f>IF(B11&lt;0, 0, IF(B2&lt;=15,0,(B11*Depreciation!$B$25)))</f>
        <v>0</v>
      </c>
      <c r="C13" s="55">
        <f>IF(C2&lt;=15,0,IF(C12&lt;=0,0,(C11*Depreciation!$B$25)))</f>
        <v>0</v>
      </c>
      <c r="D13" s="55">
        <f>IF(D2&lt;=15,0,IF(D12&lt;=0,0,(D11*Depreciation!$B$25)))</f>
        <v>0</v>
      </c>
      <c r="E13" s="55">
        <f>IF(E2&lt;=15,0,IF(E12&lt;=0,0,(E11*Depreciation!$B$25)))</f>
        <v>0</v>
      </c>
      <c r="F13" s="55">
        <f>IF(F2&lt;=15,0,IF(F12&lt;=0,0,(F11*Depreciation!$B$25)))</f>
        <v>0</v>
      </c>
      <c r="G13" s="55">
        <f>IF(G2&lt;=15,0,IF(G12&lt;=0,0,(G11*Depreciation!$B$25)))</f>
        <v>0</v>
      </c>
      <c r="H13" s="55">
        <f>IF(H2&lt;=15,0,IF(H12&lt;=0,0,(H11*Depreciation!$B$25)))</f>
        <v>0</v>
      </c>
      <c r="I13" s="55">
        <f>IF(I2&lt;=15,0,IF(I12&lt;=0,0,(I11*Depreciation!$B$25)))</f>
        <v>0</v>
      </c>
      <c r="J13" s="55">
        <f>IF(J2&lt;=15,0,IF(J12&lt;=0,0,(J11*Depreciation!$B$25)))</f>
        <v>0</v>
      </c>
      <c r="K13" s="55">
        <f>IF(K2&lt;=15,0,IF(K12&lt;=0,0,(K11*Depreciation!$B$25)))</f>
        <v>0</v>
      </c>
      <c r="L13" s="55">
        <f>IF(L2&lt;=15,0,IF(L12&lt;=0,0,(L11*Depreciation!$B$25)))</f>
        <v>0</v>
      </c>
      <c r="M13" s="55">
        <f>IF(M2&lt;=15,0,IF(M12&lt;=0,0,(M11*Depreciation!$B$25)))</f>
        <v>0</v>
      </c>
      <c r="N13" s="55">
        <f>IF(N2&lt;=15,0,IF(N12&lt;=0,0,(N11*Depreciation!$B$25)))</f>
        <v>0</v>
      </c>
      <c r="O13" s="55">
        <f>IF(O2&lt;=15,0,IF(O12&lt;=0,0,(O11*Depreciation!$B$25)))</f>
        <v>0</v>
      </c>
      <c r="P13" s="55">
        <f>IF(P2&lt;=15,0,IF(P12&lt;=0,0,(P11*Depreciation!$B$25)))</f>
        <v>0</v>
      </c>
      <c r="Q13" s="55">
        <f>IF(Q2&lt;=15,0,IF(Q12&lt;=0,0,(Q11*Depreciation!$B$25)))</f>
        <v>132.95710009219854</v>
      </c>
      <c r="R13" s="55">
        <f>IF(R2&lt;=15,0,IF(R12&lt;=0,0,(R11*Depreciation!$B$25)))</f>
        <v>135.40810384926624</v>
      </c>
      <c r="S13" s="55">
        <f>IF(S2&lt;=15,0,IF(S12&lt;=0,0,(S11*Depreciation!$B$25)))</f>
        <v>137.91595457752729</v>
      </c>
      <c r="T13" s="55">
        <f>IF(T2&lt;=15,0,IF(T12&lt;=0,0,(T11*Depreciation!$B$25)))</f>
        <v>140.0476276965492</v>
      </c>
      <c r="U13" s="55">
        <f>IF(U2&lt;=15,0,IF(U12&lt;=0,0,(U11*Depreciation!$B$25)))</f>
        <v>142.35895871213378</v>
      </c>
      <c r="V13" s="55">
        <f>IF(V2&lt;=15,0,IF(V12&lt;=0,0,(V11*Depreciation!$B$25)))</f>
        <v>142.98289707702119</v>
      </c>
    </row>
    <row r="14" spans="1:22">
      <c r="A14" s="63" t="s">
        <v>129</v>
      </c>
      <c r="B14" s="55">
        <f>IF(B4&gt;0,Assumptions!$B$45*B4,0)</f>
        <v>0</v>
      </c>
      <c r="C14" s="55">
        <f>IF(C4&gt;0,Assumptions!$B$45*C4,0)</f>
        <v>11.013585941750462</v>
      </c>
      <c r="D14" s="55">
        <f>IF(D4&gt;0,Assumptions!$B$45*D4,0)</f>
        <v>17.290777196888598</v>
      </c>
      <c r="E14" s="55">
        <f>IF(E4&gt;0,Assumptions!$B$45*E4,0)</f>
        <v>7.9364061726164037</v>
      </c>
      <c r="F14" s="55">
        <f>IF(F4&gt;0,Assumptions!$B$45*F4,0)</f>
        <v>13.109963414014219</v>
      </c>
      <c r="G14" s="55">
        <f>IF(G4&gt;0,Assumptions!$B$45*G4,0)</f>
        <v>18.587804234768797</v>
      </c>
      <c r="H14" s="55">
        <f>IF(H4&gt;0,Assumptions!$B$45*H4,0)</f>
        <v>24.023476982023375</v>
      </c>
      <c r="I14" s="55">
        <f>IF(I4&gt;0,Assumptions!$B$45*I4,0)</f>
        <v>30.689122922134711</v>
      </c>
      <c r="J14" s="55">
        <f>IF(J4&gt;0,Assumptions!$B$45*J4,0)</f>
        <v>23.803280356972532</v>
      </c>
      <c r="K14" s="55">
        <f>IF(K4&gt;0,Assumptions!$B$45*K4,0)</f>
        <v>29.669082581487064</v>
      </c>
      <c r="L14" s="55">
        <f>IF(L4&gt;0,Assumptions!$B$45*L4,0)</f>
        <v>35.990284872241617</v>
      </c>
      <c r="M14" s="55">
        <f>IF(M4&gt;0,Assumptions!$B$45*M4,0)</f>
        <v>42.619443137632949</v>
      </c>
      <c r="N14" s="55">
        <f>IF(N4&gt;0,Assumptions!$B$45*N4,0)</f>
        <v>47.974230881797126</v>
      </c>
      <c r="O14" s="55">
        <f>IF(O4&gt;0,Assumptions!$B$45*O4,0)</f>
        <v>48.896072882532025</v>
      </c>
      <c r="P14" s="55">
        <f>IF(P4&gt;0,Assumptions!$B$45*P4,0)</f>
        <v>48.896072882532025</v>
      </c>
      <c r="Q14" s="55">
        <f>IF(Q4&gt;0,Assumptions!$B$45*Q4,0)</f>
        <v>49.204028857168794</v>
      </c>
      <c r="R14" s="55">
        <f>IF(R4&gt;0,Assumptions!$B$45*R4,0)</f>
        <v>48.896072882532025</v>
      </c>
      <c r="S14" s="55">
        <f>IF(S4&gt;0,Assumptions!$B$45*S4,0)</f>
        <v>48.896072882532025</v>
      </c>
      <c r="T14" s="55">
        <f>IF(T4&gt;0,Assumptions!$B$45*T4,0)</f>
        <v>48.896072882532025</v>
      </c>
      <c r="U14" s="55">
        <f>IF(U4&gt;0,Assumptions!$B$45*U4,0)</f>
        <v>52.048998194786506</v>
      </c>
      <c r="V14" s="55">
        <f>IF(V4&gt;0,Assumptions!$B$45*V4,0)</f>
        <v>93.550802629400721</v>
      </c>
    </row>
    <row r="15" spans="1:22">
      <c r="A15" s="126" t="s">
        <v>192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185"/>
      <c r="Q15" s="185">
        <f>SUM(B14:P14)</f>
        <v>400.49960445939189</v>
      </c>
      <c r="R15" s="55">
        <f>Q15-Q16</f>
        <v>316.74653322436211</v>
      </c>
      <c r="S15" s="55">
        <f>R15-R16</f>
        <v>230.2345022576279</v>
      </c>
      <c r="T15" s="55">
        <f>S15-S16</f>
        <v>141.21462056263263</v>
      </c>
      <c r="U15" s="55">
        <f>T15-T16</f>
        <v>50.063065748615458</v>
      </c>
      <c r="V15" s="55">
        <f>U15-U16</f>
        <v>0</v>
      </c>
    </row>
    <row r="16" spans="1:22">
      <c r="A16" s="126" t="s">
        <v>193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>
        <f t="shared" ref="Q16:V16" si="4">MIN((Q13-Q14),Q15)</f>
        <v>83.753071235029751</v>
      </c>
      <c r="R16" s="55">
        <f t="shared" si="4"/>
        <v>86.512030966734216</v>
      </c>
      <c r="S16" s="55">
        <f t="shared" si="4"/>
        <v>89.019881694995263</v>
      </c>
      <c r="T16" s="55">
        <f t="shared" si="4"/>
        <v>91.151554814017175</v>
      </c>
      <c r="U16" s="55">
        <f t="shared" si="4"/>
        <v>50.063065748615458</v>
      </c>
      <c r="V16" s="55">
        <f t="shared" si="4"/>
        <v>0</v>
      </c>
    </row>
    <row r="17" spans="1:22" s="30" customFormat="1">
      <c r="A17" s="137" t="s">
        <v>93</v>
      </c>
      <c r="B17" s="56">
        <f>MAX(B14,(B13-B16))</f>
        <v>0</v>
      </c>
      <c r="C17" s="56">
        <f t="shared" ref="C17:T17" si="5">MAX(C14,(C13-C16))</f>
        <v>11.013585941750462</v>
      </c>
      <c r="D17" s="56">
        <f t="shared" si="5"/>
        <v>17.290777196888598</v>
      </c>
      <c r="E17" s="56">
        <f t="shared" si="5"/>
        <v>7.9364061726164037</v>
      </c>
      <c r="F17" s="56">
        <f t="shared" si="5"/>
        <v>13.109963414014219</v>
      </c>
      <c r="G17" s="56">
        <f t="shared" si="5"/>
        <v>18.587804234768797</v>
      </c>
      <c r="H17" s="56">
        <f t="shared" si="5"/>
        <v>24.023476982023375</v>
      </c>
      <c r="I17" s="56">
        <f t="shared" si="5"/>
        <v>30.689122922134711</v>
      </c>
      <c r="J17" s="56">
        <f t="shared" si="5"/>
        <v>23.803280356972532</v>
      </c>
      <c r="K17" s="56">
        <f t="shared" si="5"/>
        <v>29.669082581487064</v>
      </c>
      <c r="L17" s="56">
        <f t="shared" si="5"/>
        <v>35.990284872241617</v>
      </c>
      <c r="M17" s="56">
        <f t="shared" si="5"/>
        <v>42.619443137632949</v>
      </c>
      <c r="N17" s="56">
        <f t="shared" si="5"/>
        <v>47.974230881797126</v>
      </c>
      <c r="O17" s="56">
        <f t="shared" si="5"/>
        <v>48.896072882532025</v>
      </c>
      <c r="P17" s="56">
        <f t="shared" si="5"/>
        <v>48.896072882532025</v>
      </c>
      <c r="Q17" s="56">
        <f t="shared" si="5"/>
        <v>49.204028857168794</v>
      </c>
      <c r="R17" s="56">
        <f t="shared" si="5"/>
        <v>48.896072882532025</v>
      </c>
      <c r="S17" s="56">
        <f t="shared" si="5"/>
        <v>48.896072882532025</v>
      </c>
      <c r="T17" s="56">
        <f t="shared" si="5"/>
        <v>48.896072882532025</v>
      </c>
      <c r="U17" s="56">
        <f>MAX(U13,U14)</f>
        <v>142.35895871213378</v>
      </c>
      <c r="V17" s="56">
        <f>MAX(V13,V14)</f>
        <v>142.98289707702119</v>
      </c>
    </row>
    <row r="18" spans="1:22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2">
      <c r="B19" s="127"/>
      <c r="C19" s="127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</row>
  </sheetData>
  <phoneticPr fontId="0" type="noConversion"/>
  <pageMargins left="0.75" right="0.75" top="1" bottom="1" header="0.5" footer="0.5"/>
  <pageSetup scale="57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0"/>
  <sheetViews>
    <sheetView workbookViewId="0">
      <pane xSplit="2" topLeftCell="C1" activePane="topRight" state="frozen"/>
      <selection activeCell="H34" sqref="H34"/>
      <selection pane="topRight" activeCell="B7" sqref="B7:B10"/>
    </sheetView>
  </sheetViews>
  <sheetFormatPr defaultRowHeight="12.75"/>
  <cols>
    <col min="1" max="1" width="14.85546875" style="104" customWidth="1"/>
    <col min="2" max="2" width="42.28515625" style="3" bestFit="1" customWidth="1"/>
    <col min="3" max="3" width="8.7109375" style="3" bestFit="1" customWidth="1"/>
    <col min="4" max="4" width="11.5703125" style="3" bestFit="1" customWidth="1"/>
    <col min="5" max="5" width="8.140625" style="3" bestFit="1" customWidth="1"/>
    <col min="6" max="15" width="10.140625" style="3" bestFit="1" customWidth="1"/>
    <col min="16" max="19" width="7.5703125" style="3" bestFit="1" customWidth="1"/>
    <col min="20" max="24" width="8.140625" style="3" bestFit="1" customWidth="1"/>
    <col min="25" max="16384" width="9.140625" style="3"/>
  </cols>
  <sheetData>
    <row r="1" spans="1:25" s="30" customFormat="1">
      <c r="A1" s="86"/>
      <c r="B1" s="54" t="s">
        <v>94</v>
      </c>
    </row>
    <row r="2" spans="1:25" s="30" customFormat="1">
      <c r="A2" s="86"/>
      <c r="B2" s="41" t="s">
        <v>95</v>
      </c>
      <c r="C2" s="41"/>
      <c r="D2" s="102">
        <v>0</v>
      </c>
      <c r="E2" s="42">
        <v>1</v>
      </c>
      <c r="F2" s="42">
        <v>2</v>
      </c>
      <c r="G2" s="42">
        <v>3</v>
      </c>
      <c r="H2" s="42">
        <v>4</v>
      </c>
      <c r="I2" s="42">
        <v>5</v>
      </c>
      <c r="J2" s="42">
        <v>6</v>
      </c>
      <c r="K2" s="42">
        <v>7</v>
      </c>
      <c r="L2" s="42">
        <v>8</v>
      </c>
      <c r="M2" s="42">
        <v>9</v>
      </c>
      <c r="N2" s="42">
        <v>10</v>
      </c>
      <c r="O2" s="42">
        <v>11</v>
      </c>
      <c r="P2" s="42">
        <v>12</v>
      </c>
      <c r="Q2" s="42">
        <v>13</v>
      </c>
      <c r="R2" s="42">
        <v>14</v>
      </c>
      <c r="S2" s="146">
        <v>15</v>
      </c>
      <c r="T2" s="42">
        <v>16</v>
      </c>
      <c r="U2" s="42">
        <v>17</v>
      </c>
      <c r="V2" s="42">
        <v>18</v>
      </c>
      <c r="W2" s="42">
        <v>19</v>
      </c>
      <c r="X2" s="42">
        <v>20</v>
      </c>
      <c r="Y2" s="42">
        <v>21</v>
      </c>
    </row>
    <row r="3" spans="1:25" s="30" customFormat="1">
      <c r="A3" s="86"/>
      <c r="B3" s="9"/>
      <c r="C3" s="9"/>
      <c r="D3" s="21" t="s">
        <v>143</v>
      </c>
      <c r="E3" s="21" t="s">
        <v>201</v>
      </c>
      <c r="F3" s="21" t="s">
        <v>133</v>
      </c>
      <c r="G3" s="21" t="s">
        <v>134</v>
      </c>
      <c r="H3" s="21" t="s">
        <v>135</v>
      </c>
      <c r="I3" s="21" t="s">
        <v>136</v>
      </c>
      <c r="J3" s="21" t="s">
        <v>137</v>
      </c>
      <c r="K3" s="21" t="s">
        <v>138</v>
      </c>
      <c r="L3" s="21" t="s">
        <v>139</v>
      </c>
      <c r="M3" s="21" t="s">
        <v>140</v>
      </c>
      <c r="N3" s="21" t="s">
        <v>141</v>
      </c>
      <c r="O3" s="21" t="s">
        <v>142</v>
      </c>
      <c r="P3" s="21" t="s">
        <v>144</v>
      </c>
      <c r="Q3" s="21" t="s">
        <v>145</v>
      </c>
      <c r="R3" s="21" t="s">
        <v>146</v>
      </c>
      <c r="S3" s="21" t="s">
        <v>147</v>
      </c>
      <c r="T3" s="153" t="s">
        <v>148</v>
      </c>
      <c r="U3" s="153" t="s">
        <v>149</v>
      </c>
      <c r="V3" s="153" t="s">
        <v>150</v>
      </c>
      <c r="W3" s="153" t="s">
        <v>151</v>
      </c>
      <c r="X3" s="153" t="s">
        <v>152</v>
      </c>
      <c r="Y3" s="2" t="s">
        <v>154</v>
      </c>
    </row>
    <row r="4" spans="1:25" s="30" customFormat="1">
      <c r="A4" s="86"/>
      <c r="B4" s="43" t="s">
        <v>96</v>
      </c>
      <c r="C4" s="44"/>
      <c r="D4" s="44"/>
      <c r="E4" s="45"/>
      <c r="F4" s="4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47"/>
      <c r="T4" s="2"/>
      <c r="U4" s="2"/>
      <c r="V4" s="2"/>
      <c r="W4" s="2"/>
      <c r="X4" s="2"/>
      <c r="Y4" s="9"/>
    </row>
    <row r="5" spans="1:25" s="30" customFormat="1">
      <c r="A5" s="86"/>
      <c r="B5" s="44" t="s">
        <v>115</v>
      </c>
      <c r="C5" s="44"/>
      <c r="D5" s="44"/>
      <c r="E5" s="45">
        <f>Operations!B13</f>
        <v>0.36469440000000003</v>
      </c>
      <c r="F5" s="45">
        <f>Operations!C13</f>
        <v>133.11345600000004</v>
      </c>
      <c r="G5" s="45">
        <f>Operations!D13</f>
        <v>133.11345600000004</v>
      </c>
      <c r="H5" s="45">
        <f>Operations!E13</f>
        <v>133.4781504</v>
      </c>
      <c r="I5" s="45">
        <f>Operations!F13</f>
        <v>133.11345600000004</v>
      </c>
      <c r="J5" s="45">
        <f>Operations!G13</f>
        <v>133.11345600000004</v>
      </c>
      <c r="K5" s="45">
        <f>Operations!H13</f>
        <v>133.11345600000004</v>
      </c>
      <c r="L5" s="45">
        <f>Operations!I13</f>
        <v>133.4781504</v>
      </c>
      <c r="M5" s="45">
        <f>Operations!J13</f>
        <v>133.11345600000004</v>
      </c>
      <c r="N5" s="45">
        <f>Operations!K13</f>
        <v>133.11345600000004</v>
      </c>
      <c r="O5" s="45">
        <f>Operations!L13</f>
        <v>133.11345600000004</v>
      </c>
      <c r="P5" s="45">
        <f>Operations!M13</f>
        <v>133.4781504</v>
      </c>
      <c r="Q5" s="45">
        <f>Operations!N13</f>
        <v>133.11345600000004</v>
      </c>
      <c r="R5" s="45">
        <f>Operations!O13</f>
        <v>133.11345600000004</v>
      </c>
      <c r="S5" s="148">
        <f>Operations!P13</f>
        <v>133.11345600000004</v>
      </c>
      <c r="T5" s="45">
        <f>Operations!Q13</f>
        <v>133.4781504</v>
      </c>
      <c r="U5" s="45">
        <f>Operations!R13</f>
        <v>133.11345600000004</v>
      </c>
      <c r="V5" s="45">
        <f>Operations!S13</f>
        <v>133.11345600000004</v>
      </c>
      <c r="W5" s="45">
        <f>Operations!T13</f>
        <v>133.11345600000004</v>
      </c>
      <c r="X5" s="45">
        <f>Operations!U13</f>
        <v>133.4781504</v>
      </c>
      <c r="Y5" s="45">
        <f>Operations!V13</f>
        <v>132.74876160000005</v>
      </c>
    </row>
    <row r="6" spans="1:25" s="30" customFormat="1">
      <c r="A6" s="86"/>
      <c r="B6" s="121" t="s">
        <v>116</v>
      </c>
      <c r="C6" s="44"/>
      <c r="D6" s="44"/>
      <c r="E6" s="45">
        <f>Assumptions!B29</f>
        <v>4.22</v>
      </c>
      <c r="F6" s="45">
        <f>E6*(1+Assumptions!$B$30)</f>
        <v>4.22</v>
      </c>
      <c r="G6" s="45">
        <f>F6*(1+Assumptions!$B$30)</f>
        <v>4.22</v>
      </c>
      <c r="H6" s="45">
        <f>G6*(1+Assumptions!$B$30)</f>
        <v>4.22</v>
      </c>
      <c r="I6" s="45">
        <f>H6*(1+Assumptions!$B$30)</f>
        <v>4.22</v>
      </c>
      <c r="J6" s="45">
        <f>I6*(1+Assumptions!$B$30)</f>
        <v>4.22</v>
      </c>
      <c r="K6" s="45">
        <f>J6*(1+Assumptions!$B$30)</f>
        <v>4.22</v>
      </c>
      <c r="L6" s="45">
        <f>K6*(1+Assumptions!$B$30)</f>
        <v>4.22</v>
      </c>
      <c r="M6" s="45">
        <f>L6*(1+Assumptions!$B$30)</f>
        <v>4.22</v>
      </c>
      <c r="N6" s="45">
        <f>M6*(1+Assumptions!$B$30)</f>
        <v>4.22</v>
      </c>
      <c r="O6" s="45">
        <f>N6*(1+Assumptions!$B$30)*(1+'Sensitivity Analysis'!$C$10)</f>
        <v>4.22</v>
      </c>
      <c r="P6" s="45">
        <f>O6*(1+Assumptions!$B$30)</f>
        <v>4.22</v>
      </c>
      <c r="Q6" s="45">
        <f>P6*(1+Assumptions!$B$30)</f>
        <v>4.22</v>
      </c>
      <c r="R6" s="45">
        <f>Q6*(1+Assumptions!$B$30)</f>
        <v>4.22</v>
      </c>
      <c r="S6" s="148">
        <f>R6*(1+Assumptions!$B$30)</f>
        <v>4.22</v>
      </c>
      <c r="T6" s="45">
        <f>S6*(1+Assumptions!$B$30)</f>
        <v>4.22</v>
      </c>
      <c r="U6" s="45">
        <f>T6*(1+Assumptions!$B$30)</f>
        <v>4.22</v>
      </c>
      <c r="V6" s="45">
        <f>U6*(1+Assumptions!$B$30)</f>
        <v>4.22</v>
      </c>
      <c r="W6" s="45">
        <f>V6*(1+Assumptions!$B$30)</f>
        <v>4.22</v>
      </c>
      <c r="X6" s="45">
        <f>W6*(1+Assumptions!$B$30)</f>
        <v>4.22</v>
      </c>
      <c r="Y6" s="45">
        <f>X6*(1+Assumptions!$B$30)</f>
        <v>4.22</v>
      </c>
    </row>
    <row r="7" spans="1:25" s="30" customFormat="1">
      <c r="A7" s="86"/>
      <c r="B7" s="200" t="s">
        <v>123</v>
      </c>
      <c r="C7" s="44"/>
      <c r="D7" s="44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148"/>
      <c r="T7" s="45"/>
      <c r="U7" s="45"/>
      <c r="V7" s="45"/>
      <c r="W7" s="45"/>
      <c r="X7" s="45"/>
      <c r="Y7" s="9"/>
    </row>
    <row r="8" spans="1:25" s="30" customFormat="1">
      <c r="A8" s="86"/>
      <c r="B8" s="201"/>
      <c r="C8" s="48"/>
      <c r="D8" s="48"/>
      <c r="E8" s="46">
        <f>IF((E5*0.5)&gt;(1.55*Assumptions!$B$6),(1.55*Assumptions!$B$6),(E5*0.5))</f>
        <v>0.18234720000000001</v>
      </c>
      <c r="F8" s="46">
        <f>IF((F5*0.5)&gt;(1.55*Assumptions!$B$6),(1.55*Assumptions!$B$6),(F5*0.5))</f>
        <v>66.556728000000021</v>
      </c>
      <c r="G8" s="46">
        <f>IF((G5*0.5)&gt;(1.55*Assumptions!$B$6),(1.55*Assumptions!$B$6),(G5*0.5))</f>
        <v>66.556728000000021</v>
      </c>
      <c r="H8" s="46">
        <f>IF((H5*0.5)&gt;(1.55*Assumptions!$B$6),(1.55*Assumptions!$B$6),(H5*0.5))</f>
        <v>66.739075200000002</v>
      </c>
      <c r="I8" s="46">
        <f>IF((I5*0.5)&gt;(1.55*Assumptions!$B$6),(1.55*Assumptions!$B$6),(I5*0.5))</f>
        <v>66.556728000000021</v>
      </c>
      <c r="J8" s="46">
        <f>IF((J5*0.5)&gt;(1.55*Assumptions!$B$6),(1.55*Assumptions!$B$6),(J5*0.5))</f>
        <v>66.556728000000021</v>
      </c>
      <c r="K8" s="46">
        <f>IF((K5*0.5)&gt;(1.55*Assumptions!$B$6),(1.55*Assumptions!$B$6),(K5*0.5))</f>
        <v>66.556728000000021</v>
      </c>
      <c r="L8" s="46">
        <f>IF((L5*0.5)&gt;(1.55*Assumptions!$B$6),(1.55*Assumptions!$B$6),(L5*0.5))</f>
        <v>66.739075200000002</v>
      </c>
      <c r="M8" s="46">
        <f>IF((M5*0.5)&gt;(1.55*Assumptions!$B$6),(1.55*Assumptions!$B$6),(M5*0.5))</f>
        <v>66.556728000000021</v>
      </c>
      <c r="N8" s="46">
        <f>IF((N5*0.5)&gt;(1.55*Assumptions!$B$6),(1.55*Assumptions!$B$6),(N5*0.5))</f>
        <v>66.556728000000021</v>
      </c>
      <c r="O8" s="46">
        <f>IF((O5*0.5)&gt;(1.55*Assumptions!$B$6),(1.55*Assumptions!$B$6),(O5*0.5))</f>
        <v>66.556728000000021</v>
      </c>
      <c r="P8" s="46">
        <f>IF((P5*0.5)&gt;(1.55*Assumptions!$B$6),(1.55*Assumptions!$B$6),(P5*0.5))</f>
        <v>66.739075200000002</v>
      </c>
      <c r="Q8" s="46">
        <f>IF((Q5*0.5)&gt;(1.55*Assumptions!$B$6),(1.55*Assumptions!$B$6),(Q5*0.5))</f>
        <v>66.556728000000021</v>
      </c>
      <c r="R8" s="46">
        <f>IF((R5*0.5)&gt;(1.55*Assumptions!$B$6),(1.55*Assumptions!$B$6),(R5*0.5))</f>
        <v>66.556728000000021</v>
      </c>
      <c r="S8" s="149">
        <f>IF((S5*0.5)&gt;(1.55*Assumptions!$B$6),(1.55*Assumptions!$B$6),(S5*0.5))</f>
        <v>66.556728000000021</v>
      </c>
      <c r="T8" s="46">
        <f>IF((T5*0.5)&gt;(1.55*Assumptions!$B$6),(1.55*Assumptions!$B$6),(T5*0.5))</f>
        <v>66.739075200000002</v>
      </c>
      <c r="U8" s="46">
        <f>IF((U5*0.5)&gt;(1.55*Assumptions!$B$6),(1.55*Assumptions!$B$6),(U5*0.5))</f>
        <v>66.556728000000021</v>
      </c>
      <c r="V8" s="46">
        <f>IF((V5*0.5)&gt;(1.55*Assumptions!$B$6),(1.55*Assumptions!$B$6),(V5*0.5))</f>
        <v>66.556728000000021</v>
      </c>
      <c r="W8" s="46">
        <f>IF((W5*0.5)&gt;(1.55*Assumptions!$B$6),(1.55*Assumptions!$B$6),(W5*0.5))</f>
        <v>66.556728000000021</v>
      </c>
      <c r="X8" s="46">
        <f>IF((X5*0.5)&gt;(1.55*Assumptions!$B$6),(1.55*Assumptions!$B$6),(X5*0.5))</f>
        <v>66.739075200000002</v>
      </c>
      <c r="Y8" s="46">
        <f>IF((Y5*0.5)&gt;(1.55*Assumptions!$B$6),(1.55*Assumptions!$B$6),(Y5*0.5))</f>
        <v>66.374380800000026</v>
      </c>
    </row>
    <row r="9" spans="1:25" s="30" customFormat="1">
      <c r="A9" s="86"/>
      <c r="B9" s="201"/>
      <c r="C9" s="48"/>
      <c r="D9" s="48"/>
      <c r="E9" s="46">
        <f>E8</f>
        <v>0.18234720000000001</v>
      </c>
      <c r="F9" s="46">
        <f t="shared" ref="F9:Y9" si="0">E9+F8</f>
        <v>66.739075200000016</v>
      </c>
      <c r="G9" s="46">
        <f t="shared" si="0"/>
        <v>133.29580320000002</v>
      </c>
      <c r="H9" s="46">
        <f t="shared" si="0"/>
        <v>200.03487840000003</v>
      </c>
      <c r="I9" s="46">
        <f t="shared" si="0"/>
        <v>266.59160640000005</v>
      </c>
      <c r="J9" s="46">
        <f t="shared" si="0"/>
        <v>333.14833440000007</v>
      </c>
      <c r="K9" s="46">
        <f t="shared" si="0"/>
        <v>399.70506240000009</v>
      </c>
      <c r="L9" s="46">
        <f t="shared" si="0"/>
        <v>466.44413760000009</v>
      </c>
      <c r="M9" s="46">
        <f t="shared" si="0"/>
        <v>533.00086560000011</v>
      </c>
      <c r="N9" s="46">
        <f t="shared" si="0"/>
        <v>599.55759360000013</v>
      </c>
      <c r="O9" s="46">
        <f t="shared" si="0"/>
        <v>666.11432160000015</v>
      </c>
      <c r="P9" s="46">
        <f t="shared" si="0"/>
        <v>732.85339680000016</v>
      </c>
      <c r="Q9" s="46">
        <f t="shared" si="0"/>
        <v>799.41012480000018</v>
      </c>
      <c r="R9" s="46">
        <f t="shared" si="0"/>
        <v>865.9668528000002</v>
      </c>
      <c r="S9" s="149">
        <f t="shared" si="0"/>
        <v>932.52358080000022</v>
      </c>
      <c r="T9" s="46">
        <f t="shared" si="0"/>
        <v>999.26265600000022</v>
      </c>
      <c r="U9" s="46">
        <f t="shared" si="0"/>
        <v>1065.8193840000004</v>
      </c>
      <c r="V9" s="46">
        <f t="shared" si="0"/>
        <v>1132.3761120000004</v>
      </c>
      <c r="W9" s="46">
        <f t="shared" si="0"/>
        <v>1198.9328400000004</v>
      </c>
      <c r="X9" s="46">
        <f t="shared" si="0"/>
        <v>1265.6719152000005</v>
      </c>
      <c r="Y9" s="46">
        <f t="shared" si="0"/>
        <v>1332.0462960000004</v>
      </c>
    </row>
    <row r="10" spans="1:25" s="30" customFormat="1">
      <c r="A10" s="86"/>
      <c r="B10" s="202"/>
      <c r="C10" s="48"/>
      <c r="D10" s="48"/>
      <c r="E10" s="46">
        <f>IF((6.2*Assumptions!$B$6)&gt;E9,E8,(6.2*Assumptions!$B$6)-D9)</f>
        <v>0.18234720000000001</v>
      </c>
      <c r="F10" s="46">
        <f>IF((6.2*Assumptions!$B$6)&gt;F9,F8,(6.2*Assumptions!$B$6)-E9)</f>
        <v>66.556728000000021</v>
      </c>
      <c r="G10" s="46">
        <f>IF((6.2*Assumptions!$B$6)&gt;G9,G8,(6.2*Assumptions!$B$6)-F9)</f>
        <v>66.556728000000021</v>
      </c>
      <c r="H10" s="46">
        <f>IF((6.2*Assumptions!$B$6)&gt;H9,H8,(6.2*Assumptions!$B$6)-G9)</f>
        <v>66.739075200000002</v>
      </c>
      <c r="I10" s="46">
        <f>IF((6.2*Assumptions!$B$6)&gt;I9,I8,(6.2*Assumptions!$B$6)-H9)</f>
        <v>66.556728000000021</v>
      </c>
      <c r="J10" s="46">
        <f>IF((6.2*Assumptions!$B$6)&gt;J9,J8,(6.2*Assumptions!$B$6)-I9)</f>
        <v>66.556728000000021</v>
      </c>
      <c r="K10" s="46">
        <f>IF((6.2*Assumptions!$B$6)&gt;K9,K8,(6.2*Assumptions!$B$6)-J9)</f>
        <v>66.556728000000021</v>
      </c>
      <c r="L10" s="46">
        <f>IF((6.2*Assumptions!$B$6)&gt;L9,L8,(6.2*Assumptions!$B$6)-K9)</f>
        <v>66.739075200000002</v>
      </c>
      <c r="M10" s="46">
        <f>IF((6.2*Assumptions!$B$6)&gt;M9,M8,(6.2*Assumptions!$B$6)-L9)</f>
        <v>2.2758623999999941</v>
      </c>
      <c r="N10" s="46">
        <f>IF((6.2*Assumptions!$B$6)&gt;N9,N8,(6.2*Assumptions!$B$6)-M9)</f>
        <v>-64.280865600000027</v>
      </c>
      <c r="O10" s="46">
        <f>IF((6.2*Assumptions!$B$6)&gt;O9,O8,(6.2*Assumptions!$B$6)-N9)</f>
        <v>-130.83759360000005</v>
      </c>
      <c r="P10" s="46">
        <f>IF((6.2*Assumptions!$B$6)&gt;P9,P8,(6.2*Assumptions!$B$6)-O9)</f>
        <v>-197.39432160000007</v>
      </c>
      <c r="Q10" s="46">
        <f>IF((6.2*Assumptions!$B$6)&gt;Q9,Q8,(6.2*Assumptions!$B$6)-P9)</f>
        <v>-264.13339680000007</v>
      </c>
      <c r="R10" s="46">
        <f>IF((6.2*Assumptions!$B$6)&gt;R9,R8,(6.2*Assumptions!$B$6)-Q9)</f>
        <v>-330.69012480000009</v>
      </c>
      <c r="S10" s="46">
        <f>IF((6.2*Assumptions!$B$6)&gt;S9,S8,(6.2*Assumptions!$B$6)-R9)</f>
        <v>-397.24685280000011</v>
      </c>
      <c r="T10" s="46">
        <f>IF((6.2*Assumptions!$B$6)&gt;T9,T8,(6.2*Assumptions!$B$6)-S9)</f>
        <v>-463.80358080000013</v>
      </c>
      <c r="U10" s="46">
        <f>IF((6.2*Assumptions!$B$6)&gt;U9,U8,(6.2*Assumptions!$B$6)-T9)</f>
        <v>-530.54265600000008</v>
      </c>
      <c r="V10" s="46">
        <f>IF((6.2*Assumptions!$B$6)&gt;V9,V8,(6.2*Assumptions!$B$6)-U9)</f>
        <v>-597.09938400000033</v>
      </c>
      <c r="W10" s="46">
        <f>IF((6.2*Assumptions!$B$6)&gt;W9,W8,(6.2*Assumptions!$B$6)-V9)</f>
        <v>-663.65611200000035</v>
      </c>
      <c r="X10" s="46">
        <f>IF((6.2*Assumptions!$B$6)&gt;X9,X8,(6.2*Assumptions!$B$6)-W9)</f>
        <v>-730.21284000000037</v>
      </c>
      <c r="Y10" s="46">
        <f>IF((6.2*Assumptions!$B$6)&gt;Y9,Y8,(6.2*Assumptions!$B$6)-X9)</f>
        <v>-796.95191520000049</v>
      </c>
    </row>
    <row r="11" spans="1:25" s="30" customFormat="1">
      <c r="A11" s="86"/>
      <c r="B11" s="186" t="s">
        <v>124</v>
      </c>
      <c r="C11" s="187"/>
      <c r="D11" s="187"/>
      <c r="E11" s="46">
        <f>IF(E10&gt;0,E10,0)</f>
        <v>0.18234720000000001</v>
      </c>
      <c r="F11" s="46">
        <f t="shared" ref="F11:Y11" si="1">IF(F10&gt;0,F10,0)</f>
        <v>66.556728000000021</v>
      </c>
      <c r="G11" s="46">
        <f t="shared" si="1"/>
        <v>66.556728000000021</v>
      </c>
      <c r="H11" s="46">
        <f t="shared" si="1"/>
        <v>66.739075200000002</v>
      </c>
      <c r="I11" s="46">
        <f t="shared" si="1"/>
        <v>66.556728000000021</v>
      </c>
      <c r="J11" s="46">
        <f t="shared" si="1"/>
        <v>66.556728000000021</v>
      </c>
      <c r="K11" s="46">
        <f t="shared" si="1"/>
        <v>66.556728000000021</v>
      </c>
      <c r="L11" s="46">
        <f>IF(L10&gt;0,L10,0)</f>
        <v>66.739075200000002</v>
      </c>
      <c r="M11" s="46">
        <f t="shared" si="1"/>
        <v>2.2758623999999941</v>
      </c>
      <c r="N11" s="46">
        <f t="shared" si="1"/>
        <v>0</v>
      </c>
      <c r="O11" s="46">
        <f t="shared" si="1"/>
        <v>0</v>
      </c>
      <c r="P11" s="46">
        <f t="shared" si="1"/>
        <v>0</v>
      </c>
      <c r="Q11" s="46">
        <f t="shared" si="1"/>
        <v>0</v>
      </c>
      <c r="R11" s="46">
        <f t="shared" si="1"/>
        <v>0</v>
      </c>
      <c r="S11" s="149">
        <f t="shared" si="1"/>
        <v>0</v>
      </c>
      <c r="T11" s="46">
        <f t="shared" si="1"/>
        <v>0</v>
      </c>
      <c r="U11" s="46">
        <f t="shared" si="1"/>
        <v>0</v>
      </c>
      <c r="V11" s="46">
        <f t="shared" si="1"/>
        <v>0</v>
      </c>
      <c r="W11" s="46">
        <f t="shared" si="1"/>
        <v>0</v>
      </c>
      <c r="X11" s="46">
        <f t="shared" si="1"/>
        <v>0</v>
      </c>
      <c r="Y11" s="46">
        <f t="shared" si="1"/>
        <v>0</v>
      </c>
    </row>
    <row r="12" spans="1:25" s="30" customFormat="1">
      <c r="A12" s="86"/>
      <c r="B12" s="44" t="s">
        <v>117</v>
      </c>
      <c r="C12" s="44"/>
      <c r="D12" s="44"/>
      <c r="E12" s="45">
        <f>E5*E6+E11</f>
        <v>1.7213575679999999</v>
      </c>
      <c r="F12" s="45">
        <f>F5*F6+F11</f>
        <v>628.29551232000017</v>
      </c>
      <c r="G12" s="45">
        <f t="shared" ref="G12:Y12" si="2">G5*G6+G11</f>
        <v>628.29551232000017</v>
      </c>
      <c r="H12" s="45">
        <f t="shared" si="2"/>
        <v>630.01686988799997</v>
      </c>
      <c r="I12" s="45">
        <f t="shared" si="2"/>
        <v>628.29551232000017</v>
      </c>
      <c r="J12" s="45">
        <f t="shared" si="2"/>
        <v>628.29551232000017</v>
      </c>
      <c r="K12" s="45">
        <f t="shared" si="2"/>
        <v>628.29551232000017</v>
      </c>
      <c r="L12" s="45">
        <f t="shared" si="2"/>
        <v>630.01686988799997</v>
      </c>
      <c r="M12" s="45">
        <f t="shared" si="2"/>
        <v>564.0146467200002</v>
      </c>
      <c r="N12" s="45">
        <f t="shared" si="2"/>
        <v>561.73878432000015</v>
      </c>
      <c r="O12" s="45">
        <f t="shared" si="2"/>
        <v>561.73878432000015</v>
      </c>
      <c r="P12" s="45">
        <f t="shared" si="2"/>
        <v>563.27779468799997</v>
      </c>
      <c r="Q12" s="45">
        <f t="shared" si="2"/>
        <v>561.73878432000015</v>
      </c>
      <c r="R12" s="45">
        <f t="shared" si="2"/>
        <v>561.73878432000015</v>
      </c>
      <c r="S12" s="45">
        <f t="shared" si="2"/>
        <v>561.73878432000015</v>
      </c>
      <c r="T12" s="45">
        <f t="shared" si="2"/>
        <v>563.27779468799997</v>
      </c>
      <c r="U12" s="45">
        <f t="shared" si="2"/>
        <v>561.73878432000015</v>
      </c>
      <c r="V12" s="45">
        <f t="shared" si="2"/>
        <v>561.73878432000015</v>
      </c>
      <c r="W12" s="45">
        <f t="shared" si="2"/>
        <v>561.73878432000015</v>
      </c>
      <c r="X12" s="45">
        <f t="shared" si="2"/>
        <v>563.27779468799997</v>
      </c>
      <c r="Y12" s="45">
        <f t="shared" si="2"/>
        <v>560.19977395200021</v>
      </c>
    </row>
    <row r="13" spans="1:25" s="30" customFormat="1">
      <c r="A13" s="86"/>
      <c r="B13" s="43" t="s">
        <v>118</v>
      </c>
      <c r="C13" s="44"/>
      <c r="D13" s="44"/>
      <c r="E13" s="45"/>
      <c r="F13" s="4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147"/>
      <c r="T13" s="2"/>
      <c r="U13" s="2"/>
      <c r="V13" s="2"/>
      <c r="W13" s="2"/>
      <c r="X13" s="2"/>
      <c r="Y13" s="9"/>
    </row>
    <row r="14" spans="1:25" s="47" customFormat="1">
      <c r="A14" s="87"/>
      <c r="B14" s="46" t="s">
        <v>97</v>
      </c>
      <c r="C14" s="46"/>
      <c r="D14" s="46"/>
      <c r="E14" s="46">
        <v>0</v>
      </c>
      <c r="F14" s="46">
        <v>0</v>
      </c>
      <c r="G14" s="46">
        <f>Assumptions!$B$22*Operations!B4/365</f>
        <v>0.21994520547945207</v>
      </c>
      <c r="H14" s="144">
        <f>Assumptions!$B$22*Operations!C4/365</f>
        <v>80.28</v>
      </c>
      <c r="I14" s="46">
        <f>Assumptions!B22*(1+Assumptions!$B$23)</f>
        <v>84.294000000000011</v>
      </c>
      <c r="J14" s="46">
        <f>I14*(1+Assumptions!$B$23)</f>
        <v>88.508700000000019</v>
      </c>
      <c r="K14" s="46">
        <f>J14*(1+Assumptions!$B$23)</f>
        <v>92.934135000000026</v>
      </c>
      <c r="L14" s="46">
        <f>K14*(1+Assumptions!$B$24)</f>
        <v>92.934135000000026</v>
      </c>
      <c r="M14" s="46">
        <f>L14*(1+Assumptions!$B$24)</f>
        <v>92.934135000000026</v>
      </c>
      <c r="N14" s="46">
        <f>M14*(1+Assumptions!$B$24)</f>
        <v>92.934135000000026</v>
      </c>
      <c r="O14" s="46">
        <f>N14*(1+Assumptions!$B$24)</f>
        <v>92.934135000000026</v>
      </c>
      <c r="P14" s="46">
        <f>O14*(1+Assumptions!$B$24)</f>
        <v>92.934135000000026</v>
      </c>
      <c r="Q14" s="46">
        <f>P14*(1+Assumptions!$B$24)</f>
        <v>92.934135000000026</v>
      </c>
      <c r="R14" s="46">
        <f>Q14*(1+Assumptions!$B$24)</f>
        <v>92.934135000000026</v>
      </c>
      <c r="S14" s="149">
        <f>R14*(1+Assumptions!$B$24)</f>
        <v>92.934135000000026</v>
      </c>
      <c r="T14" s="46">
        <f>S14*(1+Assumptions!$B$24)</f>
        <v>92.934135000000026</v>
      </c>
      <c r="U14" s="46">
        <f>T14*(1+Assumptions!$B$24)</f>
        <v>92.934135000000026</v>
      </c>
      <c r="V14" s="46">
        <f>U14*(1+Assumptions!$B$24)</f>
        <v>92.934135000000026</v>
      </c>
      <c r="W14" s="46">
        <f>V14*(1+Assumptions!$B$24)</f>
        <v>92.934135000000026</v>
      </c>
      <c r="X14" s="46">
        <f>W14*(1+Assumptions!$B$24)</f>
        <v>92.934135000000026</v>
      </c>
      <c r="Y14" s="46">
        <f>X14*(1+Assumptions!$B$24)*Operations!V4/365</f>
        <v>92.679520931506886</v>
      </c>
    </row>
    <row r="15" spans="1:25" s="30" customFormat="1">
      <c r="A15" s="86"/>
      <c r="B15" s="48" t="s">
        <v>98</v>
      </c>
      <c r="C15" s="44"/>
      <c r="D15" s="44"/>
      <c r="E15" s="45">
        <f t="shared" ref="E15:Y15" si="3">SUM(E14:E14)</f>
        <v>0</v>
      </c>
      <c r="F15" s="45">
        <f t="shared" si="3"/>
        <v>0</v>
      </c>
      <c r="G15" s="45">
        <f t="shared" si="3"/>
        <v>0.21994520547945207</v>
      </c>
      <c r="H15" s="45">
        <f t="shared" si="3"/>
        <v>80.28</v>
      </c>
      <c r="I15" s="45">
        <f t="shared" si="3"/>
        <v>84.294000000000011</v>
      </c>
      <c r="J15" s="45">
        <f t="shared" si="3"/>
        <v>88.508700000000019</v>
      </c>
      <c r="K15" s="45">
        <f t="shared" si="3"/>
        <v>92.934135000000026</v>
      </c>
      <c r="L15" s="45">
        <f t="shared" si="3"/>
        <v>92.934135000000026</v>
      </c>
      <c r="M15" s="45">
        <f t="shared" si="3"/>
        <v>92.934135000000026</v>
      </c>
      <c r="N15" s="45">
        <f t="shared" si="3"/>
        <v>92.934135000000026</v>
      </c>
      <c r="O15" s="45">
        <f t="shared" si="3"/>
        <v>92.934135000000026</v>
      </c>
      <c r="P15" s="45">
        <f t="shared" si="3"/>
        <v>92.934135000000026</v>
      </c>
      <c r="Q15" s="45">
        <f t="shared" si="3"/>
        <v>92.934135000000026</v>
      </c>
      <c r="R15" s="45">
        <f t="shared" si="3"/>
        <v>92.934135000000026</v>
      </c>
      <c r="S15" s="148">
        <f t="shared" si="3"/>
        <v>92.934135000000026</v>
      </c>
      <c r="T15" s="45">
        <f t="shared" si="3"/>
        <v>92.934135000000026</v>
      </c>
      <c r="U15" s="45">
        <f t="shared" si="3"/>
        <v>92.934135000000026</v>
      </c>
      <c r="V15" s="45">
        <f t="shared" si="3"/>
        <v>92.934135000000026</v>
      </c>
      <c r="W15" s="45">
        <f t="shared" si="3"/>
        <v>92.934135000000026</v>
      </c>
      <c r="X15" s="45">
        <f t="shared" si="3"/>
        <v>92.934135000000026</v>
      </c>
      <c r="Y15" s="45">
        <f t="shared" si="3"/>
        <v>92.679520931506886</v>
      </c>
    </row>
    <row r="16" spans="1:25" s="47" customFormat="1">
      <c r="A16" s="87"/>
      <c r="B16" s="48" t="s">
        <v>99</v>
      </c>
      <c r="C16" s="48"/>
      <c r="D16" s="48"/>
      <c r="E16" s="46">
        <f>'Term Loan'!H20</f>
        <v>380.3988551615999</v>
      </c>
      <c r="F16" s="46">
        <f>'Term Loan'!H35</f>
        <v>348.80863881599987</v>
      </c>
      <c r="G16" s="46">
        <f>'Term Loan'!H50</f>
        <v>317.21842247039979</v>
      </c>
      <c r="H16" s="46">
        <f>'Term Loan'!H65</f>
        <v>285.62820612479959</v>
      </c>
      <c r="I16" s="46">
        <f>'Term Loan'!H80</f>
        <v>254.03798977919951</v>
      </c>
      <c r="J16" s="46">
        <f>'Term Loan'!H95</f>
        <v>222.44777343359942</v>
      </c>
      <c r="K16" s="46">
        <f>'Term Loan'!H110</f>
        <v>190.85755708799931</v>
      </c>
      <c r="L16" s="46">
        <f>'Term Loan'!H125</f>
        <v>159.26734074239923</v>
      </c>
      <c r="M16" s="46">
        <f>'Term Loan'!H140</f>
        <v>127.67712439679914</v>
      </c>
      <c r="N16" s="46">
        <f>'Term Loan'!H155</f>
        <v>96.086908051199202</v>
      </c>
      <c r="O16" s="46">
        <f>'Term Loan'!H170</f>
        <v>64.496691705599247</v>
      </c>
      <c r="P16" s="46">
        <f>'Term Loan'!H185</f>
        <v>32.906475359999234</v>
      </c>
      <c r="Q16" s="46">
        <f>'Term Loan'!H200</f>
        <v>4.6069065503992945</v>
      </c>
      <c r="R16" s="46">
        <v>0</v>
      </c>
      <c r="S16" s="149">
        <f t="shared" ref="S16:Y16" si="4">R16</f>
        <v>0</v>
      </c>
      <c r="T16" s="46">
        <f t="shared" si="4"/>
        <v>0</v>
      </c>
      <c r="U16" s="46">
        <f t="shared" si="4"/>
        <v>0</v>
      </c>
      <c r="V16" s="46">
        <f t="shared" si="4"/>
        <v>0</v>
      </c>
      <c r="W16" s="46">
        <f t="shared" si="4"/>
        <v>0</v>
      </c>
      <c r="X16" s="46">
        <f t="shared" si="4"/>
        <v>0</v>
      </c>
      <c r="Y16" s="46">
        <f t="shared" si="4"/>
        <v>0</v>
      </c>
    </row>
    <row r="17" spans="1:25" s="30" customFormat="1">
      <c r="A17" s="86"/>
      <c r="B17" s="48" t="s">
        <v>100</v>
      </c>
      <c r="C17" s="44"/>
      <c r="D17" s="44"/>
      <c r="E17" s="45">
        <f t="shared" ref="E17:Y17" si="5">+E12-E15-E16</f>
        <v>-378.67749759359992</v>
      </c>
      <c r="F17" s="45">
        <f t="shared" si="5"/>
        <v>279.4868735040003</v>
      </c>
      <c r="G17" s="45">
        <f t="shared" si="5"/>
        <v>310.85714464412092</v>
      </c>
      <c r="H17" s="45">
        <f t="shared" si="5"/>
        <v>264.10866376320041</v>
      </c>
      <c r="I17" s="45">
        <f t="shared" si="5"/>
        <v>289.96352254080068</v>
      </c>
      <c r="J17" s="45">
        <f t="shared" si="5"/>
        <v>317.33903888640077</v>
      </c>
      <c r="K17" s="45">
        <f t="shared" si="5"/>
        <v>344.50382023200086</v>
      </c>
      <c r="L17" s="45">
        <f t="shared" si="5"/>
        <v>377.81539414560075</v>
      </c>
      <c r="M17" s="45">
        <f t="shared" si="5"/>
        <v>343.40338732320106</v>
      </c>
      <c r="N17" s="45">
        <f t="shared" si="5"/>
        <v>372.71774126880092</v>
      </c>
      <c r="O17" s="45">
        <f t="shared" si="5"/>
        <v>404.30795761440089</v>
      </c>
      <c r="P17" s="45">
        <f t="shared" si="5"/>
        <v>437.43718432800074</v>
      </c>
      <c r="Q17" s="45">
        <f t="shared" si="5"/>
        <v>464.19774276960084</v>
      </c>
      <c r="R17" s="45">
        <f t="shared" si="5"/>
        <v>468.80464932000012</v>
      </c>
      <c r="S17" s="45">
        <f t="shared" si="5"/>
        <v>468.80464932000012</v>
      </c>
      <c r="T17" s="45">
        <f t="shared" si="5"/>
        <v>470.34365968799995</v>
      </c>
      <c r="U17" s="45">
        <f t="shared" si="5"/>
        <v>468.80464932000012</v>
      </c>
      <c r="V17" s="45">
        <f t="shared" si="5"/>
        <v>468.80464932000012</v>
      </c>
      <c r="W17" s="45">
        <f t="shared" si="5"/>
        <v>468.80464932000012</v>
      </c>
      <c r="X17" s="45">
        <f t="shared" si="5"/>
        <v>470.34365968799995</v>
      </c>
      <c r="Y17" s="45">
        <f t="shared" si="5"/>
        <v>467.52025302049333</v>
      </c>
    </row>
    <row r="18" spans="1:25" s="30" customFormat="1">
      <c r="A18" s="86"/>
      <c r="B18" s="48" t="s">
        <v>101</v>
      </c>
      <c r="C18" s="44"/>
      <c r="D18" s="44"/>
      <c r="E18" s="45">
        <f>Depreciation!B16</f>
        <v>0.6149218191780822</v>
      </c>
      <c r="F18" s="45">
        <f>Depreciation!C16</f>
        <v>224.44646399999999</v>
      </c>
      <c r="G18" s="45">
        <f>Depreciation!D16</f>
        <v>224.44646399999999</v>
      </c>
      <c r="H18" s="45">
        <f>Depreciation!E16</f>
        <v>224.44646399999999</v>
      </c>
      <c r="I18" s="45">
        <f>Depreciation!F16</f>
        <v>224.44646399999999</v>
      </c>
      <c r="J18" s="45">
        <f>Depreciation!G16</f>
        <v>224.44646399999999</v>
      </c>
      <c r="K18" s="45">
        <f>Depreciation!H16</f>
        <v>224.44646399999999</v>
      </c>
      <c r="L18" s="45">
        <f>Depreciation!I16</f>
        <v>224.44646399999999</v>
      </c>
      <c r="M18" s="45">
        <f>Depreciation!J16</f>
        <v>224.44646399999999</v>
      </c>
      <c r="N18" s="45">
        <f>Depreciation!K16</f>
        <v>224.44646399999999</v>
      </c>
      <c r="O18" s="45">
        <f>Depreciation!L16</f>
        <v>224.44646399999999</v>
      </c>
      <c r="P18" s="45">
        <f>Depreciation!M16</f>
        <v>224.44646399999999</v>
      </c>
      <c r="Q18" s="45">
        <f>Depreciation!N16</f>
        <v>224.44646399999999</v>
      </c>
      <c r="R18" s="45">
        <f>Depreciation!O16</f>
        <v>224.44646399999999</v>
      </c>
      <c r="S18" s="148">
        <f>Depreciation!P16</f>
        <v>224.44646399999999</v>
      </c>
      <c r="T18" s="45">
        <f>Depreciation!Q16</f>
        <v>224.44646399999999</v>
      </c>
      <c r="U18" s="45">
        <f>Depreciation!R16</f>
        <v>224.44646399999999</v>
      </c>
      <c r="V18" s="45">
        <f>Depreciation!S16</f>
        <v>224.44646399999999</v>
      </c>
      <c r="W18" s="45">
        <f>Depreciation!T16</f>
        <v>224.44646399999999</v>
      </c>
      <c r="X18" s="45">
        <f>Depreciation!U16</f>
        <v>210.22872618082101</v>
      </c>
      <c r="Y18" s="45">
        <f>Depreciation!V16</f>
        <v>0</v>
      </c>
    </row>
    <row r="19" spans="1:25" s="30" customFormat="1">
      <c r="A19" s="86"/>
      <c r="B19" s="48" t="s">
        <v>102</v>
      </c>
      <c r="C19" s="44"/>
      <c r="D19" s="44"/>
      <c r="E19" s="45">
        <f>+E17-E18</f>
        <v>-379.29241941277803</v>
      </c>
      <c r="F19" s="45">
        <f t="shared" ref="F19:Y19" si="6">+F17-F18</f>
        <v>55.040409504000309</v>
      </c>
      <c r="G19" s="45">
        <f t="shared" si="6"/>
        <v>86.41068064412093</v>
      </c>
      <c r="H19" s="45">
        <f t="shared" si="6"/>
        <v>39.66219976320042</v>
      </c>
      <c r="I19" s="45">
        <f t="shared" si="6"/>
        <v>65.51705854080069</v>
      </c>
      <c r="J19" s="45">
        <f t="shared" si="6"/>
        <v>92.89257488640078</v>
      </c>
      <c r="K19" s="45">
        <f t="shared" si="6"/>
        <v>120.05735623200087</v>
      </c>
      <c r="L19" s="45">
        <f t="shared" si="6"/>
        <v>153.36893014560076</v>
      </c>
      <c r="M19" s="45">
        <f t="shared" si="6"/>
        <v>118.95692332320107</v>
      </c>
      <c r="N19" s="45">
        <f t="shared" si="6"/>
        <v>148.27127726880093</v>
      </c>
      <c r="O19" s="45">
        <f t="shared" si="6"/>
        <v>179.8614936144009</v>
      </c>
      <c r="P19" s="45">
        <f t="shared" si="6"/>
        <v>212.99072032800075</v>
      </c>
      <c r="Q19" s="45">
        <f t="shared" si="6"/>
        <v>239.75127876960084</v>
      </c>
      <c r="R19" s="45">
        <f t="shared" si="6"/>
        <v>244.35818532000013</v>
      </c>
      <c r="S19" s="148">
        <f t="shared" si="6"/>
        <v>244.35818532000013</v>
      </c>
      <c r="T19" s="45">
        <f t="shared" si="6"/>
        <v>245.89719568799995</v>
      </c>
      <c r="U19" s="45">
        <f t="shared" si="6"/>
        <v>244.35818532000013</v>
      </c>
      <c r="V19" s="45">
        <f t="shared" si="6"/>
        <v>244.35818532000013</v>
      </c>
      <c r="W19" s="45">
        <f t="shared" si="6"/>
        <v>244.35818532000013</v>
      </c>
      <c r="X19" s="45">
        <f t="shared" si="6"/>
        <v>260.11493350717893</v>
      </c>
      <c r="Y19" s="45">
        <f t="shared" si="6"/>
        <v>467.52025302049333</v>
      </c>
    </row>
    <row r="20" spans="1:25" s="30" customFormat="1">
      <c r="A20" s="86"/>
      <c r="B20" s="64" t="s">
        <v>103</v>
      </c>
      <c r="C20" s="50"/>
      <c r="D20" s="50"/>
      <c r="E20" s="45">
        <f>'Tax calculations'!B17</f>
        <v>0</v>
      </c>
      <c r="F20" s="45">
        <f>'Tax calculations'!C17</f>
        <v>11.013585941750462</v>
      </c>
      <c r="G20" s="45">
        <f>'Tax calculations'!D17</f>
        <v>17.290777196888598</v>
      </c>
      <c r="H20" s="45">
        <f>'Tax calculations'!E17</f>
        <v>7.9364061726164037</v>
      </c>
      <c r="I20" s="45">
        <f>'Tax calculations'!F17</f>
        <v>13.109963414014219</v>
      </c>
      <c r="J20" s="45">
        <f>'Tax calculations'!G17</f>
        <v>18.587804234768797</v>
      </c>
      <c r="K20" s="45">
        <f>'Tax calculations'!H17</f>
        <v>24.023476982023375</v>
      </c>
      <c r="L20" s="45">
        <f>'Tax calculations'!I17</f>
        <v>30.689122922134711</v>
      </c>
      <c r="M20" s="45">
        <f>'Tax calculations'!J17</f>
        <v>23.803280356972532</v>
      </c>
      <c r="N20" s="45">
        <f>'Tax calculations'!K17</f>
        <v>29.669082581487064</v>
      </c>
      <c r="O20" s="45">
        <f>'Tax calculations'!L17</f>
        <v>35.990284872241617</v>
      </c>
      <c r="P20" s="45">
        <f>'Tax calculations'!M17</f>
        <v>42.619443137632949</v>
      </c>
      <c r="Q20" s="45">
        <f>'Tax calculations'!N17</f>
        <v>47.974230881797126</v>
      </c>
      <c r="R20" s="45">
        <f>'Tax calculations'!O17</f>
        <v>48.896072882532025</v>
      </c>
      <c r="S20" s="148">
        <f>'Tax calculations'!P17</f>
        <v>48.896072882532025</v>
      </c>
      <c r="T20" s="45">
        <f>'Tax calculations'!Q17</f>
        <v>49.204028857168794</v>
      </c>
      <c r="U20" s="45">
        <f>'Tax calculations'!R17</f>
        <v>48.896072882532025</v>
      </c>
      <c r="V20" s="45">
        <f>'Tax calculations'!S17</f>
        <v>48.896072882532025</v>
      </c>
      <c r="W20" s="45">
        <f>'Tax calculations'!T17</f>
        <v>48.896072882532025</v>
      </c>
      <c r="X20" s="45">
        <f>'Tax calculations'!U17</f>
        <v>142.35895871213378</v>
      </c>
      <c r="Y20" s="45">
        <f>'Tax calculations'!V17</f>
        <v>142.98289707702119</v>
      </c>
    </row>
    <row r="21" spans="1:25" s="30" customFormat="1">
      <c r="A21" s="86"/>
      <c r="B21" s="64" t="s">
        <v>104</v>
      </c>
      <c r="C21" s="49"/>
      <c r="D21" s="49"/>
      <c r="E21" s="45">
        <f>E19-E20</f>
        <v>-379.29241941277803</v>
      </c>
      <c r="F21" s="45">
        <f t="shared" ref="F21:W21" si="7">F19-F20</f>
        <v>44.026823562249845</v>
      </c>
      <c r="G21" s="45">
        <f t="shared" si="7"/>
        <v>69.119903447232332</v>
      </c>
      <c r="H21" s="45">
        <f t="shared" si="7"/>
        <v>31.725793590584015</v>
      </c>
      <c r="I21" s="45">
        <f t="shared" si="7"/>
        <v>52.407095126786473</v>
      </c>
      <c r="J21" s="45">
        <f t="shared" si="7"/>
        <v>74.304770651631983</v>
      </c>
      <c r="K21" s="45">
        <f t="shared" si="7"/>
        <v>96.033879249977502</v>
      </c>
      <c r="L21" s="45">
        <f t="shared" si="7"/>
        <v>122.67980722346604</v>
      </c>
      <c r="M21" s="45">
        <f t="shared" si="7"/>
        <v>95.153642966228531</v>
      </c>
      <c r="N21" s="45">
        <f t="shared" si="7"/>
        <v>118.60219468731387</v>
      </c>
      <c r="O21" s="45">
        <f t="shared" si="7"/>
        <v>143.8712087421593</v>
      </c>
      <c r="P21" s="45">
        <f t="shared" si="7"/>
        <v>170.37127719036781</v>
      </c>
      <c r="Q21" s="45">
        <f t="shared" si="7"/>
        <v>191.77704788780372</v>
      </c>
      <c r="R21" s="45">
        <f t="shared" si="7"/>
        <v>195.46211243746811</v>
      </c>
      <c r="S21" s="148">
        <f t="shared" si="7"/>
        <v>195.46211243746811</v>
      </c>
      <c r="T21" s="45">
        <f t="shared" si="7"/>
        <v>196.69316683083116</v>
      </c>
      <c r="U21" s="45">
        <f t="shared" si="7"/>
        <v>195.46211243746811</v>
      </c>
      <c r="V21" s="45">
        <f t="shared" si="7"/>
        <v>195.46211243746811</v>
      </c>
      <c r="W21" s="45">
        <f t="shared" si="7"/>
        <v>195.46211243746811</v>
      </c>
      <c r="X21" s="45">
        <f>X19-X20</f>
        <v>117.75597479504515</v>
      </c>
      <c r="Y21" s="45">
        <f>Y19-Y20</f>
        <v>324.53735594347211</v>
      </c>
    </row>
    <row r="22" spans="1:25" s="30" customFormat="1">
      <c r="A22" s="86"/>
      <c r="B22" s="64" t="s">
        <v>105</v>
      </c>
      <c r="C22" s="49"/>
      <c r="D22" s="49"/>
      <c r="E22" s="119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50"/>
      <c r="T22" s="120"/>
      <c r="U22" s="120"/>
      <c r="V22" s="120"/>
      <c r="W22" s="120"/>
      <c r="Y22" s="45">
        <f>Depreciation!B5+(Depreciation!B6*10%)</f>
        <v>897.40800000000002</v>
      </c>
    </row>
    <row r="23" spans="1:25" s="30" customFormat="1">
      <c r="A23" s="86"/>
      <c r="B23" s="64"/>
      <c r="C23" s="49"/>
      <c r="D23" s="49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148"/>
      <c r="T23" s="45"/>
      <c r="U23" s="45"/>
      <c r="V23" s="45"/>
      <c r="W23" s="45"/>
      <c r="X23" s="45"/>
      <c r="Y23" s="9"/>
    </row>
    <row r="24" spans="1:25" s="30" customFormat="1">
      <c r="A24" s="86"/>
      <c r="B24" s="9" t="s">
        <v>165</v>
      </c>
      <c r="C24" s="9"/>
      <c r="D24" s="9"/>
      <c r="E24" s="45">
        <f>E16</f>
        <v>380.3988551615999</v>
      </c>
      <c r="F24" s="45">
        <f t="shared" ref="F24:V24" si="8">F16</f>
        <v>348.80863881599987</v>
      </c>
      <c r="G24" s="45">
        <f t="shared" si="8"/>
        <v>317.21842247039979</v>
      </c>
      <c r="H24" s="45">
        <f t="shared" si="8"/>
        <v>285.62820612479959</v>
      </c>
      <c r="I24" s="45">
        <f t="shared" si="8"/>
        <v>254.03798977919951</v>
      </c>
      <c r="J24" s="45">
        <f t="shared" si="8"/>
        <v>222.44777343359942</v>
      </c>
      <c r="K24" s="45">
        <f t="shared" si="8"/>
        <v>190.85755708799931</v>
      </c>
      <c r="L24" s="45">
        <f t="shared" si="8"/>
        <v>159.26734074239923</v>
      </c>
      <c r="M24" s="45">
        <f t="shared" si="8"/>
        <v>127.67712439679914</v>
      </c>
      <c r="N24" s="45">
        <f t="shared" si="8"/>
        <v>96.086908051199202</v>
      </c>
      <c r="O24" s="45">
        <f t="shared" si="8"/>
        <v>64.496691705599247</v>
      </c>
      <c r="P24" s="45">
        <f t="shared" si="8"/>
        <v>32.906475359999234</v>
      </c>
      <c r="Q24" s="45">
        <f t="shared" si="8"/>
        <v>4.6069065503992945</v>
      </c>
      <c r="R24" s="45">
        <f t="shared" si="8"/>
        <v>0</v>
      </c>
      <c r="S24" s="45">
        <f t="shared" si="8"/>
        <v>0</v>
      </c>
      <c r="T24" s="45">
        <f t="shared" si="8"/>
        <v>0</v>
      </c>
      <c r="U24" s="45">
        <f t="shared" si="8"/>
        <v>0</v>
      </c>
      <c r="V24" s="45">
        <f t="shared" si="8"/>
        <v>0</v>
      </c>
      <c r="W24" s="45">
        <f>W16</f>
        <v>0</v>
      </c>
      <c r="X24" s="45">
        <f>X16</f>
        <v>0</v>
      </c>
      <c r="Y24" s="45">
        <f>Y16</f>
        <v>0</v>
      </c>
    </row>
    <row r="25" spans="1:25" s="30" customFormat="1">
      <c r="A25" s="86"/>
      <c r="B25" s="9" t="s">
        <v>167</v>
      </c>
      <c r="C25" s="9"/>
      <c r="D25" s="9"/>
      <c r="E25" s="154">
        <f>'Term Loan'!E20</f>
        <v>249.72503040000007</v>
      </c>
      <c r="F25" s="27">
        <f>'Term Loan'!E35</f>
        <v>249.72503040000007</v>
      </c>
      <c r="G25" s="16">
        <f>'Term Loan'!E50</f>
        <v>249.72503040000007</v>
      </c>
      <c r="H25" s="16">
        <f>'Term Loan'!E65</f>
        <v>249.72503040000007</v>
      </c>
      <c r="I25" s="16">
        <f>'Term Loan'!E80</f>
        <v>249.72503040000007</v>
      </c>
      <c r="J25" s="16">
        <f>'Term Loan'!E95</f>
        <v>249.72503040000007</v>
      </c>
      <c r="K25" s="16">
        <f>'Term Loan'!E110</f>
        <v>249.72503040000007</v>
      </c>
      <c r="L25" s="16">
        <f>'Term Loan'!E125</f>
        <v>249.72503040000007</v>
      </c>
      <c r="M25" s="16">
        <f>'Term Loan'!E140</f>
        <v>249.72503040000007</v>
      </c>
      <c r="N25" s="16">
        <f>'Term Loan'!E155</f>
        <v>249.72503040000007</v>
      </c>
      <c r="O25" s="16">
        <f>'Term Loan'!E170</f>
        <v>249.72503040000007</v>
      </c>
      <c r="P25" s="27">
        <f>'Term Loan'!E185</f>
        <v>249.72503040000007</v>
      </c>
      <c r="Q25" s="27">
        <f>'Term Loan'!E200</f>
        <v>145.6729344</v>
      </c>
      <c r="R25" s="2">
        <v>0</v>
      </c>
      <c r="S25" s="147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s="30" customFormat="1">
      <c r="A26" s="86"/>
      <c r="B26" s="9" t="s">
        <v>168</v>
      </c>
      <c r="C26" s="9"/>
      <c r="D26" s="9">
        <f>-Assumptions!B12</f>
        <v>-1601.6371199999999</v>
      </c>
      <c r="E26" s="116">
        <f>E18+E21+E22+E25+D26</f>
        <v>-1730.5895871935998</v>
      </c>
      <c r="F26" s="116">
        <f t="shared" ref="F26:Y26" si="9">F18+F21+F22-F25</f>
        <v>18.748257162249757</v>
      </c>
      <c r="G26" s="116">
        <f t="shared" si="9"/>
        <v>43.841337047232258</v>
      </c>
      <c r="H26" s="116">
        <f t="shared" si="9"/>
        <v>6.4472271905839591</v>
      </c>
      <c r="I26" s="116">
        <f t="shared" si="9"/>
        <v>27.128528726786413</v>
      </c>
      <c r="J26" s="116">
        <f t="shared" si="9"/>
        <v>49.026204251631924</v>
      </c>
      <c r="K26" s="116">
        <f t="shared" si="9"/>
        <v>70.755312849977457</v>
      </c>
      <c r="L26" s="116">
        <f t="shared" si="9"/>
        <v>97.40124082346594</v>
      </c>
      <c r="M26" s="116">
        <f t="shared" si="9"/>
        <v>69.875076566228444</v>
      </c>
      <c r="N26" s="116">
        <f t="shared" si="9"/>
        <v>93.323628287313767</v>
      </c>
      <c r="O26" s="116">
        <f t="shared" si="9"/>
        <v>118.59264234215922</v>
      </c>
      <c r="P26" s="116">
        <f t="shared" si="9"/>
        <v>145.0927107903677</v>
      </c>
      <c r="Q26" s="116">
        <f t="shared" si="9"/>
        <v>270.55057748780371</v>
      </c>
      <c r="R26" s="116">
        <f t="shared" si="9"/>
        <v>419.90857643746813</v>
      </c>
      <c r="S26" s="151">
        <f t="shared" si="9"/>
        <v>419.90857643746813</v>
      </c>
      <c r="T26" s="116">
        <f t="shared" si="9"/>
        <v>421.13963083083115</v>
      </c>
      <c r="U26" s="116">
        <f t="shared" si="9"/>
        <v>419.90857643746813</v>
      </c>
      <c r="V26" s="116">
        <f t="shared" si="9"/>
        <v>419.90857643746813</v>
      </c>
      <c r="W26" s="116">
        <f t="shared" si="9"/>
        <v>419.90857643746813</v>
      </c>
      <c r="X26" s="116">
        <f t="shared" si="9"/>
        <v>327.98470097586619</v>
      </c>
      <c r="Y26" s="116">
        <f t="shared" si="9"/>
        <v>1221.9453559434721</v>
      </c>
    </row>
    <row r="27" spans="1:25" s="30" customFormat="1">
      <c r="A27" s="86"/>
      <c r="B27" s="26" t="s">
        <v>166</v>
      </c>
      <c r="C27" s="188">
        <f>IRR(E26:Y26)</f>
        <v>7.5533341401143234E-2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52"/>
      <c r="T27" s="9"/>
      <c r="U27" s="9"/>
      <c r="V27" s="9"/>
      <c r="W27" s="9"/>
      <c r="X27" s="9"/>
      <c r="Y27" s="9"/>
    </row>
    <row r="28" spans="1:25" s="30" customFormat="1">
      <c r="A28" s="86"/>
      <c r="B28" s="115"/>
      <c r="C28" s="115"/>
      <c r="D28" s="115"/>
      <c r="E28" s="115"/>
      <c r="F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</row>
    <row r="29" spans="1:25" s="30" customFormat="1">
      <c r="A29" s="86"/>
      <c r="B29" s="115"/>
      <c r="C29" s="115"/>
      <c r="D29" s="115"/>
      <c r="E29" s="115"/>
      <c r="F29" s="115"/>
      <c r="I29" s="115"/>
      <c r="J29" s="115"/>
      <c r="K29" s="115"/>
      <c r="L29" s="115"/>
      <c r="M29" s="115"/>
      <c r="N29" s="115"/>
      <c r="O29" s="115"/>
      <c r="P29" s="115"/>
      <c r="R29" s="115"/>
      <c r="S29" s="115"/>
      <c r="T29" s="115"/>
      <c r="U29" s="115"/>
      <c r="V29" s="115"/>
      <c r="W29" s="115"/>
      <c r="X29" s="115"/>
    </row>
    <row r="30" spans="1:25" s="30" customFormat="1">
      <c r="A30" s="86"/>
      <c r="R30" s="115"/>
    </row>
  </sheetData>
  <dataConsolidate/>
  <mergeCells count="1">
    <mergeCell ref="B7:B10"/>
  </mergeCells>
  <phoneticPr fontId="0" type="noConversion"/>
  <pageMargins left="0" right="0" top="0" bottom="0" header="0" footer="0"/>
  <pageSetup scale="5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Z33"/>
  <sheetViews>
    <sheetView tabSelected="1" topLeftCell="A3" workbookViewId="0">
      <selection activeCell="B7" sqref="B7:B10"/>
    </sheetView>
  </sheetViews>
  <sheetFormatPr defaultRowHeight="12.75"/>
  <cols>
    <col min="1" max="1" width="14.85546875" style="104" customWidth="1"/>
    <col min="2" max="2" width="42.28515625" style="3" bestFit="1" customWidth="1"/>
    <col min="3" max="3" width="8.7109375" style="3" bestFit="1" customWidth="1"/>
    <col min="4" max="4" width="11.5703125" style="3" bestFit="1" customWidth="1"/>
    <col min="5" max="5" width="8.140625" style="3" bestFit="1" customWidth="1"/>
    <col min="6" max="15" width="10.140625" style="3" bestFit="1" customWidth="1"/>
    <col min="16" max="19" width="7.5703125" style="3" bestFit="1" customWidth="1"/>
    <col min="20" max="24" width="8.140625" style="3" bestFit="1" customWidth="1"/>
    <col min="25" max="16384" width="9.140625" style="3"/>
  </cols>
  <sheetData>
    <row r="1" spans="1:26" s="30" customFormat="1">
      <c r="A1" s="86"/>
      <c r="B1" s="54" t="s">
        <v>94</v>
      </c>
    </row>
    <row r="2" spans="1:26" s="30" customFormat="1">
      <c r="A2" s="86"/>
      <c r="B2" s="41" t="s">
        <v>95</v>
      </c>
      <c r="C2" s="41"/>
      <c r="D2" s="102">
        <v>0</v>
      </c>
      <c r="E2" s="42">
        <v>1</v>
      </c>
      <c r="F2" s="42">
        <v>2</v>
      </c>
      <c r="G2" s="42">
        <v>3</v>
      </c>
      <c r="H2" s="42">
        <v>4</v>
      </c>
      <c r="I2" s="42">
        <v>5</v>
      </c>
      <c r="J2" s="42">
        <v>6</v>
      </c>
      <c r="K2" s="42">
        <v>7</v>
      </c>
      <c r="L2" s="42">
        <v>8</v>
      </c>
      <c r="M2" s="42">
        <v>9</v>
      </c>
      <c r="N2" s="42">
        <v>10</v>
      </c>
      <c r="O2" s="42">
        <v>11</v>
      </c>
      <c r="P2" s="42">
        <v>12</v>
      </c>
      <c r="Q2" s="42">
        <v>13</v>
      </c>
      <c r="R2" s="42">
        <v>14</v>
      </c>
      <c r="S2" s="146">
        <v>15</v>
      </c>
      <c r="T2" s="42">
        <v>16</v>
      </c>
      <c r="U2" s="42">
        <v>17</v>
      </c>
      <c r="V2" s="42">
        <v>18</v>
      </c>
      <c r="W2" s="42">
        <v>19</v>
      </c>
      <c r="X2" s="42">
        <v>20</v>
      </c>
      <c r="Y2" s="42">
        <v>21</v>
      </c>
    </row>
    <row r="3" spans="1:26" s="30" customFormat="1">
      <c r="A3" s="86"/>
      <c r="B3" s="9"/>
      <c r="C3" s="9"/>
      <c r="D3" s="21" t="s">
        <v>143</v>
      </c>
      <c r="E3" s="21" t="s">
        <v>201</v>
      </c>
      <c r="F3" s="21" t="s">
        <v>133</v>
      </c>
      <c r="G3" s="21" t="s">
        <v>134</v>
      </c>
      <c r="H3" s="21" t="s">
        <v>135</v>
      </c>
      <c r="I3" s="21" t="s">
        <v>136</v>
      </c>
      <c r="J3" s="21" t="s">
        <v>137</v>
      </c>
      <c r="K3" s="21" t="s">
        <v>138</v>
      </c>
      <c r="L3" s="21" t="s">
        <v>139</v>
      </c>
      <c r="M3" s="21" t="s">
        <v>140</v>
      </c>
      <c r="N3" s="21" t="s">
        <v>141</v>
      </c>
      <c r="O3" s="21" t="s">
        <v>142</v>
      </c>
      <c r="P3" s="21" t="s">
        <v>144</v>
      </c>
      <c r="Q3" s="21" t="s">
        <v>145</v>
      </c>
      <c r="R3" s="21" t="s">
        <v>146</v>
      </c>
      <c r="S3" s="21" t="s">
        <v>147</v>
      </c>
      <c r="T3" s="153" t="s">
        <v>148</v>
      </c>
      <c r="U3" s="153" t="s">
        <v>149</v>
      </c>
      <c r="V3" s="153" t="s">
        <v>150</v>
      </c>
      <c r="W3" s="153" t="s">
        <v>151</v>
      </c>
      <c r="X3" s="153" t="s">
        <v>152</v>
      </c>
      <c r="Y3" s="2" t="s">
        <v>154</v>
      </c>
    </row>
    <row r="4" spans="1:26" s="30" customFormat="1">
      <c r="A4" s="86"/>
      <c r="B4" s="43" t="s">
        <v>96</v>
      </c>
      <c r="C4" s="44"/>
      <c r="D4" s="44"/>
      <c r="E4" s="45"/>
      <c r="F4" s="4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47"/>
      <c r="T4" s="2"/>
      <c r="U4" s="2"/>
      <c r="V4" s="2"/>
      <c r="W4" s="2"/>
      <c r="X4" s="2"/>
      <c r="Y4" s="9"/>
    </row>
    <row r="5" spans="1:26" s="30" customFormat="1">
      <c r="A5" s="86"/>
      <c r="B5" s="44" t="s">
        <v>115</v>
      </c>
      <c r="C5" s="44"/>
      <c r="D5" s="44"/>
      <c r="E5" s="45">
        <f>Operations!B13</f>
        <v>0.36469440000000003</v>
      </c>
      <c r="F5" s="45">
        <f>Operations!C13</f>
        <v>133.11345600000004</v>
      </c>
      <c r="G5" s="45">
        <f>Operations!D13</f>
        <v>133.11345600000004</v>
      </c>
      <c r="H5" s="45">
        <f>Operations!E13</f>
        <v>133.4781504</v>
      </c>
      <c r="I5" s="45">
        <f>Operations!F13</f>
        <v>133.11345600000004</v>
      </c>
      <c r="J5" s="45">
        <f>Operations!G13</f>
        <v>133.11345600000004</v>
      </c>
      <c r="K5" s="45">
        <f>Operations!H13</f>
        <v>133.11345600000004</v>
      </c>
      <c r="L5" s="45">
        <f>Operations!I13</f>
        <v>133.4781504</v>
      </c>
      <c r="M5" s="45">
        <f>Operations!J13</f>
        <v>133.11345600000004</v>
      </c>
      <c r="N5" s="45">
        <f>Operations!K13</f>
        <v>133.11345600000004</v>
      </c>
      <c r="O5" s="45">
        <f>Operations!L13</f>
        <v>133.11345600000004</v>
      </c>
      <c r="P5" s="45">
        <f>Operations!M13</f>
        <v>133.4781504</v>
      </c>
      <c r="Q5" s="45">
        <f>Operations!N13</f>
        <v>133.11345600000004</v>
      </c>
      <c r="R5" s="45">
        <f>Operations!O13</f>
        <v>133.11345600000004</v>
      </c>
      <c r="S5" s="148">
        <f>Operations!P13</f>
        <v>133.11345600000004</v>
      </c>
      <c r="T5" s="45">
        <f>Operations!Q13</f>
        <v>133.4781504</v>
      </c>
      <c r="U5" s="45">
        <f>Operations!R13</f>
        <v>133.11345600000004</v>
      </c>
      <c r="V5" s="45">
        <f>Operations!S13</f>
        <v>133.11345600000004</v>
      </c>
      <c r="W5" s="45">
        <f>Operations!T13</f>
        <v>133.11345600000004</v>
      </c>
      <c r="X5" s="45">
        <f>Operations!U13</f>
        <v>133.4781504</v>
      </c>
      <c r="Y5" s="45">
        <f>Operations!V13</f>
        <v>132.74876160000005</v>
      </c>
    </row>
    <row r="6" spans="1:26" s="30" customFormat="1">
      <c r="A6" s="86"/>
      <c r="B6" s="121" t="s">
        <v>116</v>
      </c>
      <c r="C6" s="44"/>
      <c r="D6" s="44"/>
      <c r="E6" s="45">
        <f>Assumptions!B29</f>
        <v>4.22</v>
      </c>
      <c r="F6" s="45">
        <f>E6*(1+Assumptions!$B$30)</f>
        <v>4.22</v>
      </c>
      <c r="G6" s="45">
        <f>F6*(1+Assumptions!$B$30)</f>
        <v>4.22</v>
      </c>
      <c r="H6" s="45">
        <f>G6*(1+Assumptions!$B$30)</f>
        <v>4.22</v>
      </c>
      <c r="I6" s="45">
        <f>H6*(1+Assumptions!$B$30)</f>
        <v>4.22</v>
      </c>
      <c r="J6" s="45">
        <f>I6*(1+Assumptions!$B$30)</f>
        <v>4.22</v>
      </c>
      <c r="K6" s="45">
        <f>J6*(1+Assumptions!$B$30)</f>
        <v>4.22</v>
      </c>
      <c r="L6" s="45">
        <f>K6*(1+Assumptions!$B$30)</f>
        <v>4.22</v>
      </c>
      <c r="M6" s="45">
        <f>L6*(1+Assumptions!$B$30)</f>
        <v>4.22</v>
      </c>
      <c r="N6" s="45">
        <f>M6*(1+Assumptions!$B$30)</f>
        <v>4.22</v>
      </c>
      <c r="O6" s="45">
        <f>N6*(1+Assumptions!$B$30)*(1+'Sensitivity Analysis'!$C$10)</f>
        <v>4.22</v>
      </c>
      <c r="P6" s="45">
        <f>O6*(1+Assumptions!$B$30)</f>
        <v>4.22</v>
      </c>
      <c r="Q6" s="45">
        <f>P6*(1+Assumptions!$B$30)</f>
        <v>4.22</v>
      </c>
      <c r="R6" s="45">
        <f>Q6*(1+Assumptions!$B$30)</f>
        <v>4.22</v>
      </c>
      <c r="S6" s="148">
        <f>R6*(1+Assumptions!$B$30)</f>
        <v>4.22</v>
      </c>
      <c r="T6" s="45">
        <f>S6*(1+Assumptions!$B$30)</f>
        <v>4.22</v>
      </c>
      <c r="U6" s="45">
        <f>T6*(1+Assumptions!$B$30)</f>
        <v>4.22</v>
      </c>
      <c r="V6" s="45">
        <f>U6*(1+Assumptions!$B$30)</f>
        <v>4.22</v>
      </c>
      <c r="W6" s="45">
        <f>V6*(1+Assumptions!$B$30)</f>
        <v>4.22</v>
      </c>
      <c r="X6" s="45">
        <f>W6*(1+Assumptions!$B$30)</f>
        <v>4.22</v>
      </c>
      <c r="Y6" s="45">
        <f>X6*(1+Assumptions!$B$30)</f>
        <v>4.22</v>
      </c>
    </row>
    <row r="7" spans="1:26" s="30" customFormat="1">
      <c r="A7" s="86"/>
      <c r="B7" s="200" t="s">
        <v>123</v>
      </c>
      <c r="C7" s="44"/>
      <c r="D7" s="44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148"/>
      <c r="T7" s="45"/>
      <c r="U7" s="45"/>
      <c r="V7" s="45"/>
      <c r="W7" s="45"/>
      <c r="X7" s="45"/>
      <c r="Y7" s="9"/>
    </row>
    <row r="8" spans="1:26" s="30" customFormat="1">
      <c r="A8" s="86"/>
      <c r="B8" s="201"/>
      <c r="C8" s="48"/>
      <c r="D8" s="48"/>
      <c r="E8" s="46">
        <f>IF((E5*0.5)&gt;(1.55*Assumptions!$B$6),(1.55*Assumptions!$B$6),(E5*0.5))</f>
        <v>0.18234720000000001</v>
      </c>
      <c r="F8" s="46">
        <f>IF((F5*0.5)&gt;(1.55*Assumptions!$B$6),(1.55*Assumptions!$B$6),(F5*0.5))</f>
        <v>66.556728000000021</v>
      </c>
      <c r="G8" s="46">
        <f>IF((G5*0.5)&gt;(1.55*Assumptions!$B$6),(1.55*Assumptions!$B$6),(G5*0.5))</f>
        <v>66.556728000000021</v>
      </c>
      <c r="H8" s="46">
        <f>IF((H5*0.5)&gt;(1.55*Assumptions!$B$6),(1.55*Assumptions!$B$6),(H5*0.5))</f>
        <v>66.739075200000002</v>
      </c>
      <c r="I8" s="46">
        <f>IF((I5*0.5)&gt;(1.55*Assumptions!$B$6),(1.55*Assumptions!$B$6),(I5*0.5))</f>
        <v>66.556728000000021</v>
      </c>
      <c r="J8" s="46">
        <f>IF((J5*0.5)&gt;(1.55*Assumptions!$B$6),(1.55*Assumptions!$B$6),(J5*0.5))</f>
        <v>66.556728000000021</v>
      </c>
      <c r="K8" s="46">
        <f>IF((K5*0.5)&gt;(1.55*Assumptions!$B$6),(1.55*Assumptions!$B$6),(K5*0.5))</f>
        <v>66.556728000000021</v>
      </c>
      <c r="L8" s="46">
        <f>IF((L5*0.5)&gt;(1.55*Assumptions!$B$6),(1.55*Assumptions!$B$6),(L5*0.5))</f>
        <v>66.739075200000002</v>
      </c>
      <c r="M8" s="46">
        <f>IF((M5*0.5)&gt;(1.55*Assumptions!$B$6),(1.55*Assumptions!$B$6),(M5*0.5))</f>
        <v>66.556728000000021</v>
      </c>
      <c r="N8" s="46">
        <f>IF((N5*0.5)&gt;(1.55*Assumptions!$B$6),(1.55*Assumptions!$B$6),(N5*0.5))</f>
        <v>66.556728000000021</v>
      </c>
      <c r="O8" s="46">
        <f>IF((O5*0.5)&gt;(1.55*Assumptions!$B$6),(1.55*Assumptions!$B$6),(O5*0.5))</f>
        <v>66.556728000000021</v>
      </c>
      <c r="P8" s="46">
        <f>IF((P5*0.5)&gt;(1.55*Assumptions!$B$6),(1.55*Assumptions!$B$6),(P5*0.5))</f>
        <v>66.739075200000002</v>
      </c>
      <c r="Q8" s="46">
        <f>IF((Q5*0.5)&gt;(1.55*Assumptions!$B$6),(1.55*Assumptions!$B$6),(Q5*0.5))</f>
        <v>66.556728000000021</v>
      </c>
      <c r="R8" s="46">
        <f>IF((R5*0.5)&gt;(1.55*Assumptions!$B$6),(1.55*Assumptions!$B$6),(R5*0.5))</f>
        <v>66.556728000000021</v>
      </c>
      <c r="S8" s="149">
        <f>IF((S5*0.5)&gt;(1.55*Assumptions!$B$6),(1.55*Assumptions!$B$6),(S5*0.5))</f>
        <v>66.556728000000021</v>
      </c>
      <c r="T8" s="46">
        <f>IF((T5*0.5)&gt;(1.55*Assumptions!$B$6),(1.55*Assumptions!$B$6),(T5*0.5))</f>
        <v>66.739075200000002</v>
      </c>
      <c r="U8" s="46">
        <f>IF((U5*0.5)&gt;(1.55*Assumptions!$B$6),(1.55*Assumptions!$B$6),(U5*0.5))</f>
        <v>66.556728000000021</v>
      </c>
      <c r="V8" s="46">
        <f>IF((V5*0.5)&gt;(1.55*Assumptions!$B$6),(1.55*Assumptions!$B$6),(V5*0.5))</f>
        <v>66.556728000000021</v>
      </c>
      <c r="W8" s="46">
        <f>IF((W5*0.5)&gt;(1.55*Assumptions!$B$6),(1.55*Assumptions!$B$6),(W5*0.5))</f>
        <v>66.556728000000021</v>
      </c>
      <c r="X8" s="46">
        <f>IF((X5*0.5)&gt;(1.55*Assumptions!$B$6),(1.55*Assumptions!$B$6),(X5*0.5))</f>
        <v>66.739075200000002</v>
      </c>
      <c r="Y8" s="46">
        <f>IF((Y5*0.5)&gt;(1.55*Assumptions!$B$6),(1.55*Assumptions!$B$6),(Y5*0.5))</f>
        <v>66.374380800000026</v>
      </c>
      <c r="Z8" s="47"/>
    </row>
    <row r="9" spans="1:26" s="30" customFormat="1">
      <c r="A9" s="86"/>
      <c r="B9" s="201"/>
      <c r="C9" s="48"/>
      <c r="D9" s="48"/>
      <c r="E9" s="46">
        <f>E8</f>
        <v>0.18234720000000001</v>
      </c>
      <c r="F9" s="46">
        <f t="shared" ref="F9:Y9" si="0">E9+F8</f>
        <v>66.739075200000016</v>
      </c>
      <c r="G9" s="46">
        <f t="shared" si="0"/>
        <v>133.29580320000002</v>
      </c>
      <c r="H9" s="46">
        <f t="shared" si="0"/>
        <v>200.03487840000003</v>
      </c>
      <c r="I9" s="46">
        <f t="shared" si="0"/>
        <v>266.59160640000005</v>
      </c>
      <c r="J9" s="46">
        <f t="shared" si="0"/>
        <v>333.14833440000007</v>
      </c>
      <c r="K9" s="46">
        <f t="shared" si="0"/>
        <v>399.70506240000009</v>
      </c>
      <c r="L9" s="46">
        <f t="shared" si="0"/>
        <v>466.44413760000009</v>
      </c>
      <c r="M9" s="46">
        <f t="shared" si="0"/>
        <v>533.00086560000011</v>
      </c>
      <c r="N9" s="46">
        <f t="shared" si="0"/>
        <v>599.55759360000013</v>
      </c>
      <c r="O9" s="46">
        <f t="shared" si="0"/>
        <v>666.11432160000015</v>
      </c>
      <c r="P9" s="46">
        <f t="shared" si="0"/>
        <v>732.85339680000016</v>
      </c>
      <c r="Q9" s="46">
        <f t="shared" si="0"/>
        <v>799.41012480000018</v>
      </c>
      <c r="R9" s="46">
        <f t="shared" si="0"/>
        <v>865.9668528000002</v>
      </c>
      <c r="S9" s="149">
        <f t="shared" si="0"/>
        <v>932.52358080000022</v>
      </c>
      <c r="T9" s="46">
        <f t="shared" si="0"/>
        <v>999.26265600000022</v>
      </c>
      <c r="U9" s="46">
        <f t="shared" si="0"/>
        <v>1065.8193840000004</v>
      </c>
      <c r="V9" s="46">
        <f t="shared" si="0"/>
        <v>1132.3761120000004</v>
      </c>
      <c r="W9" s="46">
        <f t="shared" si="0"/>
        <v>1198.9328400000004</v>
      </c>
      <c r="X9" s="46">
        <f t="shared" si="0"/>
        <v>1265.6719152000005</v>
      </c>
      <c r="Y9" s="46">
        <f t="shared" si="0"/>
        <v>1332.0462960000004</v>
      </c>
      <c r="Z9" s="47"/>
    </row>
    <row r="10" spans="1:26" s="30" customFormat="1">
      <c r="A10" s="86"/>
      <c r="B10" s="202"/>
      <c r="C10" s="48"/>
      <c r="D10" s="48"/>
      <c r="E10" s="46">
        <f>IF((6.2*Assumptions!$B$6)&gt;E9,E8,(6.2*Assumptions!$B$6)-D9)</f>
        <v>0.18234720000000001</v>
      </c>
      <c r="F10" s="46">
        <f>IF((6.2*Assumptions!$B$6)&gt;F9,F8,(6.2*Assumptions!$B$6)-E9)</f>
        <v>66.556728000000021</v>
      </c>
      <c r="G10" s="46">
        <f>IF((6.2*Assumptions!$B$6)&gt;G9,G8,(6.2*Assumptions!$B$6)-F9)</f>
        <v>66.556728000000021</v>
      </c>
      <c r="H10" s="46">
        <f>IF((6.2*Assumptions!$B$6)&gt;H9,H8,(6.2*Assumptions!$B$6)-G9)</f>
        <v>66.739075200000002</v>
      </c>
      <c r="I10" s="46">
        <f>IF((6.2*Assumptions!$B$6)&gt;I9,I8,(6.2*Assumptions!$B$6)-H9)</f>
        <v>66.556728000000021</v>
      </c>
      <c r="J10" s="46">
        <f>IF((6.2*Assumptions!$B$6)&gt;J9,J8,(6.2*Assumptions!$B$6)-I9)</f>
        <v>66.556728000000021</v>
      </c>
      <c r="K10" s="46">
        <f>IF((6.2*Assumptions!$B$6)&gt;K9,K8,(6.2*Assumptions!$B$6)-J9)</f>
        <v>66.556728000000021</v>
      </c>
      <c r="L10" s="46">
        <f>IF((6.2*Assumptions!$B$6)&gt;L9,L8,(6.2*Assumptions!$B$6)-K9)</f>
        <v>66.739075200000002</v>
      </c>
      <c r="M10" s="46">
        <f>IF((6.2*Assumptions!$B$6)&gt;M9,M8,(6.2*Assumptions!$B$6)-L9)</f>
        <v>2.2758623999999941</v>
      </c>
      <c r="N10" s="46">
        <f>IF((6.2*Assumptions!$B$6)&gt;N9,N8,(6.2*Assumptions!$B$6)-M9)</f>
        <v>-64.280865600000027</v>
      </c>
      <c r="O10" s="46">
        <f>IF((6.2*Assumptions!$B$6)&gt;O9,O8,(6.2*Assumptions!$B$6)-N9)</f>
        <v>-130.83759360000005</v>
      </c>
      <c r="P10" s="46">
        <f>IF((6.2*Assumptions!$B$6)&gt;P9,P8,(6.2*Assumptions!$B$6)-O9)</f>
        <v>-197.39432160000007</v>
      </c>
      <c r="Q10" s="46">
        <f>IF((6.2*Assumptions!$B$6)&gt;Q9,Q8,(6.2*Assumptions!$B$6)-P9)</f>
        <v>-264.13339680000007</v>
      </c>
      <c r="R10" s="46">
        <f>IF((6.2*Assumptions!$B$6)&gt;R9,R8,(6.2*Assumptions!$B$6)-Q9)</f>
        <v>-330.69012480000009</v>
      </c>
      <c r="S10" s="46">
        <f>IF((6.2*Assumptions!$B$6)&gt;S9,S8,(6.2*Assumptions!$B$6)-R9)</f>
        <v>-397.24685280000011</v>
      </c>
      <c r="T10" s="46">
        <f>IF((6.2*Assumptions!$B$6)&gt;T9,T8,(6.2*Assumptions!$B$6)-S9)</f>
        <v>-463.80358080000013</v>
      </c>
      <c r="U10" s="46">
        <f>IF((6.2*Assumptions!$B$6)&gt;U9,U8,(6.2*Assumptions!$B$6)-T9)</f>
        <v>-530.54265600000008</v>
      </c>
      <c r="V10" s="46">
        <f>IF((6.2*Assumptions!$B$6)&gt;V9,V8,(6.2*Assumptions!$B$6)-U9)</f>
        <v>-597.09938400000033</v>
      </c>
      <c r="W10" s="46">
        <f>IF((6.2*Assumptions!$B$6)&gt;W9,W8,(6.2*Assumptions!$B$6)-V9)</f>
        <v>-663.65611200000035</v>
      </c>
      <c r="X10" s="46">
        <f>IF((6.2*Assumptions!$B$6)&gt;X9,X8,(6.2*Assumptions!$B$6)-W9)</f>
        <v>-730.21284000000037</v>
      </c>
      <c r="Y10" s="46">
        <f>IF((6.2*Assumptions!$B$6)&gt;Y9,Y8,(6.2*Assumptions!$B$6)-X9)</f>
        <v>-796.95191520000049</v>
      </c>
      <c r="Z10" s="47"/>
    </row>
    <row r="11" spans="1:26" s="30" customFormat="1">
      <c r="A11" s="86"/>
      <c r="B11" s="186" t="s">
        <v>124</v>
      </c>
      <c r="C11" s="187"/>
      <c r="D11" s="187"/>
      <c r="E11" s="46">
        <f>IF(E10&gt;0,E10,0)</f>
        <v>0.18234720000000001</v>
      </c>
      <c r="F11" s="46">
        <f t="shared" ref="F11:Y11" si="1">IF(F10&gt;0,F10,0)</f>
        <v>66.556728000000021</v>
      </c>
      <c r="G11" s="46">
        <f t="shared" si="1"/>
        <v>66.556728000000021</v>
      </c>
      <c r="H11" s="46">
        <f t="shared" si="1"/>
        <v>66.739075200000002</v>
      </c>
      <c r="I11" s="46">
        <f t="shared" si="1"/>
        <v>66.556728000000021</v>
      </c>
      <c r="J11" s="46">
        <f t="shared" si="1"/>
        <v>66.556728000000021</v>
      </c>
      <c r="K11" s="46">
        <f t="shared" si="1"/>
        <v>66.556728000000021</v>
      </c>
      <c r="L11" s="46">
        <f>IF(L10&gt;0,L10,0)</f>
        <v>66.739075200000002</v>
      </c>
      <c r="M11" s="46">
        <f t="shared" si="1"/>
        <v>2.2758623999999941</v>
      </c>
      <c r="N11" s="46">
        <f t="shared" si="1"/>
        <v>0</v>
      </c>
      <c r="O11" s="46">
        <f t="shared" si="1"/>
        <v>0</v>
      </c>
      <c r="P11" s="46">
        <f t="shared" si="1"/>
        <v>0</v>
      </c>
      <c r="Q11" s="46">
        <f t="shared" si="1"/>
        <v>0</v>
      </c>
      <c r="R11" s="46">
        <f t="shared" si="1"/>
        <v>0</v>
      </c>
      <c r="S11" s="149">
        <f t="shared" si="1"/>
        <v>0</v>
      </c>
      <c r="T11" s="46">
        <f t="shared" si="1"/>
        <v>0</v>
      </c>
      <c r="U11" s="46">
        <f t="shared" si="1"/>
        <v>0</v>
      </c>
      <c r="V11" s="46">
        <f t="shared" si="1"/>
        <v>0</v>
      </c>
      <c r="W11" s="46">
        <f t="shared" si="1"/>
        <v>0</v>
      </c>
      <c r="X11" s="46">
        <f t="shared" si="1"/>
        <v>0</v>
      </c>
      <c r="Y11" s="46">
        <f t="shared" si="1"/>
        <v>0</v>
      </c>
      <c r="Z11" s="47"/>
    </row>
    <row r="12" spans="1:26" s="30" customFormat="1">
      <c r="A12" s="86"/>
      <c r="B12" s="49" t="s">
        <v>125</v>
      </c>
      <c r="C12" s="82"/>
      <c r="D12" s="82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148"/>
      <c r="T12" s="45"/>
      <c r="U12" s="45"/>
      <c r="V12" s="45"/>
      <c r="W12" s="45"/>
      <c r="X12" s="45"/>
      <c r="Y12" s="9"/>
    </row>
    <row r="13" spans="1:26" s="30" customFormat="1">
      <c r="A13" s="86"/>
      <c r="B13" s="81" t="s">
        <v>126</v>
      </c>
      <c r="C13" s="82"/>
      <c r="D13" s="82"/>
      <c r="E13" s="45"/>
      <c r="F13" s="45">
        <f>ROUND(F5*1000*Assumptions!$B$47,0)</f>
        <v>126817</v>
      </c>
      <c r="G13" s="45">
        <f>ROUND(G5*1000*Assumptions!$B$47,0)</f>
        <v>126817</v>
      </c>
      <c r="H13" s="45">
        <f>ROUND(H5*1000*Assumptions!$B$47,0)</f>
        <v>127165</v>
      </c>
      <c r="I13" s="45">
        <f>ROUND(I5*1000*Assumptions!$B$47,0)</f>
        <v>126817</v>
      </c>
      <c r="J13" s="45">
        <f>ROUND(J5*1000*Assumptions!$B$47,0)</f>
        <v>126817</v>
      </c>
      <c r="K13" s="45">
        <f>ROUND(K5*1000*Assumptions!$B$47,0)</f>
        <v>126817</v>
      </c>
      <c r="L13" s="45">
        <f>ROUND(L5*1000*Assumptions!$B$47,0)</f>
        <v>127165</v>
      </c>
      <c r="M13" s="45">
        <f>ROUND(M5*1000*Assumptions!$B$47,0)</f>
        <v>126817</v>
      </c>
      <c r="N13" s="45">
        <f>ROUND(N5*1000*Assumptions!$B$47,0)</f>
        <v>126817</v>
      </c>
      <c r="O13" s="45">
        <f>ROUND(O5*1000*Assumptions!$B$47,0)</f>
        <v>126817</v>
      </c>
      <c r="P13" s="45"/>
      <c r="Q13" s="45"/>
      <c r="R13" s="45"/>
      <c r="S13" s="148"/>
      <c r="T13" s="45"/>
      <c r="U13" s="45"/>
      <c r="V13" s="45"/>
      <c r="W13" s="45"/>
      <c r="X13" s="45"/>
      <c r="Y13" s="9"/>
    </row>
    <row r="14" spans="1:26" s="30" customFormat="1">
      <c r="A14" s="86"/>
      <c r="B14" s="81" t="s">
        <v>130</v>
      </c>
      <c r="C14" s="82"/>
      <c r="D14" s="82"/>
      <c r="E14" s="45"/>
      <c r="F14" s="45">
        <f>F13*Assumptions!$B$48*Assumptions!$B$49/10^6</f>
        <v>81.822328399999989</v>
      </c>
      <c r="G14" s="45">
        <f>G13*Assumptions!$B$48*Assumptions!$B$49/10^6</f>
        <v>81.822328399999989</v>
      </c>
      <c r="H14" s="45">
        <f>H13*Assumptions!$B$48*Assumptions!$B$49/10^6</f>
        <v>82.046858</v>
      </c>
      <c r="I14" s="45">
        <f>I13*Assumptions!$B$48*Assumptions!$B$49/10^6</f>
        <v>81.822328399999989</v>
      </c>
      <c r="J14" s="45">
        <f>J13*Assumptions!$B$48*Assumptions!$B$49/10^6</f>
        <v>81.822328399999989</v>
      </c>
      <c r="K14" s="45">
        <f>K13*Assumptions!$B$48*Assumptions!$B$49/10^6</f>
        <v>81.822328399999989</v>
      </c>
      <c r="L14" s="45">
        <f>L13*Assumptions!$B$48*Assumptions!$B$49/10^6</f>
        <v>82.046858</v>
      </c>
      <c r="M14" s="45">
        <f>M13*Assumptions!$B$48*Assumptions!$B$49/10^6</f>
        <v>81.822328399999989</v>
      </c>
      <c r="N14" s="45">
        <f>N13*Assumptions!$B$48*Assumptions!$B$49/10^6</f>
        <v>81.822328399999989</v>
      </c>
      <c r="O14" s="45">
        <f>O13*Assumptions!$B$48*Assumptions!$B$49/10^6</f>
        <v>81.822328399999989</v>
      </c>
      <c r="P14" s="45"/>
      <c r="Q14" s="45"/>
      <c r="R14" s="45"/>
      <c r="S14" s="148"/>
      <c r="T14" s="45"/>
      <c r="U14" s="45"/>
      <c r="V14" s="45"/>
      <c r="W14" s="45"/>
      <c r="X14" s="45"/>
      <c r="Y14" s="9"/>
    </row>
    <row r="15" spans="1:26" s="30" customFormat="1">
      <c r="A15" s="86"/>
      <c r="B15" s="44" t="s">
        <v>117</v>
      </c>
      <c r="C15" s="44"/>
      <c r="D15" s="44"/>
      <c r="E15" s="45">
        <f>E5*E6+E11+E14</f>
        <v>1.7213575679999999</v>
      </c>
      <c r="F15" s="45">
        <f>F5*F6+F11+F14</f>
        <v>710.11784072000012</v>
      </c>
      <c r="G15" s="45">
        <f t="shared" ref="G15:Y15" si="2">G5*G6+G11+G14</f>
        <v>710.11784072000012</v>
      </c>
      <c r="H15" s="45">
        <f t="shared" si="2"/>
        <v>712.06372788800002</v>
      </c>
      <c r="I15" s="45">
        <f t="shared" si="2"/>
        <v>710.11784072000012</v>
      </c>
      <c r="J15" s="45">
        <f t="shared" si="2"/>
        <v>710.11784072000012</v>
      </c>
      <c r="K15" s="45">
        <f t="shared" si="2"/>
        <v>710.11784072000012</v>
      </c>
      <c r="L15" s="45">
        <f t="shared" si="2"/>
        <v>712.06372788800002</v>
      </c>
      <c r="M15" s="45">
        <f t="shared" si="2"/>
        <v>645.83697512000015</v>
      </c>
      <c r="N15" s="45">
        <f t="shared" si="2"/>
        <v>643.5611127200001</v>
      </c>
      <c r="O15" s="45">
        <f t="shared" si="2"/>
        <v>643.5611127200001</v>
      </c>
      <c r="P15" s="45">
        <f t="shared" si="2"/>
        <v>563.27779468799997</v>
      </c>
      <c r="Q15" s="45">
        <f t="shared" si="2"/>
        <v>561.73878432000015</v>
      </c>
      <c r="R15" s="45">
        <f t="shared" si="2"/>
        <v>561.73878432000015</v>
      </c>
      <c r="S15" s="148">
        <f t="shared" si="2"/>
        <v>561.73878432000015</v>
      </c>
      <c r="T15" s="45">
        <f t="shared" si="2"/>
        <v>563.27779468799997</v>
      </c>
      <c r="U15" s="45">
        <f t="shared" si="2"/>
        <v>561.73878432000015</v>
      </c>
      <c r="V15" s="45">
        <f t="shared" si="2"/>
        <v>561.73878432000015</v>
      </c>
      <c r="W15" s="45">
        <f t="shared" si="2"/>
        <v>561.73878432000015</v>
      </c>
      <c r="X15" s="45">
        <f t="shared" si="2"/>
        <v>563.27779468799997</v>
      </c>
      <c r="Y15" s="45">
        <f t="shared" si="2"/>
        <v>560.19977395200021</v>
      </c>
    </row>
    <row r="16" spans="1:26" s="30" customFormat="1">
      <c r="A16" s="86"/>
      <c r="B16" s="43" t="s">
        <v>118</v>
      </c>
      <c r="C16" s="44"/>
      <c r="D16" s="44"/>
      <c r="E16" s="45"/>
      <c r="F16" s="45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147"/>
      <c r="T16" s="2"/>
      <c r="U16" s="2"/>
      <c r="V16" s="2"/>
      <c r="W16" s="2"/>
      <c r="X16" s="2"/>
      <c r="Y16" s="9"/>
    </row>
    <row r="17" spans="1:25" s="47" customFormat="1">
      <c r="A17" s="87"/>
      <c r="B17" s="46" t="s">
        <v>97</v>
      </c>
      <c r="C17" s="46"/>
      <c r="D17" s="46"/>
      <c r="E17" s="46">
        <v>0</v>
      </c>
      <c r="F17" s="46">
        <v>0</v>
      </c>
      <c r="G17" s="46">
        <f>Assumptions!$B$22*Operations!B4/365</f>
        <v>0.21994520547945207</v>
      </c>
      <c r="H17" s="144">
        <f>Assumptions!$B$22*Operations!C4/365</f>
        <v>80.28</v>
      </c>
      <c r="I17" s="46">
        <f>Assumptions!B22*(1+Assumptions!$B$23)</f>
        <v>84.294000000000011</v>
      </c>
      <c r="J17" s="46">
        <f>I17*(1+Assumptions!$B$23)</f>
        <v>88.508700000000019</v>
      </c>
      <c r="K17" s="46">
        <f>J17*(1+Assumptions!$B$23)</f>
        <v>92.934135000000026</v>
      </c>
      <c r="L17" s="46">
        <f>K17*(1+Assumptions!$B$24)</f>
        <v>92.934135000000026</v>
      </c>
      <c r="M17" s="46">
        <f>L17*(1+Assumptions!$B$24)</f>
        <v>92.934135000000026</v>
      </c>
      <c r="N17" s="46">
        <f>M17*(1+Assumptions!$B$24)</f>
        <v>92.934135000000026</v>
      </c>
      <c r="O17" s="46">
        <f>N17*(1+Assumptions!$B$24)</f>
        <v>92.934135000000026</v>
      </c>
      <c r="P17" s="46">
        <f>O17*(1+Assumptions!$B$24)</f>
        <v>92.934135000000026</v>
      </c>
      <c r="Q17" s="46">
        <f>P17*(1+Assumptions!$B$24)</f>
        <v>92.934135000000026</v>
      </c>
      <c r="R17" s="46">
        <f>Q17*(1+Assumptions!$B$24)</f>
        <v>92.934135000000026</v>
      </c>
      <c r="S17" s="149">
        <f>R17*(1+Assumptions!$B$24)</f>
        <v>92.934135000000026</v>
      </c>
      <c r="T17" s="46">
        <f>S17*(1+Assumptions!$B$24)</f>
        <v>92.934135000000026</v>
      </c>
      <c r="U17" s="46">
        <f>T17*(1+Assumptions!$B$24)</f>
        <v>92.934135000000026</v>
      </c>
      <c r="V17" s="46">
        <f>U17*(1+Assumptions!$B$24)</f>
        <v>92.934135000000026</v>
      </c>
      <c r="W17" s="46">
        <f>V17*(1+Assumptions!$B$24)</f>
        <v>92.934135000000026</v>
      </c>
      <c r="X17" s="46">
        <f>W17*(1+Assumptions!$B$24)</f>
        <v>92.934135000000026</v>
      </c>
      <c r="Y17" s="46">
        <f>X17*(1+Assumptions!$B$24)*Operations!V4/365</f>
        <v>92.679520931506886</v>
      </c>
    </row>
    <row r="18" spans="1:25" s="30" customFormat="1">
      <c r="A18" s="86"/>
      <c r="B18" s="48" t="s">
        <v>98</v>
      </c>
      <c r="C18" s="44"/>
      <c r="D18" s="44"/>
      <c r="E18" s="45">
        <f t="shared" ref="E18:Y18" si="3">SUM(E17:E17)</f>
        <v>0</v>
      </c>
      <c r="F18" s="45">
        <f t="shared" si="3"/>
        <v>0</v>
      </c>
      <c r="G18" s="45">
        <f t="shared" si="3"/>
        <v>0.21994520547945207</v>
      </c>
      <c r="H18" s="45">
        <f t="shared" si="3"/>
        <v>80.28</v>
      </c>
      <c r="I18" s="45">
        <f t="shared" si="3"/>
        <v>84.294000000000011</v>
      </c>
      <c r="J18" s="45">
        <f t="shared" si="3"/>
        <v>88.508700000000019</v>
      </c>
      <c r="K18" s="45">
        <f t="shared" si="3"/>
        <v>92.934135000000026</v>
      </c>
      <c r="L18" s="45">
        <f t="shared" si="3"/>
        <v>92.934135000000026</v>
      </c>
      <c r="M18" s="45">
        <f t="shared" si="3"/>
        <v>92.934135000000026</v>
      </c>
      <c r="N18" s="45">
        <f t="shared" si="3"/>
        <v>92.934135000000026</v>
      </c>
      <c r="O18" s="45">
        <f t="shared" si="3"/>
        <v>92.934135000000026</v>
      </c>
      <c r="P18" s="45">
        <f t="shared" si="3"/>
        <v>92.934135000000026</v>
      </c>
      <c r="Q18" s="45">
        <f t="shared" si="3"/>
        <v>92.934135000000026</v>
      </c>
      <c r="R18" s="45">
        <f t="shared" si="3"/>
        <v>92.934135000000026</v>
      </c>
      <c r="S18" s="148">
        <f t="shared" si="3"/>
        <v>92.934135000000026</v>
      </c>
      <c r="T18" s="45">
        <f t="shared" si="3"/>
        <v>92.934135000000026</v>
      </c>
      <c r="U18" s="45">
        <f t="shared" si="3"/>
        <v>92.934135000000026</v>
      </c>
      <c r="V18" s="45">
        <f t="shared" si="3"/>
        <v>92.934135000000026</v>
      </c>
      <c r="W18" s="45">
        <f t="shared" si="3"/>
        <v>92.934135000000026</v>
      </c>
      <c r="X18" s="45">
        <f t="shared" si="3"/>
        <v>92.934135000000026</v>
      </c>
      <c r="Y18" s="45">
        <f t="shared" si="3"/>
        <v>92.679520931506886</v>
      </c>
    </row>
    <row r="19" spans="1:25" s="47" customFormat="1">
      <c r="A19" s="87"/>
      <c r="B19" s="48" t="s">
        <v>99</v>
      </c>
      <c r="C19" s="48"/>
      <c r="D19" s="48"/>
      <c r="E19" s="46">
        <f>'Term Loan'!H20</f>
        <v>380.3988551615999</v>
      </c>
      <c r="F19" s="46">
        <f>'Term Loan'!H35</f>
        <v>348.80863881599987</v>
      </c>
      <c r="G19" s="46">
        <f>'Term Loan'!H50</f>
        <v>317.21842247039979</v>
      </c>
      <c r="H19" s="46">
        <f>'Term Loan'!H65</f>
        <v>285.62820612479959</v>
      </c>
      <c r="I19" s="46">
        <f>'Term Loan'!H80</f>
        <v>254.03798977919951</v>
      </c>
      <c r="J19" s="46">
        <f>'Term Loan'!H95</f>
        <v>222.44777343359942</v>
      </c>
      <c r="K19" s="46">
        <f>'Term Loan'!H110</f>
        <v>190.85755708799931</v>
      </c>
      <c r="L19" s="46">
        <f>'Term Loan'!H125</f>
        <v>159.26734074239923</v>
      </c>
      <c r="M19" s="46">
        <f>'Term Loan'!H140</f>
        <v>127.67712439679914</v>
      </c>
      <c r="N19" s="46">
        <f>'Term Loan'!H155</f>
        <v>96.086908051199202</v>
      </c>
      <c r="O19" s="46">
        <f>'Term Loan'!H170</f>
        <v>64.496691705599247</v>
      </c>
      <c r="P19" s="46">
        <f>'Term Loan'!H185</f>
        <v>32.906475359999234</v>
      </c>
      <c r="Q19" s="46">
        <f>'Term Loan'!H200</f>
        <v>4.6069065503992945</v>
      </c>
      <c r="R19" s="46">
        <v>0</v>
      </c>
      <c r="S19" s="149">
        <f t="shared" ref="S19:Y19" si="4">R19</f>
        <v>0</v>
      </c>
      <c r="T19" s="46">
        <f t="shared" si="4"/>
        <v>0</v>
      </c>
      <c r="U19" s="46">
        <f t="shared" si="4"/>
        <v>0</v>
      </c>
      <c r="V19" s="46">
        <f t="shared" si="4"/>
        <v>0</v>
      </c>
      <c r="W19" s="46">
        <f t="shared" si="4"/>
        <v>0</v>
      </c>
      <c r="X19" s="46">
        <f t="shared" si="4"/>
        <v>0</v>
      </c>
      <c r="Y19" s="46">
        <f t="shared" si="4"/>
        <v>0</v>
      </c>
    </row>
    <row r="20" spans="1:25" s="30" customFormat="1">
      <c r="A20" s="86"/>
      <c r="B20" s="48" t="s">
        <v>100</v>
      </c>
      <c r="C20" s="44"/>
      <c r="D20" s="44"/>
      <c r="E20" s="45">
        <f t="shared" ref="E20:Y20" si="5">+E15-E18-E19</f>
        <v>-378.67749759359992</v>
      </c>
      <c r="F20" s="45">
        <f t="shared" si="5"/>
        <v>361.30920190400025</v>
      </c>
      <c r="G20" s="45">
        <f t="shared" si="5"/>
        <v>392.67947304412087</v>
      </c>
      <c r="H20" s="45">
        <f t="shared" si="5"/>
        <v>346.15552176320045</v>
      </c>
      <c r="I20" s="45">
        <f t="shared" si="5"/>
        <v>371.78585094080063</v>
      </c>
      <c r="J20" s="45">
        <f t="shared" si="5"/>
        <v>399.16136728640072</v>
      </c>
      <c r="K20" s="45">
        <f t="shared" si="5"/>
        <v>426.3261486320007</v>
      </c>
      <c r="L20" s="45">
        <f t="shared" si="5"/>
        <v>459.86225214560068</v>
      </c>
      <c r="M20" s="45">
        <f t="shared" si="5"/>
        <v>425.22571572320089</v>
      </c>
      <c r="N20" s="45">
        <f t="shared" si="5"/>
        <v>454.54006966880081</v>
      </c>
      <c r="O20" s="45">
        <f t="shared" si="5"/>
        <v>486.13028601440078</v>
      </c>
      <c r="P20" s="45">
        <f t="shared" si="5"/>
        <v>437.43718432800074</v>
      </c>
      <c r="Q20" s="45">
        <f t="shared" si="5"/>
        <v>464.19774276960084</v>
      </c>
      <c r="R20" s="45">
        <f t="shared" si="5"/>
        <v>468.80464932000012</v>
      </c>
      <c r="S20" s="45">
        <f t="shared" si="5"/>
        <v>468.80464932000012</v>
      </c>
      <c r="T20" s="45">
        <f t="shared" si="5"/>
        <v>470.34365968799995</v>
      </c>
      <c r="U20" s="45">
        <f t="shared" si="5"/>
        <v>468.80464932000012</v>
      </c>
      <c r="V20" s="45">
        <f t="shared" si="5"/>
        <v>468.80464932000012</v>
      </c>
      <c r="W20" s="45">
        <f t="shared" si="5"/>
        <v>468.80464932000012</v>
      </c>
      <c r="X20" s="45">
        <f t="shared" si="5"/>
        <v>470.34365968799995</v>
      </c>
      <c r="Y20" s="45">
        <f t="shared" si="5"/>
        <v>467.52025302049333</v>
      </c>
    </row>
    <row r="21" spans="1:25" s="30" customFormat="1">
      <c r="A21" s="86"/>
      <c r="B21" s="48" t="s">
        <v>101</v>
      </c>
      <c r="C21" s="44"/>
      <c r="D21" s="44"/>
      <c r="E21" s="45">
        <f>Depreciation!B16</f>
        <v>0.6149218191780822</v>
      </c>
      <c r="F21" s="45">
        <f>Depreciation!C16</f>
        <v>224.44646399999999</v>
      </c>
      <c r="G21" s="45">
        <f>Depreciation!D16</f>
        <v>224.44646399999999</v>
      </c>
      <c r="H21" s="45">
        <f>Depreciation!E16</f>
        <v>224.44646399999999</v>
      </c>
      <c r="I21" s="45">
        <f>Depreciation!F16</f>
        <v>224.44646399999999</v>
      </c>
      <c r="J21" s="45">
        <f>Depreciation!G16</f>
        <v>224.44646399999999</v>
      </c>
      <c r="K21" s="45">
        <f>Depreciation!H16</f>
        <v>224.44646399999999</v>
      </c>
      <c r="L21" s="45">
        <f>Depreciation!I16</f>
        <v>224.44646399999999</v>
      </c>
      <c r="M21" s="45">
        <f>Depreciation!J16</f>
        <v>224.44646399999999</v>
      </c>
      <c r="N21" s="45">
        <f>Depreciation!K16</f>
        <v>224.44646399999999</v>
      </c>
      <c r="O21" s="45">
        <f>Depreciation!L16</f>
        <v>224.44646399999999</v>
      </c>
      <c r="P21" s="45">
        <f>Depreciation!M16</f>
        <v>224.44646399999999</v>
      </c>
      <c r="Q21" s="45">
        <f>Depreciation!N16</f>
        <v>224.44646399999999</v>
      </c>
      <c r="R21" s="45">
        <f>Depreciation!O16</f>
        <v>224.44646399999999</v>
      </c>
      <c r="S21" s="148">
        <f>Depreciation!P16</f>
        <v>224.44646399999999</v>
      </c>
      <c r="T21" s="45">
        <f>Depreciation!Q16</f>
        <v>224.44646399999999</v>
      </c>
      <c r="U21" s="45">
        <f>Depreciation!R16</f>
        <v>224.44646399999999</v>
      </c>
      <c r="V21" s="45">
        <f>Depreciation!S16</f>
        <v>224.44646399999999</v>
      </c>
      <c r="W21" s="45">
        <f>Depreciation!T16</f>
        <v>224.44646399999999</v>
      </c>
      <c r="X21" s="45">
        <f>Depreciation!U16</f>
        <v>210.22872618082101</v>
      </c>
      <c r="Y21" s="45">
        <f>Depreciation!V16</f>
        <v>0</v>
      </c>
    </row>
    <row r="22" spans="1:25" s="30" customFormat="1">
      <c r="A22" s="86"/>
      <c r="B22" s="48" t="s">
        <v>102</v>
      </c>
      <c r="C22" s="44"/>
      <c r="D22" s="44"/>
      <c r="E22" s="45">
        <f>+E20-E21</f>
        <v>-379.29241941277803</v>
      </c>
      <c r="F22" s="45">
        <f t="shared" ref="F22:Y22" si="6">+F20-F21</f>
        <v>136.86273790400026</v>
      </c>
      <c r="G22" s="45">
        <f t="shared" si="6"/>
        <v>168.23300904412088</v>
      </c>
      <c r="H22" s="45">
        <f t="shared" si="6"/>
        <v>121.70905776320046</v>
      </c>
      <c r="I22" s="45">
        <f t="shared" si="6"/>
        <v>147.33938694080064</v>
      </c>
      <c r="J22" s="45">
        <f t="shared" si="6"/>
        <v>174.71490328640073</v>
      </c>
      <c r="K22" s="45">
        <f t="shared" si="6"/>
        <v>201.8796846320007</v>
      </c>
      <c r="L22" s="45">
        <f t="shared" si="6"/>
        <v>235.41578814560069</v>
      </c>
      <c r="M22" s="45">
        <f t="shared" si="6"/>
        <v>200.7792517232009</v>
      </c>
      <c r="N22" s="45">
        <f t="shared" si="6"/>
        <v>230.09360566880082</v>
      </c>
      <c r="O22" s="45">
        <f t="shared" si="6"/>
        <v>261.68382201440079</v>
      </c>
      <c r="P22" s="45">
        <f t="shared" si="6"/>
        <v>212.99072032800075</v>
      </c>
      <c r="Q22" s="45">
        <f t="shared" si="6"/>
        <v>239.75127876960084</v>
      </c>
      <c r="R22" s="45">
        <f t="shared" si="6"/>
        <v>244.35818532000013</v>
      </c>
      <c r="S22" s="148">
        <f t="shared" si="6"/>
        <v>244.35818532000013</v>
      </c>
      <c r="T22" s="45">
        <f t="shared" si="6"/>
        <v>245.89719568799995</v>
      </c>
      <c r="U22" s="45">
        <f t="shared" si="6"/>
        <v>244.35818532000013</v>
      </c>
      <c r="V22" s="45">
        <f t="shared" si="6"/>
        <v>244.35818532000013</v>
      </c>
      <c r="W22" s="45">
        <f t="shared" si="6"/>
        <v>244.35818532000013</v>
      </c>
      <c r="X22" s="45">
        <f t="shared" si="6"/>
        <v>260.11493350717893</v>
      </c>
      <c r="Y22" s="45">
        <f t="shared" si="6"/>
        <v>467.52025302049333</v>
      </c>
    </row>
    <row r="23" spans="1:25" s="30" customFormat="1">
      <c r="A23" s="86"/>
      <c r="B23" s="64" t="s">
        <v>103</v>
      </c>
      <c r="C23" s="50"/>
      <c r="D23" s="50"/>
      <c r="E23" s="45">
        <f>'Tax calculations'!B17</f>
        <v>0</v>
      </c>
      <c r="F23" s="45">
        <f>'Tax calculations'!C17</f>
        <v>11.013585941750462</v>
      </c>
      <c r="G23" s="45">
        <f>'Tax calculations'!D17</f>
        <v>17.290777196888598</v>
      </c>
      <c r="H23" s="45">
        <f>'Tax calculations'!E17</f>
        <v>7.9364061726164037</v>
      </c>
      <c r="I23" s="45">
        <f>'Tax calculations'!F17</f>
        <v>13.109963414014219</v>
      </c>
      <c r="J23" s="45">
        <f>'Tax calculations'!G17</f>
        <v>18.587804234768797</v>
      </c>
      <c r="K23" s="45">
        <f>'Tax calculations'!H17</f>
        <v>24.023476982023375</v>
      </c>
      <c r="L23" s="45">
        <f>'Tax calculations'!I17</f>
        <v>30.689122922134711</v>
      </c>
      <c r="M23" s="45">
        <f>'Tax calculations'!J17</f>
        <v>23.803280356972532</v>
      </c>
      <c r="N23" s="45">
        <f>'Tax calculations'!K17</f>
        <v>29.669082581487064</v>
      </c>
      <c r="O23" s="45">
        <f>'Tax calculations'!L17</f>
        <v>35.990284872241617</v>
      </c>
      <c r="P23" s="45">
        <f>'Tax calculations'!M17</f>
        <v>42.619443137632949</v>
      </c>
      <c r="Q23" s="45">
        <f>'Tax calculations'!N17</f>
        <v>47.974230881797126</v>
      </c>
      <c r="R23" s="45">
        <f>'Tax calculations'!O17</f>
        <v>48.896072882532025</v>
      </c>
      <c r="S23" s="148">
        <f>'Tax calculations'!P17</f>
        <v>48.896072882532025</v>
      </c>
      <c r="T23" s="45">
        <f>'Tax calculations'!Q17</f>
        <v>49.204028857168794</v>
      </c>
      <c r="U23" s="45">
        <f>'Tax calculations'!R17</f>
        <v>48.896072882532025</v>
      </c>
      <c r="V23" s="45">
        <f>'Tax calculations'!S17</f>
        <v>48.896072882532025</v>
      </c>
      <c r="W23" s="45">
        <f>'Tax calculations'!T17</f>
        <v>48.896072882532025</v>
      </c>
      <c r="X23" s="45">
        <f>'Tax calculations'!U17</f>
        <v>142.35895871213378</v>
      </c>
      <c r="Y23" s="45">
        <f>'Tax calculations'!V17</f>
        <v>142.98289707702119</v>
      </c>
    </row>
    <row r="24" spans="1:25" s="30" customFormat="1">
      <c r="A24" s="86"/>
      <c r="B24" s="64" t="s">
        <v>104</v>
      </c>
      <c r="C24" s="49"/>
      <c r="D24" s="49"/>
      <c r="E24" s="45">
        <f>E22-E23</f>
        <v>-379.29241941277803</v>
      </c>
      <c r="F24" s="45">
        <f t="shared" ref="F24:W24" si="7">F22-F23</f>
        <v>125.84915196224979</v>
      </c>
      <c r="G24" s="45">
        <f t="shared" si="7"/>
        <v>150.94223184723228</v>
      </c>
      <c r="H24" s="45">
        <f t="shared" si="7"/>
        <v>113.77265159058406</v>
      </c>
      <c r="I24" s="45">
        <f t="shared" si="7"/>
        <v>134.22942352678641</v>
      </c>
      <c r="J24" s="45">
        <f t="shared" si="7"/>
        <v>156.12709905163194</v>
      </c>
      <c r="K24" s="45">
        <f t="shared" si="7"/>
        <v>177.85620764997734</v>
      </c>
      <c r="L24" s="45">
        <f t="shared" si="7"/>
        <v>204.72666522346597</v>
      </c>
      <c r="M24" s="45">
        <f t="shared" si="7"/>
        <v>176.97597136622838</v>
      </c>
      <c r="N24" s="45">
        <f t="shared" si="7"/>
        <v>200.42452308731376</v>
      </c>
      <c r="O24" s="45">
        <f t="shared" si="7"/>
        <v>225.69353714215919</v>
      </c>
      <c r="P24" s="45">
        <f t="shared" si="7"/>
        <v>170.37127719036781</v>
      </c>
      <c r="Q24" s="45">
        <f t="shared" si="7"/>
        <v>191.77704788780372</v>
      </c>
      <c r="R24" s="45">
        <f t="shared" si="7"/>
        <v>195.46211243746811</v>
      </c>
      <c r="S24" s="148">
        <f t="shared" si="7"/>
        <v>195.46211243746811</v>
      </c>
      <c r="T24" s="45">
        <f t="shared" si="7"/>
        <v>196.69316683083116</v>
      </c>
      <c r="U24" s="45">
        <f t="shared" si="7"/>
        <v>195.46211243746811</v>
      </c>
      <c r="V24" s="45">
        <f t="shared" si="7"/>
        <v>195.46211243746811</v>
      </c>
      <c r="W24" s="45">
        <f t="shared" si="7"/>
        <v>195.46211243746811</v>
      </c>
      <c r="X24" s="45">
        <f>X22-X23</f>
        <v>117.75597479504515</v>
      </c>
      <c r="Y24" s="45">
        <f>Y22-Y23</f>
        <v>324.53735594347211</v>
      </c>
    </row>
    <row r="25" spans="1:25" s="30" customFormat="1">
      <c r="A25" s="86"/>
      <c r="B25" s="64" t="s">
        <v>105</v>
      </c>
      <c r="C25" s="49"/>
      <c r="D25" s="49"/>
      <c r="E25" s="119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50"/>
      <c r="T25" s="120"/>
      <c r="U25" s="120"/>
      <c r="V25" s="120"/>
      <c r="W25" s="120"/>
      <c r="Y25" s="45">
        <f>Depreciation!B5+(Depreciation!B6*10%)</f>
        <v>897.40800000000002</v>
      </c>
    </row>
    <row r="26" spans="1:25" s="30" customFormat="1">
      <c r="A26" s="86"/>
      <c r="B26" s="64"/>
      <c r="C26" s="49"/>
      <c r="D26" s="49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148"/>
      <c r="T26" s="45"/>
      <c r="U26" s="45"/>
      <c r="V26" s="45"/>
      <c r="W26" s="45"/>
      <c r="X26" s="45"/>
      <c r="Y26" s="9"/>
    </row>
    <row r="27" spans="1:25" s="30" customFormat="1">
      <c r="A27" s="86"/>
      <c r="B27" s="9" t="s">
        <v>165</v>
      </c>
      <c r="C27" s="9"/>
      <c r="D27" s="9"/>
      <c r="E27" s="45">
        <f>E19</f>
        <v>380.3988551615999</v>
      </c>
      <c r="F27" s="45">
        <f t="shared" ref="F27:V27" si="8">F19</f>
        <v>348.80863881599987</v>
      </c>
      <c r="G27" s="45">
        <f t="shared" si="8"/>
        <v>317.21842247039979</v>
      </c>
      <c r="H27" s="45">
        <f t="shared" si="8"/>
        <v>285.62820612479959</v>
      </c>
      <c r="I27" s="45">
        <f t="shared" si="8"/>
        <v>254.03798977919951</v>
      </c>
      <c r="J27" s="45">
        <f t="shared" si="8"/>
        <v>222.44777343359942</v>
      </c>
      <c r="K27" s="45">
        <f t="shared" si="8"/>
        <v>190.85755708799931</v>
      </c>
      <c r="L27" s="45">
        <f t="shared" si="8"/>
        <v>159.26734074239923</v>
      </c>
      <c r="M27" s="45">
        <f t="shared" si="8"/>
        <v>127.67712439679914</v>
      </c>
      <c r="N27" s="45">
        <f t="shared" si="8"/>
        <v>96.086908051199202</v>
      </c>
      <c r="O27" s="45">
        <f t="shared" si="8"/>
        <v>64.496691705599247</v>
      </c>
      <c r="P27" s="45">
        <f t="shared" si="8"/>
        <v>32.906475359999234</v>
      </c>
      <c r="Q27" s="45">
        <f t="shared" si="8"/>
        <v>4.6069065503992945</v>
      </c>
      <c r="R27" s="45">
        <f t="shared" si="8"/>
        <v>0</v>
      </c>
      <c r="S27" s="45">
        <f t="shared" si="8"/>
        <v>0</v>
      </c>
      <c r="T27" s="45">
        <f t="shared" si="8"/>
        <v>0</v>
      </c>
      <c r="U27" s="45">
        <f t="shared" si="8"/>
        <v>0</v>
      </c>
      <c r="V27" s="45">
        <f t="shared" si="8"/>
        <v>0</v>
      </c>
      <c r="W27" s="45">
        <f>W19</f>
        <v>0</v>
      </c>
      <c r="X27" s="45">
        <f>X19</f>
        <v>0</v>
      </c>
      <c r="Y27" s="45">
        <f>Y19</f>
        <v>0</v>
      </c>
    </row>
    <row r="28" spans="1:25" s="30" customFormat="1">
      <c r="A28" s="86"/>
      <c r="B28" s="9" t="s">
        <v>167</v>
      </c>
      <c r="C28" s="9"/>
      <c r="D28" s="9"/>
      <c r="E28" s="154">
        <f>'Term Loan'!E20</f>
        <v>249.72503040000007</v>
      </c>
      <c r="F28" s="27">
        <f>'Term Loan'!E35</f>
        <v>249.72503040000007</v>
      </c>
      <c r="G28" s="16">
        <f>'Term Loan'!E50</f>
        <v>249.72503040000007</v>
      </c>
      <c r="H28" s="16">
        <f>'Term Loan'!E65</f>
        <v>249.72503040000007</v>
      </c>
      <c r="I28" s="16">
        <f>'Term Loan'!E80</f>
        <v>249.72503040000007</v>
      </c>
      <c r="J28" s="16">
        <f>'Term Loan'!E95</f>
        <v>249.72503040000007</v>
      </c>
      <c r="K28" s="16">
        <f>'Term Loan'!E110</f>
        <v>249.72503040000007</v>
      </c>
      <c r="L28" s="16">
        <f>'Term Loan'!E125</f>
        <v>249.72503040000007</v>
      </c>
      <c r="M28" s="16">
        <f>'Term Loan'!E140</f>
        <v>249.72503040000007</v>
      </c>
      <c r="N28" s="16">
        <f>'Term Loan'!E155</f>
        <v>249.72503040000007</v>
      </c>
      <c r="O28" s="16">
        <f>'Term Loan'!E170</f>
        <v>249.72503040000007</v>
      </c>
      <c r="P28" s="27">
        <f>'Term Loan'!E185</f>
        <v>249.72503040000007</v>
      </c>
      <c r="Q28" s="27">
        <f>'Term Loan'!E200</f>
        <v>145.6729344</v>
      </c>
      <c r="R28" s="2">
        <v>0</v>
      </c>
      <c r="S28" s="147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s="30" customFormat="1">
      <c r="A29" s="86"/>
      <c r="B29" s="9" t="s">
        <v>168</v>
      </c>
      <c r="C29" s="9"/>
      <c r="D29" s="9">
        <f>-Assumptions!B12</f>
        <v>-1601.6371199999999</v>
      </c>
      <c r="E29" s="116">
        <f>E21+E24+E25+E28+D29</f>
        <v>-1730.5895871935998</v>
      </c>
      <c r="F29" s="116">
        <f t="shared" ref="F29:Y29" si="9">F21+F24+F25-F28</f>
        <v>100.5705855622497</v>
      </c>
      <c r="G29" s="116">
        <f t="shared" si="9"/>
        <v>125.6636654472322</v>
      </c>
      <c r="H29" s="116">
        <f t="shared" si="9"/>
        <v>88.494085190584002</v>
      </c>
      <c r="I29" s="116">
        <f t="shared" si="9"/>
        <v>108.9508571267863</v>
      </c>
      <c r="J29" s="116">
        <f t="shared" si="9"/>
        <v>130.84853265163187</v>
      </c>
      <c r="K29" s="116">
        <f t="shared" si="9"/>
        <v>152.57764124997729</v>
      </c>
      <c r="L29" s="116">
        <f t="shared" si="9"/>
        <v>179.44809882346587</v>
      </c>
      <c r="M29" s="116">
        <f t="shared" si="9"/>
        <v>151.69740496622828</v>
      </c>
      <c r="N29" s="116">
        <f t="shared" si="9"/>
        <v>175.14595668731371</v>
      </c>
      <c r="O29" s="116">
        <f t="shared" si="9"/>
        <v>200.41497074215911</v>
      </c>
      <c r="P29" s="116">
        <f t="shared" si="9"/>
        <v>145.0927107903677</v>
      </c>
      <c r="Q29" s="116">
        <f t="shared" si="9"/>
        <v>270.55057748780371</v>
      </c>
      <c r="R29" s="116">
        <f t="shared" si="9"/>
        <v>419.90857643746813</v>
      </c>
      <c r="S29" s="151">
        <f t="shared" si="9"/>
        <v>419.90857643746813</v>
      </c>
      <c r="T29" s="116">
        <f t="shared" si="9"/>
        <v>421.13963083083115</v>
      </c>
      <c r="U29" s="116">
        <f t="shared" si="9"/>
        <v>419.90857643746813</v>
      </c>
      <c r="V29" s="116">
        <f t="shared" si="9"/>
        <v>419.90857643746813</v>
      </c>
      <c r="W29" s="116">
        <f t="shared" si="9"/>
        <v>419.90857643746813</v>
      </c>
      <c r="X29" s="116">
        <f t="shared" si="9"/>
        <v>327.98470097586619</v>
      </c>
      <c r="Y29" s="116">
        <f t="shared" si="9"/>
        <v>1221.9453559434721</v>
      </c>
    </row>
    <row r="30" spans="1:25" s="30" customFormat="1">
      <c r="A30" s="86"/>
      <c r="B30" s="26" t="s">
        <v>166</v>
      </c>
      <c r="C30" s="188">
        <f>IRR(E29:Y29)</f>
        <v>0.10245079551639245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52"/>
      <c r="T30" s="9"/>
      <c r="U30" s="9"/>
      <c r="V30" s="9"/>
      <c r="W30" s="9"/>
      <c r="X30" s="9"/>
      <c r="Y30" s="9"/>
    </row>
    <row r="31" spans="1:25" s="30" customFormat="1">
      <c r="A31" s="86"/>
      <c r="B31" s="115"/>
      <c r="C31" s="115"/>
      <c r="D31" s="115"/>
      <c r="E31" s="115"/>
      <c r="F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</row>
    <row r="32" spans="1:25" s="30" customFormat="1">
      <c r="A32" s="86"/>
      <c r="B32" s="115"/>
      <c r="C32" s="115"/>
      <c r="D32" s="115"/>
      <c r="E32" s="115"/>
      <c r="F32" s="115"/>
      <c r="I32" s="115"/>
      <c r="J32" s="115"/>
      <c r="K32" s="115"/>
      <c r="L32" s="115"/>
      <c r="M32" s="115"/>
      <c r="N32" s="115"/>
      <c r="O32" s="115"/>
      <c r="P32" s="115"/>
      <c r="R32" s="115"/>
      <c r="S32" s="115"/>
      <c r="T32" s="115"/>
      <c r="U32" s="115"/>
      <c r="V32" s="115"/>
      <c r="W32" s="115"/>
      <c r="X32" s="115"/>
    </row>
    <row r="33" spans="1:18" s="30" customFormat="1">
      <c r="A33" s="86"/>
      <c r="R33" s="115"/>
    </row>
  </sheetData>
  <mergeCells count="1">
    <mergeCell ref="B7:B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U22"/>
  <sheetViews>
    <sheetView workbookViewId="0">
      <selection activeCell="A10" sqref="A10"/>
    </sheetView>
  </sheetViews>
  <sheetFormatPr defaultRowHeight="12.75"/>
  <cols>
    <col min="2" max="2" width="18.42578125" bestFit="1" customWidth="1"/>
    <col min="3" max="3" width="11.85546875" bestFit="1" customWidth="1"/>
    <col min="4" max="4" width="9.7109375" bestFit="1" customWidth="1"/>
    <col min="5" max="5" width="22.7109375" bestFit="1" customWidth="1"/>
    <col min="6" max="6" width="19.7109375" bestFit="1" customWidth="1"/>
  </cols>
  <sheetData>
    <row r="2" spans="2:9">
      <c r="B2" s="30" t="s">
        <v>120</v>
      </c>
    </row>
    <row r="5" spans="2:9">
      <c r="E5" s="61" t="s">
        <v>194</v>
      </c>
      <c r="F5" s="61" t="s">
        <v>195</v>
      </c>
    </row>
    <row r="6" spans="2:9">
      <c r="B6" s="58" t="s">
        <v>110</v>
      </c>
      <c r="C6" s="33">
        <v>0</v>
      </c>
      <c r="E6" s="57"/>
      <c r="F6" s="57"/>
    </row>
    <row r="7" spans="2:9">
      <c r="B7" s="59"/>
      <c r="C7" s="33"/>
      <c r="E7" s="60">
        <f>'P&amp;L'!C27</f>
        <v>7.5533341401143234E-2</v>
      </c>
      <c r="F7" s="60">
        <f>'P&amp;L with CDM revenue'!C30</f>
        <v>0.10245079551639245</v>
      </c>
      <c r="G7" s="20"/>
      <c r="H7" s="20"/>
      <c r="I7" s="20"/>
    </row>
    <row r="8" spans="2:9">
      <c r="B8" s="58" t="s">
        <v>111</v>
      </c>
      <c r="C8" s="33">
        <v>0</v>
      </c>
    </row>
    <row r="9" spans="2:9">
      <c r="B9" s="59"/>
      <c r="C9" s="33"/>
    </row>
    <row r="10" spans="2:9">
      <c r="B10" s="58" t="s">
        <v>122</v>
      </c>
      <c r="C10" s="33">
        <v>0</v>
      </c>
    </row>
    <row r="11" spans="2:9">
      <c r="B11" s="58"/>
      <c r="C11" s="33"/>
    </row>
    <row r="12" spans="2:9">
      <c r="B12" s="58" t="s">
        <v>169</v>
      </c>
      <c r="C12" s="33">
        <v>0</v>
      </c>
    </row>
    <row r="15" spans="2:9">
      <c r="B15" t="s">
        <v>121</v>
      </c>
    </row>
    <row r="18" spans="2:21" ht="15">
      <c r="B18" s="129" t="s">
        <v>199</v>
      </c>
      <c r="C18" s="130">
        <v>-0.1</v>
      </c>
      <c r="D18" s="130">
        <v>0</v>
      </c>
      <c r="E18" s="130">
        <v>0.1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2:21" ht="14.25">
      <c r="B19" s="131" t="s">
        <v>110</v>
      </c>
      <c r="C19" s="132">
        <v>5.3999999999999999E-2</v>
      </c>
      <c r="D19" s="132">
        <f>E7</f>
        <v>7.5533341401143234E-2</v>
      </c>
      <c r="E19" s="132">
        <v>9.6100000000000005E-2</v>
      </c>
    </row>
    <row r="20" spans="2:21" ht="14.25">
      <c r="B20" s="131" t="s">
        <v>122</v>
      </c>
      <c r="C20" s="132">
        <v>6.7799999999999999E-2</v>
      </c>
      <c r="D20" s="132">
        <f>E7</f>
        <v>7.5533341401143234E-2</v>
      </c>
      <c r="E20" s="132">
        <v>8.2699999999999996E-2</v>
      </c>
    </row>
    <row r="21" spans="2:21" ht="14.25">
      <c r="B21" s="131" t="s">
        <v>67</v>
      </c>
      <c r="C21" s="132">
        <v>9.9699999999999997E-2</v>
      </c>
      <c r="D21" s="132">
        <f>E7</f>
        <v>7.5533341401143234E-2</v>
      </c>
      <c r="E21" s="132">
        <v>5.6000000000000001E-2</v>
      </c>
    </row>
    <row r="22" spans="2:21" ht="14.25">
      <c r="B22" s="131" t="s">
        <v>191</v>
      </c>
      <c r="C22" s="132">
        <v>7.8200000000000006E-2</v>
      </c>
      <c r="D22" s="132">
        <f>E7</f>
        <v>7.5533341401143234E-2</v>
      </c>
      <c r="E22" s="132">
        <v>7.2900000000000006E-2</v>
      </c>
    </row>
  </sheetData>
  <phoneticPr fontId="4" type="noConversion"/>
  <pageMargins left="0.7" right="0.7" top="0.75" bottom="0.75" header="0.3" footer="0.3"/>
  <pageSetup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Assumptions</vt:lpstr>
      <vt:lpstr>Project Cost</vt:lpstr>
      <vt:lpstr>Operations</vt:lpstr>
      <vt:lpstr>Term Loan</vt:lpstr>
      <vt:lpstr>Depreciation</vt:lpstr>
      <vt:lpstr>Tax calculations</vt:lpstr>
      <vt:lpstr>P&amp;L</vt:lpstr>
      <vt:lpstr>P&amp;L with CDM revenue</vt:lpstr>
      <vt:lpstr>Sensitivity Analysis</vt:lpstr>
      <vt:lpstr>Assumptions!Print_Area</vt:lpstr>
      <vt:lpstr>Depreciation!Print_Area</vt:lpstr>
      <vt:lpstr>Operations!Print_Area</vt:lpstr>
      <vt:lpstr>'P&amp;L'!Print_Area</vt:lpstr>
      <vt:lpstr>'Tax calculations'!Print_Area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Ernst &amp; Young</cp:lastModifiedBy>
  <dcterms:created xsi:type="dcterms:W3CDTF">1996-10-14T23:33:28Z</dcterms:created>
  <dcterms:modified xsi:type="dcterms:W3CDTF">2012-12-21T10:08:52Z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_NewReviewCycle">
    <vt:lpwstr/>
  </property>
</Properties>
</file>