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customXml/itemProps4.xml" ContentType="application/vnd.openxmlformats-officedocument.customXm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EstaPasta_de_trabalho"/>
  <bookViews>
    <workbookView xWindow="120" yWindow="5445" windowWidth="18825" windowHeight="8925" tabRatio="836"/>
  </bookViews>
  <sheets>
    <sheet name="FCF" sheetId="4" r:id="rId1"/>
    <sheet name="Inv" sheetId="6" r:id="rId2"/>
    <sheet name="Payment Schedule" sheetId="9" r:id="rId3"/>
    <sheet name="ONS" sheetId="7" r:id="rId4"/>
    <sheet name="CCEE" sheetId="8" r:id="rId5"/>
    <sheet name="Financing" sheetId="10" r:id="rId6"/>
  </sheets>
  <externalReferences>
    <externalReference r:id="rId7"/>
    <externalReference r:id="rId8"/>
  </externalReferences>
  <definedNames>
    <definedName name="_3RDINCOME">#REF!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FALSE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Key1" hidden="1">#REF!</definedName>
    <definedName name="_Key2" hidden="1">#REF!</definedName>
    <definedName name="_Order1" hidden="1">255</definedName>
    <definedName name="_Order2" hidden="1">255</definedName>
    <definedName name="_Sort" localSheetId="4" hidden="1">#REF!</definedName>
    <definedName name="_Sort" localSheetId="3" hidden="1">#REF!</definedName>
    <definedName name="_Sort" hidden="1">#REF!</definedName>
    <definedName name="_Table1_Out" localSheetId="4" hidden="1">#REF!</definedName>
    <definedName name="_Table1_Out" localSheetId="3" hidden="1">#REF!</definedName>
    <definedName name="_Table1_Out" hidden="1">#REF!</definedName>
    <definedName name="_Table2_Out" localSheetId="4" hidden="1">#REF!</definedName>
    <definedName name="_Table2_Out" localSheetId="3" hidden="1">#REF!</definedName>
    <definedName name="_Table2_Out" hidden="1">#REF!</definedName>
    <definedName name="anscount" hidden="1">1</definedName>
    <definedName name="BankAvail" localSheetId="4">[1]Assump!$E$305</definedName>
    <definedName name="BankAvail" localSheetId="3">[1]Assump!$E$305</definedName>
    <definedName name="BankAvail">[1]Assump!$E$305</definedName>
    <definedName name="BankAvailUSD" localSheetId="4">[1]Assump!$E$306</definedName>
    <definedName name="BankAvailUSD" localSheetId="3">[1]Assump!$E$306</definedName>
    <definedName name="BankAvailUSD">[1]Assump!$E$306</definedName>
    <definedName name="Capex_sdni" localSheetId="4">[1]Capex!$N$55</definedName>
    <definedName name="Capex_sdni" localSheetId="3">[1]Capex!$N$55</definedName>
    <definedName name="Capex_sdni">[1]Capex!$N$55</definedName>
    <definedName name="Capitalcalc" localSheetId="4">[1]BS!$D$34:$AC$34</definedName>
    <definedName name="Capitalcalc" localSheetId="3">[1]BS!$D$34:$AC$34</definedName>
    <definedName name="Capitalcalc">[1]BS!$D$34:$AC$34</definedName>
    <definedName name="CDI" localSheetId="4">[1]Macroeco!$C$20:$AD$20</definedName>
    <definedName name="CDI" localSheetId="3">[1]Macroeco!$C$20:$AD$20</definedName>
    <definedName name="CDI">[1]Macroeco!$C$20:$AD$20</definedName>
    <definedName name="CDImonthly" localSheetId="4">[1]Macroeco!$C$99:$AY$99</definedName>
    <definedName name="CDImonthly" localSheetId="3">[1]Macroeco!$C$99:$AY$99</definedName>
    <definedName name="CDImonthly">[1]Macroeco!$C$99:$AY$99</definedName>
    <definedName name="cenario_macroeco" localSheetId="4">[1]Summary!$I$2</definedName>
    <definedName name="cenario_macroeco" localSheetId="3">[1]Summary!$I$2</definedName>
    <definedName name="cenario_macroeco">[1]Summary!$I$2</definedName>
    <definedName name="CheckLimitDE" localSheetId="4">'[1]U&amp;S'!$D$33</definedName>
    <definedName name="CheckLimitDE" localSheetId="3">'[1]U&amp;S'!$D$33</definedName>
    <definedName name="CheckLimitDE">'[1]U&amp;S'!$D$33</definedName>
    <definedName name="checktax" localSheetId="4">[1]CF!$D$20</definedName>
    <definedName name="checktax" localSheetId="3">[1]CF!$D$20</definedName>
    <definedName name="checktax">[1]CF!$D$20</definedName>
    <definedName name="CountryRisk" localSheetId="4">[1]Macroeco!$C$22:$AD$22</definedName>
    <definedName name="CountryRisk" localSheetId="3">[1]Macroeco!$C$22:$AD$22</definedName>
    <definedName name="CountryRisk">[1]Macroeco!$C$22:$AD$22</definedName>
    <definedName name="Coverageheadline" localSheetId="4">[1]Summary!$G$9:$I$9</definedName>
    <definedName name="Coverageheadline" localSheetId="3">[1]Summary!$G$9:$I$9</definedName>
    <definedName name="Coverageheadline">[1]Summary!$G$9:$I$9</definedName>
    <definedName name="CoverageUS" localSheetId="4">[1]Summary!$G$11:$I$11</definedName>
    <definedName name="CoverageUS" localSheetId="3">[1]Summary!$G$11:$I$11</definedName>
    <definedName name="CoverageUS">[1]Summary!$G$11:$I$11</definedName>
    <definedName name="CPIIndex_monthly" localSheetId="4">[1]Macroeco!$C$96:$BE$96</definedName>
    <definedName name="CPIIndex_monthly" localSheetId="3">[1]Macroeco!$C$96:$BE$96</definedName>
    <definedName name="CPIIndex_monthly">[1]Macroeco!$C$96:$BE$96</definedName>
    <definedName name="_xlnm.Criteria" localSheetId="4">[1]Assump!$D$28:$D$28</definedName>
    <definedName name="_xlnm.Criteria" localSheetId="3">[1]Assump!$D$28:$D$28</definedName>
    <definedName name="_xlnm.Criteria">[1]Assump!$D$28:$D$28</definedName>
    <definedName name="CVCINCOME" localSheetId="4">#REF!</definedName>
    <definedName name="CVCINCOME" localSheetId="3">#REF!</definedName>
    <definedName name="CVCINCOME">#REF!</definedName>
    <definedName name="DEPRECIATION" localSheetId="4">#REF!</definedName>
    <definedName name="DEPRECIATION" localSheetId="3">#REF!</definedName>
    <definedName name="DEPRECIATION">#REF!</definedName>
    <definedName name="DEPRECIATION2" localSheetId="4">#REF!</definedName>
    <definedName name="DEPRECIATION2" localSheetId="3">#REF!</definedName>
    <definedName name="DEPRECIATION2">#REF!</definedName>
    <definedName name="DEPRECIATION3">#REF!</definedName>
    <definedName name="dispatch_factor" localSheetId="4">[1]Assump!$D$13</definedName>
    <definedName name="dispatch_factor" localSheetId="3">[1]Assump!$D$13</definedName>
    <definedName name="dispatch_factor">[1]Assump!$D$13</definedName>
    <definedName name="DRAW1" localSheetId="4">#REF!</definedName>
    <definedName name="DRAW1" localSheetId="3">#REF!</definedName>
    <definedName name="DRAW1">#REF!</definedName>
    <definedName name="DRAW2" localSheetId="4">#REF!</definedName>
    <definedName name="DRAW2" localSheetId="3">#REF!</definedName>
    <definedName name="DRAW2">#REF!</definedName>
    <definedName name="DRAW3" localSheetId="4">#REF!</definedName>
    <definedName name="DRAW3" localSheetId="3">#REF!</definedName>
    <definedName name="DRAW3">#REF!</definedName>
    <definedName name="DRAW4">#REF!</definedName>
    <definedName name="DRAW5">#REF!</definedName>
    <definedName name="DRAW6">#REF!</definedName>
    <definedName name="DSCRavg" localSheetId="4">[1]Summary!$I$11</definedName>
    <definedName name="DSCRavg" localSheetId="3">[1]Summary!$I$11</definedName>
    <definedName name="DSCRavg">[1]Summary!$I$11</definedName>
    <definedName name="DSCRmin" localSheetId="4">[1]Summary!$I$10</definedName>
    <definedName name="DSCRmin" localSheetId="3">[1]Summary!$I$10</definedName>
    <definedName name="DSCRmin">[1]Summary!$I$10</definedName>
    <definedName name="ECCDate" localSheetId="4">[1]Assump!$D$2</definedName>
    <definedName name="ECCDate" localSheetId="3">[1]Assump!$D$2</definedName>
    <definedName name="ECCDate">[1]Assump!$D$2</definedName>
    <definedName name="Ecomonths" localSheetId="4">[1]Macroeco!$C$90:$BE$90</definedName>
    <definedName name="Ecomonths" localSheetId="3">[1]Macroeco!$C$90:$BE$90</definedName>
    <definedName name="Ecomonths">[1]Macroeco!$C$90:$BE$90</definedName>
    <definedName name="EOCMonth" localSheetId="4">[1]Assump!$D$3</definedName>
    <definedName name="EOCMonth" localSheetId="3">[1]Assump!$D$3</definedName>
    <definedName name="EOCMonth">[1]Assump!$D$3</definedName>
    <definedName name="Eq_base" localSheetId="4">[1]Summary!$D$14</definedName>
    <definedName name="Eq_base" localSheetId="3">[1]Summary!$D$14</definedName>
    <definedName name="Eq_base">[1]Summary!$D$14</definedName>
    <definedName name="EUR" localSheetId="4">[1]Macroeco!$C$17:$AD$17</definedName>
    <definedName name="EUR" localSheetId="3">[1]Macroeco!$C$17:$AD$17</definedName>
    <definedName name="EUR">[1]Macroeco!$C$17:$AD$17</definedName>
    <definedName name="EURCPI" localSheetId="4">[1]Macroeco!$C$12:$AD$12</definedName>
    <definedName name="EURCPI" localSheetId="3">[1]Macroeco!$C$12:$AD$12</definedName>
    <definedName name="EURCPI">[1]Macroeco!$C$12:$AD$12</definedName>
    <definedName name="EURCPIIndex" localSheetId="4">[1]Macroeco!$C$13:$AD$13</definedName>
    <definedName name="EURCPIIndex" localSheetId="3">[1]Macroeco!$C$13:$AD$13</definedName>
    <definedName name="EURCPIIndex">[1]Macroeco!$C$13:$AD$13</definedName>
    <definedName name="EURDevaluation" localSheetId="4">[1]Macroeco!$C$19:$AD$19</definedName>
    <definedName name="EURDevaluation" localSheetId="3">[1]Macroeco!$C$19:$AD$19</definedName>
    <definedName name="EURDevaluation">[1]Macroeco!$C$19:$AD$19</definedName>
    <definedName name="EURmonthly" localSheetId="4">[1]Macroeco!$C$98:$BE$98</definedName>
    <definedName name="EURmonthly" localSheetId="3">[1]Macroeco!$C$98:$BE$98</definedName>
    <definedName name="EURmonthly">[1]Macroeco!$C$98:$BE$98</definedName>
    <definedName name="FCD" localSheetId="4">[1]Assump!$B$293</definedName>
    <definedName name="FCD" localSheetId="3">[1]Assump!$B$293</definedName>
    <definedName name="FCD">[1]Assump!$B$293</definedName>
    <definedName name="FinCloseM" localSheetId="4">[1]Assump!$B$294</definedName>
    <definedName name="FinCloseM" localSheetId="3">[1]Assump!$B$294</definedName>
    <definedName name="FinCloseM">[1]Assump!$B$294</definedName>
    <definedName name="FUEL2" localSheetId="4">#REF!</definedName>
    <definedName name="FUEL2" localSheetId="3">#REF!</definedName>
    <definedName name="FUEL2">#REF!</definedName>
    <definedName name="IDC_1" localSheetId="4">#REF!</definedName>
    <definedName name="IDC_1" localSheetId="3">#REF!</definedName>
    <definedName name="IDC_1">#REF!</definedName>
    <definedName name="IGPM" localSheetId="4">[1]Macroeco!$C$6:$AD$6</definedName>
    <definedName name="IGPM" localSheetId="3">[1]Macroeco!$C$6:$AD$6</definedName>
    <definedName name="IGPM">[1]Macroeco!$C$6:$AD$6</definedName>
    <definedName name="IGPMIndex" localSheetId="4">[1]Macroeco!$C$7:$AD$7</definedName>
    <definedName name="IGPMIndex" localSheetId="3">[1]Macroeco!$C$7:$AD$7</definedName>
    <definedName name="IGPMIndex">[1]Macroeco!$C$7:$AD$7</definedName>
    <definedName name="IGPMIndex_monthly" localSheetId="4">[1]Macroeco!$C$92:$BE$92</definedName>
    <definedName name="IGPMIndex_monthly" localSheetId="3">[1]Macroeco!$C$92:$BE$92</definedName>
    <definedName name="IGPMIndex_monthly">[1]Macroeco!$C$92:$BE$92</definedName>
    <definedName name="INCOME_STMT" localSheetId="4">#REF!</definedName>
    <definedName name="INCOME_STMT" localSheetId="3">#REF!</definedName>
    <definedName name="INCOME_STMT">#REF!</definedName>
    <definedName name="Initial_DSRA" localSheetId="4">[1]Assump!$D$323:$F$323</definedName>
    <definedName name="Initial_DSRA" localSheetId="3">[1]Assump!$D$323:$F$323</definedName>
    <definedName name="Initial_DSRA">[1]Assump!$D$323:$F$323</definedName>
    <definedName name="Initial_DSRA_Calc" localSheetId="4">[1]Assump!$D$322:$F$322</definedName>
    <definedName name="Initial_DSRA_Calc" localSheetId="3">[1]Assump!$D$322:$F$322</definedName>
    <definedName name="Initial_DSRA_Calc">[1]Assump!$D$322:$F$322</definedName>
    <definedName name="InitialCapitalcalc" localSheetId="4">[1]BS!$D$34</definedName>
    <definedName name="InitialCapitalcalc" localSheetId="3">[1]BS!$D$34</definedName>
    <definedName name="InitialCapitalcalc">[1]BS!$D$34</definedName>
    <definedName name="INSBUDGET" localSheetId="4">#REF!</definedName>
    <definedName name="INSBUDGET" localSheetId="3">#REF!</definedName>
    <definedName name="INSBUDGET">#REF!</definedName>
    <definedName name="IPCA" localSheetId="4">[1]Macroeco!$C$8:$AD$8</definedName>
    <definedName name="IPCA" localSheetId="3">[1]Macroeco!$C$8:$AD$8</definedName>
    <definedName name="IPCA">[1]Macroeco!$C$8:$AD$8</definedName>
    <definedName name="IPCAIndex" localSheetId="4">[1]Macroeco!$C$9:$AD$9</definedName>
    <definedName name="IPCAIndex" localSheetId="3">[1]Macroeco!$C$9:$AD$9</definedName>
    <definedName name="IPCAIndex">[1]Macroeco!$C$9:$AD$9</definedName>
    <definedName name="IPCAIndex_monthly" localSheetId="4">[1]Macroeco!$C$94:$BE$94</definedName>
    <definedName name="IPCAIndex_monthly" localSheetId="3">[1]Macroeco!$C$94:$BE$94</definedName>
    <definedName name="IPCAIndex_monthly">[1]Macroeco!$C$94:$BE$94</definedName>
    <definedName name="IRcalc" localSheetId="4">[1]CF!$E$20:$AC$20</definedName>
    <definedName name="IRcalc" localSheetId="3">[1]CF!$E$20:$AC$20</definedName>
    <definedName name="IRcalc">[1]CF!$E$20:$AC$20</definedName>
    <definedName name="IRRBRL" localSheetId="4">[1]Summary!#REF!</definedName>
    <definedName name="IRRBRL" localSheetId="3">[1]Summary!#REF!</definedName>
    <definedName name="IRRBRL">[1]Summary!#REF!</definedName>
    <definedName name="IRRheadline" localSheetId="4">[1]Summary!#REF!</definedName>
    <definedName name="IRRheadline" localSheetId="3">[1]Summary!#REF!</definedName>
    <definedName name="IRRheadline">[1]Summary!#REF!</definedName>
    <definedName name="IRRUS" localSheetId="4">[1]Summary!#REF!</definedName>
    <definedName name="IRRUS" localSheetId="3">[1]Summary!#REF!</definedName>
    <definedName name="IRRUS">[1]Summary!#REF!</definedName>
    <definedName name="IRRUSD" localSheetId="4">[1]Summary!#REF!</definedName>
    <definedName name="IRRUSD" localSheetId="3">[1]Summary!#REF!</definedName>
    <definedName name="IRRUSD">[1]Summary!#REF!</definedName>
    <definedName name="Land" localSheetId="4">'[2]Project Summary'!#REF!</definedName>
    <definedName name="Land" localSheetId="3">'[2]Project Summary'!#REF!</definedName>
    <definedName name="Land">'[2]Project Summary'!#REF!</definedName>
    <definedName name="limcount" hidden="1">1</definedName>
    <definedName name="LINCOLN1" localSheetId="4">#REF!</definedName>
    <definedName name="LINCOLN1" localSheetId="3">#REF!</definedName>
    <definedName name="LINCOLN1">#REF!</definedName>
    <definedName name="Macro" localSheetId="4">[1]Macroeco!$B$3</definedName>
    <definedName name="Macro" localSheetId="3">[1]Macroeco!$B$3</definedName>
    <definedName name="Macro">[1]Macroeco!$B$3</definedName>
    <definedName name="macro_reserve_account" localSheetId="4">[1]Summary!#REF!</definedName>
    <definedName name="macro_reserve_account" localSheetId="3">[1]Summary!#REF!</definedName>
    <definedName name="macro_reserve_account">[1]Summary!#REF!</definedName>
    <definedName name="Max1Bank" localSheetId="4">[1]Assump!$I$303</definedName>
    <definedName name="Max1Bank" localSheetId="3">[1]Assump!$I$303</definedName>
    <definedName name="Max1Bank">[1]Assump!$I$303</definedName>
    <definedName name="Max2Bank" localSheetId="4">[1]Assump!$I$305</definedName>
    <definedName name="Max2Bank" localSheetId="3">[1]Assump!$I$305</definedName>
    <definedName name="Max2Bank">[1]Assump!$I$305</definedName>
    <definedName name="maxD" localSheetId="4">[1]Assump!$D$284</definedName>
    <definedName name="maxD" localSheetId="3">[1]Assump!$D$284</definedName>
    <definedName name="maxD">[1]Assump!$D$284</definedName>
    <definedName name="MinE" localSheetId="4">[1]Summary!$I$6</definedName>
    <definedName name="MinE" localSheetId="3">[1]Summary!$I$6</definedName>
    <definedName name="MinE">[1]Summary!$I$6</definedName>
    <definedName name="O_M" localSheetId="4">#REF!</definedName>
    <definedName name="O_M" localSheetId="3">#REF!</definedName>
    <definedName name="O_M">#REF!</definedName>
    <definedName name="OSD" localSheetId="4">[1]Assump!$D$4</definedName>
    <definedName name="OSD" localSheetId="3">[1]Assump!$D$4</definedName>
    <definedName name="OSD">[1]Assump!$D$4</definedName>
    <definedName name="Paybackheadline" localSheetId="4">[1]Summary!$G$13:$I$13</definedName>
    <definedName name="Paybackheadline" localSheetId="3">[1]Summary!$G$13:$I$13</definedName>
    <definedName name="Paybackheadline">[1]Summary!$G$13:$I$13</definedName>
    <definedName name="PaybackUS" localSheetId="4">[1]Summary!$G$16:$I$16</definedName>
    <definedName name="PaybackUS" localSheetId="3">[1]Summary!$G$16:$I$16</definedName>
    <definedName name="PaybackUS">[1]Summary!$G$16:$I$16</definedName>
    <definedName name="PV_Ecuador" localSheetId="4">#REF!</definedName>
    <definedName name="PV_Ecuador" localSheetId="3">#REF!</definedName>
    <definedName name="PV_Ecuador">#REF!</definedName>
    <definedName name="PVheadline" localSheetId="4">[1]Summary!#REF!</definedName>
    <definedName name="PVheadline" localSheetId="3">[1]Summary!#REF!</definedName>
    <definedName name="PVheadline">[1]Summary!#REF!</definedName>
    <definedName name="PVUS" localSheetId="4">[1]Summary!#REF!</definedName>
    <definedName name="PVUS" localSheetId="3">[1]Summary!#REF!</definedName>
    <definedName name="PVUS">[1]Summary!#REF!</definedName>
    <definedName name="ReducCapitalcalc" localSheetId="4">[1]CF!$D$91:$AC$91</definedName>
    <definedName name="ReducCapitalcalc" localSheetId="3">[1]CF!$D$91:$AC$91</definedName>
    <definedName name="ReducCapitalcalc">[1]CF!$D$91:$AC$91</definedName>
    <definedName name="ReducCapitalvalue" localSheetId="4">[1]CF!$D$89:$AC$89</definedName>
    <definedName name="ReducCapitalvalue" localSheetId="3">[1]CF!$D$89:$AC$89</definedName>
    <definedName name="ReducCapitalvalue">[1]CF!$D$89:$AC$89</definedName>
    <definedName name="ReducReservavalue" localSheetId="4">[1]CF!$D$90:$AC$90</definedName>
    <definedName name="ReducReservavalue" localSheetId="3">[1]CF!$D$90:$AC$90</definedName>
    <definedName name="ReducReservavalue">[1]CF!$D$90:$AC$90</definedName>
    <definedName name="RETURNS" localSheetId="4">#REF!</definedName>
    <definedName name="RETURNS" localSheetId="3">#REF!</definedName>
    <definedName name="RETURNS">#REF!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FreeRate" localSheetId="4">[1]Assump!$D$278</definedName>
    <definedName name="RiskFreeRate" localSheetId="3">[1]Assump!$D$278</definedName>
    <definedName name="RiskFreeRate">[1]Assump!$D$278</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Premium" localSheetId="4">[1]Assump!$D$279</definedName>
    <definedName name="RiskPremium" localSheetId="3">[1]Assump!$D$279</definedName>
    <definedName name="RiskPremium">[1]Assump!$D$279</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SACE_Facility" localSheetId="4">[1]Assump!$D$305</definedName>
    <definedName name="SACE_Facility" localSheetId="3">[1]Assump!$D$305</definedName>
    <definedName name="SACE_Facility">[1]Assump!$D$305</definedName>
    <definedName name="SACE_Facility_Calc" localSheetId="4">[1]Assump!$D$304</definedName>
    <definedName name="SACE_Facility_Calc" localSheetId="3">[1]Assump!$D$304</definedName>
    <definedName name="SACE_Facility_Calc">[1]Assump!$D$304</definedName>
    <definedName name="sencount" hidden="1">1</definedName>
    <definedName name="Sensitivities" localSheetId="4">[1]Summary!$G$1:$I$6</definedName>
    <definedName name="Sensitivities" localSheetId="3">[1]Summary!$G$1:$I$6</definedName>
    <definedName name="Sensitivities">[1]Summary!$G$1:$I$6</definedName>
    <definedName name="SensitivityEPC" localSheetId="4">[1]Summary!$I$4</definedName>
    <definedName name="SensitivityEPC" localSheetId="3">[1]Summary!$I$4</definedName>
    <definedName name="SensitivityEPC">[1]Summary!$I$4</definedName>
    <definedName name="SwitchReducCapital" localSheetId="4">[1]Assump!$D$281</definedName>
    <definedName name="SwitchReducCapital" localSheetId="3">[1]Assump!$D$281</definedName>
    <definedName name="SwitchReducCapital">[1]Assump!$D$281</definedName>
    <definedName name="TJLP" localSheetId="4">[1]Macroeco!$C$21:$AD$21</definedName>
    <definedName name="TJLP" localSheetId="3">[1]Macroeco!$C$21:$AD$21</definedName>
    <definedName name="TJLP">[1]Macroeco!$C$21:$AD$21</definedName>
    <definedName name="TOTINCOME" localSheetId="4">#REF!</definedName>
    <definedName name="TOTINCOME" localSheetId="3">#REF!</definedName>
    <definedName name="TOTINCOME">#REF!</definedName>
    <definedName name="UBeta" localSheetId="4">[1]Assump!$D$280</definedName>
    <definedName name="UBeta" localSheetId="3">[1]Assump!$D$280</definedName>
    <definedName name="UBeta">[1]Assump!$D$280</definedName>
    <definedName name="USCPI" localSheetId="4">[1]Macroeco!$C$10:$AD$10</definedName>
    <definedName name="USCPI" localSheetId="3">[1]Macroeco!$C$10:$AD$10</definedName>
    <definedName name="USCPI">[1]Macroeco!$C$10:$AD$10</definedName>
    <definedName name="USCPIIndex" localSheetId="4">[1]Macroeco!$C$11:$AD$11</definedName>
    <definedName name="USCPIIndex" localSheetId="3">[1]Macroeco!$C$11:$AD$11</definedName>
    <definedName name="USCPIIndex">[1]Macroeco!$C$11:$AD$11</definedName>
    <definedName name="USD" localSheetId="4">[1]Macroeco!$C$14:$AD$14</definedName>
    <definedName name="USD" localSheetId="3">[1]Macroeco!$C$14:$AD$14</definedName>
    <definedName name="USD">[1]Macroeco!$C$14:$AD$14</definedName>
    <definedName name="USDDevaluation" localSheetId="4">[1]Macroeco!$C$16:$AD$16</definedName>
    <definedName name="USDDevaluation" localSheetId="3">[1]Macroeco!$C$16:$AD$16</definedName>
    <definedName name="USDDevaluation">[1]Macroeco!$C$16:$AD$16</definedName>
    <definedName name="USDmonthly" localSheetId="4">[1]Macroeco!$C$97:$BE$97</definedName>
    <definedName name="USDmonthly" localSheetId="3">[1]Macroeco!$C$97:$BE$97</definedName>
    <definedName name="USDmonthly">[1]Macroeco!$C$97:$BE$97</definedName>
    <definedName name="UsedBank" localSheetId="4">[1]Assump!$E$297</definedName>
    <definedName name="UsedBank" localSheetId="3">[1]Assump!$E$297</definedName>
    <definedName name="UsedBank">[1]Assump!$E$297</definedName>
    <definedName name="UsedCesceA" localSheetId="4">[1]Assump!$D$297</definedName>
    <definedName name="UsedCesceA" localSheetId="3">[1]Assump!$D$297</definedName>
    <definedName name="UsedCesceA">[1]Assump!$D$297</definedName>
    <definedName name="Usedsubordinada" localSheetId="4">[1]Assump!$F$297</definedName>
    <definedName name="Usedsubordinada" localSheetId="3">[1]Assump!$F$297</definedName>
    <definedName name="Usedsubordinada">[1]Assump!$F$297</definedName>
    <definedName name="wrn.Summary." localSheetId="4" hidden="1">{"View No.1","1. DIESELS - NO DEBT - RESIDUAL VALUE",TRUE,"Proforma";"View No.2","2. DIESELS - 50% DEBT - RESIDUAL VALUE",TRUE,"Proforma";"View No.2","3. DIESELS - 70% DEBT - RESIDUAL VALUE",TRUE,"Proforma";"View No.2","4. NEW GT -  NO DEBT - RESIDUAL VALUE",TRUE,"Proforma";"View No.2","5. NEW GT - 50% DEBT - RESIDUAL VALUE",TRUE,"Proforma";"View No.2","6. NEW GT - 70% DEBT - RESIDUAL VALUE",TRUE,"Proforma";"View No.2","7. USED GT - NO DEBT - NO RESIDUAL VALUE",TRUE,"Proforma"}</definedName>
    <definedName name="wrn.Summary." localSheetId="3" hidden="1">{"View No.1","1. DIESELS - NO DEBT - RESIDUAL VALUE",TRUE,"Proforma";"View No.2","2. DIESELS - 50% DEBT - RESIDUAL VALUE",TRUE,"Proforma";"View No.2","3. DIESELS - 70% DEBT - RESIDUAL VALUE",TRUE,"Proforma";"View No.2","4. NEW GT -  NO DEBT - RESIDUAL VALUE",TRUE,"Proforma";"View No.2","5. NEW GT - 50% DEBT - RESIDUAL VALUE",TRUE,"Proforma";"View No.2","6. NEW GT - 70% DEBT - RESIDUAL VALUE",TRUE,"Proforma";"View No.2","7. USED GT - NO DEBT - NO RESIDUAL VALUE",TRUE,"Proforma"}</definedName>
    <definedName name="wrn.Summary." hidden="1">{"View No.1","1. DIESELS - NO DEBT - RESIDUAL VALUE",TRUE,"Proforma";"View No.2","2. DIESELS - 50% DEBT - RESIDUAL VALUE",TRUE,"Proforma";"View No.2","3. DIESELS - 70% DEBT - RESIDUAL VALUE",TRUE,"Proforma";"View No.2","4. NEW GT -  NO DEBT - RESIDUAL VALUE",TRUE,"Proforma";"View No.2","5. NEW GT - 50% DEBT - RESIDUAL VALUE",TRUE,"Proforma";"View No.2","6. NEW GT - 70% DEBT - RESIDUAL VALUE",TRUE,"Proforma";"View No.2","7. USED GT - NO DEBT - NO RESIDUAL VALUE",TRUE,"Proforma"}</definedName>
    <definedName name="X" localSheetId="4">#REF!</definedName>
    <definedName name="X" localSheetId="3">#REF!</definedName>
    <definedName name="X">#REF!</definedName>
    <definedName name="Years" localSheetId="4">[1]Macroeco!$C$5:$AD$5</definedName>
    <definedName name="Years" localSheetId="3">[1]Macroeco!$C$5:$AD$5</definedName>
    <definedName name="Years">[1]Macroeco!$C$5:$AD$5</definedName>
  </definedNames>
  <calcPr calcId="125725"/>
</workbook>
</file>

<file path=xl/calcChain.xml><?xml version="1.0" encoding="utf-8"?>
<calcChain xmlns="http://schemas.openxmlformats.org/spreadsheetml/2006/main">
  <c r="F17" i="8"/>
  <c r="D17"/>
  <c r="D18"/>
  <c r="V29" i="6" l="1"/>
  <c r="V33"/>
  <c r="V35"/>
  <c r="V34"/>
  <c r="G5" l="1"/>
  <c r="D14" i="10" l="1"/>
  <c r="B4" s="1"/>
  <c r="B7" s="1"/>
  <c r="B9" s="1"/>
  <c r="B11" s="1"/>
  <c r="B38" s="1"/>
  <c r="I40" i="4" l="1"/>
  <c r="J40"/>
  <c r="K40"/>
  <c r="L40"/>
  <c r="M40"/>
  <c r="N40"/>
  <c r="O40"/>
  <c r="P40"/>
  <c r="Q40"/>
  <c r="R40"/>
  <c r="S40"/>
  <c r="T40"/>
  <c r="U40"/>
  <c r="V40"/>
  <c r="W40"/>
  <c r="X40"/>
  <c r="Y40"/>
  <c r="Z40"/>
  <c r="AA40"/>
  <c r="AB40"/>
  <c r="Q6" i="6"/>
  <c r="Q7"/>
  <c r="Q8" l="1"/>
  <c r="C31"/>
  <c r="D31"/>
  <c r="E31"/>
  <c r="F31"/>
  <c r="G31"/>
  <c r="H31"/>
  <c r="I31"/>
  <c r="J31"/>
  <c r="K31"/>
  <c r="B31"/>
  <c r="V31" s="1"/>
  <c r="P12"/>
  <c r="O12"/>
  <c r="N12"/>
  <c r="M12"/>
  <c r="L12"/>
  <c r="F12"/>
  <c r="E12"/>
  <c r="D12"/>
  <c r="C12"/>
  <c r="B12"/>
  <c r="H11"/>
  <c r="G11"/>
  <c r="H10"/>
  <c r="K10"/>
  <c r="G10"/>
  <c r="G9" i="9"/>
  <c r="G10"/>
  <c r="G8"/>
  <c r="F9"/>
  <c r="F10"/>
  <c r="F8"/>
  <c r="E9"/>
  <c r="E10"/>
  <c r="E8"/>
  <c r="D9"/>
  <c r="D10"/>
  <c r="D8"/>
  <c r="C10"/>
  <c r="C9"/>
  <c r="C8"/>
  <c r="H8" s="1"/>
  <c r="Q11" i="6"/>
  <c r="I11" s="1"/>
  <c r="Q10"/>
  <c r="J10" s="1"/>
  <c r="Q9"/>
  <c r="I9" s="1"/>
  <c r="K7"/>
  <c r="Q5"/>
  <c r="H8"/>
  <c r="I8"/>
  <c r="J8"/>
  <c r="K8"/>
  <c r="G8"/>
  <c r="H7"/>
  <c r="G7"/>
  <c r="K6"/>
  <c r="H5"/>
  <c r="I5"/>
  <c r="J5"/>
  <c r="K5"/>
  <c r="H7" i="9"/>
  <c r="H5"/>
  <c r="H6"/>
  <c r="H4"/>
  <c r="E21" i="7"/>
  <c r="J9" i="6" l="1"/>
  <c r="I7"/>
  <c r="K9"/>
  <c r="J7"/>
  <c r="G9"/>
  <c r="H9"/>
  <c r="I10"/>
  <c r="J11"/>
  <c r="K11"/>
  <c r="H10" i="9"/>
  <c r="H9"/>
  <c r="G6" i="6"/>
  <c r="H6"/>
  <c r="H12" s="1"/>
  <c r="F69" i="4" s="1"/>
  <c r="I6" i="6"/>
  <c r="I12" s="1"/>
  <c r="G69" i="4" s="1"/>
  <c r="J6" i="6"/>
  <c r="C28"/>
  <c r="D28" s="1"/>
  <c r="E28" s="1"/>
  <c r="F28" s="1"/>
  <c r="G28" s="1"/>
  <c r="H28" s="1"/>
  <c r="I28" s="1"/>
  <c r="J28" s="1"/>
  <c r="K28" s="1"/>
  <c r="L28" s="1"/>
  <c r="M28" s="1"/>
  <c r="N28" s="1"/>
  <c r="O28" s="1"/>
  <c r="P28" s="1"/>
  <c r="Q28" s="1"/>
  <c r="R28" s="1"/>
  <c r="S28" s="1"/>
  <c r="T28" s="1"/>
  <c r="U28" s="1"/>
  <c r="G12" l="1"/>
  <c r="E69" i="4" s="1"/>
  <c r="K12" i="6"/>
  <c r="I69" i="4" s="1"/>
  <c r="J12" i="6"/>
  <c r="H69" i="4" s="1"/>
  <c r="AB48"/>
  <c r="AA48"/>
  <c r="Z48"/>
  <c r="Y48"/>
  <c r="X48"/>
  <c r="W48"/>
  <c r="V48"/>
  <c r="U48"/>
  <c r="T48"/>
  <c r="S48"/>
  <c r="R48"/>
  <c r="Q48"/>
  <c r="P48"/>
  <c r="O48"/>
  <c r="N48"/>
  <c r="M48"/>
  <c r="L48"/>
  <c r="K48"/>
  <c r="J48"/>
  <c r="I48"/>
  <c r="E30" i="7" l="1"/>
  <c r="D30"/>
  <c r="D16" i="8"/>
  <c r="F29" i="7"/>
  <c r="F28"/>
  <c r="F27"/>
  <c r="F26"/>
  <c r="C20" i="4" s="1"/>
  <c r="I41" s="1"/>
  <c r="F25" i="7"/>
  <c r="F30" s="1"/>
  <c r="E19" s="1"/>
  <c r="E20" s="1"/>
  <c r="J45" i="4"/>
  <c r="C18"/>
  <c r="I45" s="1"/>
  <c r="V45" l="1"/>
  <c r="N45"/>
  <c r="R45"/>
  <c r="Y45"/>
  <c r="Q45"/>
  <c r="P45"/>
  <c r="X45"/>
  <c r="AB45"/>
  <c r="Z45"/>
  <c r="M45"/>
  <c r="U45"/>
  <c r="L45"/>
  <c r="T45"/>
  <c r="K45"/>
  <c r="O45"/>
  <c r="S45"/>
  <c r="W45"/>
  <c r="AA45"/>
  <c r="AA41"/>
  <c r="K41"/>
  <c r="AB41"/>
  <c r="Z41"/>
  <c r="X41"/>
  <c r="V41"/>
  <c r="T41"/>
  <c r="R41"/>
  <c r="P41"/>
  <c r="N41"/>
  <c r="L41"/>
  <c r="J41"/>
  <c r="Y41"/>
  <c r="W41"/>
  <c r="U41"/>
  <c r="S41"/>
  <c r="Q41"/>
  <c r="O41"/>
  <c r="M41"/>
  <c r="J27"/>
  <c r="K27"/>
  <c r="L27"/>
  <c r="M27"/>
  <c r="N27"/>
  <c r="O27"/>
  <c r="P27"/>
  <c r="Q27"/>
  <c r="R27"/>
  <c r="S27"/>
  <c r="T27"/>
  <c r="U27"/>
  <c r="V27"/>
  <c r="W27"/>
  <c r="X27"/>
  <c r="Y27"/>
  <c r="Z27"/>
  <c r="AA27"/>
  <c r="AB27"/>
  <c r="I27"/>
  <c r="H50" l="1"/>
  <c r="H51" s="1"/>
  <c r="H55" s="1"/>
  <c r="H59" s="1"/>
  <c r="C11"/>
  <c r="L69"/>
  <c r="K69"/>
  <c r="C6"/>
  <c r="G55"/>
  <c r="G59" s="1"/>
  <c r="C10"/>
  <c r="F16"/>
  <c r="E16"/>
  <c r="K43" s="1"/>
  <c r="D16"/>
  <c r="J43" s="1"/>
  <c r="C16"/>
  <c r="I43" s="1"/>
  <c r="X43"/>
  <c r="Y43"/>
  <c r="Z43"/>
  <c r="AA43"/>
  <c r="AB43"/>
  <c r="O43"/>
  <c r="P43"/>
  <c r="Q43"/>
  <c r="R43"/>
  <c r="S43"/>
  <c r="T43"/>
  <c r="U43"/>
  <c r="V43"/>
  <c r="W43"/>
  <c r="N43"/>
  <c r="L43"/>
  <c r="M43"/>
  <c r="D24"/>
  <c r="N69"/>
  <c r="E68"/>
  <c r="G68"/>
  <c r="H68"/>
  <c r="D68"/>
  <c r="F68"/>
  <c r="E31"/>
  <c r="F31" s="1"/>
  <c r="G31" s="1"/>
  <c r="H31" s="1"/>
  <c r="I31" s="1"/>
  <c r="J31" s="1"/>
  <c r="K31" s="1"/>
  <c r="L31" s="1"/>
  <c r="M31" s="1"/>
  <c r="N31" s="1"/>
  <c r="O31" s="1"/>
  <c r="P31" s="1"/>
  <c r="Q31" s="1"/>
  <c r="R31" s="1"/>
  <c r="S31" s="1"/>
  <c r="T31" s="1"/>
  <c r="U31" s="1"/>
  <c r="V31" s="1"/>
  <c r="W31" s="1"/>
  <c r="X31" s="1"/>
  <c r="Y31" s="1"/>
  <c r="Z31" s="1"/>
  <c r="AA31" s="1"/>
  <c r="AB31" s="1"/>
  <c r="E23"/>
  <c r="F23" s="1"/>
  <c r="G23" s="1"/>
  <c r="H23" s="1"/>
  <c r="I23" s="1"/>
  <c r="J23" s="1"/>
  <c r="K23" s="1"/>
  <c r="L23" s="1"/>
  <c r="M23" s="1"/>
  <c r="N23" s="1"/>
  <c r="O23" s="1"/>
  <c r="P23" s="1"/>
  <c r="Q23" s="1"/>
  <c r="R23" s="1"/>
  <c r="S23" s="1"/>
  <c r="T23" s="1"/>
  <c r="U23" s="1"/>
  <c r="V23" s="1"/>
  <c r="W23" s="1"/>
  <c r="X23" s="1"/>
  <c r="Y23" s="1"/>
  <c r="Z23" s="1"/>
  <c r="AA23" s="1"/>
  <c r="AB23" s="1"/>
  <c r="J26" l="1"/>
  <c r="J44" s="1"/>
  <c r="I26"/>
  <c r="I44" s="1"/>
  <c r="D19" i="8"/>
  <c r="D20" s="1"/>
  <c r="D21" s="1"/>
  <c r="D26" s="1"/>
  <c r="D27" s="1"/>
  <c r="C12" i="4" s="1"/>
  <c r="D69"/>
  <c r="D72" s="1"/>
  <c r="R26"/>
  <c r="R44" s="1"/>
  <c r="Z26"/>
  <c r="E72"/>
  <c r="H72"/>
  <c r="U26"/>
  <c r="O26"/>
  <c r="O44" s="1"/>
  <c r="V26"/>
  <c r="M26"/>
  <c r="AB26"/>
  <c r="S26"/>
  <c r="S44" s="1"/>
  <c r="AA26"/>
  <c r="K26"/>
  <c r="K44" s="1"/>
  <c r="L26"/>
  <c r="L44" s="1"/>
  <c r="T26"/>
  <c r="T44" s="1"/>
  <c r="Y26"/>
  <c r="N26"/>
  <c r="N44" s="1"/>
  <c r="W26"/>
  <c r="W44" s="1"/>
  <c r="Q26"/>
  <c r="Q44" s="1"/>
  <c r="X26"/>
  <c r="X44" s="1"/>
  <c r="P26"/>
  <c r="P44" s="1"/>
  <c r="G72"/>
  <c r="B32" i="6"/>
  <c r="F72" i="4"/>
  <c r="J69"/>
  <c r="M69"/>
  <c r="J28" l="1"/>
  <c r="J29" s="1"/>
  <c r="J47"/>
  <c r="B30" i="6"/>
  <c r="E29"/>
  <c r="I29"/>
  <c r="M29"/>
  <c r="Q29"/>
  <c r="U29"/>
  <c r="C29"/>
  <c r="K29"/>
  <c r="S29"/>
  <c r="F29"/>
  <c r="N29"/>
  <c r="R29"/>
  <c r="D29"/>
  <c r="H29"/>
  <c r="L29"/>
  <c r="P29"/>
  <c r="T29"/>
  <c r="G29"/>
  <c r="O29"/>
  <c r="J29"/>
  <c r="B29"/>
  <c r="R47" i="4"/>
  <c r="R28"/>
  <c r="R33" s="1"/>
  <c r="R34" s="1"/>
  <c r="R36" s="1"/>
  <c r="R37" s="1"/>
  <c r="R46" s="1"/>
  <c r="T47"/>
  <c r="V28"/>
  <c r="V33" s="1"/>
  <c r="V34" s="1"/>
  <c r="V36" s="1"/>
  <c r="V37" s="1"/>
  <c r="V46" s="1"/>
  <c r="V44"/>
  <c r="AA28"/>
  <c r="AA33" s="1"/>
  <c r="AA34" s="1"/>
  <c r="AA36" s="1"/>
  <c r="AA37" s="1"/>
  <c r="AA46" s="1"/>
  <c r="AA44"/>
  <c r="M28"/>
  <c r="M44"/>
  <c r="Z47"/>
  <c r="Z44"/>
  <c r="Y47"/>
  <c r="Y44"/>
  <c r="AB28"/>
  <c r="AB33" s="1"/>
  <c r="AB34" s="1"/>
  <c r="AB36" s="1"/>
  <c r="AB37" s="1"/>
  <c r="AB46" s="1"/>
  <c r="AB44"/>
  <c r="U28"/>
  <c r="U33" s="1"/>
  <c r="U34" s="1"/>
  <c r="U36" s="1"/>
  <c r="U37" s="1"/>
  <c r="U46" s="1"/>
  <c r="U44"/>
  <c r="I28"/>
  <c r="I33" s="1"/>
  <c r="I34" s="1"/>
  <c r="I36" s="1"/>
  <c r="Q12" i="6"/>
  <c r="B43" i="10" s="1"/>
  <c r="C30" i="6"/>
  <c r="M32"/>
  <c r="D32"/>
  <c r="H32"/>
  <c r="L32"/>
  <c r="P32"/>
  <c r="T32"/>
  <c r="G32"/>
  <c r="K32"/>
  <c r="S32"/>
  <c r="F32"/>
  <c r="J32"/>
  <c r="N32"/>
  <c r="R32"/>
  <c r="E32"/>
  <c r="I32"/>
  <c r="Q32"/>
  <c r="U32"/>
  <c r="C32"/>
  <c r="O32"/>
  <c r="H30"/>
  <c r="E30"/>
  <c r="I30"/>
  <c r="G30"/>
  <c r="K30"/>
  <c r="F30"/>
  <c r="J30"/>
  <c r="D30"/>
  <c r="U47" i="4"/>
  <c r="Z28"/>
  <c r="E24"/>
  <c r="F24" s="1"/>
  <c r="G24" s="1"/>
  <c r="H24" s="1"/>
  <c r="I24" s="1"/>
  <c r="I42" s="1"/>
  <c r="V47"/>
  <c r="I47"/>
  <c r="O28"/>
  <c r="O47"/>
  <c r="AA47"/>
  <c r="S28"/>
  <c r="S47"/>
  <c r="M47"/>
  <c r="AB47"/>
  <c r="X28"/>
  <c r="X47"/>
  <c r="W28"/>
  <c r="W47"/>
  <c r="Y28"/>
  <c r="L28"/>
  <c r="L47"/>
  <c r="P28"/>
  <c r="P47"/>
  <c r="Q28"/>
  <c r="Q47"/>
  <c r="N28"/>
  <c r="N47"/>
  <c r="T28"/>
  <c r="K28"/>
  <c r="K47"/>
  <c r="C55" i="10" l="1"/>
  <c r="C51"/>
  <c r="C47"/>
  <c r="C56"/>
  <c r="C52"/>
  <c r="C48"/>
  <c r="C44"/>
  <c r="C53"/>
  <c r="C49"/>
  <c r="C45"/>
  <c r="C58"/>
  <c r="C54"/>
  <c r="C50"/>
  <c r="C46"/>
  <c r="C57"/>
  <c r="D44"/>
  <c r="I57" i="4" s="1"/>
  <c r="I71" s="1"/>
  <c r="V29"/>
  <c r="J33"/>
  <c r="J34" s="1"/>
  <c r="J36" s="1"/>
  <c r="J37" s="1"/>
  <c r="J46" s="1"/>
  <c r="AA29"/>
  <c r="R29"/>
  <c r="V30" i="6"/>
  <c r="N36"/>
  <c r="B36"/>
  <c r="T36"/>
  <c r="D36"/>
  <c r="F36"/>
  <c r="U36"/>
  <c r="E36"/>
  <c r="G36"/>
  <c r="H36"/>
  <c r="C36"/>
  <c r="I36"/>
  <c r="O36"/>
  <c r="L36"/>
  <c r="R36"/>
  <c r="K36"/>
  <c r="M36"/>
  <c r="J36"/>
  <c r="P36"/>
  <c r="S36"/>
  <c r="Q36"/>
  <c r="AB29" i="4"/>
  <c r="V32" i="6"/>
  <c r="I29" i="4"/>
  <c r="I37"/>
  <c r="I46" s="1"/>
  <c r="M29"/>
  <c r="M33"/>
  <c r="M34" s="1"/>
  <c r="M36" s="1"/>
  <c r="M37" s="1"/>
  <c r="M46" s="1"/>
  <c r="U29"/>
  <c r="Z33"/>
  <c r="Z34" s="1"/>
  <c r="Z36" s="1"/>
  <c r="Z37" s="1"/>
  <c r="Z46" s="1"/>
  <c r="Z29"/>
  <c r="K33"/>
  <c r="K34" s="1"/>
  <c r="K36" s="1"/>
  <c r="K37" s="1"/>
  <c r="K46" s="1"/>
  <c r="K29"/>
  <c r="T33"/>
  <c r="T34" s="1"/>
  <c r="T36" s="1"/>
  <c r="T37" s="1"/>
  <c r="T46" s="1"/>
  <c r="T29"/>
  <c r="N33"/>
  <c r="N34" s="1"/>
  <c r="N36" s="1"/>
  <c r="N37" s="1"/>
  <c r="N46" s="1"/>
  <c r="N29"/>
  <c r="Q33"/>
  <c r="Q34" s="1"/>
  <c r="Q36" s="1"/>
  <c r="Q37" s="1"/>
  <c r="Q46" s="1"/>
  <c r="Q29"/>
  <c r="P33"/>
  <c r="P34" s="1"/>
  <c r="P36" s="1"/>
  <c r="P37" s="1"/>
  <c r="P46" s="1"/>
  <c r="P29"/>
  <c r="O33"/>
  <c r="O34" s="1"/>
  <c r="O36" s="1"/>
  <c r="O37" s="1"/>
  <c r="O46" s="1"/>
  <c r="O29"/>
  <c r="L33"/>
  <c r="L34" s="1"/>
  <c r="L29"/>
  <c r="Y33"/>
  <c r="Y34" s="1"/>
  <c r="Y36" s="1"/>
  <c r="Y37" s="1"/>
  <c r="Y46" s="1"/>
  <c r="Y29"/>
  <c r="W33"/>
  <c r="W34" s="1"/>
  <c r="W36" s="1"/>
  <c r="W37" s="1"/>
  <c r="W46" s="1"/>
  <c r="W29"/>
  <c r="X33"/>
  <c r="X34" s="1"/>
  <c r="X36" s="1"/>
  <c r="X37" s="1"/>
  <c r="X46" s="1"/>
  <c r="X29"/>
  <c r="S33"/>
  <c r="S34" s="1"/>
  <c r="S36" s="1"/>
  <c r="S37" s="1"/>
  <c r="S46" s="1"/>
  <c r="S29"/>
  <c r="J24"/>
  <c r="C59" i="10" l="1"/>
  <c r="B44"/>
  <c r="V36" i="6"/>
  <c r="J42" i="4"/>
  <c r="J50" s="1"/>
  <c r="J51" s="1"/>
  <c r="L36"/>
  <c r="L37" s="1"/>
  <c r="L46" s="1"/>
  <c r="K24"/>
  <c r="B45" i="10" l="1"/>
  <c r="D45"/>
  <c r="J57" i="4" s="1"/>
  <c r="J71" s="1"/>
  <c r="L24"/>
  <c r="K42"/>
  <c r="K50" s="1"/>
  <c r="K51" s="1"/>
  <c r="B46" i="10" l="1"/>
  <c r="D46"/>
  <c r="K57" i="4" s="1"/>
  <c r="K71" s="1"/>
  <c r="M24"/>
  <c r="M42" s="1"/>
  <c r="M50" s="1"/>
  <c r="M51" s="1"/>
  <c r="L42"/>
  <c r="L50" s="1"/>
  <c r="L51" s="1"/>
  <c r="D47" i="10" l="1"/>
  <c r="L57" i="4" s="1"/>
  <c r="L71" s="1"/>
  <c r="B47" i="10"/>
  <c r="N24" i="4"/>
  <c r="N42" s="1"/>
  <c r="N50" s="1"/>
  <c r="N51" s="1"/>
  <c r="D48" i="10" l="1"/>
  <c r="M57" i="4" s="1"/>
  <c r="M71" s="1"/>
  <c r="B48" i="10"/>
  <c r="O24" i="4"/>
  <c r="O42" s="1"/>
  <c r="O50" s="1"/>
  <c r="O51" s="1"/>
  <c r="B49" i="10" l="1"/>
  <c r="D49"/>
  <c r="N57" i="4" s="1"/>
  <c r="N71" s="1"/>
  <c r="P24"/>
  <c r="P42" s="1"/>
  <c r="P50" s="1"/>
  <c r="P51" s="1"/>
  <c r="B50" i="10" l="1"/>
  <c r="D50"/>
  <c r="O57" i="4" s="1"/>
  <c r="O71" s="1"/>
  <c r="Q24"/>
  <c r="Q42" s="1"/>
  <c r="Q50" s="1"/>
  <c r="Q51" s="1"/>
  <c r="D51" i="10" l="1"/>
  <c r="P57" i="4" s="1"/>
  <c r="P71" s="1"/>
  <c r="B51" i="10"/>
  <c r="R24" i="4"/>
  <c r="R42" s="1"/>
  <c r="R50" s="1"/>
  <c r="R51" s="1"/>
  <c r="D52" i="10" l="1"/>
  <c r="Q57" i="4" s="1"/>
  <c r="Q71" s="1"/>
  <c r="B52" i="10"/>
  <c r="S24" i="4"/>
  <c r="S42" s="1"/>
  <c r="S50" s="1"/>
  <c r="S51" s="1"/>
  <c r="B53" i="10" l="1"/>
  <c r="D53"/>
  <c r="R57" i="4" s="1"/>
  <c r="R71" s="1"/>
  <c r="T24"/>
  <c r="T42" s="1"/>
  <c r="T50" s="1"/>
  <c r="T51" s="1"/>
  <c r="B54" i="10" l="1"/>
  <c r="D54"/>
  <c r="S57" i="4" s="1"/>
  <c r="S71" s="1"/>
  <c r="U24"/>
  <c r="U42" s="1"/>
  <c r="U50" s="1"/>
  <c r="U51" s="1"/>
  <c r="D55" i="10" l="1"/>
  <c r="T57" i="4" s="1"/>
  <c r="T71" s="1"/>
  <c r="B55" i="10"/>
  <c r="V24" i="4"/>
  <c r="V42" s="1"/>
  <c r="V50" s="1"/>
  <c r="V51" s="1"/>
  <c r="D56" i="10" l="1"/>
  <c r="U57" i="4" s="1"/>
  <c r="U71" s="1"/>
  <c r="B56" i="10"/>
  <c r="W24" i="4"/>
  <c r="W42" s="1"/>
  <c r="W50" s="1"/>
  <c r="W51" s="1"/>
  <c r="B57" i="10" l="1"/>
  <c r="D57"/>
  <c r="V57" i="4" s="1"/>
  <c r="V71" s="1"/>
  <c r="X24"/>
  <c r="X42" s="1"/>
  <c r="X50" s="1"/>
  <c r="X51" s="1"/>
  <c r="B58" i="10" l="1"/>
  <c r="D58"/>
  <c r="W57" i="4" s="1"/>
  <c r="W71" s="1"/>
  <c r="Y24"/>
  <c r="Y42" s="1"/>
  <c r="Y50" s="1"/>
  <c r="Y51" s="1"/>
  <c r="Z24" l="1"/>
  <c r="Z42" s="1"/>
  <c r="Z50" s="1"/>
  <c r="Z51" s="1"/>
  <c r="AA24" l="1"/>
  <c r="AA42" s="1"/>
  <c r="AA50" s="1"/>
  <c r="AA51" s="1"/>
  <c r="AB24" l="1"/>
  <c r="AB42" s="1"/>
  <c r="AB50" s="1"/>
  <c r="AB51" s="1"/>
  <c r="I53" l="1"/>
  <c r="I68" s="1"/>
  <c r="Z53" l="1"/>
  <c r="Z55" s="1"/>
  <c r="Z59" s="1"/>
  <c r="Q53"/>
  <c r="Q68" s="1"/>
  <c r="O53"/>
  <c r="O68" s="1"/>
  <c r="N53"/>
  <c r="N68" s="1"/>
  <c r="T53"/>
  <c r="T68" s="1"/>
  <c r="Y53"/>
  <c r="Y68" s="1"/>
  <c r="P53"/>
  <c r="P55" s="1"/>
  <c r="P59" s="1"/>
  <c r="X53"/>
  <c r="X68" s="1"/>
  <c r="V53"/>
  <c r="V68" s="1"/>
  <c r="R53"/>
  <c r="R55" s="1"/>
  <c r="R59" s="1"/>
  <c r="L53"/>
  <c r="L55" s="1"/>
  <c r="L59" s="1"/>
  <c r="K53"/>
  <c r="K68" s="1"/>
  <c r="W53"/>
  <c r="W68" s="1"/>
  <c r="U53"/>
  <c r="U68" s="1"/>
  <c r="M53"/>
  <c r="M55" s="1"/>
  <c r="M59" s="1"/>
  <c r="AA53"/>
  <c r="AA68" s="1"/>
  <c r="AB53"/>
  <c r="AB68" s="1"/>
  <c r="S53"/>
  <c r="S68" s="1"/>
  <c r="J53"/>
  <c r="J68" s="1"/>
  <c r="Z62" l="1"/>
  <c r="Z61"/>
  <c r="L62"/>
  <c r="L61"/>
  <c r="R62"/>
  <c r="R61"/>
  <c r="M62"/>
  <c r="M61"/>
  <c r="P62"/>
  <c r="P61"/>
  <c r="Q55"/>
  <c r="V55"/>
  <c r="J55"/>
  <c r="T55"/>
  <c r="AB55"/>
  <c r="K55"/>
  <c r="S55"/>
  <c r="AA55"/>
  <c r="P68"/>
  <c r="O55"/>
  <c r="O59" s="1"/>
  <c r="Y55"/>
  <c r="Y59" s="1"/>
  <c r="R68"/>
  <c r="M68"/>
  <c r="U55"/>
  <c r="U59" s="1"/>
  <c r="W55"/>
  <c r="W59" s="1"/>
  <c r="Z68"/>
  <c r="L68"/>
  <c r="N55"/>
  <c r="N59" s="1"/>
  <c r="X55"/>
  <c r="X59" s="1"/>
  <c r="P64" l="1"/>
  <c r="P72" s="1"/>
  <c r="M64"/>
  <c r="M72" s="1"/>
  <c r="L64"/>
  <c r="L72" s="1"/>
  <c r="Z64"/>
  <c r="Z72" s="1"/>
  <c r="R64"/>
  <c r="R72" s="1"/>
  <c r="O62"/>
  <c r="O61"/>
  <c r="N62"/>
  <c r="N61"/>
  <c r="U62"/>
  <c r="U61"/>
  <c r="W62"/>
  <c r="W61"/>
  <c r="Y62"/>
  <c r="Y61"/>
  <c r="X62"/>
  <c r="X61"/>
  <c r="AB59"/>
  <c r="Q59"/>
  <c r="V59"/>
  <c r="K59"/>
  <c r="S59"/>
  <c r="J59"/>
  <c r="AA59"/>
  <c r="T59"/>
  <c r="O64" l="1"/>
  <c r="O72" s="1"/>
  <c r="W64"/>
  <c r="W72" s="1"/>
  <c r="N64"/>
  <c r="N72" s="1"/>
  <c r="Y64"/>
  <c r="Y72" s="1"/>
  <c r="X64"/>
  <c r="X72" s="1"/>
  <c r="U64"/>
  <c r="U72" s="1"/>
  <c r="T62"/>
  <c r="T61"/>
  <c r="AA62"/>
  <c r="AA61"/>
  <c r="K62"/>
  <c r="K61"/>
  <c r="S62"/>
  <c r="S61"/>
  <c r="AB62"/>
  <c r="AB61"/>
  <c r="V62"/>
  <c r="V61"/>
  <c r="J62"/>
  <c r="J61"/>
  <c r="Q62"/>
  <c r="Q61"/>
  <c r="AB70"/>
  <c r="I50"/>
  <c r="I51" s="1"/>
  <c r="I55" s="1"/>
  <c r="I59" s="1"/>
  <c r="S64" l="1"/>
  <c r="S72" s="1"/>
  <c r="AB64"/>
  <c r="AB72" s="1"/>
  <c r="V64"/>
  <c r="V72" s="1"/>
  <c r="T64"/>
  <c r="T72" s="1"/>
  <c r="Q64"/>
  <c r="Q72" s="1"/>
  <c r="K64"/>
  <c r="K72" s="1"/>
  <c r="J64"/>
  <c r="J72" s="1"/>
  <c r="AA64"/>
  <c r="AA72" s="1"/>
  <c r="I62"/>
  <c r="I61"/>
  <c r="I64" l="1"/>
  <c r="I72" s="1"/>
  <c r="C74" l="1"/>
  <c r="H79" s="1"/>
</calcChain>
</file>

<file path=xl/comments1.xml><?xml version="1.0" encoding="utf-8"?>
<comments xmlns="http://schemas.openxmlformats.org/spreadsheetml/2006/main">
  <authors>
    <author>Ricardo Esparta</author>
    <author>BM</author>
  </authors>
  <commentList>
    <comment ref="C9" authorId="0">
      <text>
        <r>
          <rPr>
            <b/>
            <sz val="9"/>
            <color indexed="81"/>
            <rFont val="Tahoma"/>
            <family val="2"/>
          </rPr>
          <t>Ricardo Esparta:</t>
        </r>
        <r>
          <rPr>
            <sz val="9"/>
            <color indexed="81"/>
            <rFont val="Tahoma"/>
            <family val="2"/>
          </rPr>
          <t xml:space="preserve">
According to CCEE’s commercialization rules (“CCEE, 2010. Regras de Comercialização Contabilização – Módulo 2 – Determinação da Geração e Consumo de Energia”; publicly available at http://www.ccee.org.br/ and also submitted to the DOE) internal consumption has to be estimated by the PPs before operation start and the prescribed CCEE’s internal consumption metering procedures are implemented.
The internal consumption defined by project participants is 0.2% of the total electricity generation based on project participant experience and internal estimatives only. However, due to the lack of a documented evidence for this value, the internal consumption is conservatively considered zero in the calculation of the project IRR.</t>
        </r>
      </text>
    </comment>
    <comment ref="C15" authorId="0">
      <text>
        <r>
          <rPr>
            <b/>
            <sz val="9"/>
            <color indexed="81"/>
            <rFont val="Tahoma"/>
            <family val="2"/>
          </rPr>
          <t>Ricardo Esparta:</t>
        </r>
        <r>
          <rPr>
            <sz val="9"/>
            <color indexed="81"/>
            <rFont val="Tahoma"/>
            <family val="2"/>
          </rPr>
          <t xml:space="preserve">
Actual value is 0.08%. Temporarily set to due to the lack of evidence.</t>
        </r>
      </text>
    </comment>
    <comment ref="B16" authorId="0">
      <text>
        <r>
          <rPr>
            <b/>
            <sz val="9"/>
            <color indexed="81"/>
            <rFont val="Tahoma"/>
            <family val="2"/>
          </rPr>
          <t>Ricardo Esparta:</t>
        </r>
        <r>
          <rPr>
            <sz val="9"/>
            <color indexed="81"/>
            <rFont val="Tahoma"/>
            <family val="2"/>
          </rPr>
          <t xml:space="preserve">
From ANEEL's resolution:
-from 1.Jul.2014 to 30.Jun.2015 = BRL 9.070/kW.month
-from 1.Jul.2015 to 30.Jun.2016 = BRL 8.849/kW.month
-from 1.Jul.2016 to 30.Jun.2017 = BRL 8.628/kW.month
-from 1.Jul.2017 to 30.Jun.2018 = BRL 8.407/kW.month
-from 1.Jul.2018 onwards             = BRL 8.186/kW.month</t>
        </r>
      </text>
    </comment>
    <comment ref="C16" authorId="1">
      <text>
        <r>
          <rPr>
            <b/>
            <sz val="9"/>
            <color indexed="81"/>
            <rFont val="Tahoma"/>
            <family val="2"/>
          </rPr>
          <t>BM:</t>
        </r>
        <r>
          <rPr>
            <sz val="9"/>
            <color indexed="81"/>
            <rFont val="Tahoma"/>
            <family val="2"/>
          </rPr>
          <t xml:space="preserve">
Average value of 1st and 2nd semester of 2015</t>
        </r>
      </text>
    </comment>
    <comment ref="D16" authorId="1">
      <text>
        <r>
          <rPr>
            <b/>
            <sz val="9"/>
            <color indexed="81"/>
            <rFont val="Tahoma"/>
            <family val="2"/>
          </rPr>
          <t>BM:</t>
        </r>
        <r>
          <rPr>
            <sz val="9"/>
            <color indexed="81"/>
            <rFont val="Tahoma"/>
            <family val="2"/>
          </rPr>
          <t xml:space="preserve">
Average value of 1st and 2nd semester of 2016</t>
        </r>
      </text>
    </comment>
    <comment ref="E16" authorId="1">
      <text>
        <r>
          <rPr>
            <b/>
            <sz val="9"/>
            <color indexed="81"/>
            <rFont val="Tahoma"/>
            <family val="2"/>
          </rPr>
          <t>BM:</t>
        </r>
        <r>
          <rPr>
            <sz val="9"/>
            <color indexed="81"/>
            <rFont val="Tahoma"/>
            <family val="2"/>
          </rPr>
          <t xml:space="preserve">
Average value of 1st and 2nd semester of 2017</t>
        </r>
      </text>
    </comment>
    <comment ref="F16" authorId="1">
      <text>
        <r>
          <rPr>
            <b/>
            <sz val="9"/>
            <color indexed="81"/>
            <rFont val="Tahoma"/>
            <family val="2"/>
          </rPr>
          <t>BM:</t>
        </r>
        <r>
          <rPr>
            <sz val="9"/>
            <color indexed="81"/>
            <rFont val="Tahoma"/>
            <family val="2"/>
          </rPr>
          <t xml:space="preserve">
Average value of 1st and 2nd semester of 2018</t>
        </r>
      </text>
    </comment>
    <comment ref="G16" authorId="1">
      <text>
        <r>
          <rPr>
            <b/>
            <sz val="9"/>
            <color indexed="81"/>
            <rFont val="Tahoma"/>
            <family val="2"/>
          </rPr>
          <t>BM:</t>
        </r>
        <r>
          <rPr>
            <sz val="9"/>
            <color indexed="81"/>
            <rFont val="Tahoma"/>
            <family val="2"/>
          </rPr>
          <t xml:space="preserve">
Value of the 2nd semester of 2018 onwards</t>
        </r>
      </text>
    </comment>
  </commentList>
</comments>
</file>

<file path=xl/sharedStrings.xml><?xml version="1.0" encoding="utf-8"?>
<sst xmlns="http://schemas.openxmlformats.org/spreadsheetml/2006/main" count="389" uniqueCount="206">
  <si>
    <t>Gross Revenues</t>
  </si>
  <si>
    <t>Net Revenues</t>
  </si>
  <si>
    <t>Total Cost</t>
  </si>
  <si>
    <t>EBITDA</t>
  </si>
  <si>
    <t>EBIT</t>
  </si>
  <si>
    <t>Total Revenues</t>
  </si>
  <si>
    <t>Electricity Sales - PPA</t>
  </si>
  <si>
    <t>Sales Taxes</t>
  </si>
  <si>
    <t>Income Statement</t>
  </si>
  <si>
    <t>Operating Expenses</t>
  </si>
  <si>
    <t>Net Earnings</t>
  </si>
  <si>
    <t>Plus: Depreciation</t>
  </si>
  <si>
    <t>Depreciation</t>
  </si>
  <si>
    <t>PIS/COFINS</t>
  </si>
  <si>
    <t>Social Tax (CSLL)</t>
  </si>
  <si>
    <t>Income Tax (IR)</t>
  </si>
  <si>
    <t>Insurance (% of assets)</t>
  </si>
  <si>
    <t>Plant Export Capacity (MW)</t>
  </si>
  <si>
    <t>Inputs</t>
  </si>
  <si>
    <t>Capex</t>
  </si>
  <si>
    <t>Project Cash Flow</t>
  </si>
  <si>
    <t>%</t>
  </si>
  <si>
    <t>IRR</t>
  </si>
  <si>
    <t>WaCC</t>
  </si>
  <si>
    <t>Price</t>
  </si>
  <si>
    <t>Generation</t>
  </si>
  <si>
    <t>Investment</t>
  </si>
  <si>
    <t>Project IRR</t>
  </si>
  <si>
    <t>Fair Value</t>
  </si>
  <si>
    <t>-</t>
  </si>
  <si>
    <t>Total</t>
  </si>
  <si>
    <t>Accumulated Investment</t>
  </si>
  <si>
    <t>TFSEE</t>
  </si>
  <si>
    <t>TUST</t>
  </si>
  <si>
    <t>UBP</t>
  </si>
  <si>
    <t>P&amp;D</t>
  </si>
  <si>
    <t>CCEE</t>
  </si>
  <si>
    <t>O&amp;M</t>
  </si>
  <si>
    <t>ACR</t>
  </si>
  <si>
    <t>UHE Teles Pires</t>
  </si>
  <si>
    <t>Horas/Ano</t>
  </si>
  <si>
    <t>Energy Output, net</t>
  </si>
  <si>
    <t>Energy Output, total</t>
  </si>
  <si>
    <t>ACL (minus trasmission losses and internal consumption)</t>
  </si>
  <si>
    <t>TFSEE (BRL/kW)</t>
  </si>
  <si>
    <t>Reference</t>
  </si>
  <si>
    <t>Transmission Losses (%)</t>
  </si>
  <si>
    <t>Internal consumption (%)</t>
  </si>
  <si>
    <t>ACR Price (BRL)</t>
  </si>
  <si>
    <t>ACL Price (BRL)</t>
  </si>
  <si>
    <t>TUST (BRL/kW/month)</t>
  </si>
  <si>
    <t>Revised Assured Energy (MWavg)</t>
  </si>
  <si>
    <t>Auction Assured Energy (MWavg)</t>
  </si>
  <si>
    <t>Sensitivity*</t>
  </si>
  <si>
    <t>* The sensitivity analysis aim to demonstrate the likelihood of the occurence of a scenario other than the one presented by the project activity, in order to provide a cross-check of the assumptions used in the investment analysis. Then the variation of +10% and -10% proposed by the Guidelines on the assessment of investment analysis shall reflect the most conservative scenario, i.e., when the project IRR value is equal or close to the benchmark (WACC) value. The project IRR will increase if the project revenues increase or if the costs decrease. Then, the parameters that represent more than 20% of the revenue or costs of the project (electricity price, electricity generation, O&amp;M costs and investments) where submitted to the variation just considering the scenario that the project IRR is more conservative, i.e., close to the benchmark value. Therefore, the electricity price and generation were varied +10% and the O&amp;M costs and investment -10%.</t>
  </si>
  <si>
    <t>UHE Teles Pires Project Design (from the Portuguese Projeto Básico Consolidado), dated August, 2011 (page 121)</t>
  </si>
  <si>
    <t>UHE Teles Pires Project Design (from the Portuguese Projeto Básico Consolidado), dated August, 2011 (page 102)</t>
  </si>
  <si>
    <t>Concession Contract and MME Ordinance nr. 27/2010 (page 3)</t>
  </si>
  <si>
    <t>Estimated average from the CCEE Reports from 2007  (page 14), 2008 (page 9), 2009 (page 12) and 2010 (pages 12) and spreadsheet "UHE Teles Pires_Perdas de Transmissão"</t>
  </si>
  <si>
    <t>11th Energy Auction, dated December, 17th 2010 - Spreadsheet "Resultado leilão"</t>
  </si>
  <si>
    <t>R&amp;D - Research and Development (%)</t>
  </si>
  <si>
    <t>http://www.planalto.gov.br/ccivil_03/Leis/L9991.htm</t>
  </si>
  <si>
    <t xml:space="preserve">Law nr. 9,9991, dated July, 24th 2000, Article  nr. 2 Available at: </t>
  </si>
  <si>
    <t xml:space="preserve">ANEEL Dispatch nr. 4,080, dated December, 27th 2010. Available at: </t>
  </si>
  <si>
    <t>http://www.aneel.gov.br/cedoc/atdsp20104080.pdf</t>
  </si>
  <si>
    <t>Concession Contract and MME Ordinance nr. 27/2010 (page 5)</t>
  </si>
  <si>
    <t xml:space="preserve">ANEEL Resolution nr. 1.096, dated December 14th 2010. Availlable at: </t>
  </si>
  <si>
    <t>http://www.aneel.gov.br/cedoc/reh20101096.pdf</t>
  </si>
  <si>
    <t>Finance request report submitted to the Brazilian Development Bank (p.46)</t>
  </si>
  <si>
    <t>http://www.aneel.gov.br/aplicacoes/atlas/energia_hidraulica/4_11.htm</t>
  </si>
  <si>
    <t>TAR - Updated Reference Tariff (BRL/MWh)</t>
  </si>
  <si>
    <t>Royalties (%)</t>
  </si>
  <si>
    <t>Associate Member Contribution</t>
  </si>
  <si>
    <t>Year</t>
  </si>
  <si>
    <t>Contribution  (BRL)</t>
  </si>
  <si>
    <t xml:space="preserve">Average Contribution (BRL/year) = </t>
  </si>
  <si>
    <t>TYPES</t>
  </si>
  <si>
    <t>HIRED</t>
  </si>
  <si>
    <t>Permanent</t>
  </si>
  <si>
    <t>Temporary</t>
  </si>
  <si>
    <t>Distributors</t>
  </si>
  <si>
    <t>Generators</t>
  </si>
  <si>
    <t>Importers</t>
  </si>
  <si>
    <t>Exporters</t>
  </si>
  <si>
    <t>Free consumers</t>
  </si>
  <si>
    <t>Total users</t>
  </si>
  <si>
    <t>CCEE Contribution Calculation</t>
  </si>
  <si>
    <t>A. CCEE total votes</t>
  </si>
  <si>
    <t>votes</t>
  </si>
  <si>
    <t>agents</t>
  </si>
  <si>
    <t>C. agentes uniform votes  (5.000/B)</t>
  </si>
  <si>
    <t>MWh</t>
  </si>
  <si>
    <t>MWavg</t>
  </si>
  <si>
    <t xml:space="preserve">E. agent proportional average energy </t>
  </si>
  <si>
    <t>F. proportional total votes [(E/D)*95.000]</t>
  </si>
  <si>
    <t>G. agent total votes (C+F)</t>
  </si>
  <si>
    <t>Contribution percentage (G/100.000)</t>
  </si>
  <si>
    <t>BRL/MWh</t>
  </si>
  <si>
    <t xml:space="preserve">UHE Teles Pires (BRL/year) = </t>
  </si>
  <si>
    <t>Insurance</t>
  </si>
  <si>
    <t>Source: Relatório de Apuração de Serviços e Encargos de Transmissão June/2011</t>
  </si>
  <si>
    <t xml:space="preserve"> Associate members number = </t>
  </si>
  <si>
    <t>(see ONS spreadsheet)</t>
  </si>
  <si>
    <t>*</t>
  </si>
  <si>
    <t>http://www.planalto.gov.br/ccivil_03/_ato2004-2006/2004/decreto/d5177.htm</t>
  </si>
  <si>
    <t>**</t>
  </si>
  <si>
    <t>http://www.mae.org.br/portal/wcm/idc/groups/regrasprocedlegis/documents/conteudoccee/ccee_doc_014781.pdf</t>
  </si>
  <si>
    <t>Source: CCEE - Relatório Anual 2010</t>
  </si>
  <si>
    <t>B. total agents voting in dec/2010**</t>
  </si>
  <si>
    <t>D. proporcional average energy**</t>
  </si>
  <si>
    <t>CCEE Base (BRL/MWh)</t>
  </si>
  <si>
    <t>(see CCEE spreadsheet)</t>
  </si>
  <si>
    <t>EPC contract</t>
  </si>
  <si>
    <t>ANEEL Electric energy atlas</t>
  </si>
  <si>
    <t>Land</t>
  </si>
  <si>
    <t>Owners engineer</t>
  </si>
  <si>
    <t>CFURH</t>
  </si>
  <si>
    <t>(BRL thounsands constant)</t>
  </si>
  <si>
    <t>Environmental</t>
  </si>
  <si>
    <t>ANEEL Resolution nr. 1,086, dated November, 16th 2010. File: "TUST_Resolução ANEEL 1086_161.11.2010"</t>
  </si>
  <si>
    <t>Owners engineering</t>
  </si>
  <si>
    <t>Source: Normative Instruction nr. 162, dated 31/12/1998 and Normative Instruction nr. 130, dated 10/11/1999</t>
  </si>
  <si>
    <t>Depreciation tax</t>
  </si>
  <si>
    <t>Item</t>
  </si>
  <si>
    <t>Years</t>
  </si>
  <si>
    <t>Installed capacity in Brazil in 2010 (MW)</t>
  </si>
  <si>
    <t>=</t>
  </si>
  <si>
    <t>(Source: Brazilian Energy Balance 2011 - Base year 2010; p. 17)</t>
  </si>
  <si>
    <t>Source: ANEEL authorizative resolution 2459/2010</t>
  </si>
  <si>
    <t>ONS</t>
  </si>
  <si>
    <t>CCEE budget in 2010 (BRL)</t>
  </si>
  <si>
    <t>CCEE Contribution Teles Pires (BRL/yr)</t>
  </si>
  <si>
    <t>Source: CCEE Budget 2010 - Proposal aproved in the general assembly.</t>
  </si>
  <si>
    <t>EPC Equipments - Supply</t>
  </si>
  <si>
    <t>EPC Equipments - Installation</t>
  </si>
  <si>
    <t>EPC Project/Engineering</t>
  </si>
  <si>
    <t>EPC Civil Works + Management</t>
  </si>
  <si>
    <t>Payment Schedule according to the EPC*</t>
  </si>
  <si>
    <t>* Payment Schedule - EPC - Annex 23.2.1</t>
  </si>
  <si>
    <t>Reference Date: Jul 2011</t>
  </si>
  <si>
    <t>Kd - Cost of Debt (BNDES Interest Rate)</t>
  </si>
  <si>
    <t>Parameter</t>
  </si>
  <si>
    <t>Source</t>
  </si>
  <si>
    <t>Link</t>
  </si>
  <si>
    <t>a- Financial Cost</t>
  </si>
  <si>
    <t>TJLP (Long term Interest Rate)</t>
  </si>
  <si>
    <t>BNDES</t>
  </si>
  <si>
    <t>http://www.bndes.gov.br/SiteBNDES/bndes/bndes_pt/Institucional/Apoio_Financeiro/Custos_Financeiros/Taxa_de_Juros_de_Longo_Prazo_TJLP/index.html</t>
  </si>
  <si>
    <t>b- BNDES Spread</t>
  </si>
  <si>
    <t>BNDES remuneration</t>
  </si>
  <si>
    <t>http://www.bndes.gov.br/SiteBNDES/bndes/bndes_pt/Institucional/Apoio_Financeiro/Produtos/FINEM/meio_ambiente.html</t>
  </si>
  <si>
    <t>c- Credit Risk Rate</t>
  </si>
  <si>
    <t>Credit Risk Rate</t>
  </si>
  <si>
    <t>Pre-tax Cost of Debt</t>
  </si>
  <si>
    <t>(a+b+c)</t>
  </si>
  <si>
    <t>t - Marginal Tax Rate</t>
  </si>
  <si>
    <t>Taxes calculated based on an assumed percentage over the gross revenue</t>
  </si>
  <si>
    <t>Secretariat of the Federal Revenue of Brazil</t>
  </si>
  <si>
    <t>http://www.receita.fazenda.gov.br/Aliquotas/ContribCsll/Aliquotas.htm http://www.receita.fazenda.gov.br/Aliquotas/ContribPj.htm</t>
  </si>
  <si>
    <t>Kd - After-tax Cost of Debt - nominal BRL</t>
  </si>
  <si>
    <t>Kd = (a+b+c)*(1-t)</t>
  </si>
  <si>
    <t>π - Inflation Forecast</t>
  </si>
  <si>
    <t>Brazilian inflation targeting</t>
  </si>
  <si>
    <t>Central Bank of Brazil</t>
  </si>
  <si>
    <t xml:space="preserve">http://www.bcb.gov.br/pec/metas/InflationTargetingTable.pdf </t>
  </si>
  <si>
    <t>Kd' - After-tax Cost of Debt - real</t>
  </si>
  <si>
    <t>Kd' = [(1+Kd)/(1+π)-1]</t>
  </si>
  <si>
    <t>TJLP</t>
  </si>
  <si>
    <t>Rate</t>
  </si>
  <si>
    <t>APR / JUN 2011</t>
  </si>
  <si>
    <t>Period</t>
  </si>
  <si>
    <t>5-year average</t>
  </si>
  <si>
    <t>JAN / MAR 2011</t>
  </si>
  <si>
    <t>OCT / DEC 2010</t>
  </si>
  <si>
    <t>JUL / SEP 2010</t>
  </si>
  <si>
    <t>APR / JUN 2010</t>
  </si>
  <si>
    <t>JAN / MAR 2010</t>
  </si>
  <si>
    <t>OCT / DEC 2009</t>
  </si>
  <si>
    <t>JUL / SEP 2009</t>
  </si>
  <si>
    <t>APR / JUN 2009</t>
  </si>
  <si>
    <t>JAN / MAR 2009</t>
  </si>
  <si>
    <t>OCT / DEC 2008</t>
  </si>
  <si>
    <t>JUL / SEP 2008</t>
  </si>
  <si>
    <t>APR / JUN 2008</t>
  </si>
  <si>
    <t>JAN / MAR 2008</t>
  </si>
  <si>
    <t>OCT / DEC 2007</t>
  </si>
  <si>
    <t>JUL / SEP 2007</t>
  </si>
  <si>
    <t>APR / JUN 2007</t>
  </si>
  <si>
    <t>JAN / MAR 2007</t>
  </si>
  <si>
    <t>OCT /DEC 2006</t>
  </si>
  <si>
    <t>JUL / SEP 2006</t>
  </si>
  <si>
    <t>Interests rate</t>
  </si>
  <si>
    <t>Payment period</t>
  </si>
  <si>
    <t>AMORTIZATION</t>
  </si>
  <si>
    <t>INTEREST</t>
  </si>
  <si>
    <t>Interests</t>
  </si>
  <si>
    <t>EBT</t>
  </si>
  <si>
    <t>Tax</t>
  </si>
  <si>
    <t>BNDES Report</t>
  </si>
  <si>
    <t>EPC Contract</t>
  </si>
  <si>
    <t>Source:</t>
  </si>
  <si>
    <t>Source: Finance request report submitted to the Brazilian Development Bank (p.47) and EPC Contract</t>
  </si>
  <si>
    <t>Base Date: 2011 (project starting date 19/08/2011)</t>
  </si>
  <si>
    <t>UBP (1,000BRL)</t>
  </si>
  <si>
    <t>O&amp;M (1,000BRL/year)</t>
  </si>
  <si>
    <t>ONS (1,000BRL/year)</t>
  </si>
</sst>
</file>

<file path=xl/styles.xml><?xml version="1.0" encoding="utf-8"?>
<styleSheet xmlns="http://schemas.openxmlformats.org/spreadsheetml/2006/main">
  <numFmts count="13">
    <numFmt numFmtId="43" formatCode="_(* #,##0.00_);_(* \(#,##0.00\);_(* &quot;-&quot;??_);_(@_)"/>
    <numFmt numFmtId="164" formatCode="_-* #,##0.00_-;\-* #,##0.00_-;_-* &quot;-&quot;??_-;_-@_-"/>
    <numFmt numFmtId="165" formatCode="_(&quot;$&quot;* #,##0.00_);_(&quot;$&quot;* \(#,##0.00\);_(&quot;$&quot;* &quot;-&quot;??_);_(@_)"/>
    <numFmt numFmtId="166" formatCode="[$R$ -416]#,##0.00"/>
    <numFmt numFmtId="167" formatCode="&quot;R$ &quot;#,##0.00"/>
    <numFmt numFmtId="168" formatCode="0.000"/>
    <numFmt numFmtId="169" formatCode="0.00000"/>
    <numFmt numFmtId="170" formatCode="0.0"/>
    <numFmt numFmtId="171" formatCode="0.0000%"/>
    <numFmt numFmtId="172" formatCode="0.0000"/>
    <numFmt numFmtId="173" formatCode="_(* #,##0_);_(* \(#,##0\);_(* &quot;-&quot;??_);_(@_)"/>
    <numFmt numFmtId="174" formatCode="[$-409]d\-mmm\-yy;@"/>
    <numFmt numFmtId="175" formatCode="0.0%"/>
  </numFmts>
  <fonts count="36">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Arial Narrow"/>
      <family val="2"/>
    </font>
    <font>
      <b/>
      <sz val="11"/>
      <name val="Arial Narrow"/>
      <family val="2"/>
    </font>
    <font>
      <sz val="11"/>
      <name val="Arial Narrow"/>
      <family val="2"/>
    </font>
    <font>
      <b/>
      <sz val="11"/>
      <color indexed="10"/>
      <name val="Arial Narrow"/>
      <family val="2"/>
    </font>
    <font>
      <sz val="11"/>
      <color indexed="8"/>
      <name val="Arial Narrow"/>
      <family val="2"/>
    </font>
    <font>
      <u/>
      <sz val="10"/>
      <color indexed="12"/>
      <name val="Arial"/>
      <family val="2"/>
    </font>
    <font>
      <sz val="11"/>
      <color indexed="10"/>
      <name val="Arial Narrow"/>
      <family val="2"/>
    </font>
    <font>
      <sz val="10"/>
      <name val="Arial"/>
      <family val="2"/>
    </font>
    <font>
      <sz val="11"/>
      <name val="Arial"/>
      <family val="2"/>
    </font>
    <font>
      <sz val="14"/>
      <name val="Arial Narrow"/>
      <family val="2"/>
    </font>
    <font>
      <b/>
      <sz val="11"/>
      <color indexed="30"/>
      <name val="Arial Narrow"/>
      <family val="2"/>
    </font>
    <font>
      <sz val="11"/>
      <color indexed="30"/>
      <name val="Arial Narrow"/>
      <family val="2"/>
    </font>
    <font>
      <sz val="8"/>
      <name val="Arial"/>
      <family val="2"/>
    </font>
    <font>
      <sz val="11"/>
      <color rgb="FFFF0000"/>
      <name val="Arial Narrow"/>
      <family val="2"/>
    </font>
    <font>
      <sz val="9"/>
      <color indexed="81"/>
      <name val="Tahoma"/>
      <family val="2"/>
    </font>
    <font>
      <b/>
      <sz val="9"/>
      <color indexed="81"/>
      <name val="Tahoma"/>
      <family val="2"/>
    </font>
    <font>
      <b/>
      <sz val="11"/>
      <color theme="1"/>
      <name val="Calibri"/>
      <family val="2"/>
      <scheme val="minor"/>
    </font>
    <font>
      <b/>
      <sz val="12"/>
      <color theme="1"/>
      <name val="Calibri"/>
      <family val="2"/>
      <scheme val="minor"/>
    </font>
    <font>
      <sz val="9"/>
      <color rgb="FF60605B"/>
      <name val="Verdana"/>
      <family val="2"/>
    </font>
    <font>
      <b/>
      <sz val="10"/>
      <name val="Arial"/>
      <family val="2"/>
    </font>
    <font>
      <sz val="11"/>
      <name val="Calibri"/>
      <family val="2"/>
      <scheme val="minor"/>
    </font>
    <font>
      <i/>
      <sz val="10"/>
      <name val="Arial"/>
      <family val="2"/>
    </font>
    <font>
      <b/>
      <sz val="11"/>
      <name val="Calibri"/>
      <family val="2"/>
      <scheme val="minor"/>
    </font>
    <font>
      <sz val="12"/>
      <color theme="3"/>
      <name val="Arial"/>
      <family val="2"/>
    </font>
    <font>
      <b/>
      <sz val="11"/>
      <color indexed="10"/>
      <name val="Arial"/>
      <family val="2"/>
    </font>
    <font>
      <b/>
      <sz val="12"/>
      <name val="Arial"/>
      <family val="2"/>
    </font>
    <font>
      <b/>
      <sz val="9"/>
      <name val="Arial"/>
      <family val="2"/>
    </font>
    <font>
      <b/>
      <sz val="8"/>
      <name val="Arial"/>
      <family val="2"/>
    </font>
    <font>
      <sz val="9"/>
      <name val="Arial"/>
      <family val="2"/>
    </font>
    <font>
      <sz val="8"/>
      <color indexed="18"/>
      <name val="Arial"/>
      <family val="2"/>
    </font>
    <font>
      <sz val="8"/>
      <color indexed="8"/>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s>
  <borders count="24">
    <border>
      <left/>
      <right/>
      <top/>
      <bottom/>
      <diagonal/>
    </border>
    <border>
      <left/>
      <right/>
      <top style="thin">
        <color indexed="64"/>
      </top>
      <bottom style="double">
        <color indexed="64"/>
      </bottom>
      <diagonal/>
    </border>
    <border>
      <left/>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double">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s>
  <cellStyleXfs count="17">
    <xf numFmtId="0" fontId="0" fillId="0" borderId="0"/>
    <xf numFmtId="43" fontId="4" fillId="0" borderId="0" applyFont="0" applyFill="0" applyBorder="0" applyAlignment="0" applyProtection="0"/>
    <xf numFmtId="165" fontId="4" fillId="0" borderId="0" applyFont="0" applyFill="0" applyBorder="0" applyAlignment="0" applyProtection="0"/>
    <xf numFmtId="0" fontId="10" fillId="0" borderId="0" applyNumberFormat="0" applyFill="0" applyBorder="0" applyAlignment="0" applyProtection="0">
      <alignment vertical="top"/>
      <protection locked="0"/>
    </xf>
    <xf numFmtId="0" fontId="12" fillId="0" borderId="0">
      <alignment vertical="top"/>
    </xf>
    <xf numFmtId="0" fontId="12" fillId="0" borderId="0">
      <alignment vertical="top"/>
    </xf>
    <xf numFmtId="9" fontId="4" fillId="0" borderId="0" applyFont="0" applyFill="0" applyBorder="0" applyAlignment="0" applyProtection="0"/>
    <xf numFmtId="9"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4" fillId="0" borderId="0"/>
    <xf numFmtId="9" fontId="4" fillId="0" borderId="0" applyFont="0" applyFill="0" applyBorder="0" applyAlignment="0" applyProtection="0"/>
    <xf numFmtId="9" fontId="3"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cellStyleXfs>
  <cellXfs count="258">
    <xf numFmtId="0" fontId="0" fillId="0" borderId="0" xfId="0"/>
    <xf numFmtId="0" fontId="5" fillId="0" borderId="1" xfId="0" applyFont="1" applyBorder="1" applyAlignment="1">
      <alignment horizontal="center"/>
    </xf>
    <xf numFmtId="0" fontId="6" fillId="0" borderId="0" xfId="0" applyFont="1"/>
    <xf numFmtId="0" fontId="7" fillId="0" borderId="0" xfId="0" applyFont="1"/>
    <xf numFmtId="0" fontId="7" fillId="0" borderId="0" xfId="0" applyFont="1" applyAlignment="1"/>
    <xf numFmtId="0" fontId="6" fillId="0" borderId="0" xfId="0" applyFont="1" applyAlignment="1"/>
    <xf numFmtId="0" fontId="7" fillId="0" borderId="0" xfId="0" applyFont="1" applyBorder="1"/>
    <xf numFmtId="0" fontId="7" fillId="0" borderId="0" xfId="0" applyFont="1" applyBorder="1" applyAlignment="1"/>
    <xf numFmtId="0" fontId="6" fillId="0" borderId="2" xfId="0" applyFont="1" applyBorder="1" applyAlignment="1"/>
    <xf numFmtId="0" fontId="7" fillId="0" borderId="2" xfId="0" applyFont="1" applyBorder="1"/>
    <xf numFmtId="3" fontId="6" fillId="0" borderId="2" xfId="0" applyNumberFormat="1" applyFont="1" applyBorder="1" applyAlignment="1">
      <alignment horizontal="center"/>
    </xf>
    <xf numFmtId="3" fontId="7" fillId="0" borderId="0" xfId="0" applyNumberFormat="1" applyFont="1" applyAlignment="1">
      <alignment horizontal="center"/>
    </xf>
    <xf numFmtId="3" fontId="6" fillId="0" borderId="0" xfId="0" applyNumberFormat="1" applyFont="1" applyAlignment="1">
      <alignment horizontal="center"/>
    </xf>
    <xf numFmtId="166" fontId="7" fillId="0" borderId="0" xfId="0" applyNumberFormat="1" applyFont="1" applyAlignment="1">
      <alignment horizontal="center"/>
    </xf>
    <xf numFmtId="0" fontId="8" fillId="0" borderId="0" xfId="0" applyFont="1" applyAlignment="1">
      <alignment horizontal="center"/>
    </xf>
    <xf numFmtId="3" fontId="7" fillId="0" borderId="2" xfId="0" applyNumberFormat="1" applyFont="1" applyBorder="1" applyAlignment="1">
      <alignment horizontal="center"/>
    </xf>
    <xf numFmtId="0" fontId="6" fillId="0" borderId="0" xfId="0" applyFont="1" applyBorder="1" applyAlignment="1"/>
    <xf numFmtId="3" fontId="7" fillId="0" borderId="0" xfId="0" applyNumberFormat="1" applyFont="1" applyBorder="1" applyAlignment="1">
      <alignment horizontal="center"/>
    </xf>
    <xf numFmtId="3" fontId="6" fillId="0" borderId="3" xfId="0" applyNumberFormat="1" applyFont="1" applyBorder="1" applyAlignment="1">
      <alignment horizontal="center"/>
    </xf>
    <xf numFmtId="0" fontId="6" fillId="0" borderId="2" xfId="0" applyFont="1" applyBorder="1"/>
    <xf numFmtId="0" fontId="0" fillId="0" borderId="0" xfId="0" applyBorder="1"/>
    <xf numFmtId="0" fontId="7" fillId="0" borderId="3" xfId="0" applyFont="1" applyBorder="1"/>
    <xf numFmtId="3" fontId="7" fillId="0" borderId="0" xfId="0" applyNumberFormat="1" applyFont="1"/>
    <xf numFmtId="3" fontId="6" fillId="0" borderId="0" xfId="0" applyNumberFormat="1" applyFont="1" applyBorder="1" applyAlignment="1">
      <alignment horizontal="center"/>
    </xf>
    <xf numFmtId="9" fontId="7" fillId="0" borderId="0" xfId="0" applyNumberFormat="1" applyFont="1"/>
    <xf numFmtId="0" fontId="9" fillId="0" borderId="0" xfId="0" applyFont="1" applyAlignment="1"/>
    <xf numFmtId="37" fontId="0" fillId="0" borderId="0" xfId="0" applyNumberFormat="1"/>
    <xf numFmtId="0" fontId="9" fillId="0" borderId="0" xfId="0" applyFont="1" applyBorder="1" applyAlignment="1">
      <alignment horizontal="left"/>
    </xf>
    <xf numFmtId="0" fontId="9" fillId="0" borderId="3" xfId="0" applyFont="1" applyBorder="1" applyAlignment="1">
      <alignment horizontal="left"/>
    </xf>
    <xf numFmtId="0" fontId="11" fillId="0" borderId="0" xfId="0" applyFont="1"/>
    <xf numFmtId="3" fontId="7" fillId="0" borderId="4" xfId="0" applyNumberFormat="1" applyFont="1" applyBorder="1" applyAlignment="1">
      <alignment horizontal="center"/>
    </xf>
    <xf numFmtId="9" fontId="8" fillId="0" borderId="0" xfId="6" applyFont="1" applyAlignment="1">
      <alignment horizontal="center"/>
    </xf>
    <xf numFmtId="0" fontId="6" fillId="0" borderId="0" xfId="0" applyFont="1" applyBorder="1"/>
    <xf numFmtId="9" fontId="6" fillId="0" borderId="0" xfId="6" applyNumberFormat="1" applyFont="1" applyBorder="1" applyAlignment="1">
      <alignment horizontal="center"/>
    </xf>
    <xf numFmtId="167" fontId="6" fillId="0" borderId="0" xfId="2" applyNumberFormat="1" applyFont="1" applyBorder="1" applyAlignment="1">
      <alignment horizontal="center"/>
    </xf>
    <xf numFmtId="10" fontId="6" fillId="0" borderId="0" xfId="6" applyNumberFormat="1" applyFont="1" applyBorder="1" applyAlignment="1">
      <alignment horizontal="center"/>
    </xf>
    <xf numFmtId="0" fontId="7" fillId="0" borderId="0" xfId="0" applyFont="1" applyAlignment="1">
      <alignment horizontal="center"/>
    </xf>
    <xf numFmtId="0" fontId="14" fillId="0" borderId="0" xfId="0" applyFont="1"/>
    <xf numFmtId="0" fontId="5" fillId="0" borderId="0" xfId="0" applyFont="1" applyBorder="1" applyAlignment="1">
      <alignment horizontal="center"/>
    </xf>
    <xf numFmtId="3" fontId="7" fillId="2" borderId="0" xfId="0" applyNumberFormat="1" applyFont="1" applyFill="1" applyBorder="1" applyAlignment="1">
      <alignment horizontal="center"/>
    </xf>
    <xf numFmtId="10" fontId="7" fillId="0" borderId="4" xfId="6" applyNumberFormat="1" applyFont="1" applyBorder="1" applyAlignment="1">
      <alignment horizontal="center"/>
    </xf>
    <xf numFmtId="0" fontId="7" fillId="0" borderId="7" xfId="0" applyFont="1" applyBorder="1" applyAlignment="1">
      <alignment horizontal="center"/>
    </xf>
    <xf numFmtId="0" fontId="10" fillId="0" borderId="0" xfId="3" applyAlignment="1" applyProtection="1"/>
    <xf numFmtId="10" fontId="15" fillId="3" borderId="0" xfId="6" applyNumberFormat="1" applyFont="1" applyFill="1" applyBorder="1" applyAlignment="1">
      <alignment horizontal="center"/>
    </xf>
    <xf numFmtId="3" fontId="7" fillId="3" borderId="0" xfId="0" applyNumberFormat="1" applyFont="1" applyFill="1" applyBorder="1" applyAlignment="1">
      <alignment horizontal="center"/>
    </xf>
    <xf numFmtId="0" fontId="7" fillId="3" borderId="0" xfId="0" applyFont="1" applyFill="1"/>
    <xf numFmtId="17" fontId="14" fillId="3" borderId="0" xfId="0" applyNumberFormat="1" applyFont="1" applyFill="1" applyAlignment="1">
      <alignment horizontal="center"/>
    </xf>
    <xf numFmtId="0" fontId="7" fillId="0" borderId="0" xfId="0" applyFont="1" applyAlignment="1">
      <alignment horizontal="left"/>
    </xf>
    <xf numFmtId="0" fontId="6" fillId="4" borderId="1" xfId="0" applyFont="1" applyFill="1" applyBorder="1" applyAlignment="1">
      <alignment horizontal="center"/>
    </xf>
    <xf numFmtId="0" fontId="6" fillId="4" borderId="0" xfId="0" applyFont="1" applyFill="1"/>
    <xf numFmtId="10" fontId="7" fillId="4" borderId="0" xfId="0" applyNumberFormat="1" applyFont="1" applyFill="1" applyAlignment="1">
      <alignment horizontal="center"/>
    </xf>
    <xf numFmtId="0" fontId="7" fillId="4" borderId="0" xfId="0" applyFont="1" applyFill="1"/>
    <xf numFmtId="0" fontId="0" fillId="4" borderId="0" xfId="0" applyFill="1"/>
    <xf numFmtId="10" fontId="7" fillId="4" borderId="8" xfId="0" applyNumberFormat="1" applyFont="1" applyFill="1" applyBorder="1" applyAlignment="1">
      <alignment horizontal="center"/>
    </xf>
    <xf numFmtId="10" fontId="13" fillId="4" borderId="0" xfId="0" applyNumberFormat="1" applyFont="1" applyFill="1" applyAlignment="1">
      <alignment horizontal="center"/>
    </xf>
    <xf numFmtId="0" fontId="6" fillId="4" borderId="4" xfId="0" applyFont="1" applyFill="1" applyBorder="1"/>
    <xf numFmtId="10" fontId="6" fillId="4" borderId="4" xfId="6" applyNumberFormat="1" applyFont="1" applyFill="1" applyBorder="1" applyAlignment="1">
      <alignment horizontal="center"/>
    </xf>
    <xf numFmtId="0" fontId="7" fillId="0" borderId="0" xfId="6" applyNumberFormat="1" applyFont="1"/>
    <xf numFmtId="0" fontId="0" fillId="0" borderId="0" xfId="0" applyFill="1"/>
    <xf numFmtId="0" fontId="10" fillId="0" borderId="0" xfId="3" applyAlignment="1" applyProtection="1">
      <alignment horizontal="left"/>
    </xf>
    <xf numFmtId="2" fontId="16" fillId="0" borderId="0" xfId="6" applyNumberFormat="1" applyFont="1" applyFill="1" applyAlignment="1">
      <alignment horizontal="center"/>
    </xf>
    <xf numFmtId="3" fontId="7" fillId="0" borderId="0" xfId="0" applyNumberFormat="1" applyFont="1" applyFill="1" applyAlignment="1">
      <alignment horizontal="center"/>
    </xf>
    <xf numFmtId="0" fontId="7" fillId="0" borderId="0" xfId="0" applyFont="1" applyFill="1"/>
    <xf numFmtId="0" fontId="7" fillId="0" borderId="0" xfId="0" applyFont="1" applyAlignment="1">
      <alignment horizontal="center"/>
    </xf>
    <xf numFmtId="0" fontId="7" fillId="0" borderId="0" xfId="0" applyFont="1" applyAlignment="1">
      <alignment horizontal="center"/>
    </xf>
    <xf numFmtId="0" fontId="7" fillId="0" borderId="7" xfId="0" applyFont="1" applyBorder="1" applyAlignment="1">
      <alignment horizontal="left"/>
    </xf>
    <xf numFmtId="0" fontId="7" fillId="0" borderId="0" xfId="0" applyFont="1" applyBorder="1" applyAlignment="1">
      <alignment horizontal="left"/>
    </xf>
    <xf numFmtId="0" fontId="7" fillId="0" borderId="0" xfId="0" applyFont="1" applyAlignment="1">
      <alignment horizontal="center"/>
    </xf>
    <xf numFmtId="0" fontId="7" fillId="0" borderId="0" xfId="0" applyFont="1" applyFill="1" applyAlignment="1">
      <alignment horizontal="center"/>
    </xf>
    <xf numFmtId="10" fontId="7" fillId="4" borderId="1" xfId="0" applyNumberFormat="1" applyFont="1" applyFill="1" applyBorder="1" applyAlignment="1">
      <alignment horizontal="left"/>
    </xf>
    <xf numFmtId="0" fontId="7" fillId="3" borderId="0" xfId="0" applyFont="1" applyFill="1" applyAlignment="1">
      <alignment horizontal="center"/>
    </xf>
    <xf numFmtId="0" fontId="0" fillId="3" borderId="0" xfId="0" applyFill="1"/>
    <xf numFmtId="0" fontId="7" fillId="3" borderId="0" xfId="0" applyFont="1" applyFill="1" applyAlignment="1">
      <alignment vertical="center" wrapText="1"/>
    </xf>
    <xf numFmtId="0" fontId="7" fillId="3" borderId="0" xfId="0" applyFont="1" applyFill="1" applyAlignment="1">
      <alignment horizontal="left" vertical="center" wrapText="1"/>
    </xf>
    <xf numFmtId="0" fontId="7" fillId="3" borderId="0" xfId="0" applyFont="1" applyFill="1" applyAlignment="1">
      <alignment horizontal="left" vertical="center"/>
    </xf>
    <xf numFmtId="0" fontId="7" fillId="0" borderId="0" xfId="0" applyFont="1" applyAlignment="1">
      <alignment vertical="center"/>
    </xf>
    <xf numFmtId="0" fontId="10" fillId="0" borderId="0" xfId="3" applyAlignment="1" applyProtection="1">
      <alignment vertical="center"/>
    </xf>
    <xf numFmtId="0" fontId="7" fillId="3" borderId="0" xfId="0" applyFont="1" applyFill="1" applyAlignment="1">
      <alignment horizontal="right"/>
    </xf>
    <xf numFmtId="0" fontId="14" fillId="0" borderId="0" xfId="0" applyFont="1" applyFill="1" applyAlignment="1"/>
    <xf numFmtId="168" fontId="16" fillId="0" borderId="0" xfId="6" applyNumberFormat="1" applyFont="1" applyAlignment="1">
      <alignment horizontal="center"/>
    </xf>
    <xf numFmtId="0" fontId="4" fillId="3" borderId="0" xfId="10" applyFont="1" applyFill="1"/>
    <xf numFmtId="0" fontId="4" fillId="0" borderId="0" xfId="10"/>
    <xf numFmtId="0" fontId="4" fillId="3" borderId="0" xfId="10" applyFill="1"/>
    <xf numFmtId="10" fontId="4" fillId="3" borderId="0" xfId="6" applyNumberFormat="1" applyFont="1" applyFill="1"/>
    <xf numFmtId="0" fontId="4" fillId="3" borderId="0" xfId="10" applyFont="1" applyFill="1" applyAlignment="1">
      <alignment horizontal="right"/>
    </xf>
    <xf numFmtId="3" fontId="4" fillId="3" borderId="0" xfId="10" applyNumberFormat="1" applyFill="1" applyBorder="1"/>
    <xf numFmtId="169" fontId="4" fillId="3" borderId="0" xfId="10" applyNumberFormat="1" applyFill="1"/>
    <xf numFmtId="0" fontId="4" fillId="3" borderId="17" xfId="10" applyFont="1" applyFill="1" applyBorder="1" applyAlignment="1">
      <alignment horizontal="center" vertical="center"/>
    </xf>
    <xf numFmtId="0" fontId="4" fillId="3" borderId="3" xfId="10" applyFont="1" applyFill="1" applyBorder="1" applyAlignment="1">
      <alignment horizontal="center" vertical="center"/>
    </xf>
    <xf numFmtId="0" fontId="4" fillId="3" borderId="3" xfId="10" applyFill="1" applyBorder="1" applyAlignment="1">
      <alignment horizontal="center" vertical="center"/>
    </xf>
    <xf numFmtId="0" fontId="4" fillId="3" borderId="19" xfId="10" applyFill="1" applyBorder="1" applyAlignment="1">
      <alignment horizontal="center" vertical="center"/>
    </xf>
    <xf numFmtId="0" fontId="4" fillId="3" borderId="18" xfId="10" applyFill="1" applyBorder="1" applyAlignment="1">
      <alignment horizontal="center" vertical="center"/>
    </xf>
    <xf numFmtId="0" fontId="4" fillId="3" borderId="20" xfId="10" applyFont="1" applyFill="1" applyBorder="1" applyAlignment="1">
      <alignment horizontal="center" vertical="center"/>
    </xf>
    <xf numFmtId="0" fontId="4" fillId="3" borderId="5" xfId="10" applyFont="1" applyFill="1" applyBorder="1" applyAlignment="1">
      <alignment horizontal="center" vertical="center"/>
    </xf>
    <xf numFmtId="0" fontId="4" fillId="3" borderId="21" xfId="10" applyFill="1" applyBorder="1" applyAlignment="1">
      <alignment horizontal="center" vertical="center"/>
    </xf>
    <xf numFmtId="0" fontId="4" fillId="3" borderId="6" xfId="10" applyFont="1" applyFill="1" applyBorder="1"/>
    <xf numFmtId="0" fontId="4" fillId="3" borderId="0" xfId="10" applyFill="1" applyBorder="1" applyAlignment="1">
      <alignment horizontal="center" vertical="center"/>
    </xf>
    <xf numFmtId="0" fontId="4" fillId="3" borderId="6" xfId="10" applyFill="1" applyBorder="1" applyAlignment="1">
      <alignment horizontal="center" vertical="center"/>
    </xf>
    <xf numFmtId="0" fontId="4" fillId="3" borderId="22" xfId="10" applyFill="1" applyBorder="1" applyAlignment="1">
      <alignment horizontal="center" vertical="center"/>
    </xf>
    <xf numFmtId="0" fontId="4" fillId="3" borderId="18" xfId="10" applyFont="1" applyFill="1" applyBorder="1"/>
    <xf numFmtId="0" fontId="4" fillId="3" borderId="4" xfId="10" applyFill="1" applyBorder="1" applyAlignment="1">
      <alignment horizontal="center" vertical="center"/>
    </xf>
    <xf numFmtId="0" fontId="21" fillId="3" borderId="5" xfId="10" applyFont="1" applyFill="1" applyBorder="1"/>
    <xf numFmtId="0" fontId="21" fillId="3" borderId="5" xfId="10" applyFont="1" applyFill="1" applyBorder="1" applyAlignment="1">
      <alignment horizontal="center" vertical="center"/>
    </xf>
    <xf numFmtId="0" fontId="21" fillId="3" borderId="0" xfId="10" applyFont="1" applyFill="1" applyBorder="1"/>
    <xf numFmtId="0" fontId="4" fillId="0" borderId="0" xfId="10" applyFont="1" applyBorder="1"/>
    <xf numFmtId="0" fontId="4" fillId="3" borderId="0" xfId="10" applyFont="1" applyFill="1" applyBorder="1"/>
    <xf numFmtId="4" fontId="4" fillId="3" borderId="0" xfId="10" applyNumberFormat="1" applyFont="1" applyFill="1" applyBorder="1"/>
    <xf numFmtId="3" fontId="4" fillId="3" borderId="0" xfId="10" applyNumberFormat="1" applyFont="1" applyFill="1" applyBorder="1"/>
    <xf numFmtId="170" fontId="4" fillId="3" borderId="0" xfId="10" applyNumberFormat="1" applyFill="1" applyBorder="1"/>
    <xf numFmtId="4" fontId="4" fillId="3" borderId="0" xfId="10" applyNumberFormat="1" applyFill="1" applyBorder="1"/>
    <xf numFmtId="0" fontId="4" fillId="3" borderId="0" xfId="10" applyFill="1" applyBorder="1"/>
    <xf numFmtId="171" fontId="4" fillId="3" borderId="0" xfId="6" applyNumberFormat="1" applyFont="1" applyFill="1" applyBorder="1"/>
    <xf numFmtId="0" fontId="22" fillId="3" borderId="0" xfId="10" applyFont="1" applyFill="1" applyBorder="1"/>
    <xf numFmtId="4" fontId="4" fillId="3" borderId="0" xfId="10" applyNumberFormat="1" applyFill="1" applyBorder="1" applyAlignment="1">
      <alignment vertical="center"/>
    </xf>
    <xf numFmtId="172" fontId="4" fillId="3" borderId="0" xfId="10" applyNumberFormat="1" applyFill="1" applyBorder="1"/>
    <xf numFmtId="0" fontId="4" fillId="3" borderId="5" xfId="10" applyFont="1" applyFill="1" applyBorder="1" applyAlignment="1">
      <alignment horizontal="center"/>
    </xf>
    <xf numFmtId="0" fontId="4" fillId="3" borderId="5" xfId="10" applyFill="1" applyBorder="1"/>
    <xf numFmtId="3" fontId="4" fillId="3" borderId="5" xfId="10" applyNumberFormat="1" applyFill="1" applyBorder="1"/>
    <xf numFmtId="0" fontId="21" fillId="3" borderId="0" xfId="10" applyFont="1" applyFill="1" applyBorder="1" applyAlignment="1">
      <alignment horizontal="right"/>
    </xf>
    <xf numFmtId="3" fontId="21" fillId="3" borderId="0" xfId="10" applyNumberFormat="1" applyFont="1" applyFill="1" applyBorder="1"/>
    <xf numFmtId="2" fontId="16" fillId="3" borderId="0" xfId="0" applyNumberFormat="1" applyFont="1" applyFill="1" applyAlignment="1">
      <alignment horizontal="right" vertical="center" indent="1"/>
    </xf>
    <xf numFmtId="2" fontId="16" fillId="0" borderId="0" xfId="6" applyNumberFormat="1" applyFont="1" applyAlignment="1">
      <alignment horizontal="right" vertical="center" indent="1"/>
    </xf>
    <xf numFmtId="10" fontId="16" fillId="3" borderId="0" xfId="6" applyNumberFormat="1" applyFont="1" applyFill="1" applyAlignment="1">
      <alignment horizontal="right" vertical="center" indent="1"/>
    </xf>
    <xf numFmtId="2" fontId="16" fillId="0" borderId="0" xfId="0" applyNumberFormat="1" applyFont="1" applyAlignment="1">
      <alignment horizontal="right" vertical="center" indent="1"/>
    </xf>
    <xf numFmtId="9" fontId="16" fillId="0" borderId="0" xfId="0" applyNumberFormat="1" applyFont="1" applyAlignment="1">
      <alignment horizontal="right" vertical="center" indent="1"/>
    </xf>
    <xf numFmtId="4" fontId="16" fillId="3" borderId="0" xfId="0" applyNumberFormat="1" applyFont="1" applyFill="1" applyAlignment="1">
      <alignment horizontal="right" vertical="center" indent="1"/>
    </xf>
    <xf numFmtId="173" fontId="16" fillId="0" borderId="0" xfId="1" applyNumberFormat="1" applyFont="1" applyFill="1" applyAlignment="1">
      <alignment horizontal="right" vertical="center" indent="1"/>
    </xf>
    <xf numFmtId="0" fontId="4" fillId="3" borderId="0" xfId="10" applyFill="1" applyAlignment="1">
      <alignment horizontal="right" vertical="top"/>
    </xf>
    <xf numFmtId="43" fontId="4" fillId="3" borderId="0" xfId="1" applyFill="1"/>
    <xf numFmtId="0" fontId="10" fillId="0" borderId="0" xfId="3" applyFill="1" applyAlignment="1" applyProtection="1"/>
    <xf numFmtId="0" fontId="18" fillId="0" borderId="0" xfId="0" applyFont="1" applyFill="1"/>
    <xf numFmtId="0" fontId="7" fillId="0" borderId="0" xfId="0" applyFont="1" applyFill="1" applyAlignment="1"/>
    <xf numFmtId="0" fontId="4" fillId="3" borderId="0" xfId="0" applyFont="1" applyFill="1"/>
    <xf numFmtId="3" fontId="0" fillId="3" borderId="5" xfId="0" applyNumberFormat="1" applyFill="1" applyBorder="1" applyAlignment="1">
      <alignment horizontal="center"/>
    </xf>
    <xf numFmtId="3" fontId="0" fillId="3" borderId="0" xfId="0" applyNumberFormat="1" applyFill="1"/>
    <xf numFmtId="3" fontId="12" fillId="3" borderId="5" xfId="4" applyNumberFormat="1" applyFill="1" applyBorder="1" applyAlignment="1">
      <alignment horizontal="center"/>
    </xf>
    <xf numFmtId="4" fontId="0" fillId="3" borderId="0" xfId="0" applyNumberFormat="1" applyFill="1"/>
    <xf numFmtId="0" fontId="0" fillId="3" borderId="0" xfId="0" applyFill="1" applyAlignment="1">
      <alignment horizontal="right" vertical="center"/>
    </xf>
    <xf numFmtId="0" fontId="24" fillId="3" borderId="0" xfId="0" applyFont="1" applyFill="1"/>
    <xf numFmtId="0" fontId="24" fillId="3" borderId="5" xfId="4" applyFont="1" applyFill="1" applyBorder="1" applyAlignment="1">
      <alignment horizontal="center" vertical="center"/>
    </xf>
    <xf numFmtId="0" fontId="24" fillId="3" borderId="5" xfId="0" applyFont="1" applyFill="1" applyBorder="1"/>
    <xf numFmtId="0" fontId="24" fillId="3" borderId="5" xfId="4" applyFont="1" applyFill="1" applyBorder="1" applyAlignment="1"/>
    <xf numFmtId="0" fontId="24" fillId="3" borderId="5" xfId="0" applyFont="1" applyFill="1" applyBorder="1" applyAlignment="1">
      <alignment horizontal="center"/>
    </xf>
    <xf numFmtId="0" fontId="24" fillId="3" borderId="5" xfId="4" applyFont="1" applyFill="1" applyBorder="1" applyAlignment="1">
      <alignment horizontal="left" vertical="center"/>
    </xf>
    <xf numFmtId="0" fontId="24" fillId="3" borderId="23" xfId="0" applyFont="1" applyFill="1" applyBorder="1" applyAlignment="1">
      <alignment horizontal="center"/>
    </xf>
    <xf numFmtId="3" fontId="0" fillId="3" borderId="0" xfId="0" applyNumberFormat="1" applyFill="1" applyAlignment="1">
      <alignment horizontal="center" vertical="center"/>
    </xf>
    <xf numFmtId="0" fontId="4" fillId="3" borderId="5" xfId="0" applyFont="1" applyFill="1" applyBorder="1" applyAlignment="1">
      <alignment horizontal="center" vertical="center"/>
    </xf>
    <xf numFmtId="1" fontId="4" fillId="3" borderId="5" xfId="4" applyNumberFormat="1" applyFont="1" applyFill="1" applyBorder="1" applyAlignment="1">
      <alignment horizontal="center" vertical="center"/>
    </xf>
    <xf numFmtId="3" fontId="0" fillId="3" borderId="5" xfId="0" applyNumberFormat="1" applyFill="1" applyBorder="1" applyAlignment="1">
      <alignment horizontal="center" vertical="center"/>
    </xf>
    <xf numFmtId="3" fontId="0" fillId="3" borderId="0" xfId="0" applyNumberFormat="1" applyFill="1" applyBorder="1" applyAlignment="1">
      <alignment horizontal="center"/>
    </xf>
    <xf numFmtId="0" fontId="7" fillId="3" borderId="0" xfId="0" applyFont="1" applyFill="1" applyAlignment="1"/>
    <xf numFmtId="9" fontId="6" fillId="3" borderId="0" xfId="6" applyFont="1" applyFill="1" applyAlignment="1">
      <alignment horizontal="center"/>
    </xf>
    <xf numFmtId="3" fontId="7" fillId="3" borderId="0" xfId="0" applyNumberFormat="1" applyFont="1" applyFill="1" applyAlignment="1">
      <alignment horizontal="center"/>
    </xf>
    <xf numFmtId="2" fontId="16" fillId="3" borderId="0" xfId="1" applyNumberFormat="1" applyFont="1" applyFill="1" applyAlignment="1">
      <alignment horizontal="right" vertical="center" indent="1"/>
    </xf>
    <xf numFmtId="2" fontId="16" fillId="3" borderId="0" xfId="6" applyNumberFormat="1" applyFont="1" applyFill="1" applyAlignment="1">
      <alignment horizontal="right" vertical="center" indent="1"/>
    </xf>
    <xf numFmtId="168" fontId="16" fillId="3" borderId="0" xfId="6" applyNumberFormat="1" applyFont="1" applyFill="1" applyAlignment="1">
      <alignment horizontal="right" vertical="center" indent="1"/>
    </xf>
    <xf numFmtId="3" fontId="4" fillId="3" borderId="0" xfId="0" applyNumberFormat="1" applyFont="1" applyFill="1" applyAlignment="1">
      <alignment horizontal="center" vertical="center"/>
    </xf>
    <xf numFmtId="0" fontId="4" fillId="3" borderId="0" xfId="10" applyFill="1" applyAlignment="1">
      <alignment horizontal="right"/>
    </xf>
    <xf numFmtId="0" fontId="4" fillId="3" borderId="0" xfId="10" applyFill="1" applyAlignment="1">
      <alignment horizontal="center" vertical="center"/>
    </xf>
    <xf numFmtId="3" fontId="4" fillId="3" borderId="0" xfId="10" applyNumberFormat="1" applyFill="1" applyAlignment="1">
      <alignment horizontal="right" vertical="center" indent="1"/>
    </xf>
    <xf numFmtId="0" fontId="10" fillId="3" borderId="0" xfId="3" applyFill="1" applyAlignment="1" applyProtection="1"/>
    <xf numFmtId="0" fontId="23" fillId="3" borderId="0" xfId="0" applyFont="1" applyFill="1" applyBorder="1"/>
    <xf numFmtId="0" fontId="0" fillId="3" borderId="0" xfId="0" applyFill="1" applyBorder="1"/>
    <xf numFmtId="0" fontId="25" fillId="3" borderId="0" xfId="4" applyFont="1" applyFill="1" applyBorder="1" applyAlignment="1">
      <alignment horizontal="center" vertical="center"/>
    </xf>
    <xf numFmtId="0" fontId="25" fillId="3" borderId="0" xfId="0" applyFont="1" applyFill="1" applyBorder="1" applyAlignment="1">
      <alignment horizontal="center" vertical="center"/>
    </xf>
    <xf numFmtId="0" fontId="2" fillId="3" borderId="0" xfId="0" applyFont="1" applyFill="1" applyBorder="1" applyAlignment="1">
      <alignment horizontal="left" vertical="center"/>
    </xf>
    <xf numFmtId="3" fontId="2" fillId="3" borderId="0" xfId="0" applyNumberFormat="1" applyFont="1" applyFill="1" applyBorder="1" applyAlignment="1">
      <alignment horizontal="center" vertical="center"/>
    </xf>
    <xf numFmtId="3" fontId="0" fillId="3" borderId="0" xfId="0" applyNumberFormat="1" applyFill="1" applyBorder="1" applyAlignment="1">
      <alignment horizontal="center" vertical="center"/>
    </xf>
    <xf numFmtId="0" fontId="0" fillId="3" borderId="0" xfId="0" applyFont="1" applyFill="1" applyBorder="1" applyAlignment="1">
      <alignment horizontal="left" vertical="center"/>
    </xf>
    <xf numFmtId="9" fontId="4" fillId="3" borderId="5" xfId="6" applyFont="1" applyFill="1" applyBorder="1" applyAlignment="1">
      <alignment horizontal="center" vertical="center"/>
    </xf>
    <xf numFmtId="0" fontId="4" fillId="3" borderId="0" xfId="10" applyFont="1" applyFill="1" applyBorder="1" applyAlignment="1">
      <alignment horizontal="center"/>
    </xf>
    <xf numFmtId="10" fontId="4" fillId="3" borderId="0" xfId="6" applyNumberFormat="1" applyFont="1" applyFill="1" applyBorder="1"/>
    <xf numFmtId="3" fontId="4" fillId="0" borderId="0" xfId="10" applyNumberFormat="1" applyFont="1" applyFill="1" applyBorder="1"/>
    <xf numFmtId="10" fontId="25" fillId="3" borderId="5" xfId="6" applyNumberFormat="1" applyFont="1" applyFill="1" applyBorder="1" applyAlignment="1">
      <alignment horizontal="center"/>
    </xf>
    <xf numFmtId="0" fontId="27" fillId="3" borderId="5" xfId="4" applyFont="1" applyFill="1" applyBorder="1" applyAlignment="1">
      <alignment horizontal="left" vertical="center"/>
    </xf>
    <xf numFmtId="0" fontId="27" fillId="3" borderId="5" xfId="4" applyFont="1" applyFill="1" applyBorder="1" applyAlignment="1">
      <alignment horizontal="center" vertical="center"/>
    </xf>
    <xf numFmtId="0" fontId="27" fillId="3" borderId="5" xfId="0" applyFont="1" applyFill="1" applyBorder="1"/>
    <xf numFmtId="9" fontId="25" fillId="3" borderId="5" xfId="6" applyFont="1" applyFill="1" applyBorder="1" applyAlignment="1">
      <alignment horizontal="center" vertical="center"/>
    </xf>
    <xf numFmtId="0" fontId="0" fillId="3" borderId="5" xfId="0" applyFill="1" applyBorder="1" applyAlignment="1">
      <alignment horizontal="center" vertical="center"/>
    </xf>
    <xf numFmtId="3" fontId="12" fillId="3" borderId="5" xfId="4" applyNumberFormat="1" applyFill="1" applyBorder="1" applyAlignment="1">
      <alignment horizontal="center" vertical="center"/>
    </xf>
    <xf numFmtId="0" fontId="26" fillId="3" borderId="0" xfId="0" applyFont="1" applyFill="1"/>
    <xf numFmtId="0" fontId="24" fillId="3" borderId="0" xfId="0" applyFont="1" applyFill="1" applyBorder="1"/>
    <xf numFmtId="0" fontId="24" fillId="3" borderId="23" xfId="0" applyFont="1" applyFill="1" applyBorder="1"/>
    <xf numFmtId="0" fontId="28" fillId="3" borderId="0" xfId="0" applyFont="1" applyFill="1"/>
    <xf numFmtId="174" fontId="29" fillId="3" borderId="0" xfId="0" applyNumberFormat="1" applyFont="1" applyFill="1"/>
    <xf numFmtId="0" fontId="30" fillId="3" borderId="0" xfId="0" applyFont="1" applyFill="1" applyAlignment="1">
      <alignment horizontal="center"/>
    </xf>
    <xf numFmtId="0" fontId="17" fillId="3" borderId="0" xfId="0" applyFont="1" applyFill="1"/>
    <xf numFmtId="0" fontId="31" fillId="3" borderId="4" xfId="16" applyFont="1" applyFill="1" applyBorder="1"/>
    <xf numFmtId="0" fontId="17" fillId="3" borderId="0" xfId="16" applyFont="1" applyFill="1"/>
    <xf numFmtId="0" fontId="32" fillId="3" borderId="0" xfId="16" applyFont="1" applyFill="1" applyBorder="1" applyAlignment="1">
      <alignment horizontal="centerContinuous"/>
    </xf>
    <xf numFmtId="0" fontId="32" fillId="3" borderId="0" xfId="16" applyFont="1" applyFill="1" applyBorder="1"/>
    <xf numFmtId="0" fontId="17" fillId="3" borderId="0" xfId="16" applyFont="1" applyFill="1" applyBorder="1"/>
    <xf numFmtId="0" fontId="33" fillId="3" borderId="0" xfId="16" applyFont="1" applyFill="1" applyAlignment="1">
      <alignment horizontal="left" vertical="center" wrapText="1"/>
    </xf>
    <xf numFmtId="10" fontId="33" fillId="3" borderId="0" xfId="16" applyNumberFormat="1" applyFont="1" applyFill="1" applyBorder="1" applyAlignment="1" applyProtection="1">
      <alignment horizontal="left" vertical="center" wrapText="1"/>
      <protection locked="0"/>
    </xf>
    <xf numFmtId="0" fontId="33" fillId="3" borderId="0" xfId="0" applyFont="1" applyFill="1" applyAlignment="1">
      <alignment horizontal="left" vertical="center" wrapText="1"/>
    </xf>
    <xf numFmtId="0" fontId="10" fillId="3" borderId="0" xfId="3" applyFill="1" applyAlignment="1" applyProtection="1">
      <alignment vertical="center"/>
    </xf>
    <xf numFmtId="175" fontId="17" fillId="3" borderId="0" xfId="16" applyNumberFormat="1" applyFont="1" applyFill="1" applyBorder="1" applyProtection="1">
      <protection locked="0"/>
    </xf>
    <xf numFmtId="0" fontId="33" fillId="3" borderId="0" xfId="16" applyFont="1" applyFill="1" applyBorder="1" applyAlignment="1">
      <alignment horizontal="left" vertical="center" wrapText="1"/>
    </xf>
    <xf numFmtId="10" fontId="33" fillId="3" borderId="0" xfId="6" applyNumberFormat="1" applyFont="1" applyFill="1" applyBorder="1" applyAlignment="1" applyProtection="1">
      <alignment horizontal="left" vertical="center" wrapText="1"/>
    </xf>
    <xf numFmtId="0" fontId="33" fillId="3" borderId="0" xfId="16" applyFont="1" applyFill="1" applyAlignment="1">
      <alignment vertical="center"/>
    </xf>
    <xf numFmtId="175" fontId="34" fillId="3" borderId="0" xfId="6" applyNumberFormat="1" applyFont="1" applyFill="1" applyBorder="1" applyProtection="1"/>
    <xf numFmtId="0" fontId="33" fillId="3" borderId="4" xfId="16" applyFont="1" applyFill="1" applyBorder="1" applyAlignment="1">
      <alignment horizontal="left" vertical="center" wrapText="1"/>
    </xf>
    <xf numFmtId="10" fontId="33" fillId="3" borderId="4" xfId="16" applyNumberFormat="1" applyFont="1" applyFill="1" applyBorder="1" applyAlignment="1" applyProtection="1">
      <alignment horizontal="left" vertical="center" wrapText="1"/>
      <protection locked="0"/>
    </xf>
    <xf numFmtId="0" fontId="10" fillId="3" borderId="4" xfId="3" applyFill="1" applyBorder="1" applyAlignment="1" applyProtection="1">
      <alignment vertical="center"/>
    </xf>
    <xf numFmtId="39" fontId="17" fillId="3" borderId="0" xfId="16" applyNumberFormat="1" applyFont="1" applyFill="1" applyBorder="1" applyProtection="1"/>
    <xf numFmtId="10" fontId="33" fillId="3" borderId="0" xfId="16" applyNumberFormat="1" applyFont="1" applyFill="1" applyBorder="1" applyAlignment="1" applyProtection="1">
      <alignment horizontal="left" vertical="center" wrapText="1"/>
    </xf>
    <xf numFmtId="175" fontId="35" fillId="3" borderId="0" xfId="16" applyNumberFormat="1" applyFont="1" applyFill="1" applyBorder="1" applyProtection="1"/>
    <xf numFmtId="10" fontId="32" fillId="3" borderId="0" xfId="16" applyNumberFormat="1" applyFont="1" applyFill="1" applyBorder="1" applyProtection="1">
      <protection locked="0"/>
    </xf>
    <xf numFmtId="10" fontId="33" fillId="3" borderId="4" xfId="16" applyNumberFormat="1" applyFont="1" applyFill="1" applyBorder="1" applyAlignment="1" applyProtection="1">
      <alignment horizontal="left" vertical="center" wrapText="1"/>
    </xf>
    <xf numFmtId="0" fontId="33" fillId="3" borderId="4" xfId="16" applyFont="1" applyFill="1" applyBorder="1" applyAlignment="1">
      <alignment vertical="center"/>
    </xf>
    <xf numFmtId="0" fontId="4" fillId="3" borderId="21" xfId="0" applyFont="1" applyFill="1" applyBorder="1"/>
    <xf numFmtId="10" fontId="4" fillId="3" borderId="5" xfId="6" applyNumberFormat="1" applyFont="1" applyFill="1" applyBorder="1" applyAlignment="1">
      <alignment horizontal="center"/>
    </xf>
    <xf numFmtId="0" fontId="4" fillId="3" borderId="5" xfId="0" applyFont="1" applyFill="1" applyBorder="1" applyAlignment="1">
      <alignment horizontal="center"/>
    </xf>
    <xf numFmtId="9" fontId="4" fillId="3" borderId="5" xfId="0" applyNumberFormat="1" applyFont="1" applyFill="1" applyBorder="1" applyAlignment="1">
      <alignment horizontal="center"/>
    </xf>
    <xf numFmtId="0" fontId="4" fillId="3" borderId="21" xfId="0" applyFont="1" applyFill="1" applyBorder="1" applyAlignment="1"/>
    <xf numFmtId="0" fontId="4" fillId="3" borderId="0" xfId="0" applyFont="1" applyFill="1" applyBorder="1" applyAlignment="1"/>
    <xf numFmtId="9" fontId="4" fillId="3" borderId="5" xfId="6" applyFont="1" applyFill="1" applyBorder="1" applyAlignment="1">
      <alignment horizontal="center"/>
    </xf>
    <xf numFmtId="0" fontId="0" fillId="3" borderId="5" xfId="0" applyFill="1" applyBorder="1" applyAlignment="1">
      <alignment horizontal="center"/>
    </xf>
    <xf numFmtId="10" fontId="0" fillId="3" borderId="5" xfId="0" applyNumberFormat="1" applyFill="1" applyBorder="1" applyAlignment="1">
      <alignment horizontal="center"/>
    </xf>
    <xf numFmtId="0" fontId="1" fillId="3" borderId="5" xfId="10" applyFont="1" applyFill="1" applyBorder="1"/>
    <xf numFmtId="10" fontId="25" fillId="3" borderId="5" xfId="0" applyNumberFormat="1" applyFont="1" applyFill="1" applyBorder="1"/>
    <xf numFmtId="173" fontId="1" fillId="3" borderId="5" xfId="13" applyNumberFormat="1" applyFont="1" applyFill="1" applyBorder="1"/>
    <xf numFmtId="0" fontId="1" fillId="3" borderId="0" xfId="10" applyFont="1" applyFill="1"/>
    <xf numFmtId="0" fontId="1" fillId="3" borderId="5" xfId="10" applyFont="1" applyFill="1" applyBorder="1" applyAlignment="1">
      <alignment horizontal="center"/>
    </xf>
    <xf numFmtId="173" fontId="1" fillId="3" borderId="5" xfId="13" applyNumberFormat="1" applyFont="1" applyFill="1" applyBorder="1" applyAlignment="1">
      <alignment horizontal="center" vertical="center"/>
    </xf>
    <xf numFmtId="0" fontId="1" fillId="3" borderId="5" xfId="10" applyFont="1" applyFill="1" applyBorder="1" applyAlignment="1">
      <alignment horizontal="center" vertical="center"/>
    </xf>
    <xf numFmtId="173" fontId="1" fillId="3" borderId="0" xfId="13" applyNumberFormat="1" applyFont="1" applyFill="1"/>
    <xf numFmtId="173" fontId="1" fillId="3" borderId="5" xfId="10" applyNumberFormat="1" applyFont="1" applyFill="1" applyBorder="1" applyAlignment="1">
      <alignment horizontal="center" vertical="center"/>
    </xf>
    <xf numFmtId="10" fontId="7" fillId="4" borderId="0" xfId="6" applyNumberFormat="1" applyFont="1" applyFill="1" applyAlignment="1">
      <alignment horizontal="center"/>
    </xf>
    <xf numFmtId="9" fontId="25" fillId="3" borderId="5" xfId="6" applyNumberFormat="1" applyFont="1" applyFill="1" applyBorder="1" applyAlignment="1">
      <alignment horizontal="center"/>
    </xf>
    <xf numFmtId="3" fontId="26" fillId="3" borderId="0" xfId="0" applyNumberFormat="1" applyFont="1" applyFill="1"/>
    <xf numFmtId="164" fontId="0" fillId="3" borderId="0" xfId="0" applyNumberFormat="1" applyFill="1"/>
    <xf numFmtId="0" fontId="25" fillId="3" borderId="0" xfId="0" applyFont="1" applyFill="1" applyBorder="1" applyAlignment="1">
      <alignment horizontal="left" vertical="center"/>
    </xf>
    <xf numFmtId="3" fontId="25" fillId="3" borderId="0" xfId="0" applyNumberFormat="1" applyFont="1" applyFill="1" applyBorder="1" applyAlignment="1">
      <alignment horizontal="center" vertical="center"/>
    </xf>
    <xf numFmtId="3" fontId="4" fillId="3" borderId="0" xfId="0" applyNumberFormat="1" applyFont="1" applyFill="1" applyBorder="1" applyAlignment="1">
      <alignment horizontal="center" vertical="center"/>
    </xf>
    <xf numFmtId="0" fontId="4" fillId="3" borderId="0" xfId="0" applyFont="1" applyFill="1" applyBorder="1"/>
    <xf numFmtId="3" fontId="4" fillId="3" borderId="0" xfId="0" applyNumberFormat="1" applyFont="1" applyFill="1" applyBorder="1"/>
    <xf numFmtId="3" fontId="4" fillId="3" borderId="0" xfId="0" applyNumberFormat="1" applyFont="1" applyFill="1"/>
    <xf numFmtId="0" fontId="4" fillId="3" borderId="0" xfId="0" applyFont="1" applyFill="1" applyBorder="1" applyAlignment="1">
      <alignment horizontal="center" vertical="center"/>
    </xf>
    <xf numFmtId="0" fontId="6" fillId="0" borderId="9"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6" fillId="0" borderId="1" xfId="0" applyFont="1" applyBorder="1" applyAlignment="1">
      <alignment horizontal="center"/>
    </xf>
    <xf numFmtId="0" fontId="7" fillId="0" borderId="0" xfId="0" applyFont="1" applyFill="1" applyAlignment="1">
      <alignment horizontal="center"/>
    </xf>
    <xf numFmtId="0" fontId="5" fillId="0" borderId="1" xfId="0" applyFont="1" applyBorder="1" applyAlignment="1">
      <alignment horizontal="center"/>
    </xf>
    <xf numFmtId="0" fontId="7" fillId="0" borderId="0" xfId="0" applyFont="1" applyBorder="1" applyAlignment="1">
      <alignment horizontal="center"/>
    </xf>
    <xf numFmtId="0" fontId="7" fillId="0" borderId="0" xfId="0" applyFont="1" applyAlignment="1">
      <alignment horizontal="center"/>
    </xf>
    <xf numFmtId="0" fontId="0" fillId="3" borderId="0" xfId="0" applyFill="1" applyBorder="1" applyAlignment="1">
      <alignment horizontal="center" vertical="center"/>
    </xf>
    <xf numFmtId="0" fontId="27" fillId="3" borderId="5" xfId="0" applyFont="1" applyFill="1" applyBorder="1" applyAlignment="1">
      <alignment horizontal="center"/>
    </xf>
    <xf numFmtId="0" fontId="4" fillId="3" borderId="0" xfId="0" applyFont="1" applyFill="1" applyBorder="1" applyAlignment="1">
      <alignment horizontal="center" vertical="center" wrapText="1"/>
    </xf>
    <xf numFmtId="0" fontId="31" fillId="3" borderId="4" xfId="16" applyFont="1" applyFill="1" applyBorder="1" applyAlignment="1">
      <alignment horizontal="center"/>
    </xf>
    <xf numFmtId="0" fontId="4" fillId="3" borderId="5" xfId="0" applyFont="1" applyFill="1" applyBorder="1" applyAlignment="1">
      <alignment horizontal="center"/>
    </xf>
  </cellXfs>
  <cellStyles count="17">
    <cellStyle name="Hyperlink" xfId="3" builtinId="8"/>
    <cellStyle name="Moeda" xfId="2" builtinId="4"/>
    <cellStyle name="Normal" xfId="0" builtinId="0"/>
    <cellStyle name="Normal 2" xfId="4"/>
    <cellStyle name="Normal 3" xfId="5"/>
    <cellStyle name="Normal 4" xfId="10"/>
    <cellStyle name="Normal 5" xfId="15"/>
    <cellStyle name="Normal_Sheet1_WACC_model_revised" xfId="16"/>
    <cellStyle name="Porcentagem" xfId="6" builtinId="5"/>
    <cellStyle name="Porcentagem 2" xfId="7"/>
    <cellStyle name="Porcentagem 2 2" xfId="11"/>
    <cellStyle name="Porcentagem 3" xfId="12"/>
    <cellStyle name="Separador de milhares" xfId="1" builtinId="3"/>
    <cellStyle name="Separador de milhares 18" xfId="8"/>
    <cellStyle name="Separador de milhares 2" xfId="9"/>
    <cellStyle name="Separador de milhares 2 2" xfId="13"/>
    <cellStyle name="Separador de milhares 3"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457200</xdr:colOff>
      <xdr:row>0</xdr:row>
      <xdr:rowOff>85725</xdr:rowOff>
    </xdr:from>
    <xdr:ext cx="8963025" cy="1609725"/>
    <xdr:sp macro="" textlink="">
      <xdr:nvSpPr>
        <xdr:cNvPr id="2" name="CaixaDeTexto 1"/>
        <xdr:cNvSpPr txBox="1"/>
      </xdr:nvSpPr>
      <xdr:spPr>
        <a:xfrm>
          <a:off x="457200" y="85725"/>
          <a:ext cx="8963025" cy="16097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050" b="1" i="0" u="sng" strike="noStrike" baseline="0" smtClean="0">
              <a:solidFill>
                <a:schemeClr val="tx1"/>
              </a:solidFill>
              <a:latin typeface="+mn-lt"/>
              <a:ea typeface="+mn-ea"/>
              <a:cs typeface="+mn-cs"/>
            </a:rPr>
            <a:t>National Electric System Operator (from the Portuguese </a:t>
          </a:r>
          <a:r>
            <a:rPr lang="en-US" sz="1050" b="1" i="1" u="sng" strike="noStrike" baseline="0" smtClean="0">
              <a:solidFill>
                <a:schemeClr val="tx1"/>
              </a:solidFill>
              <a:latin typeface="+mn-lt"/>
              <a:ea typeface="+mn-ea"/>
              <a:cs typeface="+mn-cs"/>
            </a:rPr>
            <a:t>Operador Nacional do Sistema Elétrico - ONS</a:t>
          </a:r>
          <a:r>
            <a:rPr lang="en-US" sz="1050" b="1" i="0" u="sng" strike="noStrike" baseline="0" smtClean="0">
              <a:solidFill>
                <a:schemeClr val="tx1"/>
              </a:solidFill>
              <a:latin typeface="+mn-lt"/>
              <a:ea typeface="+mn-ea"/>
              <a:cs typeface="+mn-cs"/>
            </a:rPr>
            <a:t>) </a:t>
          </a:r>
          <a:r>
            <a:rPr lang="pt-BR" sz="1050" b="1" i="0" u="sng" strike="noStrike" baseline="0" smtClean="0">
              <a:solidFill>
                <a:schemeClr val="tx1"/>
              </a:solidFill>
              <a:latin typeface="+mn-lt"/>
              <a:ea typeface="+mn-ea"/>
              <a:cs typeface="+mn-cs"/>
            </a:rPr>
            <a:t> Costs:</a:t>
          </a:r>
        </a:p>
        <a:p>
          <a:r>
            <a:rPr lang="pt-BR" sz="1050" b="0" i="0" u="none" strike="noStrike" baseline="0" smtClean="0">
              <a:solidFill>
                <a:schemeClr val="tx1"/>
              </a:solidFill>
              <a:latin typeface="+mn-lt"/>
              <a:ea typeface="+mn-ea"/>
              <a:cs typeface="+mn-cs"/>
            </a:rPr>
            <a:t>The ONS was created by the Law nr. 9,648, dated May, 27th 1998 and it is a non-profit entity. The ONS is responsible for the coordination and control of the  facilities' operation of electricity generation and transmission in the Interconnected Electricity System (from the Portuguese Sistema Interligado Nacional – SIN). The ONS is under  ANEEL supervision and regulation.</a:t>
          </a:r>
        </a:p>
        <a:p>
          <a:r>
            <a:rPr lang="pt-BR" sz="1050" b="0" i="0" u="none" strike="noStrike" baseline="0" smtClean="0">
              <a:solidFill>
                <a:schemeClr val="tx1"/>
              </a:solidFill>
              <a:latin typeface="+mn-lt"/>
              <a:ea typeface="+mn-ea"/>
              <a:cs typeface="+mn-cs"/>
            </a:rPr>
            <a:t>About 95% of ONS revenues is from the charges paid due to the use of the transmission system, determined by ANEEL. The 5% left is from the  associate member contribution, proportional to the votes number at the Assembly. The associate members are centralized dispached plants generation agents, the transmission agents, the distributors agents which is part of the SIN, the importers and exporters agents and free consumers connected to the basic grid.  The generation category presents 10,000 votes of  28,000, in which 20% are equally shared between the associated members and 80% proportional to the installed capacity. (source: ANEEL authoritative resolution 328, from 12 August 2004).</a:t>
          </a:r>
        </a:p>
        <a:p>
          <a:r>
            <a:rPr lang="pt-BR" sz="1050" b="0" i="0" u="none" strike="noStrike" baseline="0" smtClean="0">
              <a:solidFill>
                <a:schemeClr val="tx1"/>
              </a:solidFill>
              <a:latin typeface="+mn-lt"/>
              <a:ea typeface="+mn-ea"/>
              <a:cs typeface="+mn-cs"/>
            </a:rPr>
            <a:t> </a:t>
          </a:r>
        </a:p>
        <a:p>
          <a:endParaRPr lang="pt-BR" sz="105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19050</xdr:colOff>
      <xdr:row>1</xdr:row>
      <xdr:rowOff>95250</xdr:rowOff>
    </xdr:from>
    <xdr:ext cx="8724900" cy="1297919"/>
    <xdr:sp macro="" textlink="">
      <xdr:nvSpPr>
        <xdr:cNvPr id="2" name="CaixaDeTexto 1"/>
        <xdr:cNvSpPr txBox="1"/>
      </xdr:nvSpPr>
      <xdr:spPr>
        <a:xfrm>
          <a:off x="628650" y="257175"/>
          <a:ext cx="8724900" cy="12979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CA" sz="1100" b="1" i="0" u="sng" strike="noStrike" baseline="0" smtClean="0">
              <a:solidFill>
                <a:schemeClr val="tx1"/>
              </a:solidFill>
              <a:latin typeface="+mn-lt"/>
              <a:ea typeface="+mn-ea"/>
              <a:cs typeface="+mn-cs"/>
            </a:rPr>
            <a:t>Chamber of Electrical Energy Commercialization (from the Portuguese </a:t>
          </a:r>
          <a:r>
            <a:rPr lang="en-CA" sz="1100" b="1" i="1" u="sng" strike="noStrike" baseline="0" smtClean="0">
              <a:solidFill>
                <a:schemeClr val="tx1"/>
              </a:solidFill>
              <a:latin typeface="+mn-lt"/>
              <a:ea typeface="+mn-ea"/>
              <a:cs typeface="+mn-cs"/>
            </a:rPr>
            <a:t>Câmara de Comercialização de Energia Elétrica - CCEE</a:t>
          </a:r>
          <a:r>
            <a:rPr lang="en-CA" sz="1100" b="1" i="0" u="sng" strike="noStrike" baseline="0" smtClean="0">
              <a:solidFill>
                <a:schemeClr val="tx1"/>
              </a:solidFill>
              <a:latin typeface="+mn-lt"/>
              <a:ea typeface="+mn-ea"/>
              <a:cs typeface="+mn-cs"/>
            </a:rPr>
            <a:t>) Contribution</a:t>
          </a:r>
        </a:p>
        <a:p>
          <a:r>
            <a:rPr lang="en-CA" sz="1100" b="0" i="0" u="none" strike="noStrike" baseline="0" smtClean="0">
              <a:solidFill>
                <a:schemeClr val="tx1"/>
              </a:solidFill>
              <a:latin typeface="+mn-lt"/>
              <a:ea typeface="+mn-ea"/>
              <a:cs typeface="+mn-cs"/>
            </a:rPr>
            <a:t>According to  the Article 12 of the Decree nr. 5,177 from 2004*, the total costs, including the operational and investment costs  from  CCEE activities will be shared  between all CCEE agents, proportionally to the votes number that each agent presents. The total votes number of the Assembly is  100,000, in which 5,000 will be equally shared between all CCEE agents and 95,000 votes are shared between the agents  at the proportion of the commercialized electricity  at CCEE.  The electricity commercialized at CCEE by agents is calculates based on the result of the last 12 months counted and  audited by  the  Accounting and Settlement Process Auditor, considering any re-counting  of the months pertaining to the period (source: CCEE, Procedimentos de Comercialização - Admnistrar votos e contribuição associativa, 2010**).</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portal/Documents%20and%20Settings/Carlos/Desktop/Cj%20Independent/Financial%20Models/Manaus/BNP%20Paribas/Ponta%20Negra%200510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portal/Documents%20and%20Settings/Carlos%20Pinto/Desktop/Cj%20Independent/Financial%20Models/Manaus/UTE-Ponta%20Negra%20(08.15.0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Sens"/>
      <sheetName val="Sens2"/>
      <sheetName val="Assump"/>
      <sheetName val="Macroeco"/>
      <sheetName val="Capex"/>
      <sheetName val="U&amp;S"/>
      <sheetName val="Chart"/>
      <sheetName val="Debt"/>
      <sheetName val="CF"/>
      <sheetName val="IS"/>
      <sheetName val="BS"/>
      <sheetName val="Return"/>
    </sheetNames>
    <sheetDataSet>
      <sheetData sheetId="0">
        <row r="1">
          <cell r="G1" t="str">
            <v>Sensitivities</v>
          </cell>
        </row>
        <row r="2">
          <cell r="G2" t="str">
            <v>Macroeconomic scenario</v>
          </cell>
          <cell r="I2">
            <v>2</v>
          </cell>
        </row>
        <row r="3">
          <cell r="G3" t="str">
            <v>Dispatch factor</v>
          </cell>
          <cell r="I3">
            <v>1</v>
          </cell>
        </row>
        <row r="4">
          <cell r="G4" t="str">
            <v>Capex cos increase</v>
          </cell>
          <cell r="H4" t="b">
            <v>1</v>
          </cell>
          <cell r="I4">
            <v>0</v>
          </cell>
        </row>
        <row r="5">
          <cell r="G5" t="str">
            <v>Financial close date</v>
          </cell>
          <cell r="I5">
            <v>38687</v>
          </cell>
        </row>
        <row r="6">
          <cell r="G6" t="str">
            <v>Minimum shareholder funds required</v>
          </cell>
          <cell r="I6">
            <v>0.3</v>
          </cell>
        </row>
        <row r="9">
          <cell r="G9" t="str">
            <v>Coverage</v>
          </cell>
          <cell r="I9" t="str">
            <v xml:space="preserve">Times  </v>
          </cell>
        </row>
        <row r="10">
          <cell r="I10">
            <v>1.4241154639678273</v>
          </cell>
        </row>
        <row r="11">
          <cell r="G11" t="str">
            <v>Average DSCR</v>
          </cell>
          <cell r="I11">
            <v>2.5734198378109059</v>
          </cell>
        </row>
        <row r="13">
          <cell r="G13" t="str">
            <v>Payback</v>
          </cell>
          <cell r="I13" t="str">
            <v xml:space="preserve">Years  </v>
          </cell>
        </row>
        <row r="14">
          <cell r="D14">
            <v>105287677.1209735</v>
          </cell>
        </row>
        <row r="16">
          <cell r="G16" t="str">
            <v>Equity US$</v>
          </cell>
          <cell r="I16">
            <v>12</v>
          </cell>
        </row>
      </sheetData>
      <sheetData sheetId="1"/>
      <sheetData sheetId="2"/>
      <sheetData sheetId="3">
        <row r="2">
          <cell r="D2">
            <v>38534</v>
          </cell>
        </row>
        <row r="3">
          <cell r="D3">
            <v>12</v>
          </cell>
        </row>
        <row r="4">
          <cell r="D4">
            <v>38899</v>
          </cell>
        </row>
        <row r="13">
          <cell r="D13">
            <v>1</v>
          </cell>
        </row>
        <row r="28">
          <cell r="D28">
            <v>99</v>
          </cell>
        </row>
        <row r="278">
          <cell r="D278">
            <v>5.2299999999999999E-2</v>
          </cell>
        </row>
        <row r="279">
          <cell r="D279">
            <v>6.8400000000000002E-2</v>
          </cell>
        </row>
        <row r="280">
          <cell r="D280">
            <v>0.15</v>
          </cell>
        </row>
        <row r="281">
          <cell r="D281">
            <v>0</v>
          </cell>
        </row>
        <row r="284">
          <cell r="D284">
            <v>0.7</v>
          </cell>
        </row>
        <row r="293">
          <cell r="B293">
            <v>38687</v>
          </cell>
        </row>
        <row r="294">
          <cell r="B294">
            <v>6</v>
          </cell>
        </row>
        <row r="297">
          <cell r="D297" t="b">
            <v>1</v>
          </cell>
          <cell r="E297" t="b">
            <v>0</v>
          </cell>
          <cell r="F297" t="b">
            <v>0</v>
          </cell>
        </row>
        <row r="304">
          <cell r="D304">
            <v>55900940.465672478</v>
          </cell>
        </row>
        <row r="305">
          <cell r="D305">
            <v>55900940.465672478</v>
          </cell>
          <cell r="E305">
            <v>60000000</v>
          </cell>
        </row>
        <row r="306">
          <cell r="E306">
            <v>60000000</v>
          </cell>
        </row>
        <row r="322">
          <cell r="D322">
            <v>3705421.4155781181</v>
          </cell>
          <cell r="E322">
            <v>0</v>
          </cell>
          <cell r="F322">
            <v>0</v>
          </cell>
        </row>
        <row r="323">
          <cell r="D323">
            <v>3705421.4155781181</v>
          </cell>
          <cell r="E323">
            <v>0</v>
          </cell>
          <cell r="F323">
            <v>0</v>
          </cell>
        </row>
      </sheetData>
      <sheetData sheetId="4">
        <row r="3">
          <cell r="B3">
            <v>2</v>
          </cell>
        </row>
        <row r="5">
          <cell r="C5">
            <v>2003</v>
          </cell>
          <cell r="D5">
            <v>2004</v>
          </cell>
          <cell r="E5">
            <v>2005</v>
          </cell>
          <cell r="F5">
            <v>2006</v>
          </cell>
          <cell r="G5">
            <v>2007</v>
          </cell>
          <cell r="H5">
            <v>2008</v>
          </cell>
          <cell r="I5">
            <v>2009</v>
          </cell>
          <cell r="J5">
            <v>2010</v>
          </cell>
          <cell r="K5">
            <v>2011</v>
          </cell>
          <cell r="L5">
            <v>2012</v>
          </cell>
          <cell r="M5">
            <v>2013</v>
          </cell>
          <cell r="N5">
            <v>2014</v>
          </cell>
          <cell r="O5">
            <v>2015</v>
          </cell>
          <cell r="P5">
            <v>2016</v>
          </cell>
          <cell r="Q5">
            <v>2017</v>
          </cell>
          <cell r="R5">
            <v>2018</v>
          </cell>
          <cell r="S5">
            <v>2019</v>
          </cell>
          <cell r="T5">
            <v>2020</v>
          </cell>
          <cell r="U5">
            <v>2021</v>
          </cell>
          <cell r="V5">
            <v>2022</v>
          </cell>
          <cell r="W5">
            <v>2023</v>
          </cell>
          <cell r="X5">
            <v>2024</v>
          </cell>
          <cell r="Y5">
            <v>2025</v>
          </cell>
          <cell r="Z5">
            <v>2026</v>
          </cell>
          <cell r="AA5">
            <v>2027</v>
          </cell>
          <cell r="AB5">
            <v>2028</v>
          </cell>
          <cell r="AC5">
            <v>2029</v>
          </cell>
          <cell r="AD5">
            <v>2030</v>
          </cell>
        </row>
        <row r="6">
          <cell r="C6">
            <v>8.7083328718522202E-2</v>
          </cell>
          <cell r="D6">
            <v>0.12419987276349875</v>
          </cell>
          <cell r="E6">
            <v>1.34E-2</v>
          </cell>
          <cell r="F6">
            <v>4.8500000000000001E-2</v>
          </cell>
          <cell r="G6">
            <v>4.7399999999999998E-2</v>
          </cell>
          <cell r="H6">
            <v>4.5999999999999999E-2</v>
          </cell>
          <cell r="I6">
            <v>4.65E-2</v>
          </cell>
          <cell r="J6">
            <v>4.65E-2</v>
          </cell>
          <cell r="K6">
            <v>4.65E-2</v>
          </cell>
          <cell r="L6">
            <v>4.65E-2</v>
          </cell>
          <cell r="M6">
            <v>4.65E-2</v>
          </cell>
          <cell r="N6">
            <v>4.65E-2</v>
          </cell>
          <cell r="O6">
            <v>4.65E-2</v>
          </cell>
          <cell r="P6">
            <v>4.65E-2</v>
          </cell>
          <cell r="Q6">
            <v>4.65E-2</v>
          </cell>
          <cell r="R6">
            <v>4.65E-2</v>
          </cell>
          <cell r="S6">
            <v>4.65E-2</v>
          </cell>
          <cell r="T6">
            <v>4.65E-2</v>
          </cell>
          <cell r="U6">
            <v>4.65E-2</v>
          </cell>
          <cell r="V6">
            <v>4.65E-2</v>
          </cell>
          <cell r="W6">
            <v>4.65E-2</v>
          </cell>
          <cell r="X6">
            <v>4.65E-2</v>
          </cell>
          <cell r="Y6">
            <v>4.65E-2</v>
          </cell>
          <cell r="Z6">
            <v>4.65E-2</v>
          </cell>
          <cell r="AA6">
            <v>4.65E-2</v>
          </cell>
          <cell r="AB6">
            <v>4.65E-2</v>
          </cell>
          <cell r="AC6">
            <v>4.65E-2</v>
          </cell>
          <cell r="AD6">
            <v>4.65E-2</v>
          </cell>
        </row>
        <row r="7">
          <cell r="C7">
            <v>1</v>
          </cell>
          <cell r="D7">
            <v>1.1241998727634988</v>
          </cell>
          <cell r="E7">
            <v>1.1392641510585297</v>
          </cell>
          <cell r="F7">
            <v>1.1945184623848684</v>
          </cell>
          <cell r="G7">
            <v>1.2511386375019113</v>
          </cell>
          <cell r="H7">
            <v>1.3086910148269992</v>
          </cell>
          <cell r="I7">
            <v>1.3695451470164546</v>
          </cell>
          <cell r="J7">
            <v>1.4332289963527196</v>
          </cell>
          <cell r="K7">
            <v>1.499874144683121</v>
          </cell>
          <cell r="L7">
            <v>1.5696182924108861</v>
          </cell>
          <cell r="M7">
            <v>1.6426055430079922</v>
          </cell>
          <cell r="N7">
            <v>1.7189867007578639</v>
          </cell>
          <cell r="O7">
            <v>1.7989195823431046</v>
          </cell>
          <cell r="P7">
            <v>1.8825693429220589</v>
          </cell>
          <cell r="Q7">
            <v>1.9701088173679346</v>
          </cell>
          <cell r="R7">
            <v>2.0617188773755437</v>
          </cell>
          <cell r="S7">
            <v>2.1575888051735066</v>
          </cell>
          <cell r="T7">
            <v>2.2579166846140746</v>
          </cell>
          <cell r="U7">
            <v>2.3629098104486288</v>
          </cell>
          <cell r="V7">
            <v>2.4727851166344901</v>
          </cell>
          <cell r="W7">
            <v>2.587769624557994</v>
          </cell>
          <cell r="X7">
            <v>2.7081009120999409</v>
          </cell>
          <cell r="Y7">
            <v>2.8340276045125883</v>
          </cell>
          <cell r="Z7">
            <v>2.9658098881224237</v>
          </cell>
          <cell r="AA7">
            <v>3.1037200479201164</v>
          </cell>
          <cell r="AB7">
            <v>3.2480430301484016</v>
          </cell>
          <cell r="AC7">
            <v>3.399077031050302</v>
          </cell>
          <cell r="AD7">
            <v>3.5571341129941412</v>
          </cell>
        </row>
        <row r="8">
          <cell r="C8">
            <v>9.2999493292351243E-2</v>
          </cell>
          <cell r="D8">
            <v>7.6006441380604084E-2</v>
          </cell>
          <cell r="E8">
            <v>5.2600000000000001E-2</v>
          </cell>
          <cell r="F8">
            <v>4.6899999999999997E-2</v>
          </cell>
          <cell r="G8">
            <v>4.5900000000000003E-2</v>
          </cell>
          <cell r="H8">
            <v>4.4400000000000002E-2</v>
          </cell>
          <cell r="I8">
            <v>4.3799999999999999E-2</v>
          </cell>
          <cell r="J8">
            <v>4.3799999999999999E-2</v>
          </cell>
          <cell r="K8">
            <v>4.3799999999999999E-2</v>
          </cell>
          <cell r="L8">
            <v>4.3799999999999999E-2</v>
          </cell>
          <cell r="M8">
            <v>4.3799999999999999E-2</v>
          </cell>
          <cell r="N8">
            <v>4.3799999999999999E-2</v>
          </cell>
          <cell r="O8">
            <v>4.3799999999999999E-2</v>
          </cell>
          <cell r="P8">
            <v>4.3799999999999999E-2</v>
          </cell>
          <cell r="Q8">
            <v>4.3799999999999999E-2</v>
          </cell>
          <cell r="R8">
            <v>4.3799999999999999E-2</v>
          </cell>
          <cell r="S8">
            <v>4.3799999999999999E-2</v>
          </cell>
          <cell r="T8">
            <v>4.3799999999999999E-2</v>
          </cell>
          <cell r="U8">
            <v>4.3799999999999999E-2</v>
          </cell>
          <cell r="V8">
            <v>4.3799999999999999E-2</v>
          </cell>
          <cell r="W8">
            <v>4.3799999999999999E-2</v>
          </cell>
          <cell r="X8">
            <v>4.3799999999999999E-2</v>
          </cell>
          <cell r="Y8">
            <v>4.3799999999999999E-2</v>
          </cell>
          <cell r="Z8">
            <v>4.3799999999999999E-2</v>
          </cell>
          <cell r="AA8">
            <v>4.3799999999999999E-2</v>
          </cell>
          <cell r="AB8">
            <v>4.3799999999999999E-2</v>
          </cell>
          <cell r="AC8">
            <v>4.3799999999999999E-2</v>
          </cell>
          <cell r="AD8">
            <v>4.3799999999999999E-2</v>
          </cell>
        </row>
        <row r="9">
          <cell r="C9">
            <v>1</v>
          </cell>
          <cell r="D9">
            <v>1.0760064413806041</v>
          </cell>
          <cell r="E9">
            <v>1.1326043801972239</v>
          </cell>
          <cell r="F9">
            <v>1.1857235256284735</v>
          </cell>
          <cell r="G9">
            <v>1.2401482354548206</v>
          </cell>
          <cell r="H9">
            <v>1.2952108171090146</v>
          </cell>
          <cell r="I9">
            <v>1.3519410508983896</v>
          </cell>
          <cell r="J9">
            <v>1.4111560689277391</v>
          </cell>
          <cell r="K9">
            <v>1.4729647047467742</v>
          </cell>
          <cell r="L9">
            <v>1.5374805588146829</v>
          </cell>
          <cell r="M9">
            <v>1.6048222072907661</v>
          </cell>
          <cell r="N9">
            <v>1.6751134199701017</v>
          </cell>
          <cell r="O9">
            <v>1.7484833877647923</v>
          </cell>
          <cell r="P9">
            <v>1.8250669601488902</v>
          </cell>
          <cell r="Q9">
            <v>1.9050048930034118</v>
          </cell>
          <cell r="R9">
            <v>1.9884441073169614</v>
          </cell>
          <cell r="S9">
            <v>2.0755379592174443</v>
          </cell>
          <cell r="T9">
            <v>2.1664465218311686</v>
          </cell>
          <cell r="U9">
            <v>2.2613368794873741</v>
          </cell>
          <cell r="V9">
            <v>2.360383434808921</v>
          </cell>
          <cell r="W9">
            <v>2.4637682292535517</v>
          </cell>
          <cell r="X9">
            <v>2.5716812776948572</v>
          </cell>
          <cell r="Y9">
            <v>2.6843209176578919</v>
          </cell>
          <cell r="Z9">
            <v>2.8018941738513079</v>
          </cell>
          <cell r="AA9">
            <v>2.9246171386659952</v>
          </cell>
          <cell r="AB9">
            <v>3.0527153693395661</v>
          </cell>
          <cell r="AC9">
            <v>3.1864243025166394</v>
          </cell>
          <cell r="AD9">
            <v>3.3259896869668686</v>
          </cell>
        </row>
        <row r="10">
          <cell r="C10">
            <v>2.3E-2</v>
          </cell>
          <cell r="D10">
            <v>2.7E-2</v>
          </cell>
          <cell r="E10">
            <v>3.4000000000000002E-2</v>
          </cell>
          <cell r="F10">
            <v>3.1E-2</v>
          </cell>
          <cell r="G10">
            <v>2.5999999999999999E-2</v>
          </cell>
          <cell r="H10">
            <v>3.5000000000000003E-2</v>
          </cell>
          <cell r="I10">
            <v>3.5000000000000003E-2</v>
          </cell>
          <cell r="J10">
            <v>3.5000000000000003E-2</v>
          </cell>
          <cell r="K10">
            <v>3.5000000000000003E-2</v>
          </cell>
          <cell r="L10">
            <v>3.5000000000000003E-2</v>
          </cell>
          <cell r="M10">
            <v>3.5000000000000003E-2</v>
          </cell>
          <cell r="N10">
            <v>3.5000000000000003E-2</v>
          </cell>
          <cell r="O10">
            <v>3.5000000000000003E-2</v>
          </cell>
          <cell r="P10">
            <v>3.5000000000000003E-2</v>
          </cell>
          <cell r="Q10">
            <v>3.5000000000000003E-2</v>
          </cell>
          <cell r="R10">
            <v>3.5000000000000003E-2</v>
          </cell>
          <cell r="S10">
            <v>3.5000000000000003E-2</v>
          </cell>
          <cell r="T10">
            <v>3.5000000000000003E-2</v>
          </cell>
          <cell r="U10">
            <v>3.2000000000000001E-2</v>
          </cell>
          <cell r="V10">
            <v>3.2000000000000001E-2</v>
          </cell>
          <cell r="W10">
            <v>3.2000000000000001E-2</v>
          </cell>
          <cell r="X10">
            <v>3.2000000000000001E-2</v>
          </cell>
          <cell r="Y10">
            <v>3.2000000000000001E-2</v>
          </cell>
          <cell r="Z10">
            <v>3.2000000000000001E-2</v>
          </cell>
          <cell r="AA10">
            <v>3.2000000000000001E-2</v>
          </cell>
          <cell r="AB10">
            <v>3.2000000000000001E-2</v>
          </cell>
          <cell r="AC10">
            <v>3.2000000000000001E-2</v>
          </cell>
          <cell r="AD10">
            <v>3.2000000000000001E-2</v>
          </cell>
        </row>
        <row r="11">
          <cell r="C11">
            <v>1</v>
          </cell>
          <cell r="D11">
            <v>1.0269999999999999</v>
          </cell>
          <cell r="E11">
            <v>1.0619179999999999</v>
          </cell>
          <cell r="F11">
            <v>1.0948374579999998</v>
          </cell>
          <cell r="G11">
            <v>1.1233032319079999</v>
          </cell>
          <cell r="H11">
            <v>1.1626188450247799</v>
          </cell>
          <cell r="I11">
            <v>1.2033105046006471</v>
          </cell>
          <cell r="J11">
            <v>1.2454263722616696</v>
          </cell>
          <cell r="K11">
            <v>1.289016295290828</v>
          </cell>
          <cell r="L11">
            <v>1.3341318656260068</v>
          </cell>
          <cell r="M11">
            <v>1.3808264809229169</v>
          </cell>
          <cell r="N11">
            <v>1.4291554077552189</v>
          </cell>
          <cell r="O11">
            <v>1.4791758470266514</v>
          </cell>
          <cell r="P11">
            <v>1.5309470016725841</v>
          </cell>
          <cell r="Q11">
            <v>1.5845301467311244</v>
          </cell>
          <cell r="R11">
            <v>1.6399887018667136</v>
          </cell>
          <cell r="S11">
            <v>1.6973883064320485</v>
          </cell>
          <cell r="T11">
            <v>1.7567968971571701</v>
          </cell>
          <cell r="U11">
            <v>1.8130143978661997</v>
          </cell>
          <cell r="V11">
            <v>1.8710308585979181</v>
          </cell>
          <cell r="W11">
            <v>1.9309038460730514</v>
          </cell>
          <cell r="X11">
            <v>1.9926927691473892</v>
          </cell>
          <cell r="Y11">
            <v>2.0564589377601057</v>
          </cell>
          <cell r="Z11">
            <v>2.122265623768429</v>
          </cell>
          <cell r="AA11">
            <v>2.1901781237290185</v>
          </cell>
          <cell r="AB11">
            <v>2.260263823688347</v>
          </cell>
          <cell r="AC11">
            <v>2.3325922660463743</v>
          </cell>
          <cell r="AD11">
            <v>2.4072352185598582</v>
          </cell>
        </row>
        <row r="12">
          <cell r="C12">
            <v>2.1000000000000001E-2</v>
          </cell>
          <cell r="D12">
            <v>2.1000000000000001E-2</v>
          </cell>
          <cell r="E12">
            <v>3.4000000000000002E-2</v>
          </cell>
          <cell r="F12">
            <v>3.1E-2</v>
          </cell>
          <cell r="G12">
            <v>2.5999999999999999E-2</v>
          </cell>
          <cell r="H12">
            <v>3.5000000000000003E-2</v>
          </cell>
          <cell r="I12">
            <v>3.5000000000000003E-2</v>
          </cell>
          <cell r="J12">
            <v>3.5000000000000003E-2</v>
          </cell>
          <cell r="K12">
            <v>3.5000000000000003E-2</v>
          </cell>
          <cell r="L12">
            <v>3.5000000000000003E-2</v>
          </cell>
          <cell r="M12">
            <v>3.5000000000000003E-2</v>
          </cell>
          <cell r="N12">
            <v>3.5000000000000003E-2</v>
          </cell>
          <cell r="O12">
            <v>3.5000000000000003E-2</v>
          </cell>
          <cell r="P12">
            <v>3.5000000000000003E-2</v>
          </cell>
          <cell r="Q12">
            <v>3.5000000000000003E-2</v>
          </cell>
          <cell r="R12">
            <v>3.5000000000000003E-2</v>
          </cell>
          <cell r="S12">
            <v>3.5000000000000003E-2</v>
          </cell>
          <cell r="T12">
            <v>3.5000000000000003E-2</v>
          </cell>
          <cell r="U12">
            <v>3.2000000000000001E-2</v>
          </cell>
          <cell r="V12">
            <v>3.2000000000000001E-2</v>
          </cell>
          <cell r="W12">
            <v>3.2000000000000001E-2</v>
          </cell>
          <cell r="X12">
            <v>3.2000000000000001E-2</v>
          </cell>
          <cell r="Y12">
            <v>3.2000000000000001E-2</v>
          </cell>
          <cell r="Z12">
            <v>3.2000000000000001E-2</v>
          </cell>
          <cell r="AA12">
            <v>3.2000000000000001E-2</v>
          </cell>
          <cell r="AB12">
            <v>3.2000000000000001E-2</v>
          </cell>
          <cell r="AC12">
            <v>3.2000000000000001E-2</v>
          </cell>
          <cell r="AD12">
            <v>3.2000000000000001E-2</v>
          </cell>
        </row>
        <row r="13">
          <cell r="C13">
            <v>1</v>
          </cell>
          <cell r="D13">
            <v>1.0209999999999999</v>
          </cell>
          <cell r="E13">
            <v>1.055714</v>
          </cell>
          <cell r="F13">
            <v>1.088441134</v>
          </cell>
          <cell r="G13">
            <v>1.1167406034839999</v>
          </cell>
          <cell r="H13">
            <v>1.1558265246059398</v>
          </cell>
          <cell r="I13">
            <v>1.1962804529671476</v>
          </cell>
          <cell r="J13">
            <v>1.2381502688209975</v>
          </cell>
          <cell r="K13">
            <v>1.2814855282297324</v>
          </cell>
          <cell r="L13">
            <v>1.3263375217177729</v>
          </cell>
          <cell r="M13">
            <v>1.3727593349778948</v>
          </cell>
          <cell r="N13">
            <v>1.420805911702121</v>
          </cell>
          <cell r="O13">
            <v>1.4705341186116951</v>
          </cell>
          <cell r="P13">
            <v>1.5220028127631045</v>
          </cell>
          <cell r="Q13">
            <v>1.5752729112098129</v>
          </cell>
          <cell r="R13">
            <v>1.6304074631021563</v>
          </cell>
          <cell r="S13">
            <v>1.6874717243107318</v>
          </cell>
          <cell r="T13">
            <v>1.7465332346616071</v>
          </cell>
          <cell r="U13">
            <v>1.8024222981707787</v>
          </cell>
          <cell r="V13">
            <v>1.8600998117122436</v>
          </cell>
          <cell r="W13">
            <v>1.9196230056870354</v>
          </cell>
          <cell r="X13">
            <v>1.9810509418690205</v>
          </cell>
          <cell r="Y13">
            <v>2.0444445720088291</v>
          </cell>
          <cell r="Z13">
            <v>2.1098667983131119</v>
          </cell>
          <cell r="AA13">
            <v>2.1773825358591314</v>
          </cell>
          <cell r="AB13">
            <v>2.2470587770066235</v>
          </cell>
          <cell r="AC13">
            <v>2.3189646578708354</v>
          </cell>
          <cell r="AD13">
            <v>2.3931715269227021</v>
          </cell>
        </row>
        <row r="14">
          <cell r="C14">
            <v>2.8887999999999998</v>
          </cell>
          <cell r="D14">
            <v>2.6543999999999999</v>
          </cell>
          <cell r="E14">
            <v>2.34</v>
          </cell>
          <cell r="F14">
            <v>2.5299999999999998</v>
          </cell>
          <cell r="G14">
            <v>2.68</v>
          </cell>
          <cell r="H14">
            <v>2.8</v>
          </cell>
          <cell r="I14">
            <v>2.92</v>
          </cell>
          <cell r="J14">
            <v>2.9524444444444446</v>
          </cell>
          <cell r="K14">
            <v>2.9852493827160496</v>
          </cell>
          <cell r="L14">
            <v>3.0184188203017834</v>
          </cell>
          <cell r="M14">
            <v>3.0519568071940255</v>
          </cell>
          <cell r="N14">
            <v>3.0858674383850704</v>
          </cell>
          <cell r="O14">
            <v>3.1201548543671271</v>
          </cell>
          <cell r="P14">
            <v>3.1548232416378732</v>
          </cell>
          <cell r="Q14">
            <v>3.1898768332116272</v>
          </cell>
          <cell r="R14">
            <v>3.2253199091362013</v>
          </cell>
          <cell r="S14">
            <v>3.2611567970154924</v>
          </cell>
          <cell r="T14">
            <v>3.297391872537887</v>
          </cell>
          <cell r="U14">
            <v>3.3437215064059096</v>
          </cell>
          <cell r="V14">
            <v>3.3907020895870001</v>
          </cell>
          <cell r="W14">
            <v>3.4383427681713137</v>
          </cell>
          <cell r="X14">
            <v>3.4866528167551158</v>
          </cell>
          <cell r="Y14">
            <v>3.5356416402463458</v>
          </cell>
          <cell r="Z14">
            <v>3.5853187756955434</v>
          </cell>
          <cell r="AA14">
            <v>3.6356938941525057</v>
          </cell>
          <cell r="AB14">
            <v>3.6867768025490282</v>
          </cell>
          <cell r="AC14">
            <v>3.7385774456080987</v>
          </cell>
          <cell r="AD14">
            <v>3.7911059077799178</v>
          </cell>
        </row>
        <row r="16">
          <cell r="D16">
            <v>-8.1140958183328699E-2</v>
          </cell>
          <cell r="E16">
            <v>-0.11844484629294758</v>
          </cell>
          <cell r="F16">
            <v>8.1196581196581186E-2</v>
          </cell>
          <cell r="G16">
            <v>5.9288537549407258E-2</v>
          </cell>
          <cell r="H16">
            <v>4.4776119402984947E-2</v>
          </cell>
          <cell r="I16">
            <v>4.2857142857142899E-2</v>
          </cell>
          <cell r="J16">
            <v>1.1111111111111205E-2</v>
          </cell>
          <cell r="K16">
            <v>1.1111111111111101E-2</v>
          </cell>
          <cell r="L16">
            <v>1.1111111111111108E-2</v>
          </cell>
          <cell r="M16">
            <v>1.1111111111111124E-2</v>
          </cell>
          <cell r="N16">
            <v>1.1111111111111158E-2</v>
          </cell>
          <cell r="O16">
            <v>1.1111111111111247E-2</v>
          </cell>
          <cell r="P16">
            <v>1.1111111111111176E-2</v>
          </cell>
          <cell r="Q16">
            <v>1.1111111111111059E-2</v>
          </cell>
          <cell r="R16">
            <v>1.1111111111111249E-2</v>
          </cell>
          <cell r="S16">
            <v>1.1111111111111127E-2</v>
          </cell>
          <cell r="T16">
            <v>1.1111111111111177E-2</v>
          </cell>
          <cell r="U16">
            <v>1.4050387596899206E-2</v>
          </cell>
          <cell r="V16">
            <v>1.4050387596899156E-2</v>
          </cell>
          <cell r="W16">
            <v>1.4050387596899243E-2</v>
          </cell>
          <cell r="X16">
            <v>1.4050387596899165E-2</v>
          </cell>
          <cell r="Y16">
            <v>1.4050387596899248E-2</v>
          </cell>
          <cell r="Z16">
            <v>1.4050387596899201E-2</v>
          </cell>
          <cell r="AA16">
            <v>1.4050387596899147E-2</v>
          </cell>
          <cell r="AB16">
            <v>1.4050387596899199E-2</v>
          </cell>
          <cell r="AC16">
            <v>1.4050387596899186E-2</v>
          </cell>
          <cell r="AD16">
            <v>1.4050387596899212E-2</v>
          </cell>
        </row>
        <row r="17">
          <cell r="C17">
            <v>3.5999424000000002</v>
          </cell>
          <cell r="D17">
            <v>3.5999424000000002</v>
          </cell>
          <cell r="E17">
            <v>2.8079999999999998</v>
          </cell>
          <cell r="F17">
            <v>3.2821199999999995</v>
          </cell>
          <cell r="G17">
            <v>3.3299178640776694</v>
          </cell>
          <cell r="H17">
            <v>3.0931237048543685</v>
          </cell>
          <cell r="I17">
            <v>3.2003111599730842</v>
          </cell>
          <cell r="J17">
            <v>3.2358701728616746</v>
          </cell>
          <cell r="K17">
            <v>3.2718242858934712</v>
          </cell>
          <cell r="L17">
            <v>3.3081778890700657</v>
          </cell>
          <cell r="M17">
            <v>3.3449354211708444</v>
          </cell>
          <cell r="N17">
            <v>3.3821013702949654</v>
          </cell>
          <cell r="O17">
            <v>3.419680274409354</v>
          </cell>
          <cell r="P17">
            <v>3.4576767219027915</v>
          </cell>
          <cell r="Q17">
            <v>3.4960953521461557</v>
          </cell>
          <cell r="R17">
            <v>3.5349408560588911</v>
          </cell>
          <cell r="S17">
            <v>3.5742179766817679</v>
          </cell>
          <cell r="T17">
            <v>3.6139315097560103</v>
          </cell>
          <cell r="U17">
            <v>3.6647086482167293</v>
          </cell>
          <cell r="V17">
            <v>3.7161992251538827</v>
          </cell>
          <cell r="W17">
            <v>3.7684132646545914</v>
          </cell>
          <cell r="X17">
            <v>3.8213609316482846</v>
          </cell>
          <cell r="Y17">
            <v>3.875052533885591</v>
          </cell>
          <cell r="Z17">
            <v>3.9294985239450302</v>
          </cell>
          <cell r="AA17">
            <v>3.984709501267901</v>
          </cell>
          <cell r="AB17">
            <v>4.0406962142217617</v>
          </cell>
          <cell r="AC17">
            <v>4.0974695621929005</v>
          </cell>
          <cell r="AD17">
            <v>4.155040597708207</v>
          </cell>
        </row>
        <row r="19">
          <cell r="D19">
            <v>0</v>
          </cell>
          <cell r="E19">
            <v>-0.21998751980031689</v>
          </cell>
          <cell r="F19">
            <v>0.16884615384615373</v>
          </cell>
          <cell r="G19">
            <v>1.4563106796116521E-2</v>
          </cell>
          <cell r="H19">
            <v>-7.1111111111111111E-2</v>
          </cell>
          <cell r="I19">
            <v>3.4653465346534656E-2</v>
          </cell>
          <cell r="J19">
            <v>1.1111111111111264E-2</v>
          </cell>
          <cell r="K19">
            <v>1.1111111111111188E-2</v>
          </cell>
          <cell r="L19">
            <v>1.1111111111111235E-2</v>
          </cell>
          <cell r="M19">
            <v>1.1111111111111169E-2</v>
          </cell>
          <cell r="N19">
            <v>1.1111111111111252E-2</v>
          </cell>
          <cell r="O19">
            <v>1.1111111111111132E-2</v>
          </cell>
          <cell r="P19">
            <v>1.1111111111111197E-2</v>
          </cell>
          <cell r="Q19">
            <v>1.1111111111111075E-2</v>
          </cell>
          <cell r="R19">
            <v>1.111111111111119E-2</v>
          </cell>
          <cell r="S19">
            <v>1.1111111111111177E-2</v>
          </cell>
          <cell r="T19">
            <v>1.1111111111111264E-2</v>
          </cell>
          <cell r="U19">
            <v>1.4050387596899177E-2</v>
          </cell>
          <cell r="V19">
            <v>1.405038759689916E-2</v>
          </cell>
          <cell r="W19">
            <v>1.4050387596899241E-2</v>
          </cell>
          <cell r="X19">
            <v>1.4050387596899187E-2</v>
          </cell>
          <cell r="Y19">
            <v>1.4050387596899245E-2</v>
          </cell>
          <cell r="Z19">
            <v>1.4050387596899265E-2</v>
          </cell>
          <cell r="AA19">
            <v>1.4050387596899166E-2</v>
          </cell>
          <cell r="AB19">
            <v>1.4050387596899147E-2</v>
          </cell>
          <cell r="AC19">
            <v>1.405038759689914E-2</v>
          </cell>
          <cell r="AD19">
            <v>1.405038759689905E-2</v>
          </cell>
        </row>
        <row r="20">
          <cell r="D20">
            <v>0.163362468181529</v>
          </cell>
          <cell r="E20">
            <v>0.19044280178486661</v>
          </cell>
          <cell r="F20">
            <v>0.16981761309317533</v>
          </cell>
          <cell r="G20">
            <v>0.15441268450850021</v>
          </cell>
          <cell r="H20">
            <v>0.14400000000000002</v>
          </cell>
          <cell r="I20">
            <v>0.13400000000000001</v>
          </cell>
          <cell r="J20">
            <v>0.12525</v>
          </cell>
          <cell r="K20">
            <v>0.12025</v>
          </cell>
          <cell r="L20">
            <v>0.11774999999999999</v>
          </cell>
          <cell r="M20">
            <v>0.11524999999999999</v>
          </cell>
          <cell r="N20">
            <v>0.11275</v>
          </cell>
          <cell r="O20">
            <v>0.11025</v>
          </cell>
          <cell r="P20">
            <v>0.10775</v>
          </cell>
          <cell r="Q20">
            <v>0.1065</v>
          </cell>
          <cell r="R20">
            <v>0.1065</v>
          </cell>
          <cell r="S20">
            <v>0.1065</v>
          </cell>
          <cell r="T20">
            <v>0.1065</v>
          </cell>
          <cell r="U20">
            <v>0.1065</v>
          </cell>
          <cell r="V20">
            <v>0.1065</v>
          </cell>
          <cell r="W20">
            <v>0.1065</v>
          </cell>
          <cell r="X20">
            <v>0.1065</v>
          </cell>
          <cell r="Y20">
            <v>0.1065</v>
          </cell>
          <cell r="Z20">
            <v>0.1065</v>
          </cell>
          <cell r="AA20">
            <v>0.1065</v>
          </cell>
          <cell r="AB20">
            <v>0.1065</v>
          </cell>
          <cell r="AC20">
            <v>0.1065</v>
          </cell>
          <cell r="AD20">
            <v>0.1065</v>
          </cell>
        </row>
        <row r="21">
          <cell r="D21">
            <v>9.8124466824476952E-2</v>
          </cell>
          <cell r="E21">
            <v>9.6874465405647259E-2</v>
          </cell>
          <cell r="F21">
            <v>9.2499999999999999E-2</v>
          </cell>
          <cell r="G21">
            <v>8.7499999999999994E-2</v>
          </cell>
          <cell r="H21">
            <v>8.2500000000000004E-2</v>
          </cell>
          <cell r="I21">
            <v>7.7499999999999999E-2</v>
          </cell>
          <cell r="J21">
            <v>7.4999999999999997E-2</v>
          </cell>
          <cell r="K21">
            <v>7.3749999999999996E-2</v>
          </cell>
          <cell r="L21">
            <v>7.1249999999999994E-2</v>
          </cell>
          <cell r="M21">
            <v>6.8750000000000006E-2</v>
          </cell>
          <cell r="N21">
            <v>6.6250000000000003E-2</v>
          </cell>
          <cell r="O21">
            <v>6.3750000000000001E-2</v>
          </cell>
          <cell r="P21">
            <v>6.1249999999999999E-2</v>
          </cell>
          <cell r="Q21">
            <v>0.06</v>
          </cell>
          <cell r="R21">
            <v>0.06</v>
          </cell>
          <cell r="S21">
            <v>0.06</v>
          </cell>
          <cell r="T21">
            <v>0.06</v>
          </cell>
          <cell r="U21">
            <v>0.06</v>
          </cell>
          <cell r="V21">
            <v>0.06</v>
          </cell>
          <cell r="W21">
            <v>0.06</v>
          </cell>
          <cell r="X21">
            <v>0.06</v>
          </cell>
          <cell r="Y21">
            <v>0.06</v>
          </cell>
          <cell r="Z21">
            <v>0.06</v>
          </cell>
          <cell r="AA21">
            <v>0.06</v>
          </cell>
          <cell r="AB21">
            <v>0.06</v>
          </cell>
          <cell r="AC21">
            <v>0.06</v>
          </cell>
          <cell r="AD21">
            <v>0.06</v>
          </cell>
        </row>
        <row r="22">
          <cell r="D22">
            <v>3.8300000000000001E-2</v>
          </cell>
          <cell r="E22">
            <v>4.4999999999999998E-2</v>
          </cell>
          <cell r="F22">
            <v>0.05</v>
          </cell>
          <cell r="G22">
            <v>4.5999999999999999E-2</v>
          </cell>
          <cell r="H22">
            <v>4.2000000000000003E-2</v>
          </cell>
          <cell r="I22">
            <v>3.7999999999999999E-2</v>
          </cell>
          <cell r="J22">
            <v>3.4000000000000002E-2</v>
          </cell>
          <cell r="K22">
            <v>0.03</v>
          </cell>
          <cell r="L22">
            <v>2.5999999999999999E-2</v>
          </cell>
          <cell r="M22">
            <v>2.1999999999999999E-2</v>
          </cell>
          <cell r="N22">
            <v>0.02</v>
          </cell>
          <cell r="O22">
            <v>0.02</v>
          </cell>
          <cell r="P22">
            <v>0.02</v>
          </cell>
          <cell r="Q22">
            <v>0.02</v>
          </cell>
          <cell r="R22">
            <v>0.02</v>
          </cell>
          <cell r="S22">
            <v>0.02</v>
          </cell>
          <cell r="T22">
            <v>0.02</v>
          </cell>
          <cell r="U22">
            <v>0.02</v>
          </cell>
          <cell r="V22">
            <v>0.02</v>
          </cell>
          <cell r="W22">
            <v>0.02</v>
          </cell>
          <cell r="X22">
            <v>0.02</v>
          </cell>
          <cell r="Y22">
            <v>0.02</v>
          </cell>
          <cell r="Z22">
            <v>0.02</v>
          </cell>
          <cell r="AA22">
            <v>0.02</v>
          </cell>
          <cell r="AB22">
            <v>0.02</v>
          </cell>
          <cell r="AC22">
            <v>0.02</v>
          </cell>
          <cell r="AD22">
            <v>0.02</v>
          </cell>
        </row>
        <row r="90">
          <cell r="C90">
            <v>37956</v>
          </cell>
          <cell r="D90">
            <v>37987</v>
          </cell>
          <cell r="E90">
            <v>38018</v>
          </cell>
          <cell r="F90">
            <v>38047</v>
          </cell>
          <cell r="G90">
            <v>38078</v>
          </cell>
          <cell r="H90">
            <v>38108</v>
          </cell>
          <cell r="I90">
            <v>38139</v>
          </cell>
          <cell r="J90">
            <v>38169</v>
          </cell>
          <cell r="K90">
            <v>38200</v>
          </cell>
          <cell r="L90">
            <v>38231</v>
          </cell>
          <cell r="M90">
            <v>38261</v>
          </cell>
          <cell r="N90">
            <v>38292</v>
          </cell>
          <cell r="O90">
            <v>38322</v>
          </cell>
          <cell r="P90">
            <v>38353</v>
          </cell>
          <cell r="Q90">
            <v>38384</v>
          </cell>
          <cell r="R90">
            <v>38412</v>
          </cell>
          <cell r="S90">
            <v>38443</v>
          </cell>
          <cell r="T90">
            <v>38473</v>
          </cell>
          <cell r="U90">
            <v>38504</v>
          </cell>
          <cell r="V90">
            <v>38534</v>
          </cell>
          <cell r="W90">
            <v>38565</v>
          </cell>
          <cell r="X90">
            <v>38596</v>
          </cell>
          <cell r="Y90">
            <v>38626</v>
          </cell>
          <cell r="Z90">
            <v>38657</v>
          </cell>
          <cell r="AA90">
            <v>38687</v>
          </cell>
          <cell r="AB90">
            <v>38718</v>
          </cell>
          <cell r="AC90">
            <v>38749</v>
          </cell>
          <cell r="AD90">
            <v>38777</v>
          </cell>
          <cell r="AE90">
            <v>38808</v>
          </cell>
          <cell r="AF90">
            <v>38838</v>
          </cell>
          <cell r="AG90">
            <v>38869</v>
          </cell>
          <cell r="AH90">
            <v>38899</v>
          </cell>
          <cell r="AI90">
            <v>38930</v>
          </cell>
          <cell r="AJ90">
            <v>38961</v>
          </cell>
          <cell r="AK90">
            <v>38991</v>
          </cell>
          <cell r="AL90">
            <v>39022</v>
          </cell>
          <cell r="AM90">
            <v>39052</v>
          </cell>
          <cell r="AN90">
            <v>39083</v>
          </cell>
          <cell r="AO90">
            <v>39114</v>
          </cell>
          <cell r="AP90">
            <v>39142</v>
          </cell>
          <cell r="AQ90">
            <v>39173</v>
          </cell>
          <cell r="AR90">
            <v>39203</v>
          </cell>
          <cell r="AS90">
            <v>39234</v>
          </cell>
          <cell r="AT90">
            <v>39264</v>
          </cell>
          <cell r="AU90">
            <v>39295</v>
          </cell>
          <cell r="AV90">
            <v>39326</v>
          </cell>
          <cell r="AW90">
            <v>39356</v>
          </cell>
          <cell r="AX90">
            <v>39387</v>
          </cell>
          <cell r="AY90">
            <v>39417</v>
          </cell>
          <cell r="AZ90">
            <v>39448</v>
          </cell>
          <cell r="BA90">
            <v>39479</v>
          </cell>
          <cell r="BB90">
            <v>39508</v>
          </cell>
          <cell r="BC90">
            <v>39539</v>
          </cell>
          <cell r="BD90">
            <v>39569</v>
          </cell>
          <cell r="BE90">
            <v>39600</v>
          </cell>
        </row>
        <row r="92">
          <cell r="C92">
            <v>1</v>
          </cell>
          <cell r="D92">
            <v>1.0087999999999999</v>
          </cell>
          <cell r="E92">
            <v>1.0157607199999998</v>
          </cell>
          <cell r="F92">
            <v>1.027238816136</v>
          </cell>
          <cell r="G92">
            <v>1.0396684058112455</v>
          </cell>
          <cell r="H92">
            <v>1.053288061927373</v>
          </cell>
          <cell r="I92">
            <v>1.0678234371819708</v>
          </cell>
          <cell r="J92">
            <v>1.0818119242090547</v>
          </cell>
          <cell r="K92">
            <v>1.0950100296844052</v>
          </cell>
          <cell r="L92">
            <v>1.1025655988892276</v>
          </cell>
          <cell r="M92">
            <v>1.1068656047248955</v>
          </cell>
          <cell r="N92">
            <v>1.1159419026836397</v>
          </cell>
          <cell r="O92">
            <v>1.1241998727634988</v>
          </cell>
          <cell r="P92">
            <v>1.1285842522672764</v>
          </cell>
          <cell r="Q92">
            <v>1.1319700050240782</v>
          </cell>
          <cell r="R92">
            <v>1.1415917500667827</v>
          </cell>
          <cell r="S92">
            <v>1.151409439117357</v>
          </cell>
          <cell r="T92">
            <v>1.148876338351299</v>
          </cell>
          <cell r="U92">
            <v>1.1438212824625533</v>
          </cell>
          <cell r="V92">
            <v>1.1399322901021807</v>
          </cell>
          <cell r="W92">
            <v>1.1325227302165166</v>
          </cell>
          <cell r="X92">
            <v>1.1265203597463691</v>
          </cell>
          <cell r="Y92">
            <v>1.1307523718263419</v>
          </cell>
          <cell r="Z92">
            <v>1.1350002823551</v>
          </cell>
          <cell r="AA92">
            <v>1.1392641510585297</v>
          </cell>
          <cell r="AB92">
            <v>1.1437693857412166</v>
          </cell>
          <cell r="AC92">
            <v>1.1482924364321814</v>
          </cell>
          <cell r="AD92">
            <v>1.1528333735850571</v>
          </cell>
          <cell r="AE92">
            <v>1.1573922679320867</v>
          </cell>
          <cell r="AF92">
            <v>1.1619691904852245</v>
          </cell>
          <cell r="AG92">
            <v>1.1665642125372426</v>
          </cell>
          <cell r="AH92">
            <v>1.1711774056628412</v>
          </cell>
          <cell r="AI92">
            <v>1.1758088417197634</v>
          </cell>
          <cell r="AJ92">
            <v>1.1804585928499152</v>
          </cell>
          <cell r="AK92">
            <v>1.1851267314804881</v>
          </cell>
          <cell r="AL92">
            <v>1.1898133303250882</v>
          </cell>
          <cell r="AM92">
            <v>1.1945184623848684</v>
          </cell>
          <cell r="AN92">
            <v>1.1991373049743062</v>
          </cell>
          <cell r="AO92">
            <v>1.203774007234848</v>
          </cell>
          <cell r="AP92">
            <v>1.2084286382244551</v>
          </cell>
          <cell r="AQ92">
            <v>1.213101267268115</v>
          </cell>
          <cell r="AR92">
            <v>1.2177919639588737</v>
          </cell>
          <cell r="AS92">
            <v>1.2225007981588729</v>
          </cell>
          <cell r="AT92">
            <v>1.22722784000039</v>
          </cell>
          <cell r="AU92">
            <v>1.2319731598868826</v>
          </cell>
          <cell r="AV92">
            <v>1.2367368284940374</v>
          </cell>
          <cell r="AW92">
            <v>1.2415189167708229</v>
          </cell>
          <cell r="AX92">
            <v>1.2463194959405455</v>
          </cell>
          <cell r="AY92">
            <v>1.2511386375019105</v>
          </cell>
          <cell r="AZ92">
            <v>1.2558364280983052</v>
          </cell>
          <cell r="BA92">
            <v>1.2605518580160557</v>
          </cell>
          <cell r="BB92">
            <v>1.2652849934875008</v>
          </cell>
          <cell r="BC92">
            <v>1.270035900993669</v>
          </cell>
          <cell r="BD92">
            <v>1.274804647265213</v>
          </cell>
          <cell r="BE92">
            <v>1.2795912992833463</v>
          </cell>
        </row>
        <row r="94">
          <cell r="C94">
            <v>1</v>
          </cell>
          <cell r="D94">
            <v>1.0076000000000001</v>
          </cell>
          <cell r="E94">
            <v>1.0137463600000001</v>
          </cell>
          <cell r="F94">
            <v>1.0185109678919999</v>
          </cell>
          <cell r="G94">
            <v>1.0222794584732005</v>
          </cell>
          <cell r="H94">
            <v>1.0274930837114138</v>
          </cell>
          <cell r="I94">
            <v>1.034788284605765</v>
          </cell>
          <cell r="J94">
            <v>1.0442048579956775</v>
          </cell>
          <cell r="K94">
            <v>1.0514098715158475</v>
          </cell>
          <cell r="L94">
            <v>1.0548795240918498</v>
          </cell>
          <cell r="M94">
            <v>1.0595209939978538</v>
          </cell>
          <cell r="N94">
            <v>1.0668316888564389</v>
          </cell>
          <cell r="O94">
            <v>1.0760064413806041</v>
          </cell>
          <cell r="P94">
            <v>1.0822472787406117</v>
          </cell>
          <cell r="Q94">
            <v>1.0886325376851813</v>
          </cell>
          <cell r="R94">
            <v>1.0952731961650608</v>
          </cell>
          <cell r="S94">
            <v>1.1048020729716967</v>
          </cell>
          <cell r="T94">
            <v>1.110215603129258</v>
          </cell>
          <cell r="U94">
            <v>1.1099935600086321</v>
          </cell>
          <cell r="V94">
            <v>1.1127685439086537</v>
          </cell>
          <cell r="W94">
            <v>1.1146602504332983</v>
          </cell>
          <cell r="X94">
            <v>1.118561561309815</v>
          </cell>
          <cell r="Y94">
            <v>1.123223047704347</v>
          </cell>
          <cell r="Z94">
            <v>1.1279039603478742</v>
          </cell>
          <cell r="AA94">
            <v>1.1326043801972239</v>
          </cell>
          <cell r="AB94">
            <v>1.1369385794022098</v>
          </cell>
          <cell r="AC94">
            <v>1.1412893645246411</v>
          </cell>
          <cell r="AD94">
            <v>1.1456567990347568</v>
          </cell>
          <cell r="AE94">
            <v>1.1500409466456802</v>
          </cell>
          <cell r="AF94">
            <v>1.1544418713143496</v>
          </cell>
          <cell r="AG94">
            <v>1.1588596372424504</v>
          </cell>
          <cell r="AH94">
            <v>1.1632943088773524</v>
          </cell>
          <cell r="AI94">
            <v>1.1677459509130497</v>
          </cell>
          <cell r="AJ94">
            <v>1.1722146282911041</v>
          </cell>
          <cell r="AK94">
            <v>1.1767004062015933</v>
          </cell>
          <cell r="AL94">
            <v>1.1812033500840613</v>
          </cell>
          <cell r="AM94">
            <v>1.1857235256284728</v>
          </cell>
          <cell r="AN94">
            <v>1.1901662123898689</v>
          </cell>
          <cell r="AO94">
            <v>1.1946255450769241</v>
          </cell>
          <cell r="AP94">
            <v>1.1991015860588434</v>
          </cell>
          <cell r="AQ94">
            <v>1.2035943979385175</v>
          </cell>
          <cell r="AR94">
            <v>1.2081040435533987</v>
          </cell>
          <cell r="AS94">
            <v>1.2126305859763797</v>
          </cell>
          <cell r="AT94">
            <v>1.2171740885166753</v>
          </cell>
          <cell r="AU94">
            <v>1.2217346147207087</v>
          </cell>
          <cell r="AV94">
            <v>1.2263122283729992</v>
          </cell>
          <cell r="AW94">
            <v>1.2309069934970556</v>
          </cell>
          <cell r="AX94">
            <v>1.2355189743562704</v>
          </cell>
          <cell r="AY94">
            <v>1.2401482354548194</v>
          </cell>
          <cell r="AZ94">
            <v>1.2446459728810286</v>
          </cell>
          <cell r="BA94">
            <v>1.2491600225845743</v>
          </cell>
          <cell r="BB94">
            <v>1.2536904437264005</v>
          </cell>
          <cell r="BC94">
            <v>1.2582372956820145</v>
          </cell>
          <cell r="BD94">
            <v>1.2628006380422654</v>
          </cell>
          <cell r="BE94">
            <v>1.2673805306141244</v>
          </cell>
        </row>
        <row r="96">
          <cell r="C96">
            <v>1</v>
          </cell>
          <cell r="D96">
            <v>1.0022226272943571</v>
          </cell>
          <cell r="E96">
            <v>1.0044501946608038</v>
          </cell>
          <cell r="F96">
            <v>1.006682713079279</v>
          </cell>
          <cell r="G96">
            <v>1.0089201935541265</v>
          </cell>
          <cell r="H96">
            <v>1.0111626471141479</v>
          </cell>
          <cell r="I96">
            <v>1.0134100848126582</v>
          </cell>
          <cell r="J96">
            <v>1.0156625177275396</v>
          </cell>
          <cell r="K96">
            <v>1.0179199569612962</v>
          </cell>
          <cell r="L96">
            <v>1.0201824136411093</v>
          </cell>
          <cell r="M96">
            <v>1.022449898918891</v>
          </cell>
          <cell r="N96">
            <v>1.0247224239713408</v>
          </cell>
          <cell r="O96">
            <v>1.0269999999999992</v>
          </cell>
          <cell r="P96">
            <v>1.0298654496357758</v>
          </cell>
          <cell r="Q96">
            <v>1.0327388942098339</v>
          </cell>
          <cell r="R96">
            <v>1.0356203560289827</v>
          </cell>
          <cell r="S96">
            <v>1.03850985746227</v>
          </cell>
          <cell r="T96">
            <v>1.0414074209411557</v>
          </cell>
          <cell r="U96">
            <v>1.0443130689596862</v>
          </cell>
          <cell r="V96">
            <v>1.0472268240746689</v>
          </cell>
          <cell r="W96">
            <v>1.0501487089058472</v>
          </cell>
          <cell r="X96">
            <v>1.0530787461360764</v>
          </cell>
          <cell r="Y96">
            <v>1.0560169585114996</v>
          </cell>
          <cell r="Z96">
            <v>1.0589633688417242</v>
          </cell>
          <cell r="AA96">
            <v>1.061917999999999</v>
          </cell>
          <cell r="AB96">
            <v>1.0646230655495137</v>
          </cell>
          <cell r="AC96">
            <v>1.0673350218190529</v>
          </cell>
          <cell r="AD96">
            <v>1.0700538863616194</v>
          </cell>
          <cell r="AE96">
            <v>1.0727796767749291</v>
          </cell>
          <cell r="AF96">
            <v>1.0755124107015255</v>
          </cell>
          <cell r="AG96">
            <v>1.0782521058288932</v>
          </cell>
          <cell r="AH96">
            <v>1.0809987798895733</v>
          </cell>
          <cell r="AI96">
            <v>1.0837524506612775</v>
          </cell>
          <cell r="AJ96">
            <v>1.0865131359670033</v>
          </cell>
          <cell r="AK96">
            <v>1.0892808536751497</v>
          </cell>
          <cell r="AL96">
            <v>1.0920556216996322</v>
          </cell>
          <cell r="AM96">
            <v>1.0948374579999995</v>
          </cell>
          <cell r="AN96">
            <v>1.0971817985705772</v>
          </cell>
          <cell r="AO96">
            <v>1.0995311590029351</v>
          </cell>
          <cell r="AP96">
            <v>1.1018855500459432</v>
          </cell>
          <cell r="AQ96">
            <v>1.1042449824714879</v>
          </cell>
          <cell r="AR96">
            <v>1.106609467074521</v>
          </cell>
          <cell r="AS96">
            <v>1.1089790146731091</v>
          </cell>
          <cell r="AT96">
            <v>1.1113536361084835</v>
          </cell>
          <cell r="AU96">
            <v>1.113733342245089</v>
          </cell>
          <cell r="AV96">
            <v>1.1161181439706345</v>
          </cell>
          <cell r="AW96">
            <v>1.1185080521961424</v>
          </cell>
          <cell r="AX96">
            <v>1.1209030778559981</v>
          </cell>
          <cell r="AY96">
            <v>1.123303231908001</v>
          </cell>
          <cell r="AZ96">
            <v>1.1265281217176204</v>
          </cell>
          <cell r="BA96">
            <v>1.1297622698592633</v>
          </cell>
          <cell r="BB96">
            <v>1.1330057029126634</v>
          </cell>
          <cell r="BC96">
            <v>1.136258447533862</v>
          </cell>
          <cell r="BD96">
            <v>1.139520530455427</v>
          </cell>
          <cell r="BE96">
            <v>1.1427919784866731</v>
          </cell>
        </row>
        <row r="97">
          <cell r="C97">
            <v>2.8892000000000002</v>
          </cell>
          <cell r="D97">
            <v>2.9409000000000001</v>
          </cell>
          <cell r="E97">
            <v>2.9138000000000002</v>
          </cell>
          <cell r="F97">
            <v>2.9085999999999999</v>
          </cell>
          <cell r="G97">
            <v>2.9447000000000001</v>
          </cell>
          <cell r="H97">
            <v>3.1291000000000002</v>
          </cell>
          <cell r="I97">
            <v>3.1074999999999999</v>
          </cell>
          <cell r="J97">
            <v>3.0268000000000002</v>
          </cell>
          <cell r="K97">
            <v>2.9338000000000002</v>
          </cell>
          <cell r="L97">
            <v>2.8586</v>
          </cell>
          <cell r="M97">
            <v>2.8565</v>
          </cell>
          <cell r="N97">
            <v>2.7307000000000001</v>
          </cell>
          <cell r="O97">
            <v>2.6543999999999999</v>
          </cell>
          <cell r="P97">
            <v>2.6248</v>
          </cell>
          <cell r="Q97">
            <v>2.5950000000000002</v>
          </cell>
          <cell r="R97">
            <v>2.6661999999999999</v>
          </cell>
          <cell r="S97">
            <v>2.5312999999999999</v>
          </cell>
          <cell r="T97">
            <v>2.4037999999999999</v>
          </cell>
          <cell r="U97">
            <v>2.3504</v>
          </cell>
          <cell r="V97">
            <v>2.3904999999999998</v>
          </cell>
          <cell r="W97">
            <v>2.3637000000000001</v>
          </cell>
          <cell r="X97">
            <v>2.2222</v>
          </cell>
          <cell r="Y97">
            <v>2.2607925566001335</v>
          </cell>
          <cell r="Z97">
            <v>2.300055343343788</v>
          </cell>
          <cell r="AA97">
            <v>2.34</v>
          </cell>
          <cell r="AB97">
            <v>2.3552729595688793</v>
          </cell>
          <cell r="AC97">
            <v>2.3706456043061315</v>
          </cell>
          <cell r="AD97">
            <v>2.38611858484746</v>
          </cell>
          <cell r="AE97">
            <v>2.4016925560752065</v>
          </cell>
          <cell r="AF97">
            <v>2.4173681771460673</v>
          </cell>
          <cell r="AG97">
            <v>2.4331461115189934</v>
          </cell>
          <cell r="AH97">
            <v>2.449027026983269</v>
          </cell>
          <cell r="AI97">
            <v>2.4650115956867769</v>
          </cell>
          <cell r="AJ97">
            <v>2.4811004941644446</v>
          </cell>
          <cell r="AK97">
            <v>2.4972944033668805</v>
          </cell>
          <cell r="AL97">
            <v>2.5135940086891928</v>
          </cell>
          <cell r="AM97">
            <v>2.5299999999999994</v>
          </cell>
          <cell r="AN97">
            <v>2.5421726609289315</v>
          </cell>
          <cell r="AO97">
            <v>2.5544038885274647</v>
          </cell>
          <cell r="AP97">
            <v>2.5666939645790814</v>
          </cell>
          <cell r="AQ97">
            <v>2.5790431722230172</v>
          </cell>
          <cell r="AR97">
            <v>2.5914517959607832</v>
          </cell>
          <cell r="AS97">
            <v>2.6039201216627208</v>
          </cell>
          <cell r="AT97">
            <v>2.6164484365745877</v>
          </cell>
          <cell r="AU97">
            <v>2.6290370293241754</v>
          </cell>
          <cell r="AV97">
            <v>2.6416861899279578</v>
          </cell>
          <cell r="AW97">
            <v>2.654396209797774</v>
          </cell>
          <cell r="AX97">
            <v>2.6671673817475408</v>
          </cell>
          <cell r="AY97">
            <v>2.6799999999999993</v>
          </cell>
          <cell r="AZ97">
            <v>2.6898004617588644</v>
          </cell>
          <cell r="BA97">
            <v>2.6996367627157469</v>
          </cell>
          <cell r="BB97">
            <v>2.709509033930606</v>
          </cell>
          <cell r="BC97">
            <v>2.719417406942672</v>
          </cell>
          <cell r="BD97">
            <v>2.7293620137721994</v>
          </cell>
          <cell r="BE97">
            <v>2.7393429869222268</v>
          </cell>
        </row>
        <row r="98">
          <cell r="C98">
            <v>3.6194899999999999</v>
          </cell>
          <cell r="D98">
            <v>3.6682399999999999</v>
          </cell>
          <cell r="E98">
            <v>3.6449600000000002</v>
          </cell>
          <cell r="F98">
            <v>3.5828700000000002</v>
          </cell>
          <cell r="G98">
            <v>3.5312800000000002</v>
          </cell>
          <cell r="H98">
            <v>3.8206600000000002</v>
          </cell>
          <cell r="I98">
            <v>3.79522</v>
          </cell>
          <cell r="J98">
            <v>3.6400299999999999</v>
          </cell>
          <cell r="K98">
            <v>3.5777999999999999</v>
          </cell>
          <cell r="L98">
            <v>3.5573000000000001</v>
          </cell>
          <cell r="M98">
            <v>3.6575799999999998</v>
          </cell>
          <cell r="N98">
            <v>3.6342099999999999</v>
          </cell>
          <cell r="O98">
            <v>3.6194899999999999</v>
          </cell>
          <cell r="P98">
            <v>3.4249700000000001</v>
          </cell>
          <cell r="Q98">
            <v>3.44035</v>
          </cell>
          <cell r="R98">
            <v>3.4603299999999999</v>
          </cell>
          <cell r="S98">
            <v>3.2631999999999999</v>
          </cell>
          <cell r="T98">
            <v>2.9620099999999998</v>
          </cell>
          <cell r="U98">
            <v>2.8458600000000001</v>
          </cell>
          <cell r="V98">
            <v>2.89968</v>
          </cell>
          <cell r="W98">
            <v>2.9149099999999999</v>
          </cell>
          <cell r="X98">
            <v>2.6717499999999998</v>
          </cell>
          <cell r="Y98">
            <v>2.7164157915989868</v>
          </cell>
          <cell r="Z98">
            <v>2.7618282971267338</v>
          </cell>
          <cell r="AA98">
            <v>2.8079999999999998</v>
          </cell>
          <cell r="AB98">
            <v>2.8447463539360975</v>
          </cell>
          <cell r="AC98">
            <v>2.8819735819917098</v>
          </cell>
          <cell r="AD98">
            <v>2.9196879770338575</v>
          </cell>
          <cell r="AE98">
            <v>2.9578959142799599</v>
          </cell>
          <cell r="AF98">
            <v>2.9966038523754972</v>
          </cell>
          <cell r="AG98">
            <v>3.0358183344857763</v>
          </cell>
          <cell r="AH98">
            <v>3.075545989401983</v>
          </cell>
          <cell r="AI98">
            <v>3.115793532661709</v>
          </cell>
          <cell r="AJ98">
            <v>3.1565677676841415</v>
          </cell>
          <cell r="AK98">
            <v>3.1978755869201096</v>
          </cell>
          <cell r="AL98">
            <v>3.2397239730171794</v>
          </cell>
          <cell r="AM98">
            <v>3.2821199999999964</v>
          </cell>
          <cell r="AN98">
            <v>3.2860768135147187</v>
          </cell>
          <cell r="AO98">
            <v>3.2900383972307714</v>
          </cell>
          <cell r="AP98">
            <v>3.2940047568989486</v>
          </cell>
          <cell r="AQ98">
            <v>3.2979758982769778</v>
          </cell>
          <cell r="AR98">
            <v>3.3019518271295274</v>
          </cell>
          <cell r="AS98">
            <v>3.3059325492282161</v>
          </cell>
          <cell r="AT98">
            <v>3.3099180703516202</v>
          </cell>
          <cell r="AU98">
            <v>3.313908396285282</v>
          </cell>
          <cell r="AV98">
            <v>3.3179035328217199</v>
          </cell>
          <cell r="AW98">
            <v>3.3219034857604344</v>
          </cell>
          <cell r="AX98">
            <v>3.3259082609079185</v>
          </cell>
          <cell r="AY98">
            <v>3.3299178640776645</v>
          </cell>
          <cell r="AZ98">
            <v>3.309511048726403</v>
          </cell>
          <cell r="BA98">
            <v>3.2892292929501159</v>
          </cell>
          <cell r="BB98">
            <v>3.2690718303432162</v>
          </cell>
          <cell r="BC98">
            <v>3.2490378991968987</v>
          </cell>
          <cell r="BD98">
            <v>3.2291267424703571</v>
          </cell>
          <cell r="BE98">
            <v>3.2093376077621758</v>
          </cell>
        </row>
        <row r="99">
          <cell r="C99">
            <v>0.1681</v>
          </cell>
          <cell r="D99">
            <v>0.16219999999999998</v>
          </cell>
          <cell r="E99">
            <v>0.16219999999999998</v>
          </cell>
          <cell r="F99">
            <v>0.1613</v>
          </cell>
          <cell r="G99">
            <v>0.1585</v>
          </cell>
          <cell r="H99">
            <v>0.1573</v>
          </cell>
          <cell r="I99">
            <v>0.15710000000000002</v>
          </cell>
          <cell r="J99">
            <v>0.15710000000000002</v>
          </cell>
          <cell r="K99">
            <v>0.15759999999999999</v>
          </cell>
          <cell r="L99">
            <v>0.15990000000000001</v>
          </cell>
          <cell r="M99">
            <v>0.16339999999999999</v>
          </cell>
          <cell r="N99">
            <v>0.16930000000000001</v>
          </cell>
          <cell r="O99">
            <v>0.17460000000000001</v>
          </cell>
          <cell r="P99">
            <v>0.17920000000000003</v>
          </cell>
          <cell r="Q99">
            <v>0.18440000000000001</v>
          </cell>
          <cell r="R99">
            <v>0.18890000000000001</v>
          </cell>
          <cell r="S99">
            <v>0.19260000000000002</v>
          </cell>
          <cell r="T99">
            <v>0.19570000000000001</v>
          </cell>
          <cell r="U99">
            <v>0.1973</v>
          </cell>
          <cell r="V99">
            <v>0.19699999999999998</v>
          </cell>
          <cell r="W99">
            <v>0.1968</v>
          </cell>
          <cell r="X99">
            <v>0.19616362262402876</v>
          </cell>
          <cell r="Y99">
            <v>0.19228537098781293</v>
          </cell>
          <cell r="Z99">
            <v>0.1865</v>
          </cell>
          <cell r="AA99">
            <v>0.18149999999999999</v>
          </cell>
          <cell r="AB99">
            <v>0.17899999999999999</v>
          </cell>
          <cell r="AC99">
            <v>0.17899999999999999</v>
          </cell>
          <cell r="AD99">
            <v>0.17649999999999999</v>
          </cell>
          <cell r="AE99">
            <v>0.17399999999999999</v>
          </cell>
          <cell r="AF99">
            <v>0.17399999999999999</v>
          </cell>
          <cell r="AG99">
            <v>0.17149999999999999</v>
          </cell>
          <cell r="AH99">
            <v>0.16899999999999998</v>
          </cell>
          <cell r="AI99">
            <v>0.16899999999999998</v>
          </cell>
          <cell r="AJ99">
            <v>0.16649999999999998</v>
          </cell>
          <cell r="AK99">
            <v>0.16399999999999998</v>
          </cell>
          <cell r="AL99">
            <v>0.16399999999999998</v>
          </cell>
          <cell r="AM99">
            <v>0.16149999999999998</v>
          </cell>
          <cell r="AN99">
            <v>0.15899999999999997</v>
          </cell>
          <cell r="AO99">
            <v>0.16648661652745755</v>
          </cell>
          <cell r="AP99">
            <v>0.16502762188264597</v>
          </cell>
          <cell r="AQ99">
            <v>0.16357045052672137</v>
          </cell>
          <cell r="AR99">
            <v>0.16211510018114039</v>
          </cell>
          <cell r="AS99">
            <v>0.1608650936067525</v>
          </cell>
          <cell r="AT99">
            <v>0.15961643042171259</v>
          </cell>
          <cell r="AU99">
            <v>0.15836910918227221</v>
          </cell>
          <cell r="AV99">
            <v>0.15732734418159577</v>
          </cell>
          <cell r="AW99">
            <v>0.15628651527133963</v>
          </cell>
          <cell r="AX99">
            <v>0.15524662161036862</v>
          </cell>
          <cell r="AY99">
            <v>0.15441268450850021</v>
          </cell>
        </row>
      </sheetData>
      <sheetData sheetId="5">
        <row r="55">
          <cell r="N55">
            <v>197445240.25805357</v>
          </cell>
        </row>
      </sheetData>
      <sheetData sheetId="6">
        <row r="33">
          <cell r="D33" t="b">
            <v>1</v>
          </cell>
        </row>
      </sheetData>
      <sheetData sheetId="7" refreshError="1"/>
      <sheetData sheetId="8"/>
      <sheetData sheetId="9">
        <row r="20">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row>
        <row r="89">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-5246633.556890808</v>
          </cell>
          <cell r="Z89">
            <v>0</v>
          </cell>
          <cell r="AA89">
            <v>0</v>
          </cell>
          <cell r="AB89">
            <v>0</v>
          </cell>
          <cell r="AC89">
            <v>0</v>
          </cell>
        </row>
        <row r="90">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5246633.5568908118</v>
          </cell>
          <cell r="Z90">
            <v>0</v>
          </cell>
          <cell r="AA90">
            <v>0</v>
          </cell>
          <cell r="AB90">
            <v>0</v>
          </cell>
          <cell r="AC90">
            <v>0</v>
          </cell>
        </row>
        <row r="91">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row>
      </sheetData>
      <sheetData sheetId="10"/>
      <sheetData sheetId="11">
        <row r="34">
          <cell r="E34">
            <v>105287677.1209735</v>
          </cell>
          <cell r="F34">
            <v>105287677.1209735</v>
          </cell>
          <cell r="G34">
            <v>105287677.1209735</v>
          </cell>
          <cell r="H34">
            <v>105287677.1209735</v>
          </cell>
          <cell r="I34">
            <v>105287677.1209735</v>
          </cell>
          <cell r="J34">
            <v>105287677.1209735</v>
          </cell>
          <cell r="K34">
            <v>105287677.1209735</v>
          </cell>
          <cell r="L34">
            <v>105287677.1209735</v>
          </cell>
          <cell r="M34">
            <v>105287677.1209735</v>
          </cell>
          <cell r="N34">
            <v>105287677.1209735</v>
          </cell>
          <cell r="O34">
            <v>105287677.1209735</v>
          </cell>
          <cell r="P34">
            <v>105287677.1209735</v>
          </cell>
          <cell r="Q34">
            <v>105287677.1209735</v>
          </cell>
          <cell r="R34">
            <v>105287677.1209735</v>
          </cell>
          <cell r="S34">
            <v>105287677.1209735</v>
          </cell>
          <cell r="T34">
            <v>105287677.1209735</v>
          </cell>
          <cell r="U34">
            <v>105287677.1209735</v>
          </cell>
          <cell r="V34">
            <v>105287677.1209735</v>
          </cell>
          <cell r="W34">
            <v>105287677.1209735</v>
          </cell>
          <cell r="X34">
            <v>73807875.779628634</v>
          </cell>
          <cell r="Y34">
            <v>79054509.33651945</v>
          </cell>
          <cell r="Z34">
            <v>79054509.33651945</v>
          </cell>
          <cell r="AA34">
            <v>79054509.33651945</v>
          </cell>
          <cell r="AB34">
            <v>79054509.33651945</v>
          </cell>
          <cell r="AC34">
            <v>79054509.33651945</v>
          </cell>
        </row>
      </sheetData>
      <sheetData sheetId="1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Econ, Fin &amp; Tech Inputs"/>
      <sheetName val="Investment Inputs"/>
      <sheetName val="Investment Schedule"/>
      <sheetName val="Project Summary"/>
      <sheetName val="Investment Summary"/>
      <sheetName val="Sources &amp; Uses"/>
      <sheetName val="Gas Conversion Funding"/>
      <sheetName val="Financial Summary (Mnthly)"/>
      <sheetName val="Financial Summary"/>
      <sheetName val="Acquisition (Mnthly)"/>
      <sheetName val="Acquisition"/>
      <sheetName val="Operations (Mnthly)"/>
      <sheetName val="Operations"/>
      <sheetName val="O&amp;M (Mnthly)"/>
      <sheetName val="O&amp;M"/>
      <sheetName val="Taxes (Mnthly)"/>
      <sheetName val="Applicable Inc Tax Calc"/>
      <sheetName val="Maintenance Reserve(Mnthly)"/>
      <sheetName val="Pro-forma (Mnthly)"/>
      <sheetName val="Pro-forma"/>
      <sheetName val="Debt(Mnthly) (US$)"/>
      <sheetName val="Debt(Mnthly)(R$)"/>
      <sheetName val="Debt-Annual"/>
      <sheetName val="Depreciation (Mnthly)"/>
      <sheetName val="Tariffs &amp; Escalation &amp; Currency"/>
      <sheetName val="Escalation Graph"/>
      <sheetName val="Sensitivity"/>
      <sheetName val="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neel.gov.br/cedoc/reh20101096.pdf" TargetMode="External"/><Relationship Id="rId7" Type="http://schemas.openxmlformats.org/officeDocument/2006/relationships/comments" Target="../comments1.xml"/><Relationship Id="rId2" Type="http://schemas.openxmlformats.org/officeDocument/2006/relationships/hyperlink" Target="http://www.aneel.gov.br/cedoc/atdsp20104080.pdf" TargetMode="External"/><Relationship Id="rId1" Type="http://schemas.openxmlformats.org/officeDocument/2006/relationships/hyperlink" Target="http://www.planalto.gov.br/ccivil_03/Leis/L9991.htm"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www.aneel.gov.br/aplicacoes/atlas/energia_hidraulica/4_11.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www.mae.org.br/portal/wcm/idc/groups/regrasprocedlegis/documents/conteudoccee/ccee_doc_014781.pdf" TargetMode="External"/><Relationship Id="rId1" Type="http://schemas.openxmlformats.org/officeDocument/2006/relationships/hyperlink" Target="http://www.planalto.gov.br/ccivil_03/_ato2004-2006/2004/decreto/d5177.htm"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bndes.gov.br/SiteBNDES/bndes/bndes_pt/Institucional/Apoio_Financeiro/Produtos/FINEM/meio_ambiente.html" TargetMode="External"/><Relationship Id="rId2" Type="http://schemas.openxmlformats.org/officeDocument/2006/relationships/hyperlink" Target="http://www.receita.fazenda.gov.br/Aliquotas/ContribCsll/Aliquotas.htm" TargetMode="External"/><Relationship Id="rId1" Type="http://schemas.openxmlformats.org/officeDocument/2006/relationships/hyperlink" Target="http://www.bcb.gov.br/pec/metas/InflationTargetingTable.pdf" TargetMode="External"/><Relationship Id="rId5" Type="http://schemas.openxmlformats.org/officeDocument/2006/relationships/hyperlink" Target="http://www.bndes.gov.br/SiteBNDES/bndes/bndes_pt/Institucional/Apoio_Financeiro/Custos_Financeiros/Taxa_de_Juros_de_Longo_Prazo_TJLP/index.html" TargetMode="External"/><Relationship Id="rId4" Type="http://schemas.openxmlformats.org/officeDocument/2006/relationships/hyperlink" Target="http://www.bndes.gov.br/SiteBNDES/bndes/bndes_pt/Institucional/Apoio_Financeiro/Produtos/FINEM/meio_ambiente.html" TargetMode="External"/></Relationships>
</file>

<file path=xl/worksheets/sheet1.xml><?xml version="1.0" encoding="utf-8"?>
<worksheet xmlns="http://schemas.openxmlformats.org/spreadsheetml/2006/main" xmlns:r="http://schemas.openxmlformats.org/officeDocument/2006/relationships">
  <sheetPr codeName="Plan3">
    <pageSetUpPr fitToPage="1"/>
  </sheetPr>
  <dimension ref="A2:AE92"/>
  <sheetViews>
    <sheetView showGridLines="0" tabSelected="1" zoomScale="70" zoomScaleNormal="70" workbookViewId="0">
      <selection activeCell="B13" sqref="B13"/>
    </sheetView>
  </sheetViews>
  <sheetFormatPr defaultRowHeight="16.5"/>
  <cols>
    <col min="1" max="1" width="6.7109375" style="3" customWidth="1"/>
    <col min="2" max="2" width="42.28515625" style="3" bestFit="1" customWidth="1"/>
    <col min="3" max="3" width="16.5703125" style="3" bestFit="1" customWidth="1"/>
    <col min="4" max="4" width="13.5703125" style="3" customWidth="1"/>
    <col min="5" max="5" width="17.42578125" style="3" customWidth="1"/>
    <col min="6" max="6" width="16" style="3" customWidth="1"/>
    <col min="7" max="7" width="17.85546875" style="3" customWidth="1"/>
    <col min="8" max="8" width="16" style="3" customWidth="1"/>
    <col min="9" max="9" width="15.85546875" style="3" customWidth="1"/>
    <col min="10" max="10" width="15.140625" style="3" customWidth="1"/>
    <col min="11" max="23" width="13.140625" style="3" bestFit="1" customWidth="1"/>
    <col min="24" max="27" width="13.140625" bestFit="1" customWidth="1"/>
    <col min="28" max="28" width="13.42578125" bestFit="1" customWidth="1"/>
  </cols>
  <sheetData>
    <row r="2" spans="1:23" ht="18.75">
      <c r="B2" s="37" t="s">
        <v>39</v>
      </c>
      <c r="C2" s="77"/>
      <c r="D2" s="78" t="s">
        <v>202</v>
      </c>
      <c r="E2" s="46"/>
      <c r="S2"/>
      <c r="T2"/>
      <c r="U2"/>
      <c r="V2"/>
      <c r="W2"/>
    </row>
    <row r="3" spans="1:23">
      <c r="S3"/>
      <c r="T3"/>
      <c r="U3"/>
      <c r="V3"/>
      <c r="W3"/>
    </row>
    <row r="4" spans="1:23" ht="17.25" thickBot="1">
      <c r="B4" s="248" t="s">
        <v>18</v>
      </c>
      <c r="C4" s="248"/>
      <c r="D4" s="248"/>
      <c r="E4" s="248"/>
      <c r="F4" s="248" t="s">
        <v>45</v>
      </c>
      <c r="G4" s="248"/>
      <c r="V4"/>
      <c r="W4"/>
    </row>
    <row r="5" spans="1:23" ht="17.25" thickTop="1">
      <c r="B5" s="3" t="s">
        <v>17</v>
      </c>
      <c r="C5" s="120">
        <v>1820</v>
      </c>
      <c r="D5" s="65" t="s">
        <v>55</v>
      </c>
      <c r="G5" s="41"/>
      <c r="V5"/>
      <c r="W5"/>
    </row>
    <row r="6" spans="1:23">
      <c r="B6" s="3" t="s">
        <v>51</v>
      </c>
      <c r="C6" s="121">
        <f>940.6*(1+F79)</f>
        <v>940.6</v>
      </c>
      <c r="D6" s="66" t="s">
        <v>56</v>
      </c>
      <c r="G6" s="36"/>
      <c r="O6" s="60"/>
      <c r="P6" s="36"/>
      <c r="V6"/>
      <c r="W6"/>
    </row>
    <row r="7" spans="1:23">
      <c r="B7" s="3" t="s">
        <v>52</v>
      </c>
      <c r="C7" s="121">
        <v>915.4</v>
      </c>
      <c r="D7" s="47" t="s">
        <v>57</v>
      </c>
      <c r="G7" s="63"/>
      <c r="O7" s="60"/>
      <c r="P7" s="63"/>
      <c r="Q7" s="47"/>
      <c r="V7"/>
      <c r="W7"/>
    </row>
    <row r="8" spans="1:23">
      <c r="B8" s="3" t="s">
        <v>46</v>
      </c>
      <c r="C8" s="122">
        <v>2.2200000000000001E-2</v>
      </c>
      <c r="D8" s="47" t="s">
        <v>58</v>
      </c>
      <c r="E8" s="36"/>
      <c r="G8" s="36"/>
      <c r="V8"/>
      <c r="W8"/>
    </row>
    <row r="9" spans="1:23">
      <c r="B9" s="62" t="s">
        <v>47</v>
      </c>
      <c r="C9" s="122">
        <v>0</v>
      </c>
      <c r="D9" s="64" t="s">
        <v>29</v>
      </c>
      <c r="E9" s="36"/>
      <c r="G9" s="36"/>
      <c r="V9"/>
      <c r="W9"/>
    </row>
    <row r="10" spans="1:23">
      <c r="B10" s="45" t="s">
        <v>48</v>
      </c>
      <c r="C10" s="120">
        <f>58.3497011764706*(1+F78)</f>
        <v>58.349701176470603</v>
      </c>
      <c r="D10" s="47" t="s">
        <v>59</v>
      </c>
      <c r="G10" s="36"/>
      <c r="S10"/>
      <c r="T10"/>
      <c r="U10"/>
      <c r="V10"/>
      <c r="W10"/>
    </row>
    <row r="11" spans="1:23" s="58" customFormat="1">
      <c r="A11" s="62"/>
      <c r="B11" s="62" t="s">
        <v>49</v>
      </c>
      <c r="C11" s="120">
        <f>145*(1+F78)</f>
        <v>145</v>
      </c>
      <c r="D11" s="62" t="s">
        <v>68</v>
      </c>
      <c r="E11" s="62"/>
      <c r="G11" s="68"/>
      <c r="H11" s="62"/>
      <c r="I11" s="62"/>
      <c r="J11" s="62"/>
      <c r="K11" s="62"/>
      <c r="L11" s="62"/>
      <c r="M11" s="62"/>
      <c r="N11" s="62"/>
      <c r="O11" s="62"/>
      <c r="P11" s="62"/>
      <c r="Q11" s="62"/>
      <c r="R11" s="62"/>
    </row>
    <row r="12" spans="1:23" s="58" customFormat="1">
      <c r="A12" s="62"/>
      <c r="B12" s="62" t="s">
        <v>110</v>
      </c>
      <c r="C12" s="153">
        <f>CCEE!D27</f>
        <v>0.20639380544813565</v>
      </c>
      <c r="D12" s="62" t="s">
        <v>111</v>
      </c>
      <c r="E12" s="62"/>
      <c r="F12" s="68"/>
      <c r="G12" s="68"/>
      <c r="H12" s="62"/>
      <c r="I12" s="62"/>
      <c r="J12" s="129"/>
      <c r="K12" s="62"/>
      <c r="L12" s="62"/>
      <c r="M12" s="62"/>
      <c r="N12" s="62"/>
      <c r="O12" s="130"/>
      <c r="P12" s="62"/>
      <c r="Q12" s="62"/>
      <c r="R12" s="62"/>
    </row>
    <row r="13" spans="1:23">
      <c r="B13" s="72" t="s">
        <v>70</v>
      </c>
      <c r="C13" s="154">
        <v>68.34</v>
      </c>
      <c r="D13" s="75" t="s">
        <v>66</v>
      </c>
      <c r="F13" s="36"/>
      <c r="G13" s="36"/>
      <c r="H13" s="76" t="s">
        <v>67</v>
      </c>
      <c r="S13"/>
      <c r="T13"/>
      <c r="U13"/>
      <c r="V13"/>
      <c r="W13"/>
    </row>
    <row r="14" spans="1:23">
      <c r="B14" s="72" t="s">
        <v>71</v>
      </c>
      <c r="C14" s="122">
        <v>6.7500000000000004E-2</v>
      </c>
      <c r="D14" s="75" t="s">
        <v>113</v>
      </c>
      <c r="F14" s="67"/>
      <c r="G14" s="67"/>
      <c r="H14" s="42" t="s">
        <v>69</v>
      </c>
      <c r="S14"/>
      <c r="T14"/>
      <c r="U14"/>
      <c r="V14"/>
      <c r="W14"/>
    </row>
    <row r="15" spans="1:23" s="58" customFormat="1">
      <c r="A15" s="62"/>
      <c r="B15" s="62" t="s">
        <v>16</v>
      </c>
      <c r="C15" s="122">
        <v>0</v>
      </c>
      <c r="D15" s="249"/>
      <c r="E15" s="249"/>
      <c r="F15" s="131"/>
      <c r="G15" s="131"/>
      <c r="H15" s="62"/>
      <c r="I15" s="62"/>
      <c r="J15" s="62"/>
      <c r="K15" s="62"/>
      <c r="L15" s="62"/>
      <c r="M15" s="62"/>
      <c r="N15" s="62"/>
      <c r="O15" s="62"/>
      <c r="P15" s="62"/>
      <c r="Q15" s="62"/>
      <c r="R15" s="62"/>
    </row>
    <row r="16" spans="1:23">
      <c r="A16" s="45"/>
      <c r="B16" s="45" t="s">
        <v>50</v>
      </c>
      <c r="C16" s="155">
        <f>9.07*50%+8.849*50%</f>
        <v>8.9595000000000002</v>
      </c>
      <c r="D16" s="79">
        <f>8.849*50%+8.628*50%</f>
        <v>8.7385000000000002</v>
      </c>
      <c r="E16" s="79">
        <f>8.628*50%+8.407*50%</f>
        <v>8.5175000000000001</v>
      </c>
      <c r="F16" s="79">
        <f>8.407*50%+8.186*50%</f>
        <v>8.2965</v>
      </c>
      <c r="G16" s="79">
        <v>8.1859999999999999</v>
      </c>
      <c r="H16" s="3" t="s">
        <v>119</v>
      </c>
      <c r="J16" s="42"/>
      <c r="L16" s="42"/>
    </row>
    <row r="17" spans="1:28">
      <c r="B17" s="3" t="s">
        <v>60</v>
      </c>
      <c r="C17" s="124">
        <v>0.01</v>
      </c>
      <c r="D17" s="3" t="s">
        <v>62</v>
      </c>
      <c r="F17" s="36"/>
      <c r="G17" s="36"/>
      <c r="H17" s="42" t="s">
        <v>61</v>
      </c>
    </row>
    <row r="18" spans="1:28" s="71" customFormat="1">
      <c r="A18" s="45"/>
      <c r="B18" s="73" t="s">
        <v>203</v>
      </c>
      <c r="C18" s="125">
        <f>5514831.81/1000</f>
        <v>5514.8318099999997</v>
      </c>
      <c r="D18" s="74" t="s">
        <v>65</v>
      </c>
      <c r="E18" s="45"/>
      <c r="F18" s="70"/>
      <c r="G18" s="70"/>
      <c r="H18" s="45"/>
      <c r="I18" s="45"/>
      <c r="J18" s="45"/>
      <c r="K18" s="45"/>
      <c r="L18" s="45"/>
      <c r="M18" s="45"/>
      <c r="N18" s="45"/>
      <c r="O18" s="45"/>
      <c r="P18" s="45"/>
      <c r="Q18" s="45"/>
      <c r="R18" s="45"/>
      <c r="S18" s="45"/>
      <c r="T18" s="45"/>
      <c r="U18" s="45"/>
      <c r="V18" s="45"/>
      <c r="W18" s="45"/>
    </row>
    <row r="19" spans="1:28">
      <c r="B19" s="3" t="s">
        <v>44</v>
      </c>
      <c r="C19" s="123">
        <v>385.73</v>
      </c>
      <c r="D19" s="57" t="s">
        <v>63</v>
      </c>
      <c r="E19" s="47"/>
      <c r="G19" s="4"/>
      <c r="H19" s="42" t="s">
        <v>64</v>
      </c>
      <c r="J19" s="59"/>
    </row>
    <row r="20" spans="1:28" s="58" customFormat="1">
      <c r="A20" s="62"/>
      <c r="B20" s="62" t="s">
        <v>205</v>
      </c>
      <c r="C20" s="126">
        <f>ONS!E21</f>
        <v>190335.77437010437</v>
      </c>
      <c r="D20" s="62" t="s">
        <v>102</v>
      </c>
      <c r="E20" s="62"/>
      <c r="F20" s="68"/>
      <c r="G20" s="68"/>
      <c r="H20" s="62"/>
      <c r="I20" s="62"/>
      <c r="J20" s="62"/>
      <c r="K20" s="62"/>
      <c r="L20" s="62"/>
      <c r="M20" s="62"/>
      <c r="N20" s="62"/>
      <c r="O20" s="62"/>
      <c r="P20" s="62"/>
      <c r="Q20" s="62"/>
      <c r="R20" s="62"/>
      <c r="S20" s="62"/>
      <c r="T20" s="62"/>
      <c r="U20" s="62"/>
      <c r="V20" s="62"/>
      <c r="W20" s="62"/>
    </row>
    <row r="21" spans="1:28" s="58" customFormat="1">
      <c r="A21" s="62"/>
      <c r="B21" s="62" t="s">
        <v>204</v>
      </c>
      <c r="C21" s="126">
        <v>16759000</v>
      </c>
      <c r="D21" s="62" t="s">
        <v>112</v>
      </c>
      <c r="E21" s="62"/>
      <c r="F21" s="68"/>
      <c r="G21" s="68"/>
      <c r="H21" s="62"/>
      <c r="I21" s="62"/>
      <c r="J21" s="62"/>
      <c r="K21" s="62"/>
      <c r="L21" s="62"/>
      <c r="M21" s="62"/>
      <c r="N21" s="62"/>
      <c r="O21" s="62"/>
      <c r="P21" s="62"/>
      <c r="Q21" s="62"/>
      <c r="R21" s="62"/>
      <c r="S21" s="62"/>
      <c r="T21" s="62"/>
      <c r="U21" s="62"/>
      <c r="V21" s="62"/>
      <c r="W21" s="62"/>
    </row>
    <row r="23" spans="1:28" ht="21" customHeight="1" thickBot="1">
      <c r="A23" s="250"/>
      <c r="B23" s="250"/>
      <c r="C23" s="1"/>
      <c r="D23" s="1">
        <v>2010</v>
      </c>
      <c r="E23" s="1">
        <f t="shared" ref="E23:R23" si="0">D23+1</f>
        <v>2011</v>
      </c>
      <c r="F23" s="1">
        <f t="shared" si="0"/>
        <v>2012</v>
      </c>
      <c r="G23" s="1">
        <f t="shared" si="0"/>
        <v>2013</v>
      </c>
      <c r="H23" s="1">
        <f t="shared" si="0"/>
        <v>2014</v>
      </c>
      <c r="I23" s="1">
        <f t="shared" si="0"/>
        <v>2015</v>
      </c>
      <c r="J23" s="1">
        <f t="shared" si="0"/>
        <v>2016</v>
      </c>
      <c r="K23" s="1">
        <f t="shared" si="0"/>
        <v>2017</v>
      </c>
      <c r="L23" s="1">
        <f t="shared" si="0"/>
        <v>2018</v>
      </c>
      <c r="M23" s="1">
        <f t="shared" si="0"/>
        <v>2019</v>
      </c>
      <c r="N23" s="1">
        <f t="shared" si="0"/>
        <v>2020</v>
      </c>
      <c r="O23" s="1">
        <f t="shared" si="0"/>
        <v>2021</v>
      </c>
      <c r="P23" s="1">
        <f t="shared" si="0"/>
        <v>2022</v>
      </c>
      <c r="Q23" s="1">
        <f t="shared" si="0"/>
        <v>2023</v>
      </c>
      <c r="R23" s="1">
        <f t="shared" si="0"/>
        <v>2024</v>
      </c>
      <c r="S23" s="1">
        <f t="shared" ref="S23:AB23" si="1">R23+1</f>
        <v>2025</v>
      </c>
      <c r="T23" s="1">
        <f t="shared" si="1"/>
        <v>2026</v>
      </c>
      <c r="U23" s="1">
        <f t="shared" si="1"/>
        <v>2027</v>
      </c>
      <c r="V23" s="1">
        <f t="shared" si="1"/>
        <v>2028</v>
      </c>
      <c r="W23" s="1">
        <f t="shared" si="1"/>
        <v>2029</v>
      </c>
      <c r="X23" s="1">
        <f t="shared" si="1"/>
        <v>2030</v>
      </c>
      <c r="Y23" s="1">
        <f t="shared" si="1"/>
        <v>2031</v>
      </c>
      <c r="Z23" s="1">
        <f t="shared" si="1"/>
        <v>2032</v>
      </c>
      <c r="AA23" s="1">
        <f t="shared" si="1"/>
        <v>2033</v>
      </c>
      <c r="AB23" s="1">
        <f t="shared" si="1"/>
        <v>2034</v>
      </c>
    </row>
    <row r="24" spans="1:28" ht="21" customHeight="1" thickTop="1">
      <c r="A24" s="251" t="s">
        <v>31</v>
      </c>
      <c r="B24" s="251"/>
      <c r="C24" s="38"/>
      <c r="D24" s="17">
        <f>Inv!F12</f>
        <v>0</v>
      </c>
      <c r="E24" s="17">
        <f>D24+Inv!G12</f>
        <v>342965.62362219003</v>
      </c>
      <c r="F24" s="17">
        <f>E24+Inv!H12</f>
        <v>1302749.0943162148</v>
      </c>
      <c r="G24" s="17">
        <f>F24+Inv!I12</f>
        <v>2449781.6841141153</v>
      </c>
      <c r="H24" s="17">
        <f>G24+Inv!J12</f>
        <v>3321637.6045303405</v>
      </c>
      <c r="I24" s="17">
        <f>H24+Inv!K12</f>
        <v>3567628.4570000004</v>
      </c>
      <c r="J24" s="17">
        <f>I24+Inv!L12</f>
        <v>3567628.4570000004</v>
      </c>
      <c r="K24" s="17">
        <f>J24+Inv!M12</f>
        <v>3567628.4570000004</v>
      </c>
      <c r="L24" s="17">
        <f>K24+Inv!N12</f>
        <v>3567628.4570000004</v>
      </c>
      <c r="M24" s="17">
        <f>L24+Inv!O12</f>
        <v>3567628.4570000004</v>
      </c>
      <c r="N24" s="17">
        <f>M24+Inv!P12</f>
        <v>3567628.4570000004</v>
      </c>
      <c r="O24" s="17">
        <f>N24</f>
        <v>3567628.4570000004</v>
      </c>
      <c r="P24" s="17">
        <f t="shared" ref="P24:W24" si="2">O24</f>
        <v>3567628.4570000004</v>
      </c>
      <c r="Q24" s="17">
        <f t="shared" si="2"/>
        <v>3567628.4570000004</v>
      </c>
      <c r="R24" s="17">
        <f t="shared" si="2"/>
        <v>3567628.4570000004</v>
      </c>
      <c r="S24" s="17">
        <f t="shared" si="2"/>
        <v>3567628.4570000004</v>
      </c>
      <c r="T24" s="17">
        <f t="shared" si="2"/>
        <v>3567628.4570000004</v>
      </c>
      <c r="U24" s="17">
        <f t="shared" si="2"/>
        <v>3567628.4570000004</v>
      </c>
      <c r="V24" s="17">
        <f t="shared" si="2"/>
        <v>3567628.4570000004</v>
      </c>
      <c r="W24" s="17">
        <f t="shared" si="2"/>
        <v>3567628.4570000004</v>
      </c>
      <c r="X24" s="17">
        <f>W24</f>
        <v>3567628.4570000004</v>
      </c>
      <c r="Y24" s="17">
        <f>X24</f>
        <v>3567628.4570000004</v>
      </c>
      <c r="Z24" s="17">
        <f>Y24</f>
        <v>3567628.4570000004</v>
      </c>
      <c r="AA24" s="17">
        <f>Z24</f>
        <v>3567628.4570000004</v>
      </c>
      <c r="AB24" s="17">
        <f>AA24</f>
        <v>3567628.4570000004</v>
      </c>
    </row>
    <row r="25" spans="1:28">
      <c r="A25" s="251" t="s">
        <v>40</v>
      </c>
      <c r="B25" s="251"/>
      <c r="C25" s="13"/>
      <c r="D25" s="13"/>
      <c r="E25" s="13"/>
      <c r="F25" s="13"/>
      <c r="G25" s="13"/>
      <c r="H25" s="13"/>
      <c r="I25" s="11">
        <v>8760</v>
      </c>
      <c r="J25" s="11">
        <v>8784</v>
      </c>
      <c r="K25" s="11">
        <v>8760</v>
      </c>
      <c r="L25" s="11">
        <v>8760</v>
      </c>
      <c r="M25" s="11">
        <v>8760</v>
      </c>
      <c r="N25" s="11">
        <v>8784</v>
      </c>
      <c r="O25" s="11">
        <v>8760</v>
      </c>
      <c r="P25" s="11">
        <v>8760</v>
      </c>
      <c r="Q25" s="11">
        <v>8760</v>
      </c>
      <c r="R25" s="11">
        <v>8784</v>
      </c>
      <c r="S25" s="11">
        <v>8760</v>
      </c>
      <c r="T25" s="11">
        <v>8760</v>
      </c>
      <c r="U25" s="11">
        <v>8760</v>
      </c>
      <c r="V25" s="11">
        <v>8784</v>
      </c>
      <c r="W25" s="11">
        <v>8760</v>
      </c>
      <c r="X25" s="11">
        <v>8760</v>
      </c>
      <c r="Y25" s="11">
        <v>8760</v>
      </c>
      <c r="Z25" s="11">
        <v>8784</v>
      </c>
      <c r="AA25" s="11">
        <v>8760</v>
      </c>
      <c r="AB25" s="11">
        <v>8760</v>
      </c>
    </row>
    <row r="26" spans="1:28">
      <c r="A26" s="252" t="s">
        <v>42</v>
      </c>
      <c r="B26" s="252"/>
      <c r="C26" s="11"/>
      <c r="D26" s="11"/>
      <c r="E26" s="11"/>
      <c r="F26" s="11"/>
      <c r="G26" s="11"/>
      <c r="H26" s="11"/>
      <c r="I26" s="11">
        <f>I25*$C$6</f>
        <v>8239656</v>
      </c>
      <c r="J26" s="11">
        <f t="shared" ref="J26:AB26" si="3">J25*$C$6</f>
        <v>8262230.4000000004</v>
      </c>
      <c r="K26" s="11">
        <f t="shared" si="3"/>
        <v>8239656</v>
      </c>
      <c r="L26" s="11">
        <f t="shared" si="3"/>
        <v>8239656</v>
      </c>
      <c r="M26" s="11">
        <f t="shared" si="3"/>
        <v>8239656</v>
      </c>
      <c r="N26" s="11">
        <f t="shared" si="3"/>
        <v>8262230.4000000004</v>
      </c>
      <c r="O26" s="11">
        <f t="shared" si="3"/>
        <v>8239656</v>
      </c>
      <c r="P26" s="11">
        <f t="shared" si="3"/>
        <v>8239656</v>
      </c>
      <c r="Q26" s="11">
        <f t="shared" si="3"/>
        <v>8239656</v>
      </c>
      <c r="R26" s="11">
        <f t="shared" si="3"/>
        <v>8262230.4000000004</v>
      </c>
      <c r="S26" s="11">
        <f t="shared" si="3"/>
        <v>8239656</v>
      </c>
      <c r="T26" s="11">
        <f t="shared" si="3"/>
        <v>8239656</v>
      </c>
      <c r="U26" s="11">
        <f t="shared" si="3"/>
        <v>8239656</v>
      </c>
      <c r="V26" s="11">
        <f t="shared" si="3"/>
        <v>8262230.4000000004</v>
      </c>
      <c r="W26" s="11">
        <f t="shared" si="3"/>
        <v>8239656</v>
      </c>
      <c r="X26" s="11">
        <f t="shared" si="3"/>
        <v>8239656</v>
      </c>
      <c r="Y26" s="11">
        <f t="shared" si="3"/>
        <v>8239656</v>
      </c>
      <c r="Z26" s="11">
        <f t="shared" si="3"/>
        <v>8262230.4000000004</v>
      </c>
      <c r="AA26" s="11">
        <f t="shared" si="3"/>
        <v>8239656</v>
      </c>
      <c r="AB26" s="11">
        <f t="shared" si="3"/>
        <v>8239656</v>
      </c>
    </row>
    <row r="27" spans="1:28">
      <c r="A27" s="252" t="s">
        <v>38</v>
      </c>
      <c r="B27" s="252"/>
      <c r="C27" s="11"/>
      <c r="D27" s="11" t="s">
        <v>29</v>
      </c>
      <c r="E27" s="11" t="s">
        <v>29</v>
      </c>
      <c r="F27" s="11" t="s">
        <v>29</v>
      </c>
      <c r="G27" s="11" t="s">
        <v>29</v>
      </c>
      <c r="H27" s="11" t="s">
        <v>29</v>
      </c>
      <c r="I27" s="61">
        <f>$C$7*0.85*I25</f>
        <v>6816068.3999999994</v>
      </c>
      <c r="J27" s="61">
        <f t="shared" ref="J27:AB27" si="4">$C$7*0.85*J25</f>
        <v>6834742.5599999996</v>
      </c>
      <c r="K27" s="61">
        <f t="shared" si="4"/>
        <v>6816068.3999999994</v>
      </c>
      <c r="L27" s="61">
        <f t="shared" si="4"/>
        <v>6816068.3999999994</v>
      </c>
      <c r="M27" s="61">
        <f t="shared" si="4"/>
        <v>6816068.3999999994</v>
      </c>
      <c r="N27" s="61">
        <f t="shared" si="4"/>
        <v>6834742.5599999996</v>
      </c>
      <c r="O27" s="61">
        <f t="shared" si="4"/>
        <v>6816068.3999999994</v>
      </c>
      <c r="P27" s="61">
        <f t="shared" si="4"/>
        <v>6816068.3999999994</v>
      </c>
      <c r="Q27" s="61">
        <f t="shared" si="4"/>
        <v>6816068.3999999994</v>
      </c>
      <c r="R27" s="61">
        <f t="shared" si="4"/>
        <v>6834742.5599999996</v>
      </c>
      <c r="S27" s="61">
        <f t="shared" si="4"/>
        <v>6816068.3999999994</v>
      </c>
      <c r="T27" s="61">
        <f t="shared" si="4"/>
        <v>6816068.3999999994</v>
      </c>
      <c r="U27" s="61">
        <f t="shared" si="4"/>
        <v>6816068.3999999994</v>
      </c>
      <c r="V27" s="61">
        <f t="shared" si="4"/>
        <v>6834742.5599999996</v>
      </c>
      <c r="W27" s="61">
        <f t="shared" si="4"/>
        <v>6816068.3999999994</v>
      </c>
      <c r="X27" s="61">
        <f t="shared" si="4"/>
        <v>6816068.3999999994</v>
      </c>
      <c r="Y27" s="61">
        <f t="shared" si="4"/>
        <v>6816068.3999999994</v>
      </c>
      <c r="Z27" s="61">
        <f t="shared" si="4"/>
        <v>6834742.5599999996</v>
      </c>
      <c r="AA27" s="61">
        <f t="shared" si="4"/>
        <v>6816068.3999999994</v>
      </c>
      <c r="AB27" s="61">
        <f t="shared" si="4"/>
        <v>6816068.3999999994</v>
      </c>
    </row>
    <row r="28" spans="1:28">
      <c r="A28" s="252" t="s">
        <v>43</v>
      </c>
      <c r="B28" s="252"/>
      <c r="C28" s="11"/>
      <c r="D28" s="11" t="s">
        <v>29</v>
      </c>
      <c r="E28" s="11" t="s">
        <v>29</v>
      </c>
      <c r="F28" s="11" t="s">
        <v>29</v>
      </c>
      <c r="G28" s="11" t="s">
        <v>29</v>
      </c>
      <c r="H28" s="11" t="s">
        <v>29</v>
      </c>
      <c r="I28" s="61">
        <f>I26*(1-$C$8-$C$9)-I27</f>
        <v>1240667.236800001</v>
      </c>
      <c r="J28" s="61">
        <f>J26*(1-$C$8-$C$9)-J27</f>
        <v>1244066.3251200011</v>
      </c>
      <c r="K28" s="61">
        <f>K26*(1-$C$8-$C$9)-K27</f>
        <v>1240667.236800001</v>
      </c>
      <c r="L28" s="61">
        <f>L26*(1-$C$8-$C$9)-L27</f>
        <v>1240667.236800001</v>
      </c>
      <c r="M28" s="61">
        <f t="shared" ref="M28:AB28" si="5">M26*(1-$C$8-$C$9)-M27</f>
        <v>1240667.236800001</v>
      </c>
      <c r="N28" s="61">
        <f t="shared" si="5"/>
        <v>1244066.3251200011</v>
      </c>
      <c r="O28" s="61">
        <f t="shared" si="5"/>
        <v>1240667.236800001</v>
      </c>
      <c r="P28" s="61">
        <f t="shared" si="5"/>
        <v>1240667.236800001</v>
      </c>
      <c r="Q28" s="61">
        <f t="shared" si="5"/>
        <v>1240667.236800001</v>
      </c>
      <c r="R28" s="61">
        <f t="shared" si="5"/>
        <v>1244066.3251200011</v>
      </c>
      <c r="S28" s="61">
        <f t="shared" si="5"/>
        <v>1240667.236800001</v>
      </c>
      <c r="T28" s="61">
        <f t="shared" si="5"/>
        <v>1240667.236800001</v>
      </c>
      <c r="U28" s="61">
        <f t="shared" si="5"/>
        <v>1240667.236800001</v>
      </c>
      <c r="V28" s="61">
        <f t="shared" si="5"/>
        <v>1244066.3251200011</v>
      </c>
      <c r="W28" s="61">
        <f t="shared" si="5"/>
        <v>1240667.236800001</v>
      </c>
      <c r="X28" s="61">
        <f t="shared" si="5"/>
        <v>1240667.236800001</v>
      </c>
      <c r="Y28" s="61">
        <f t="shared" si="5"/>
        <v>1240667.236800001</v>
      </c>
      <c r="Z28" s="61">
        <f t="shared" si="5"/>
        <v>1244066.3251200011</v>
      </c>
      <c r="AA28" s="61">
        <f t="shared" si="5"/>
        <v>1240667.236800001</v>
      </c>
      <c r="AB28" s="61">
        <f t="shared" si="5"/>
        <v>1240667.236800001</v>
      </c>
    </row>
    <row r="29" spans="1:28">
      <c r="A29" s="249" t="s">
        <v>41</v>
      </c>
      <c r="B29" s="249"/>
      <c r="C29" s="11"/>
      <c r="D29" s="11"/>
      <c r="E29" s="11"/>
      <c r="F29" s="11"/>
      <c r="G29" s="11"/>
      <c r="H29" s="11"/>
      <c r="I29" s="61">
        <f>I27+I28</f>
        <v>8056735.6368000004</v>
      </c>
      <c r="J29" s="61">
        <f t="shared" ref="J29:AB29" si="6">J27+J28</f>
        <v>8078808.8851200007</v>
      </c>
      <c r="K29" s="61">
        <f t="shared" si="6"/>
        <v>8056735.6368000004</v>
      </c>
      <c r="L29" s="61">
        <f t="shared" si="6"/>
        <v>8056735.6368000004</v>
      </c>
      <c r="M29" s="61">
        <f t="shared" si="6"/>
        <v>8056735.6368000004</v>
      </c>
      <c r="N29" s="61">
        <f t="shared" si="6"/>
        <v>8078808.8851200007</v>
      </c>
      <c r="O29" s="61">
        <f t="shared" si="6"/>
        <v>8056735.6368000004</v>
      </c>
      <c r="P29" s="61">
        <f t="shared" si="6"/>
        <v>8056735.6368000004</v>
      </c>
      <c r="Q29" s="61">
        <f t="shared" si="6"/>
        <v>8056735.6368000004</v>
      </c>
      <c r="R29" s="61">
        <f t="shared" si="6"/>
        <v>8078808.8851200007</v>
      </c>
      <c r="S29" s="61">
        <f t="shared" si="6"/>
        <v>8056735.6368000004</v>
      </c>
      <c r="T29" s="61">
        <f t="shared" si="6"/>
        <v>8056735.6368000004</v>
      </c>
      <c r="U29" s="61">
        <f t="shared" si="6"/>
        <v>8056735.6368000004</v>
      </c>
      <c r="V29" s="61">
        <f t="shared" si="6"/>
        <v>8078808.8851200007</v>
      </c>
      <c r="W29" s="61">
        <f t="shared" si="6"/>
        <v>8056735.6368000004</v>
      </c>
      <c r="X29" s="61">
        <f t="shared" si="6"/>
        <v>8056735.6368000004</v>
      </c>
      <c r="Y29" s="61">
        <f t="shared" si="6"/>
        <v>8056735.6368000004</v>
      </c>
      <c r="Z29" s="61">
        <f t="shared" si="6"/>
        <v>8078808.8851200007</v>
      </c>
      <c r="AA29" s="61">
        <f t="shared" si="6"/>
        <v>8056735.6368000004</v>
      </c>
      <c r="AB29" s="61">
        <f t="shared" si="6"/>
        <v>8056735.6368000004</v>
      </c>
    </row>
    <row r="30" spans="1:28">
      <c r="B30" s="14"/>
      <c r="C30" s="11"/>
      <c r="D30" s="11"/>
      <c r="E30" s="11"/>
      <c r="F30" s="11"/>
      <c r="G30" s="11"/>
      <c r="H30" s="11"/>
      <c r="I30" s="11"/>
      <c r="J30" s="11"/>
      <c r="K30" s="11"/>
      <c r="L30" s="11"/>
      <c r="M30" s="11"/>
      <c r="N30" s="11"/>
      <c r="O30" s="11"/>
      <c r="P30" s="11"/>
      <c r="Q30" s="11"/>
      <c r="R30" s="11"/>
      <c r="S30" s="11"/>
      <c r="T30" s="11"/>
      <c r="U30" s="11"/>
      <c r="V30" s="11"/>
      <c r="W30" s="11"/>
    </row>
    <row r="31" spans="1:28" ht="18.75" thickBot="1">
      <c r="A31" s="250" t="s">
        <v>8</v>
      </c>
      <c r="B31" s="250"/>
      <c r="C31" s="1"/>
      <c r="D31" s="1">
        <v>2010</v>
      </c>
      <c r="E31" s="1">
        <f t="shared" ref="E31:R31" si="7">D31+1</f>
        <v>2011</v>
      </c>
      <c r="F31" s="1">
        <f t="shared" si="7"/>
        <v>2012</v>
      </c>
      <c r="G31" s="1">
        <f t="shared" si="7"/>
        <v>2013</v>
      </c>
      <c r="H31" s="1">
        <f t="shared" si="7"/>
        <v>2014</v>
      </c>
      <c r="I31" s="1">
        <f t="shared" si="7"/>
        <v>2015</v>
      </c>
      <c r="J31" s="1">
        <f t="shared" si="7"/>
        <v>2016</v>
      </c>
      <c r="K31" s="1">
        <f t="shared" si="7"/>
        <v>2017</v>
      </c>
      <c r="L31" s="1">
        <f t="shared" si="7"/>
        <v>2018</v>
      </c>
      <c r="M31" s="1">
        <f t="shared" si="7"/>
        <v>2019</v>
      </c>
      <c r="N31" s="1">
        <f t="shared" si="7"/>
        <v>2020</v>
      </c>
      <c r="O31" s="1">
        <f t="shared" si="7"/>
        <v>2021</v>
      </c>
      <c r="P31" s="1">
        <f t="shared" si="7"/>
        <v>2022</v>
      </c>
      <c r="Q31" s="1">
        <f t="shared" si="7"/>
        <v>2023</v>
      </c>
      <c r="R31" s="1">
        <f t="shared" si="7"/>
        <v>2024</v>
      </c>
      <c r="S31" s="1">
        <f t="shared" ref="S31:AB31" si="8">R31+1</f>
        <v>2025</v>
      </c>
      <c r="T31" s="1">
        <f t="shared" si="8"/>
        <v>2026</v>
      </c>
      <c r="U31" s="1">
        <f t="shared" si="8"/>
        <v>2027</v>
      </c>
      <c r="V31" s="1">
        <f t="shared" si="8"/>
        <v>2028</v>
      </c>
      <c r="W31" s="1">
        <f t="shared" si="8"/>
        <v>2029</v>
      </c>
      <c r="X31" s="1">
        <f t="shared" si="8"/>
        <v>2030</v>
      </c>
      <c r="Y31" s="1">
        <f t="shared" si="8"/>
        <v>2031</v>
      </c>
      <c r="Z31" s="1">
        <f t="shared" si="8"/>
        <v>2032</v>
      </c>
      <c r="AA31" s="1">
        <f t="shared" si="8"/>
        <v>2033</v>
      </c>
      <c r="AB31" s="1">
        <f t="shared" si="8"/>
        <v>2034</v>
      </c>
    </row>
    <row r="32" spans="1:28" ht="17.25" thickTop="1">
      <c r="A32" s="2" t="s">
        <v>0</v>
      </c>
      <c r="X32" s="3"/>
      <c r="Y32" s="3"/>
      <c r="Z32" s="3"/>
      <c r="AA32" s="3"/>
      <c r="AB32" s="3"/>
    </row>
    <row r="33" spans="1:28" s="20" customFormat="1">
      <c r="A33" s="6"/>
      <c r="B33" s="7" t="s">
        <v>6</v>
      </c>
      <c r="C33" s="17"/>
      <c r="D33" s="17"/>
      <c r="E33" s="17"/>
      <c r="F33" s="17"/>
      <c r="G33" s="17"/>
      <c r="H33" s="17"/>
      <c r="I33" s="17">
        <f>I27*$C$10+I28*$C$11</f>
        <v>577612303.67438424</v>
      </c>
      <c r="J33" s="17">
        <f t="shared" ref="J33:W33" si="9">J27*$C$10+J28*$C$11</f>
        <v>579194803.13650584</v>
      </c>
      <c r="K33" s="17">
        <f t="shared" si="9"/>
        <v>577612303.67438424</v>
      </c>
      <c r="L33" s="17">
        <f t="shared" si="9"/>
        <v>577612303.67438424</v>
      </c>
      <c r="M33" s="17">
        <f t="shared" si="9"/>
        <v>577612303.67438424</v>
      </c>
      <c r="N33" s="17">
        <f t="shared" si="9"/>
        <v>579194803.13650584</v>
      </c>
      <c r="O33" s="17">
        <f t="shared" si="9"/>
        <v>577612303.67438424</v>
      </c>
      <c r="P33" s="17">
        <f t="shared" si="9"/>
        <v>577612303.67438424</v>
      </c>
      <c r="Q33" s="17">
        <f t="shared" si="9"/>
        <v>577612303.67438424</v>
      </c>
      <c r="R33" s="17">
        <f t="shared" si="9"/>
        <v>579194803.13650584</v>
      </c>
      <c r="S33" s="17">
        <f t="shared" si="9"/>
        <v>577612303.67438424</v>
      </c>
      <c r="T33" s="17">
        <f t="shared" si="9"/>
        <v>577612303.67438424</v>
      </c>
      <c r="U33" s="17">
        <f t="shared" si="9"/>
        <v>577612303.67438424</v>
      </c>
      <c r="V33" s="17">
        <f t="shared" si="9"/>
        <v>579194803.13650584</v>
      </c>
      <c r="W33" s="17">
        <f t="shared" si="9"/>
        <v>577612303.67438424</v>
      </c>
      <c r="X33" s="17">
        <f>X27*$C$10+X28*$C$11</f>
        <v>577612303.67438424</v>
      </c>
      <c r="Y33" s="17">
        <f>Y27*$C$10+Y28*$C$11</f>
        <v>577612303.67438424</v>
      </c>
      <c r="Z33" s="17">
        <f>Z27*$C$10+Z28*$C$11</f>
        <v>579194803.13650584</v>
      </c>
      <c r="AA33" s="17">
        <f>AA27*$C$10+AA28*$C$11</f>
        <v>577612303.67438424</v>
      </c>
      <c r="AB33" s="17">
        <f>AB27*$C$10+AB28*$C$11</f>
        <v>577612303.67438424</v>
      </c>
    </row>
    <row r="34" spans="1:28">
      <c r="A34" s="2" t="s">
        <v>5</v>
      </c>
      <c r="B34" s="4"/>
      <c r="C34" s="12"/>
      <c r="D34" s="12"/>
      <c r="E34" s="12"/>
      <c r="F34" s="12"/>
      <c r="G34" s="12"/>
      <c r="H34" s="12"/>
      <c r="I34" s="12">
        <f>SUM(I33:I33)/1000</f>
        <v>577612.30367438425</v>
      </c>
      <c r="J34" s="12">
        <f>SUM(J33:J33)/1000</f>
        <v>579194.80313650589</v>
      </c>
      <c r="K34" s="12">
        <f t="shared" ref="K34:W34" si="10">SUM(K33:K33)/1000</f>
        <v>577612.30367438425</v>
      </c>
      <c r="L34" s="12">
        <f t="shared" si="10"/>
        <v>577612.30367438425</v>
      </c>
      <c r="M34" s="12">
        <f t="shared" si="10"/>
        <v>577612.30367438425</v>
      </c>
      <c r="N34" s="12">
        <f t="shared" si="10"/>
        <v>579194.80313650589</v>
      </c>
      <c r="O34" s="12">
        <f t="shared" si="10"/>
        <v>577612.30367438425</v>
      </c>
      <c r="P34" s="12">
        <f t="shared" si="10"/>
        <v>577612.30367438425</v>
      </c>
      <c r="Q34" s="12">
        <f t="shared" si="10"/>
        <v>577612.30367438425</v>
      </c>
      <c r="R34" s="12">
        <f t="shared" si="10"/>
        <v>579194.80313650589</v>
      </c>
      <c r="S34" s="12">
        <f t="shared" si="10"/>
        <v>577612.30367438425</v>
      </c>
      <c r="T34" s="12">
        <f t="shared" si="10"/>
        <v>577612.30367438425</v>
      </c>
      <c r="U34" s="12">
        <f t="shared" si="10"/>
        <v>577612.30367438425</v>
      </c>
      <c r="V34" s="12">
        <f t="shared" si="10"/>
        <v>579194.80313650589</v>
      </c>
      <c r="W34" s="12">
        <f t="shared" si="10"/>
        <v>577612.30367438425</v>
      </c>
      <c r="X34" s="12">
        <f>SUM(X33:X33)/1000</f>
        <v>577612.30367438425</v>
      </c>
      <c r="Y34" s="12">
        <f>SUM(Y33:Y33)/1000</f>
        <v>577612.30367438425</v>
      </c>
      <c r="Z34" s="12">
        <f>SUM(Z33:Z33)/1000</f>
        <v>579194.80313650589</v>
      </c>
      <c r="AA34" s="12">
        <f>SUM(AA33:AA33)/1000</f>
        <v>577612.30367438425</v>
      </c>
      <c r="AB34" s="12">
        <f>SUM(AB33:AB33)/1000</f>
        <v>577612.30367438425</v>
      </c>
    </row>
    <row r="35" spans="1:28">
      <c r="A35" s="5" t="s">
        <v>7</v>
      </c>
      <c r="X35" s="3"/>
      <c r="Y35" s="3"/>
      <c r="Z35" s="3"/>
      <c r="AA35" s="3"/>
      <c r="AB35" s="3"/>
    </row>
    <row r="36" spans="1:28">
      <c r="B36" s="4" t="s">
        <v>13</v>
      </c>
      <c r="C36" s="43">
        <v>9.2499999999999999E-2</v>
      </c>
      <c r="D36" s="17"/>
      <c r="E36" s="17"/>
      <c r="F36" s="17"/>
      <c r="G36" s="17"/>
      <c r="H36" s="17"/>
      <c r="I36" s="17">
        <f t="shared" ref="I36:W36" si="11">$C$36*I34</f>
        <v>53429.138089880544</v>
      </c>
      <c r="J36" s="17">
        <f t="shared" si="11"/>
        <v>53575.519290126795</v>
      </c>
      <c r="K36" s="17">
        <f t="shared" si="11"/>
        <v>53429.138089880544</v>
      </c>
      <c r="L36" s="17">
        <f t="shared" si="11"/>
        <v>53429.138089880544</v>
      </c>
      <c r="M36" s="17">
        <f t="shared" si="11"/>
        <v>53429.138089880544</v>
      </c>
      <c r="N36" s="17">
        <f t="shared" si="11"/>
        <v>53575.519290126795</v>
      </c>
      <c r="O36" s="17">
        <f t="shared" si="11"/>
        <v>53429.138089880544</v>
      </c>
      <c r="P36" s="17">
        <f t="shared" si="11"/>
        <v>53429.138089880544</v>
      </c>
      <c r="Q36" s="17">
        <f t="shared" si="11"/>
        <v>53429.138089880544</v>
      </c>
      <c r="R36" s="17">
        <f t="shared" si="11"/>
        <v>53575.519290126795</v>
      </c>
      <c r="S36" s="17">
        <f t="shared" si="11"/>
        <v>53429.138089880544</v>
      </c>
      <c r="T36" s="17">
        <f t="shared" si="11"/>
        <v>53429.138089880544</v>
      </c>
      <c r="U36" s="17">
        <f t="shared" si="11"/>
        <v>53429.138089880544</v>
      </c>
      <c r="V36" s="17">
        <f t="shared" si="11"/>
        <v>53575.519290126795</v>
      </c>
      <c r="W36" s="17">
        <f t="shared" si="11"/>
        <v>53429.138089880544</v>
      </c>
      <c r="X36" s="17">
        <f>$C$36*X34</f>
        <v>53429.138089880544</v>
      </c>
      <c r="Y36" s="17">
        <f>$C$36*Y34</f>
        <v>53429.138089880544</v>
      </c>
      <c r="Z36" s="17">
        <f>$C$36*Z34</f>
        <v>53575.519290126795</v>
      </c>
      <c r="AA36" s="17">
        <f>$C$36*AA34</f>
        <v>53429.138089880544</v>
      </c>
      <c r="AB36" s="17">
        <f>$C$36*AB34</f>
        <v>53429.138089880544</v>
      </c>
    </row>
    <row r="37" spans="1:28">
      <c r="A37" s="5" t="s">
        <v>1</v>
      </c>
      <c r="C37" s="12"/>
      <c r="D37" s="12"/>
      <c r="E37" s="12"/>
      <c r="F37" s="12"/>
      <c r="G37" s="12"/>
      <c r="H37" s="12"/>
      <c r="I37" s="12">
        <f>I34-I36</f>
        <v>524183.16558450373</v>
      </c>
      <c r="J37" s="12">
        <f t="shared" ref="J37:W37" si="12">J34-J36</f>
        <v>525619.28384637914</v>
      </c>
      <c r="K37" s="12">
        <f t="shared" si="12"/>
        <v>524183.16558450373</v>
      </c>
      <c r="L37" s="12">
        <f t="shared" si="12"/>
        <v>524183.16558450373</v>
      </c>
      <c r="M37" s="12">
        <f t="shared" si="12"/>
        <v>524183.16558450373</v>
      </c>
      <c r="N37" s="12">
        <f t="shared" si="12"/>
        <v>525619.28384637914</v>
      </c>
      <c r="O37" s="12">
        <f t="shared" si="12"/>
        <v>524183.16558450373</v>
      </c>
      <c r="P37" s="12">
        <f t="shared" si="12"/>
        <v>524183.16558450373</v>
      </c>
      <c r="Q37" s="12">
        <f t="shared" si="12"/>
        <v>524183.16558450373</v>
      </c>
      <c r="R37" s="12">
        <f t="shared" si="12"/>
        <v>525619.28384637914</v>
      </c>
      <c r="S37" s="12">
        <f t="shared" si="12"/>
        <v>524183.16558450373</v>
      </c>
      <c r="T37" s="12">
        <f t="shared" si="12"/>
        <v>524183.16558450373</v>
      </c>
      <c r="U37" s="12">
        <f t="shared" si="12"/>
        <v>524183.16558450373</v>
      </c>
      <c r="V37" s="12">
        <f t="shared" si="12"/>
        <v>525619.28384637914</v>
      </c>
      <c r="W37" s="12">
        <f t="shared" si="12"/>
        <v>524183.16558450373</v>
      </c>
      <c r="X37" s="12">
        <f>X34-X36</f>
        <v>524183.16558450373</v>
      </c>
      <c r="Y37" s="12">
        <f>Y34-Y36</f>
        <v>524183.16558450373</v>
      </c>
      <c r="Z37" s="12">
        <f>Z34-Z36</f>
        <v>525619.28384637914</v>
      </c>
      <c r="AA37" s="12">
        <f>AA34-AA36</f>
        <v>524183.16558450373</v>
      </c>
      <c r="AB37" s="12">
        <f>AB34-AB36</f>
        <v>524183.16558450373</v>
      </c>
    </row>
    <row r="38" spans="1:28" ht="9.9499999999999993" customHeight="1">
      <c r="B38" s="14"/>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row>
    <row r="39" spans="1:28">
      <c r="A39" s="5" t="s">
        <v>9</v>
      </c>
      <c r="D39" s="31"/>
      <c r="E39" s="31"/>
      <c r="X39" s="3"/>
      <c r="Y39" s="3"/>
      <c r="Z39" s="3"/>
      <c r="AA39" s="3"/>
      <c r="AB39" s="3"/>
    </row>
    <row r="40" spans="1:28">
      <c r="A40" s="5"/>
      <c r="B40" s="7" t="s">
        <v>32</v>
      </c>
      <c r="D40" s="17" t="s">
        <v>29</v>
      </c>
      <c r="E40" s="17" t="s">
        <v>29</v>
      </c>
      <c r="F40" s="17" t="s">
        <v>29</v>
      </c>
      <c r="G40" s="17" t="s">
        <v>29</v>
      </c>
      <c r="H40" s="17" t="s">
        <v>29</v>
      </c>
      <c r="I40" s="17">
        <f t="shared" ref="I40:AB40" si="13">$C$5*0.5%*$C$19</f>
        <v>3510.143</v>
      </c>
      <c r="J40" s="17">
        <f t="shared" si="13"/>
        <v>3510.143</v>
      </c>
      <c r="K40" s="17">
        <f t="shared" si="13"/>
        <v>3510.143</v>
      </c>
      <c r="L40" s="17">
        <f t="shared" si="13"/>
        <v>3510.143</v>
      </c>
      <c r="M40" s="17">
        <f t="shared" si="13"/>
        <v>3510.143</v>
      </c>
      <c r="N40" s="17">
        <f t="shared" si="13"/>
        <v>3510.143</v>
      </c>
      <c r="O40" s="17">
        <f t="shared" si="13"/>
        <v>3510.143</v>
      </c>
      <c r="P40" s="17">
        <f t="shared" si="13"/>
        <v>3510.143</v>
      </c>
      <c r="Q40" s="17">
        <f t="shared" si="13"/>
        <v>3510.143</v>
      </c>
      <c r="R40" s="17">
        <f t="shared" si="13"/>
        <v>3510.143</v>
      </c>
      <c r="S40" s="17">
        <f t="shared" si="13"/>
        <v>3510.143</v>
      </c>
      <c r="T40" s="17">
        <f t="shared" si="13"/>
        <v>3510.143</v>
      </c>
      <c r="U40" s="17">
        <f t="shared" si="13"/>
        <v>3510.143</v>
      </c>
      <c r="V40" s="17">
        <f t="shared" si="13"/>
        <v>3510.143</v>
      </c>
      <c r="W40" s="17">
        <f t="shared" si="13"/>
        <v>3510.143</v>
      </c>
      <c r="X40" s="17">
        <f t="shared" si="13"/>
        <v>3510.143</v>
      </c>
      <c r="Y40" s="17">
        <f t="shared" si="13"/>
        <v>3510.143</v>
      </c>
      <c r="Z40" s="17">
        <f t="shared" si="13"/>
        <v>3510.143</v>
      </c>
      <c r="AA40" s="17">
        <f t="shared" si="13"/>
        <v>3510.143</v>
      </c>
      <c r="AB40" s="17">
        <f t="shared" si="13"/>
        <v>3510.143</v>
      </c>
    </row>
    <row r="41" spans="1:28">
      <c r="B41" s="4" t="s">
        <v>129</v>
      </c>
      <c r="C41" s="34"/>
      <c r="D41" s="17" t="s">
        <v>29</v>
      </c>
      <c r="E41" s="17" t="s">
        <v>29</v>
      </c>
      <c r="F41" s="17" t="s">
        <v>29</v>
      </c>
      <c r="G41" s="17" t="s">
        <v>29</v>
      </c>
      <c r="H41" s="17" t="s">
        <v>29</v>
      </c>
      <c r="I41" s="44">
        <f>$C$20/1000</f>
        <v>190.33577437010436</v>
      </c>
      <c r="J41" s="44">
        <f t="shared" ref="J41:AB41" si="14">$C$20/1000</f>
        <v>190.33577437010436</v>
      </c>
      <c r="K41" s="44">
        <f t="shared" si="14"/>
        <v>190.33577437010436</v>
      </c>
      <c r="L41" s="44">
        <f t="shared" si="14"/>
        <v>190.33577437010436</v>
      </c>
      <c r="M41" s="44">
        <f t="shared" si="14"/>
        <v>190.33577437010436</v>
      </c>
      <c r="N41" s="44">
        <f t="shared" si="14"/>
        <v>190.33577437010436</v>
      </c>
      <c r="O41" s="44">
        <f t="shared" si="14"/>
        <v>190.33577437010436</v>
      </c>
      <c r="P41" s="44">
        <f t="shared" si="14"/>
        <v>190.33577437010436</v>
      </c>
      <c r="Q41" s="44">
        <f t="shared" si="14"/>
        <v>190.33577437010436</v>
      </c>
      <c r="R41" s="44">
        <f t="shared" si="14"/>
        <v>190.33577437010436</v>
      </c>
      <c r="S41" s="44">
        <f t="shared" si="14"/>
        <v>190.33577437010436</v>
      </c>
      <c r="T41" s="44">
        <f t="shared" si="14"/>
        <v>190.33577437010436</v>
      </c>
      <c r="U41" s="44">
        <f t="shared" si="14"/>
        <v>190.33577437010436</v>
      </c>
      <c r="V41" s="44">
        <f t="shared" si="14"/>
        <v>190.33577437010436</v>
      </c>
      <c r="W41" s="44">
        <f t="shared" si="14"/>
        <v>190.33577437010436</v>
      </c>
      <c r="X41" s="44">
        <f t="shared" si="14"/>
        <v>190.33577437010436</v>
      </c>
      <c r="Y41" s="44">
        <f t="shared" si="14"/>
        <v>190.33577437010436</v>
      </c>
      <c r="Z41" s="44">
        <f t="shared" si="14"/>
        <v>190.33577437010436</v>
      </c>
      <c r="AA41" s="44">
        <f t="shared" si="14"/>
        <v>190.33577437010436</v>
      </c>
      <c r="AB41" s="44">
        <f t="shared" si="14"/>
        <v>190.33577437010436</v>
      </c>
    </row>
    <row r="42" spans="1:28">
      <c r="B42" s="4" t="s">
        <v>99</v>
      </c>
      <c r="C42" s="34"/>
      <c r="D42" s="17" t="s">
        <v>29</v>
      </c>
      <c r="E42" s="17" t="s">
        <v>29</v>
      </c>
      <c r="F42" s="17" t="s">
        <v>29</v>
      </c>
      <c r="G42" s="17" t="s">
        <v>29</v>
      </c>
      <c r="H42" s="17" t="s">
        <v>29</v>
      </c>
      <c r="I42" s="44">
        <f>(I24*$C$15)</f>
        <v>0</v>
      </c>
      <c r="J42" s="44">
        <f t="shared" ref="J42:AB42" si="15">(J24*$C$15)</f>
        <v>0</v>
      </c>
      <c r="K42" s="44">
        <f t="shared" si="15"/>
        <v>0</v>
      </c>
      <c r="L42" s="44">
        <f t="shared" si="15"/>
        <v>0</v>
      </c>
      <c r="M42" s="44">
        <f t="shared" si="15"/>
        <v>0</v>
      </c>
      <c r="N42" s="44">
        <f t="shared" si="15"/>
        <v>0</v>
      </c>
      <c r="O42" s="44">
        <f t="shared" si="15"/>
        <v>0</v>
      </c>
      <c r="P42" s="44">
        <f t="shared" si="15"/>
        <v>0</v>
      </c>
      <c r="Q42" s="44">
        <f t="shared" si="15"/>
        <v>0</v>
      </c>
      <c r="R42" s="44">
        <f t="shared" si="15"/>
        <v>0</v>
      </c>
      <c r="S42" s="44">
        <f t="shared" si="15"/>
        <v>0</v>
      </c>
      <c r="T42" s="44">
        <f t="shared" si="15"/>
        <v>0</v>
      </c>
      <c r="U42" s="44">
        <f t="shared" si="15"/>
        <v>0</v>
      </c>
      <c r="V42" s="44">
        <f t="shared" si="15"/>
        <v>0</v>
      </c>
      <c r="W42" s="44">
        <f t="shared" si="15"/>
        <v>0</v>
      </c>
      <c r="X42" s="44">
        <f t="shared" si="15"/>
        <v>0</v>
      </c>
      <c r="Y42" s="44">
        <f t="shared" si="15"/>
        <v>0</v>
      </c>
      <c r="Z42" s="44">
        <f t="shared" si="15"/>
        <v>0</v>
      </c>
      <c r="AA42" s="44">
        <f t="shared" si="15"/>
        <v>0</v>
      </c>
      <c r="AB42" s="44">
        <f t="shared" si="15"/>
        <v>0</v>
      </c>
    </row>
    <row r="43" spans="1:28">
      <c r="B43" s="4" t="s">
        <v>33</v>
      </c>
      <c r="C43" s="35"/>
      <c r="D43" s="17" t="s">
        <v>29</v>
      </c>
      <c r="E43" s="17" t="s">
        <v>29</v>
      </c>
      <c r="F43" s="17" t="s">
        <v>29</v>
      </c>
      <c r="G43" s="17" t="s">
        <v>29</v>
      </c>
      <c r="H43" s="17" t="s">
        <v>29</v>
      </c>
      <c r="I43" s="44">
        <f>C5*C16*12</f>
        <v>195675.48</v>
      </c>
      <c r="J43" s="17">
        <f>$C$5*D16*12</f>
        <v>190848.84</v>
      </c>
      <c r="K43" s="17">
        <f>$C$5*E16*12</f>
        <v>186022.2</v>
      </c>
      <c r="L43" s="17">
        <f>$C$5*F16*12</f>
        <v>181195.56</v>
      </c>
      <c r="M43" s="17">
        <f>$C$5*G16*12</f>
        <v>178782.24</v>
      </c>
      <c r="N43" s="17">
        <f>$C$5*$G$16*12</f>
        <v>178782.24</v>
      </c>
      <c r="O43" s="17">
        <f t="shared" ref="O43:AB43" si="16">$C$5*$G$16*12</f>
        <v>178782.24</v>
      </c>
      <c r="P43" s="17">
        <f t="shared" si="16"/>
        <v>178782.24</v>
      </c>
      <c r="Q43" s="17">
        <f t="shared" si="16"/>
        <v>178782.24</v>
      </c>
      <c r="R43" s="17">
        <f t="shared" si="16"/>
        <v>178782.24</v>
      </c>
      <c r="S43" s="17">
        <f t="shared" si="16"/>
        <v>178782.24</v>
      </c>
      <c r="T43" s="17">
        <f t="shared" si="16"/>
        <v>178782.24</v>
      </c>
      <c r="U43" s="17">
        <f t="shared" si="16"/>
        <v>178782.24</v>
      </c>
      <c r="V43" s="17">
        <f t="shared" si="16"/>
        <v>178782.24</v>
      </c>
      <c r="W43" s="17">
        <f t="shared" si="16"/>
        <v>178782.24</v>
      </c>
      <c r="X43" s="17">
        <f t="shared" si="16"/>
        <v>178782.24</v>
      </c>
      <c r="Y43" s="17">
        <f t="shared" si="16"/>
        <v>178782.24</v>
      </c>
      <c r="Z43" s="17">
        <f t="shared" si="16"/>
        <v>178782.24</v>
      </c>
      <c r="AA43" s="17">
        <f t="shared" si="16"/>
        <v>178782.24</v>
      </c>
      <c r="AB43" s="17">
        <f t="shared" si="16"/>
        <v>178782.24</v>
      </c>
    </row>
    <row r="44" spans="1:28">
      <c r="B44" s="4" t="s">
        <v>116</v>
      </c>
      <c r="C44" s="35"/>
      <c r="D44" s="17" t="s">
        <v>29</v>
      </c>
      <c r="E44" s="17" t="s">
        <v>29</v>
      </c>
      <c r="F44" s="17" t="s">
        <v>29</v>
      </c>
      <c r="G44" s="17" t="s">
        <v>29</v>
      </c>
      <c r="H44" s="17" t="s">
        <v>29</v>
      </c>
      <c r="I44" s="39">
        <f t="shared" ref="I44:O44" si="17">$C$13*$C$14*I26/1000</f>
        <v>38009.121145200006</v>
      </c>
      <c r="J44" s="39">
        <f t="shared" si="17"/>
        <v>38113.255723680006</v>
      </c>
      <c r="K44" s="39">
        <f t="shared" si="17"/>
        <v>38009.121145200006</v>
      </c>
      <c r="L44" s="39">
        <f t="shared" si="17"/>
        <v>38009.121145200006</v>
      </c>
      <c r="M44" s="39">
        <f t="shared" si="17"/>
        <v>38009.121145200006</v>
      </c>
      <c r="N44" s="39">
        <f t="shared" si="17"/>
        <v>38113.255723680006</v>
      </c>
      <c r="O44" s="39">
        <f t="shared" si="17"/>
        <v>38009.121145200006</v>
      </c>
      <c r="P44" s="39">
        <f t="shared" ref="P44:AB44" si="18">$C$13*$C$14*P26/1000</f>
        <v>38009.121145200006</v>
      </c>
      <c r="Q44" s="39">
        <f t="shared" si="18"/>
        <v>38009.121145200006</v>
      </c>
      <c r="R44" s="39">
        <f t="shared" si="18"/>
        <v>38113.255723680006</v>
      </c>
      <c r="S44" s="39">
        <f t="shared" si="18"/>
        <v>38009.121145200006</v>
      </c>
      <c r="T44" s="39">
        <f t="shared" si="18"/>
        <v>38009.121145200006</v>
      </c>
      <c r="U44" s="39">
        <f t="shared" si="18"/>
        <v>38009.121145200006</v>
      </c>
      <c r="V44" s="39">
        <f t="shared" si="18"/>
        <v>38113.255723680006</v>
      </c>
      <c r="W44" s="39">
        <f t="shared" si="18"/>
        <v>38009.121145200006</v>
      </c>
      <c r="X44" s="39">
        <f t="shared" si="18"/>
        <v>38009.121145200006</v>
      </c>
      <c r="Y44" s="39">
        <f t="shared" si="18"/>
        <v>38009.121145200006</v>
      </c>
      <c r="Z44" s="39">
        <f t="shared" si="18"/>
        <v>38113.255723680006</v>
      </c>
      <c r="AA44" s="39">
        <f t="shared" si="18"/>
        <v>38009.121145200006</v>
      </c>
      <c r="AB44" s="39">
        <f t="shared" si="18"/>
        <v>38009.121145200006</v>
      </c>
    </row>
    <row r="45" spans="1:28">
      <c r="B45" s="4" t="s">
        <v>34</v>
      </c>
      <c r="C45" s="35"/>
      <c r="D45" s="17" t="s">
        <v>29</v>
      </c>
      <c r="E45" s="17" t="s">
        <v>29</v>
      </c>
      <c r="F45" s="17" t="s">
        <v>29</v>
      </c>
      <c r="G45" s="17" t="s">
        <v>29</v>
      </c>
      <c r="H45" s="17" t="s">
        <v>29</v>
      </c>
      <c r="I45" s="17">
        <f>$C$18</f>
        <v>5514.8318099999997</v>
      </c>
      <c r="J45" s="17">
        <f t="shared" ref="J45:N45" si="19">$C$18</f>
        <v>5514.8318099999997</v>
      </c>
      <c r="K45" s="17">
        <f t="shared" si="19"/>
        <v>5514.8318099999997</v>
      </c>
      <c r="L45" s="17">
        <f t="shared" si="19"/>
        <v>5514.8318099999997</v>
      </c>
      <c r="M45" s="17">
        <f t="shared" si="19"/>
        <v>5514.8318099999997</v>
      </c>
      <c r="N45" s="17">
        <f t="shared" si="19"/>
        <v>5514.8318099999997</v>
      </c>
      <c r="O45" s="17">
        <f t="shared" ref="O45:AB45" si="20">$C$18</f>
        <v>5514.8318099999997</v>
      </c>
      <c r="P45" s="17">
        <f t="shared" si="20"/>
        <v>5514.8318099999997</v>
      </c>
      <c r="Q45" s="17">
        <f t="shared" si="20"/>
        <v>5514.8318099999997</v>
      </c>
      <c r="R45" s="17">
        <f t="shared" si="20"/>
        <v>5514.8318099999997</v>
      </c>
      <c r="S45" s="17">
        <f t="shared" si="20"/>
        <v>5514.8318099999997</v>
      </c>
      <c r="T45" s="17">
        <f t="shared" si="20"/>
        <v>5514.8318099999997</v>
      </c>
      <c r="U45" s="17">
        <f t="shared" si="20"/>
        <v>5514.8318099999997</v>
      </c>
      <c r="V45" s="17">
        <f t="shared" si="20"/>
        <v>5514.8318099999997</v>
      </c>
      <c r="W45" s="17">
        <f t="shared" si="20"/>
        <v>5514.8318099999997</v>
      </c>
      <c r="X45" s="17">
        <f t="shared" si="20"/>
        <v>5514.8318099999997</v>
      </c>
      <c r="Y45" s="17">
        <f t="shared" si="20"/>
        <v>5514.8318099999997</v>
      </c>
      <c r="Z45" s="17">
        <f t="shared" si="20"/>
        <v>5514.8318099999997</v>
      </c>
      <c r="AA45" s="17">
        <f t="shared" si="20"/>
        <v>5514.8318099999997</v>
      </c>
      <c r="AB45" s="17">
        <f t="shared" si="20"/>
        <v>5514.8318099999997</v>
      </c>
    </row>
    <row r="46" spans="1:28">
      <c r="B46" s="4" t="s">
        <v>35</v>
      </c>
      <c r="C46" s="35"/>
      <c r="D46" s="17" t="s">
        <v>29</v>
      </c>
      <c r="E46" s="17" t="s">
        <v>29</v>
      </c>
      <c r="F46" s="17" t="s">
        <v>29</v>
      </c>
      <c r="G46" s="17" t="s">
        <v>29</v>
      </c>
      <c r="H46" s="17" t="s">
        <v>29</v>
      </c>
      <c r="I46" s="39">
        <f>$C$17*I37</f>
        <v>5241.8316558450379</v>
      </c>
      <c r="J46" s="39">
        <f>$C$17*J37</f>
        <v>5256.1928384637913</v>
      </c>
      <c r="K46" s="39">
        <f t="shared" ref="K46:W46" si="21">$C$17*K37</f>
        <v>5241.8316558450379</v>
      </c>
      <c r="L46" s="39">
        <f t="shared" si="21"/>
        <v>5241.8316558450379</v>
      </c>
      <c r="M46" s="39">
        <f t="shared" si="21"/>
        <v>5241.8316558450379</v>
      </c>
      <c r="N46" s="39">
        <f t="shared" si="21"/>
        <v>5256.1928384637913</v>
      </c>
      <c r="O46" s="39">
        <f t="shared" si="21"/>
        <v>5241.8316558450379</v>
      </c>
      <c r="P46" s="39">
        <f t="shared" si="21"/>
        <v>5241.8316558450379</v>
      </c>
      <c r="Q46" s="39">
        <f t="shared" si="21"/>
        <v>5241.8316558450379</v>
      </c>
      <c r="R46" s="39">
        <f t="shared" si="21"/>
        <v>5256.1928384637913</v>
      </c>
      <c r="S46" s="39">
        <f t="shared" si="21"/>
        <v>5241.8316558450379</v>
      </c>
      <c r="T46" s="39">
        <f t="shared" si="21"/>
        <v>5241.8316558450379</v>
      </c>
      <c r="U46" s="39">
        <f t="shared" si="21"/>
        <v>5241.8316558450379</v>
      </c>
      <c r="V46" s="39">
        <f t="shared" si="21"/>
        <v>5256.1928384637913</v>
      </c>
      <c r="W46" s="39">
        <f t="shared" si="21"/>
        <v>5241.8316558450379</v>
      </c>
      <c r="X46" s="39">
        <f>$C$17*X37</f>
        <v>5241.8316558450379</v>
      </c>
      <c r="Y46" s="39">
        <f>$C$17*Y37</f>
        <v>5241.8316558450379</v>
      </c>
      <c r="Z46" s="39">
        <f>$C$17*Z37</f>
        <v>5256.1928384637913</v>
      </c>
      <c r="AA46" s="39">
        <f>$C$17*AA37</f>
        <v>5241.8316558450379</v>
      </c>
      <c r="AB46" s="39">
        <f>$C$17*AB37</f>
        <v>5241.8316558450379</v>
      </c>
    </row>
    <row r="47" spans="1:28">
      <c r="B47" s="4" t="s">
        <v>36</v>
      </c>
      <c r="C47" s="35"/>
      <c r="D47" s="17" t="s">
        <v>29</v>
      </c>
      <c r="E47" s="17" t="s">
        <v>29</v>
      </c>
      <c r="F47" s="17" t="s">
        <v>29</v>
      </c>
      <c r="G47" s="17" t="s">
        <v>29</v>
      </c>
      <c r="H47" s="17" t="s">
        <v>29</v>
      </c>
      <c r="I47" s="39">
        <f>$C$12*I26/1000</f>
        <v>1700.6139574235635</v>
      </c>
      <c r="J47" s="39">
        <f t="shared" ref="J47:W47" si="22">$C$12*J26/1000</f>
        <v>1705.2731737452721</v>
      </c>
      <c r="K47" s="39">
        <f t="shared" si="22"/>
        <v>1700.6139574235635</v>
      </c>
      <c r="L47" s="39">
        <f t="shared" si="22"/>
        <v>1700.6139574235635</v>
      </c>
      <c r="M47" s="39">
        <f t="shared" si="22"/>
        <v>1700.6139574235635</v>
      </c>
      <c r="N47" s="39">
        <f t="shared" si="22"/>
        <v>1705.2731737452721</v>
      </c>
      <c r="O47" s="39">
        <f t="shared" si="22"/>
        <v>1700.6139574235635</v>
      </c>
      <c r="P47" s="39">
        <f t="shared" si="22"/>
        <v>1700.6139574235635</v>
      </c>
      <c r="Q47" s="39">
        <f t="shared" si="22"/>
        <v>1700.6139574235635</v>
      </c>
      <c r="R47" s="39">
        <f t="shared" si="22"/>
        <v>1705.2731737452721</v>
      </c>
      <c r="S47" s="39">
        <f t="shared" si="22"/>
        <v>1700.6139574235635</v>
      </c>
      <c r="T47" s="39">
        <f t="shared" si="22"/>
        <v>1700.6139574235635</v>
      </c>
      <c r="U47" s="39">
        <f t="shared" si="22"/>
        <v>1700.6139574235635</v>
      </c>
      <c r="V47" s="39">
        <f t="shared" si="22"/>
        <v>1705.2731737452721</v>
      </c>
      <c r="W47" s="39">
        <f t="shared" si="22"/>
        <v>1700.6139574235635</v>
      </c>
      <c r="X47" s="39">
        <f>$C$12*X26/1000</f>
        <v>1700.6139574235635</v>
      </c>
      <c r="Y47" s="39">
        <f>$C$12*Y26/1000</f>
        <v>1700.6139574235635</v>
      </c>
      <c r="Z47" s="39">
        <f>$C$12*Z26/1000</f>
        <v>1705.2731737452721</v>
      </c>
      <c r="AA47" s="39">
        <f>$C$12*AA26/1000</f>
        <v>1700.6139574235635</v>
      </c>
      <c r="AB47" s="39">
        <f>$C$12*AB26/1000</f>
        <v>1700.6139574235635</v>
      </c>
    </row>
    <row r="48" spans="1:28">
      <c r="B48" s="4" t="s">
        <v>37</v>
      </c>
      <c r="C48" s="35"/>
      <c r="D48" s="17" t="s">
        <v>29</v>
      </c>
      <c r="E48" s="17" t="s">
        <v>29</v>
      </c>
      <c r="F48" s="17" t="s">
        <v>29</v>
      </c>
      <c r="G48" s="17" t="s">
        <v>29</v>
      </c>
      <c r="H48" s="17" t="s">
        <v>29</v>
      </c>
      <c r="I48" s="44">
        <f>$C$21/1000</f>
        <v>16759</v>
      </c>
      <c r="J48" s="44">
        <f t="shared" ref="J48:AB48" si="23">$C$21/1000</f>
        <v>16759</v>
      </c>
      <c r="K48" s="44">
        <f t="shared" si="23"/>
        <v>16759</v>
      </c>
      <c r="L48" s="44">
        <f t="shared" si="23"/>
        <v>16759</v>
      </c>
      <c r="M48" s="44">
        <f t="shared" si="23"/>
        <v>16759</v>
      </c>
      <c r="N48" s="44">
        <f t="shared" si="23"/>
        <v>16759</v>
      </c>
      <c r="O48" s="44">
        <f t="shared" si="23"/>
        <v>16759</v>
      </c>
      <c r="P48" s="44">
        <f t="shared" si="23"/>
        <v>16759</v>
      </c>
      <c r="Q48" s="44">
        <f t="shared" si="23"/>
        <v>16759</v>
      </c>
      <c r="R48" s="44">
        <f t="shared" si="23"/>
        <v>16759</v>
      </c>
      <c r="S48" s="44">
        <f t="shared" si="23"/>
        <v>16759</v>
      </c>
      <c r="T48" s="44">
        <f t="shared" si="23"/>
        <v>16759</v>
      </c>
      <c r="U48" s="44">
        <f t="shared" si="23"/>
        <v>16759</v>
      </c>
      <c r="V48" s="44">
        <f t="shared" si="23"/>
        <v>16759</v>
      </c>
      <c r="W48" s="44">
        <f t="shared" si="23"/>
        <v>16759</v>
      </c>
      <c r="X48" s="44">
        <f t="shared" si="23"/>
        <v>16759</v>
      </c>
      <c r="Y48" s="44">
        <f t="shared" si="23"/>
        <v>16759</v>
      </c>
      <c r="Z48" s="44">
        <f t="shared" si="23"/>
        <v>16759</v>
      </c>
      <c r="AA48" s="44">
        <f t="shared" si="23"/>
        <v>16759</v>
      </c>
      <c r="AB48" s="44">
        <f t="shared" si="23"/>
        <v>16759</v>
      </c>
    </row>
    <row r="49" spans="1:28">
      <c r="B49" s="4"/>
      <c r="C49" s="34"/>
      <c r="D49" s="30"/>
      <c r="E49" s="30"/>
      <c r="F49" s="30"/>
      <c r="G49" s="30"/>
      <c r="H49" s="30"/>
      <c r="I49" s="40"/>
      <c r="J49" s="30"/>
      <c r="K49" s="30"/>
      <c r="L49" s="30"/>
      <c r="M49" s="30"/>
      <c r="N49" s="30"/>
      <c r="O49" s="30"/>
      <c r="P49" s="30"/>
      <c r="Q49" s="30"/>
      <c r="R49" s="30"/>
      <c r="S49" s="30"/>
      <c r="T49" s="30"/>
      <c r="U49" s="30"/>
      <c r="V49" s="30"/>
      <c r="W49" s="30"/>
    </row>
    <row r="50" spans="1:28">
      <c r="A50" s="5" t="s">
        <v>2</v>
      </c>
      <c r="C50" s="12"/>
      <c r="D50" s="12"/>
      <c r="E50" s="12"/>
      <c r="F50" s="12"/>
      <c r="G50" s="12"/>
      <c r="H50" s="12">
        <f t="shared" ref="H50:AB50" si="24">SUM(H40:H49)*(1-$F$81)</f>
        <v>0</v>
      </c>
      <c r="I50" s="12">
        <f>SUM(I40:I49)*(1-$F$81)</f>
        <v>266601.35734283878</v>
      </c>
      <c r="J50" s="12">
        <f t="shared" si="24"/>
        <v>261897.87232025916</v>
      </c>
      <c r="K50" s="12">
        <f t="shared" si="24"/>
        <v>256948.07734283875</v>
      </c>
      <c r="L50" s="12">
        <f t="shared" si="24"/>
        <v>252121.43734283873</v>
      </c>
      <c r="M50" s="12">
        <f t="shared" si="24"/>
        <v>249708.11734283873</v>
      </c>
      <c r="N50" s="12">
        <f t="shared" si="24"/>
        <v>249831.27232025919</v>
      </c>
      <c r="O50" s="12">
        <f t="shared" si="24"/>
        <v>249708.11734283873</v>
      </c>
      <c r="P50" s="12">
        <f t="shared" si="24"/>
        <v>249708.11734283873</v>
      </c>
      <c r="Q50" s="12">
        <f t="shared" si="24"/>
        <v>249708.11734283873</v>
      </c>
      <c r="R50" s="12">
        <f t="shared" si="24"/>
        <v>249831.27232025919</v>
      </c>
      <c r="S50" s="12">
        <f t="shared" si="24"/>
        <v>249708.11734283873</v>
      </c>
      <c r="T50" s="12">
        <f t="shared" si="24"/>
        <v>249708.11734283873</v>
      </c>
      <c r="U50" s="12">
        <f t="shared" si="24"/>
        <v>249708.11734283873</v>
      </c>
      <c r="V50" s="12">
        <f t="shared" si="24"/>
        <v>249831.27232025919</v>
      </c>
      <c r="W50" s="12">
        <f t="shared" si="24"/>
        <v>249708.11734283873</v>
      </c>
      <c r="X50" s="12">
        <f t="shared" si="24"/>
        <v>249708.11734283873</v>
      </c>
      <c r="Y50" s="12">
        <f t="shared" si="24"/>
        <v>249708.11734283873</v>
      </c>
      <c r="Z50" s="12">
        <f t="shared" si="24"/>
        <v>249831.27232025919</v>
      </c>
      <c r="AA50" s="12">
        <f t="shared" si="24"/>
        <v>249708.11734283873</v>
      </c>
      <c r="AB50" s="12">
        <f t="shared" si="24"/>
        <v>249708.11734283873</v>
      </c>
    </row>
    <row r="51" spans="1:28" ht="17.25" thickBot="1">
      <c r="A51" s="8" t="s">
        <v>3</v>
      </c>
      <c r="B51" s="9"/>
      <c r="C51" s="15"/>
      <c r="D51" s="15"/>
      <c r="E51" s="15"/>
      <c r="F51" s="15"/>
      <c r="G51" s="15"/>
      <c r="H51" s="15">
        <f t="shared" ref="H51:W51" si="25">H37-H50</f>
        <v>0</v>
      </c>
      <c r="I51" s="15">
        <f>I37-I50</f>
        <v>257581.80824166496</v>
      </c>
      <c r="J51" s="15">
        <f t="shared" si="25"/>
        <v>263721.41152611998</v>
      </c>
      <c r="K51" s="15">
        <f t="shared" si="25"/>
        <v>267235.08824166498</v>
      </c>
      <c r="L51" s="15">
        <f t="shared" si="25"/>
        <v>272061.728241665</v>
      </c>
      <c r="M51" s="15">
        <f t="shared" si="25"/>
        <v>274475.048241665</v>
      </c>
      <c r="N51" s="15">
        <f t="shared" si="25"/>
        <v>275788.01152611995</v>
      </c>
      <c r="O51" s="15">
        <f t="shared" si="25"/>
        <v>274475.048241665</v>
      </c>
      <c r="P51" s="15">
        <f t="shared" si="25"/>
        <v>274475.048241665</v>
      </c>
      <c r="Q51" s="15">
        <f t="shared" si="25"/>
        <v>274475.048241665</v>
      </c>
      <c r="R51" s="15">
        <f t="shared" si="25"/>
        <v>275788.01152611995</v>
      </c>
      <c r="S51" s="15">
        <f t="shared" si="25"/>
        <v>274475.048241665</v>
      </c>
      <c r="T51" s="15">
        <f t="shared" si="25"/>
        <v>274475.048241665</v>
      </c>
      <c r="U51" s="15">
        <f t="shared" si="25"/>
        <v>274475.048241665</v>
      </c>
      <c r="V51" s="15">
        <f t="shared" si="25"/>
        <v>275788.01152611995</v>
      </c>
      <c r="W51" s="15">
        <f t="shared" si="25"/>
        <v>274475.048241665</v>
      </c>
      <c r="X51" s="15">
        <f>X37-X50</f>
        <v>274475.048241665</v>
      </c>
      <c r="Y51" s="15">
        <f>Y37-Y50</f>
        <v>274475.048241665</v>
      </c>
      <c r="Z51" s="15">
        <f>Z37-Z50</f>
        <v>275788.01152611995</v>
      </c>
      <c r="AA51" s="15">
        <f>AA37-AA50</f>
        <v>274475.048241665</v>
      </c>
      <c r="AB51" s="15">
        <f>AB37-AB50</f>
        <v>274475.048241665</v>
      </c>
    </row>
    <row r="52" spans="1:28" ht="9.9499999999999993" customHeight="1">
      <c r="A52" s="16"/>
      <c r="B52" s="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c r="A53" s="25" t="s">
        <v>12</v>
      </c>
      <c r="C53" s="11"/>
      <c r="D53" s="11"/>
      <c r="E53" s="11"/>
      <c r="F53" s="11"/>
      <c r="G53" s="11"/>
      <c r="H53" s="11"/>
      <c r="I53" s="11">
        <f>Inv!B36</f>
        <v>202585.41982000001</v>
      </c>
      <c r="J53" s="11">
        <f>Inv!C36</f>
        <v>202585.41982000001</v>
      </c>
      <c r="K53" s="11">
        <f>Inv!D36</f>
        <v>202585.41982000001</v>
      </c>
      <c r="L53" s="11">
        <f>Inv!E36</f>
        <v>202585.41982000001</v>
      </c>
      <c r="M53" s="11">
        <f>Inv!F36</f>
        <v>202585.41982000001</v>
      </c>
      <c r="N53" s="11">
        <f>Inv!G36</f>
        <v>202585.41982000001</v>
      </c>
      <c r="O53" s="11">
        <f>Inv!H36</f>
        <v>202585.41982000001</v>
      </c>
      <c r="P53" s="11">
        <f>Inv!I36</f>
        <v>202585.41982000001</v>
      </c>
      <c r="Q53" s="11">
        <f>Inv!J36</f>
        <v>202585.41982000001</v>
      </c>
      <c r="R53" s="11">
        <f>Inv!K36</f>
        <v>202585.41982000001</v>
      </c>
      <c r="S53" s="11">
        <f>Inv!L36</f>
        <v>81289.701919999992</v>
      </c>
      <c r="T53" s="11">
        <f>Inv!M36</f>
        <v>81289.701919999992</v>
      </c>
      <c r="U53" s="11">
        <f>Inv!N36</f>
        <v>81289.701919999992</v>
      </c>
      <c r="V53" s="11">
        <f>Inv!O36</f>
        <v>81289.701919999992</v>
      </c>
      <c r="W53" s="11">
        <f>Inv!P36</f>
        <v>81289.701919999992</v>
      </c>
      <c r="X53" s="11">
        <f>Inv!Q36</f>
        <v>81289.701919999992</v>
      </c>
      <c r="Y53" s="11">
        <f>Inv!R36</f>
        <v>81289.701919999992</v>
      </c>
      <c r="Z53" s="11">
        <f>Inv!S36</f>
        <v>81289.701919999992</v>
      </c>
      <c r="AA53" s="11">
        <f>Inv!T36</f>
        <v>81289.701919999992</v>
      </c>
      <c r="AB53" s="11">
        <f>Inv!U36</f>
        <v>81289.701919999992</v>
      </c>
    </row>
    <row r="54" spans="1:28">
      <c r="A54" s="4"/>
      <c r="X54" s="3"/>
      <c r="Y54" s="3"/>
      <c r="Z54" s="3"/>
      <c r="AA54" s="3"/>
      <c r="AB54" s="3"/>
    </row>
    <row r="55" spans="1:28" ht="17.25" thickBot="1">
      <c r="A55" s="8" t="s">
        <v>4</v>
      </c>
      <c r="B55" s="9"/>
      <c r="C55" s="15"/>
      <c r="D55" s="15"/>
      <c r="E55" s="15"/>
      <c r="F55" s="15"/>
      <c r="G55" s="15">
        <f t="shared" ref="G55:W55" si="26">G51-G53</f>
        <v>0</v>
      </c>
      <c r="H55" s="15">
        <f t="shared" si="26"/>
        <v>0</v>
      </c>
      <c r="I55" s="15">
        <f>I51-I53</f>
        <v>54996.388421664946</v>
      </c>
      <c r="J55" s="15">
        <f t="shared" si="26"/>
        <v>61135.991706119967</v>
      </c>
      <c r="K55" s="15">
        <f t="shared" si="26"/>
        <v>64649.668421664974</v>
      </c>
      <c r="L55" s="15">
        <f t="shared" si="26"/>
        <v>69476.308421664988</v>
      </c>
      <c r="M55" s="15">
        <f t="shared" si="26"/>
        <v>71889.628421664995</v>
      </c>
      <c r="N55" s="15">
        <f t="shared" si="26"/>
        <v>73202.591706119943</v>
      </c>
      <c r="O55" s="15">
        <f t="shared" si="26"/>
        <v>71889.628421664995</v>
      </c>
      <c r="P55" s="15">
        <f t="shared" si="26"/>
        <v>71889.628421664995</v>
      </c>
      <c r="Q55" s="15">
        <f t="shared" si="26"/>
        <v>71889.628421664995</v>
      </c>
      <c r="R55" s="15">
        <f>R51-R53</f>
        <v>73202.591706119943</v>
      </c>
      <c r="S55" s="15">
        <f t="shared" si="26"/>
        <v>193185.34632166501</v>
      </c>
      <c r="T55" s="15">
        <f>T51-T53</f>
        <v>193185.34632166501</v>
      </c>
      <c r="U55" s="15">
        <f t="shared" si="26"/>
        <v>193185.34632166501</v>
      </c>
      <c r="V55" s="15">
        <f t="shared" si="26"/>
        <v>194498.30960611996</v>
      </c>
      <c r="W55" s="15">
        <f t="shared" si="26"/>
        <v>193185.34632166501</v>
      </c>
      <c r="X55" s="15">
        <f>X51-X53</f>
        <v>193185.34632166501</v>
      </c>
      <c r="Y55" s="15">
        <f>Y51-Y53</f>
        <v>193185.34632166501</v>
      </c>
      <c r="Z55" s="15">
        <f>Z51-Z53</f>
        <v>194498.30960611996</v>
      </c>
      <c r="AA55" s="15">
        <f>AA51-AA53</f>
        <v>193185.34632166501</v>
      </c>
      <c r="AB55" s="15">
        <f>AB51-AB53</f>
        <v>193185.34632166501</v>
      </c>
    </row>
    <row r="56" spans="1:28" ht="12.75">
      <c r="A56"/>
      <c r="B56"/>
      <c r="C56"/>
      <c r="D56"/>
      <c r="E56"/>
      <c r="F56"/>
      <c r="G56"/>
      <c r="H56"/>
      <c r="I56"/>
      <c r="J56"/>
      <c r="K56"/>
      <c r="L56"/>
      <c r="M56"/>
      <c r="N56"/>
      <c r="O56"/>
      <c r="P56"/>
      <c r="Q56"/>
      <c r="R56"/>
      <c r="S56"/>
      <c r="T56"/>
      <c r="U56"/>
      <c r="V56"/>
      <c r="W56"/>
    </row>
    <row r="57" spans="1:28">
      <c r="A57" s="5" t="s">
        <v>195</v>
      </c>
      <c r="B57"/>
      <c r="C57"/>
      <c r="D57"/>
      <c r="E57"/>
      <c r="F57"/>
      <c r="G57"/>
      <c r="H57"/>
      <c r="I57" s="152">
        <f>-Financing!D44</f>
        <v>-113.69468582702675</v>
      </c>
      <c r="J57" s="152">
        <f>-Financing!D45</f>
        <v>-106.11504010522495</v>
      </c>
      <c r="K57" s="152">
        <f>-Financing!D46</f>
        <v>-98.535394383423167</v>
      </c>
      <c r="L57" s="152">
        <f>-Financing!D47</f>
        <v>-90.955748661621385</v>
      </c>
      <c r="M57" s="152">
        <f>-Financing!D48</f>
        <v>-83.376102939819603</v>
      </c>
      <c r="N57" s="152">
        <f>-Financing!D49</f>
        <v>-75.796457218017821</v>
      </c>
      <c r="O57" s="152">
        <f>-Financing!D50</f>
        <v>-68.216811496216039</v>
      </c>
      <c r="P57" s="152">
        <f>-Financing!D51</f>
        <v>-60.63716577441425</v>
      </c>
      <c r="Q57" s="152">
        <f>-Financing!D52</f>
        <v>-53.057520052612468</v>
      </c>
      <c r="R57" s="152">
        <f>-Financing!D53</f>
        <v>-45.477874330810678</v>
      </c>
      <c r="S57" s="152">
        <f>-Financing!D54</f>
        <v>-37.898228609008896</v>
      </c>
      <c r="T57" s="152">
        <f>-Financing!D55</f>
        <v>-30.318582887207114</v>
      </c>
      <c r="U57" s="152">
        <f>-Financing!D56</f>
        <v>-22.738937165405328</v>
      </c>
      <c r="V57" s="152">
        <f>-Financing!D57</f>
        <v>-15.159291443603546</v>
      </c>
      <c r="W57" s="152">
        <f>-Financing!D58</f>
        <v>-7.5796457218017643</v>
      </c>
      <c r="X57" s="152"/>
      <c r="Y57" s="152"/>
      <c r="Z57" s="152"/>
      <c r="AA57" s="152"/>
      <c r="AB57" s="152"/>
    </row>
    <row r="58" spans="1:28" ht="12.75">
      <c r="A58"/>
      <c r="B58"/>
      <c r="C58"/>
      <c r="D58"/>
      <c r="E58"/>
      <c r="F58"/>
      <c r="G58"/>
      <c r="H58"/>
      <c r="I58"/>
      <c r="J58"/>
      <c r="K58"/>
      <c r="L58"/>
      <c r="M58"/>
      <c r="N58"/>
      <c r="O58"/>
      <c r="P58"/>
      <c r="Q58"/>
      <c r="R58"/>
      <c r="S58"/>
      <c r="T58"/>
      <c r="U58"/>
      <c r="V58"/>
      <c r="W58"/>
    </row>
    <row r="59" spans="1:28" ht="17.25" thickBot="1">
      <c r="A59" s="8" t="s">
        <v>196</v>
      </c>
      <c r="B59" s="9"/>
      <c r="C59" s="15"/>
      <c r="D59" s="15"/>
      <c r="E59" s="15"/>
      <c r="F59" s="15"/>
      <c r="G59" s="15">
        <f t="shared" ref="G59:AB59" si="27">G55+G57</f>
        <v>0</v>
      </c>
      <c r="H59" s="15">
        <f t="shared" si="27"/>
        <v>0</v>
      </c>
      <c r="I59" s="15">
        <f t="shared" si="27"/>
        <v>54882.693735837922</v>
      </c>
      <c r="J59" s="15">
        <f t="shared" si="27"/>
        <v>61029.876666014745</v>
      </c>
      <c r="K59" s="15">
        <f t="shared" si="27"/>
        <v>64551.133027281554</v>
      </c>
      <c r="L59" s="15">
        <f t="shared" si="27"/>
        <v>69385.352673003363</v>
      </c>
      <c r="M59" s="15">
        <f t="shared" si="27"/>
        <v>71806.252318725179</v>
      </c>
      <c r="N59" s="15">
        <f t="shared" si="27"/>
        <v>73126.795248901923</v>
      </c>
      <c r="O59" s="15">
        <f t="shared" si="27"/>
        <v>71821.411610168783</v>
      </c>
      <c r="P59" s="15">
        <f t="shared" si="27"/>
        <v>71828.991255890578</v>
      </c>
      <c r="Q59" s="15">
        <f t="shared" si="27"/>
        <v>71836.570901612387</v>
      </c>
      <c r="R59" s="15">
        <f t="shared" si="27"/>
        <v>73157.113831789131</v>
      </c>
      <c r="S59" s="15">
        <f t="shared" si="27"/>
        <v>193147.44809305601</v>
      </c>
      <c r="T59" s="15">
        <f t="shared" si="27"/>
        <v>193155.0277387778</v>
      </c>
      <c r="U59" s="15">
        <f t="shared" si="27"/>
        <v>193162.6073844996</v>
      </c>
      <c r="V59" s="15">
        <f t="shared" si="27"/>
        <v>194483.15031467637</v>
      </c>
      <c r="W59" s="15">
        <f t="shared" si="27"/>
        <v>193177.76667594322</v>
      </c>
      <c r="X59" s="15">
        <f t="shared" si="27"/>
        <v>193185.34632166501</v>
      </c>
      <c r="Y59" s="15">
        <f t="shared" si="27"/>
        <v>193185.34632166501</v>
      </c>
      <c r="Z59" s="15">
        <f t="shared" si="27"/>
        <v>194498.30960611996</v>
      </c>
      <c r="AA59" s="15">
        <f t="shared" si="27"/>
        <v>193185.34632166501</v>
      </c>
      <c r="AB59" s="15">
        <f t="shared" si="27"/>
        <v>193185.34632166501</v>
      </c>
    </row>
    <row r="60" spans="1:28" ht="12.75">
      <c r="A60"/>
      <c r="B60"/>
      <c r="C60"/>
      <c r="D60"/>
      <c r="E60"/>
      <c r="F60"/>
      <c r="G60"/>
      <c r="H60"/>
      <c r="I60"/>
      <c r="J60"/>
      <c r="K60"/>
      <c r="L60"/>
      <c r="M60"/>
      <c r="N60"/>
      <c r="O60"/>
      <c r="P60"/>
      <c r="Q60"/>
      <c r="R60"/>
      <c r="S60"/>
      <c r="T60"/>
      <c r="U60"/>
      <c r="V60"/>
      <c r="W60"/>
    </row>
    <row r="61" spans="1:28">
      <c r="A61" s="45"/>
      <c r="B61" s="150" t="s">
        <v>14</v>
      </c>
      <c r="C61" s="151">
        <v>0.09</v>
      </c>
      <c r="D61" s="152"/>
      <c r="E61" s="152"/>
      <c r="F61" s="152"/>
      <c r="G61" s="152"/>
      <c r="H61" s="152"/>
      <c r="I61" s="152">
        <f>IF(I59&lt;0,0,I59*$C$61)</f>
        <v>4939.4424362254131</v>
      </c>
      <c r="J61" s="152">
        <f t="shared" ref="J61:AB61" si="28">IF(J59&lt;0,0,J59*$C$61)</f>
        <v>5492.6888999413268</v>
      </c>
      <c r="K61" s="152">
        <f t="shared" si="28"/>
        <v>5809.6019724553398</v>
      </c>
      <c r="L61" s="152">
        <f t="shared" si="28"/>
        <v>6244.6817405703023</v>
      </c>
      <c r="M61" s="152">
        <f t="shared" si="28"/>
        <v>6462.5627086852655</v>
      </c>
      <c r="N61" s="152">
        <f t="shared" si="28"/>
        <v>6581.4115724011726</v>
      </c>
      <c r="O61" s="152">
        <f t="shared" si="28"/>
        <v>6463.92704491519</v>
      </c>
      <c r="P61" s="152">
        <f t="shared" si="28"/>
        <v>6464.6092130301522</v>
      </c>
      <c r="Q61" s="152">
        <f t="shared" si="28"/>
        <v>6465.2913811451144</v>
      </c>
      <c r="R61" s="152">
        <f t="shared" si="28"/>
        <v>6584.1402448610215</v>
      </c>
      <c r="S61" s="152">
        <f t="shared" si="28"/>
        <v>17383.270328375042</v>
      </c>
      <c r="T61" s="152">
        <f t="shared" si="28"/>
        <v>17383.952496490001</v>
      </c>
      <c r="U61" s="152">
        <f t="shared" si="28"/>
        <v>17384.634664604964</v>
      </c>
      <c r="V61" s="152">
        <f t="shared" si="28"/>
        <v>17503.483528320874</v>
      </c>
      <c r="W61" s="152">
        <f t="shared" si="28"/>
        <v>17385.99900083489</v>
      </c>
      <c r="X61" s="152">
        <f t="shared" si="28"/>
        <v>17386.68116894985</v>
      </c>
      <c r="Y61" s="152">
        <f t="shared" si="28"/>
        <v>17386.68116894985</v>
      </c>
      <c r="Z61" s="152">
        <f t="shared" si="28"/>
        <v>17504.847864550797</v>
      </c>
      <c r="AA61" s="152">
        <f t="shared" si="28"/>
        <v>17386.68116894985</v>
      </c>
      <c r="AB61" s="152">
        <f t="shared" si="28"/>
        <v>17386.68116894985</v>
      </c>
    </row>
    <row r="62" spans="1:28">
      <c r="A62" s="45"/>
      <c r="B62" s="150" t="s">
        <v>15</v>
      </c>
      <c r="C62" s="151">
        <v>0.25</v>
      </c>
      <c r="D62" s="152"/>
      <c r="E62" s="152"/>
      <c r="F62" s="152"/>
      <c r="G62" s="152"/>
      <c r="H62" s="152"/>
      <c r="I62" s="152">
        <f>IF(I59&lt;0,0,I59*$C$62)</f>
        <v>13720.67343395948</v>
      </c>
      <c r="J62" s="152">
        <f t="shared" ref="J62:AB62" si="29">IF(J59&lt;0,0,J59*$C$62)</f>
        <v>15257.469166503686</v>
      </c>
      <c r="K62" s="152">
        <f t="shared" si="29"/>
        <v>16137.783256820388</v>
      </c>
      <c r="L62" s="152">
        <f t="shared" si="29"/>
        <v>17346.338168250841</v>
      </c>
      <c r="M62" s="152">
        <f t="shared" si="29"/>
        <v>17951.563079681295</v>
      </c>
      <c r="N62" s="152">
        <f t="shared" si="29"/>
        <v>18281.698812225481</v>
      </c>
      <c r="O62" s="152">
        <f t="shared" si="29"/>
        <v>17955.352902542196</v>
      </c>
      <c r="P62" s="152">
        <f t="shared" si="29"/>
        <v>17957.247813972645</v>
      </c>
      <c r="Q62" s="152">
        <f t="shared" si="29"/>
        <v>17959.142725403097</v>
      </c>
      <c r="R62" s="152">
        <f t="shared" si="29"/>
        <v>18289.278457947283</v>
      </c>
      <c r="S62" s="152">
        <f t="shared" si="29"/>
        <v>48286.862023264002</v>
      </c>
      <c r="T62" s="152">
        <f t="shared" si="29"/>
        <v>48288.756934694451</v>
      </c>
      <c r="U62" s="152">
        <f t="shared" si="29"/>
        <v>48290.6518461249</v>
      </c>
      <c r="V62" s="152">
        <f t="shared" si="29"/>
        <v>48620.787578669093</v>
      </c>
      <c r="W62" s="152">
        <f t="shared" si="29"/>
        <v>48294.441668985804</v>
      </c>
      <c r="X62" s="152">
        <f t="shared" si="29"/>
        <v>48296.336580416253</v>
      </c>
      <c r="Y62" s="152">
        <f t="shared" si="29"/>
        <v>48296.336580416253</v>
      </c>
      <c r="Z62" s="152">
        <f t="shared" si="29"/>
        <v>48624.57740152999</v>
      </c>
      <c r="AA62" s="152">
        <f t="shared" si="29"/>
        <v>48296.336580416253</v>
      </c>
      <c r="AB62" s="152">
        <f t="shared" si="29"/>
        <v>48296.336580416253</v>
      </c>
    </row>
    <row r="63" spans="1:28" ht="9.75" customHeight="1">
      <c r="B63" s="4"/>
      <c r="C63" s="12"/>
      <c r="D63" s="11"/>
      <c r="E63" s="11"/>
      <c r="F63" s="11"/>
      <c r="G63" s="11"/>
      <c r="H63" s="11"/>
      <c r="I63" s="11"/>
      <c r="J63" s="11"/>
      <c r="K63" s="11"/>
      <c r="L63" s="11"/>
      <c r="M63" s="11"/>
      <c r="N63" s="11"/>
      <c r="O63" s="11"/>
      <c r="P63" s="11"/>
      <c r="Q63" s="11"/>
      <c r="R63" s="11"/>
      <c r="S63" s="11"/>
      <c r="T63" s="11"/>
      <c r="U63" s="11"/>
      <c r="V63" s="11"/>
      <c r="W63" s="11"/>
      <c r="X63" s="11"/>
      <c r="Y63" s="11"/>
      <c r="Z63" s="11"/>
      <c r="AA63" s="11"/>
      <c r="AB63" s="11"/>
    </row>
    <row r="64" spans="1:28" ht="17.25" thickBot="1">
      <c r="A64" s="8" t="s">
        <v>10</v>
      </c>
      <c r="B64" s="9"/>
      <c r="C64" s="10"/>
      <c r="D64" s="10"/>
      <c r="E64" s="10"/>
      <c r="F64" s="10"/>
      <c r="G64" s="10"/>
      <c r="H64" s="10"/>
      <c r="I64" s="10">
        <f>I59-I61-I62</f>
        <v>36222.577865653031</v>
      </c>
      <c r="J64" s="10">
        <f t="shared" ref="J64:AB64" si="30">J59-J61-J62</f>
        <v>40279.718599569729</v>
      </c>
      <c r="K64" s="10">
        <f t="shared" si="30"/>
        <v>42603.747798005825</v>
      </c>
      <c r="L64" s="10">
        <f t="shared" si="30"/>
        <v>45794.332764182218</v>
      </c>
      <c r="M64" s="10">
        <f t="shared" si="30"/>
        <v>47392.126530358626</v>
      </c>
      <c r="N64" s="10">
        <f t="shared" si="30"/>
        <v>48263.684864275259</v>
      </c>
      <c r="O64" s="10">
        <f t="shared" si="30"/>
        <v>47402.131662711399</v>
      </c>
      <c r="P64" s="10">
        <f t="shared" si="30"/>
        <v>47407.134228887779</v>
      </c>
      <c r="Q64" s="10">
        <f t="shared" si="30"/>
        <v>47412.136795064172</v>
      </c>
      <c r="R64" s="10">
        <f t="shared" si="30"/>
        <v>48283.695128980835</v>
      </c>
      <c r="S64" s="10">
        <f t="shared" si="30"/>
        <v>127477.31574141697</v>
      </c>
      <c r="T64" s="10">
        <f t="shared" si="30"/>
        <v>127482.31830759335</v>
      </c>
      <c r="U64" s="10">
        <f t="shared" si="30"/>
        <v>127487.32087376973</v>
      </c>
      <c r="V64" s="10">
        <f t="shared" si="30"/>
        <v>128358.8792076864</v>
      </c>
      <c r="W64" s="10">
        <f t="shared" si="30"/>
        <v>127497.32600612253</v>
      </c>
      <c r="X64" s="10">
        <f t="shared" si="30"/>
        <v>127502.32857229892</v>
      </c>
      <c r="Y64" s="10">
        <f t="shared" si="30"/>
        <v>127502.32857229892</v>
      </c>
      <c r="Z64" s="10">
        <f t="shared" si="30"/>
        <v>128368.88434003916</v>
      </c>
      <c r="AA64" s="10">
        <f t="shared" si="30"/>
        <v>127502.32857229892</v>
      </c>
      <c r="AB64" s="10">
        <f t="shared" si="30"/>
        <v>127502.32857229892</v>
      </c>
    </row>
    <row r="65" spans="1:31">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row>
    <row r="66" spans="1:31" ht="17.25" thickBot="1">
      <c r="A66" s="19"/>
      <c r="B66" s="9"/>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row>
    <row r="67" spans="1:31" ht="9.75" customHeight="1">
      <c r="B67" s="4"/>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row>
    <row r="68" spans="1:31">
      <c r="A68" s="21"/>
      <c r="B68" s="28" t="s">
        <v>11</v>
      </c>
      <c r="C68" s="18"/>
      <c r="D68" s="18">
        <f t="shared" ref="D68:AB68" si="31">D53</f>
        <v>0</v>
      </c>
      <c r="E68" s="18">
        <f t="shared" si="31"/>
        <v>0</v>
      </c>
      <c r="F68" s="18">
        <f t="shared" si="31"/>
        <v>0</v>
      </c>
      <c r="G68" s="18">
        <f t="shared" si="31"/>
        <v>0</v>
      </c>
      <c r="H68" s="18">
        <f t="shared" si="31"/>
        <v>0</v>
      </c>
      <c r="I68" s="18">
        <f t="shared" si="31"/>
        <v>202585.41982000001</v>
      </c>
      <c r="J68" s="18">
        <f t="shared" si="31"/>
        <v>202585.41982000001</v>
      </c>
      <c r="K68" s="18">
        <f t="shared" si="31"/>
        <v>202585.41982000001</v>
      </c>
      <c r="L68" s="18">
        <f t="shared" si="31"/>
        <v>202585.41982000001</v>
      </c>
      <c r="M68" s="18">
        <f t="shared" si="31"/>
        <v>202585.41982000001</v>
      </c>
      <c r="N68" s="18">
        <f t="shared" si="31"/>
        <v>202585.41982000001</v>
      </c>
      <c r="O68" s="18">
        <f t="shared" si="31"/>
        <v>202585.41982000001</v>
      </c>
      <c r="P68" s="18">
        <f t="shared" si="31"/>
        <v>202585.41982000001</v>
      </c>
      <c r="Q68" s="18">
        <f t="shared" si="31"/>
        <v>202585.41982000001</v>
      </c>
      <c r="R68" s="18">
        <f t="shared" si="31"/>
        <v>202585.41982000001</v>
      </c>
      <c r="S68" s="18">
        <f t="shared" si="31"/>
        <v>81289.701919999992</v>
      </c>
      <c r="T68" s="18">
        <f t="shared" si="31"/>
        <v>81289.701919999992</v>
      </c>
      <c r="U68" s="18">
        <f t="shared" si="31"/>
        <v>81289.701919999992</v>
      </c>
      <c r="V68" s="18">
        <f t="shared" si="31"/>
        <v>81289.701919999992</v>
      </c>
      <c r="W68" s="18">
        <f t="shared" si="31"/>
        <v>81289.701919999992</v>
      </c>
      <c r="X68" s="18">
        <f t="shared" si="31"/>
        <v>81289.701919999992</v>
      </c>
      <c r="Y68" s="18">
        <f t="shared" si="31"/>
        <v>81289.701919999992</v>
      </c>
      <c r="Z68" s="18">
        <f t="shared" si="31"/>
        <v>81289.701919999992</v>
      </c>
      <c r="AA68" s="18">
        <f t="shared" si="31"/>
        <v>81289.701919999992</v>
      </c>
      <c r="AB68" s="18">
        <f t="shared" si="31"/>
        <v>81289.701919999992</v>
      </c>
      <c r="AC68" s="26"/>
      <c r="AD68" s="26"/>
      <c r="AE68" s="26"/>
    </row>
    <row r="69" spans="1:31">
      <c r="A69" s="6"/>
      <c r="B69" s="27" t="s">
        <v>19</v>
      </c>
      <c r="C69" s="23"/>
      <c r="D69" s="23">
        <f>Inv!F12</f>
        <v>0</v>
      </c>
      <c r="E69" s="23">
        <f>Inv!G12*(1-F80)</f>
        <v>342965.62362219003</v>
      </c>
      <c r="F69" s="23">
        <f>Inv!H12*(1-F80)</f>
        <v>959783.47069402481</v>
      </c>
      <c r="G69" s="23">
        <f>Inv!I12*(1-F80)</f>
        <v>1147032.5897979003</v>
      </c>
      <c r="H69" s="23">
        <f>Inv!J12*(1-F80)</f>
        <v>871855.92041622521</v>
      </c>
      <c r="I69" s="23">
        <f>Inv!K12*(1-F80)</f>
        <v>245990.85246965999</v>
      </c>
      <c r="J69" s="23">
        <f>Inv!L12</f>
        <v>0</v>
      </c>
      <c r="K69" s="23">
        <f>Inv!M12</f>
        <v>0</v>
      </c>
      <c r="L69" s="23">
        <f>Inv!N12</f>
        <v>0</v>
      </c>
      <c r="M69" s="23">
        <f>Inv!O12</f>
        <v>0</v>
      </c>
      <c r="N69" s="23">
        <f>Inv!P12</f>
        <v>0</v>
      </c>
      <c r="O69" s="23"/>
      <c r="P69" s="23"/>
      <c r="Q69" s="23"/>
      <c r="R69" s="23"/>
      <c r="S69" s="23"/>
      <c r="T69" s="23"/>
      <c r="U69" s="23"/>
      <c r="V69" s="23"/>
      <c r="W69" s="23"/>
      <c r="X69" s="23"/>
      <c r="Y69" s="23"/>
      <c r="Z69" s="23"/>
      <c r="AA69" s="23"/>
      <c r="AB69" s="23"/>
      <c r="AC69" s="26"/>
      <c r="AD69" s="26"/>
      <c r="AE69" s="26"/>
    </row>
    <row r="70" spans="1:31">
      <c r="A70" s="6"/>
      <c r="B70" s="27" t="s">
        <v>28</v>
      </c>
      <c r="C70" s="23"/>
      <c r="D70" s="23"/>
      <c r="E70" s="23"/>
      <c r="F70" s="23"/>
      <c r="G70" s="23"/>
      <c r="H70" s="23"/>
      <c r="I70" s="23"/>
      <c r="J70" s="23"/>
      <c r="K70" s="23"/>
      <c r="L70" s="23"/>
      <c r="M70" s="23"/>
      <c r="N70" s="23"/>
      <c r="O70" s="23"/>
      <c r="P70" s="23"/>
      <c r="Q70" s="23"/>
      <c r="R70" s="23"/>
      <c r="S70" s="23"/>
      <c r="T70" s="23"/>
      <c r="U70" s="23"/>
      <c r="V70" s="23"/>
      <c r="X70" s="23"/>
      <c r="Y70" s="23"/>
      <c r="Z70" s="23"/>
      <c r="AA70" s="23"/>
      <c r="AB70" s="23">
        <f>Inv!V36</f>
        <v>728877.23960000055</v>
      </c>
      <c r="AC70" s="26"/>
      <c r="AD70" s="26"/>
      <c r="AE70" s="26"/>
    </row>
    <row r="71" spans="1:31">
      <c r="B71" s="4" t="s">
        <v>195</v>
      </c>
      <c r="C71" s="11"/>
      <c r="D71" s="11"/>
      <c r="E71" s="11"/>
      <c r="F71" s="11"/>
      <c r="G71" s="11"/>
      <c r="H71" s="11"/>
      <c r="I71" s="11">
        <f>-I57</f>
        <v>113.69468582702675</v>
      </c>
      <c r="J71" s="11">
        <f t="shared" ref="J71:W71" si="32">-J57</f>
        <v>106.11504010522495</v>
      </c>
      <c r="K71" s="11">
        <f t="shared" si="32"/>
        <v>98.535394383423167</v>
      </c>
      <c r="L71" s="11">
        <f t="shared" si="32"/>
        <v>90.955748661621385</v>
      </c>
      <c r="M71" s="11">
        <f t="shared" si="32"/>
        <v>83.376102939819603</v>
      </c>
      <c r="N71" s="11">
        <f t="shared" si="32"/>
        <v>75.796457218017821</v>
      </c>
      <c r="O71" s="11">
        <f t="shared" si="32"/>
        <v>68.216811496216039</v>
      </c>
      <c r="P71" s="11">
        <f t="shared" si="32"/>
        <v>60.63716577441425</v>
      </c>
      <c r="Q71" s="11">
        <f t="shared" si="32"/>
        <v>53.057520052612468</v>
      </c>
      <c r="R71" s="11">
        <f t="shared" si="32"/>
        <v>45.477874330810678</v>
      </c>
      <c r="S71" s="11">
        <f t="shared" si="32"/>
        <v>37.898228609008896</v>
      </c>
      <c r="T71" s="11">
        <f t="shared" si="32"/>
        <v>30.318582887207114</v>
      </c>
      <c r="U71" s="11">
        <f t="shared" si="32"/>
        <v>22.738937165405328</v>
      </c>
      <c r="V71" s="11">
        <f t="shared" si="32"/>
        <v>15.159291443603546</v>
      </c>
      <c r="W71" s="11">
        <f t="shared" si="32"/>
        <v>7.5796457218017643</v>
      </c>
      <c r="X71" s="11"/>
      <c r="Y71" s="11"/>
      <c r="Z71" s="11"/>
      <c r="AA71" s="11"/>
      <c r="AB71" s="11"/>
    </row>
    <row r="72" spans="1:31" ht="17.25" thickBot="1">
      <c r="A72" s="9" t="s">
        <v>20</v>
      </c>
      <c r="B72" s="9"/>
      <c r="C72" s="10"/>
      <c r="D72" s="10">
        <f>-D69</f>
        <v>0</v>
      </c>
      <c r="E72" s="10">
        <f>-E69</f>
        <v>-342965.62362219003</v>
      </c>
      <c r="F72" s="10">
        <f>-F69</f>
        <v>-959783.47069402481</v>
      </c>
      <c r="G72" s="10">
        <f>-G69</f>
        <v>-1147032.5897979003</v>
      </c>
      <c r="H72" s="10">
        <f>-H69</f>
        <v>-871855.92041622521</v>
      </c>
      <c r="I72" s="10">
        <f t="shared" ref="I72:W72" si="33">I64+I68-I69+I70+I71</f>
        <v>-7069.1600981799247</v>
      </c>
      <c r="J72" s="10">
        <f t="shared" si="33"/>
        <v>242971.25345967495</v>
      </c>
      <c r="K72" s="10">
        <f t="shared" si="33"/>
        <v>245287.70301238925</v>
      </c>
      <c r="L72" s="10">
        <f t="shared" si="33"/>
        <v>248470.70833284385</v>
      </c>
      <c r="M72" s="10">
        <f t="shared" si="33"/>
        <v>250060.92245329847</v>
      </c>
      <c r="N72" s="10">
        <f t="shared" si="33"/>
        <v>250924.90114149329</v>
      </c>
      <c r="O72" s="10">
        <f t="shared" si="33"/>
        <v>250055.76829420761</v>
      </c>
      <c r="P72" s="10">
        <f t="shared" si="33"/>
        <v>250053.19121466222</v>
      </c>
      <c r="Q72" s="10">
        <f t="shared" si="33"/>
        <v>250050.6141351168</v>
      </c>
      <c r="R72" s="10">
        <f t="shared" si="33"/>
        <v>250914.59282331166</v>
      </c>
      <c r="S72" s="10">
        <f t="shared" si="33"/>
        <v>208804.91589002596</v>
      </c>
      <c r="T72" s="10">
        <f t="shared" si="33"/>
        <v>208802.33881048055</v>
      </c>
      <c r="U72" s="10">
        <f t="shared" si="33"/>
        <v>208799.76173093513</v>
      </c>
      <c r="V72" s="10">
        <f t="shared" si="33"/>
        <v>209663.74041912999</v>
      </c>
      <c r="W72" s="10">
        <f t="shared" si="33"/>
        <v>208794.60757184433</v>
      </c>
      <c r="X72" s="10">
        <f t="shared" ref="X72:AB72" si="34">X64+X68-X69+X70</f>
        <v>208792.03049229892</v>
      </c>
      <c r="Y72" s="10">
        <f t="shared" si="34"/>
        <v>208792.03049229892</v>
      </c>
      <c r="Z72" s="10">
        <f t="shared" si="34"/>
        <v>209658.58626003916</v>
      </c>
      <c r="AA72" s="10">
        <f t="shared" si="34"/>
        <v>208792.03049229892</v>
      </c>
      <c r="AB72" s="10">
        <f t="shared" si="34"/>
        <v>937669.27009229944</v>
      </c>
    </row>
    <row r="73" spans="1:31">
      <c r="A73" s="32"/>
      <c r="B73" s="32"/>
      <c r="C73" s="33"/>
      <c r="D73" s="6"/>
      <c r="E73" s="6"/>
      <c r="F73" s="6"/>
      <c r="G73" s="6"/>
      <c r="H73" s="6"/>
      <c r="I73" s="6"/>
      <c r="J73" s="6"/>
      <c r="K73" s="6"/>
      <c r="L73" s="6"/>
      <c r="M73" s="6"/>
      <c r="N73" s="6"/>
      <c r="O73" s="6"/>
      <c r="P73" s="6"/>
      <c r="Q73" s="6"/>
      <c r="R73" s="6"/>
      <c r="S73" s="6"/>
      <c r="T73" s="6"/>
      <c r="U73" s="6"/>
      <c r="V73" s="6"/>
      <c r="W73" s="6"/>
      <c r="X73" s="20"/>
    </row>
    <row r="74" spans="1:31">
      <c r="A74" s="55" t="s">
        <v>27</v>
      </c>
      <c r="B74" s="55"/>
      <c r="C74" s="56">
        <f>IRR(D72:AB72)</f>
        <v>3.3776550549326309E-2</v>
      </c>
      <c r="E74" s="6"/>
      <c r="F74" s="6"/>
      <c r="G74" s="6"/>
      <c r="H74" s="6"/>
      <c r="I74" s="6"/>
      <c r="J74" s="6"/>
      <c r="K74" s="6"/>
      <c r="L74" s="6"/>
      <c r="M74" s="6"/>
      <c r="N74" s="6"/>
      <c r="O74" s="6"/>
      <c r="P74" s="6"/>
      <c r="Q74" s="6"/>
      <c r="R74" s="6"/>
      <c r="S74" s="6"/>
      <c r="T74" s="6"/>
      <c r="U74" s="6"/>
      <c r="V74" s="6"/>
      <c r="W74" s="6"/>
      <c r="X74" s="20"/>
    </row>
    <row r="75" spans="1:31">
      <c r="A75" s="29"/>
      <c r="C75" s="24"/>
    </row>
    <row r="76" spans="1:31">
      <c r="D76" s="22"/>
      <c r="E76" s="22"/>
      <c r="F76" s="22"/>
      <c r="G76" s="22"/>
      <c r="H76" s="22"/>
      <c r="I76" s="22"/>
      <c r="J76" s="22"/>
      <c r="K76" s="22"/>
      <c r="L76" s="22"/>
      <c r="M76" s="22"/>
      <c r="N76" s="22"/>
      <c r="O76" s="22"/>
      <c r="P76" s="22"/>
      <c r="Q76" s="22"/>
      <c r="R76" s="22"/>
      <c r="S76" s="22"/>
      <c r="T76" s="22"/>
      <c r="U76" s="22"/>
      <c r="V76" s="22"/>
      <c r="W76" s="22"/>
    </row>
    <row r="77" spans="1:31" ht="17.25" thickBot="1">
      <c r="E77" s="69" t="s">
        <v>53</v>
      </c>
      <c r="F77" s="48" t="s">
        <v>21</v>
      </c>
      <c r="G77" s="48"/>
      <c r="H77" s="48" t="s">
        <v>22</v>
      </c>
      <c r="I77" s="48"/>
      <c r="J77" s="48" t="s">
        <v>23</v>
      </c>
    </row>
    <row r="78" spans="1:31" ht="18" thickTop="1" thickBot="1">
      <c r="E78" s="49" t="s">
        <v>24</v>
      </c>
      <c r="F78" s="228">
        <v>0</v>
      </c>
      <c r="G78" s="50"/>
      <c r="H78" s="51"/>
      <c r="I78" s="52"/>
      <c r="J78" s="52"/>
    </row>
    <row r="79" spans="1:31" ht="17.25" thickBot="1">
      <c r="E79" s="49" t="s">
        <v>25</v>
      </c>
      <c r="F79" s="228">
        <v>0</v>
      </c>
      <c r="G79" s="50"/>
      <c r="H79" s="53">
        <f>C74</f>
        <v>3.3776550549326309E-2</v>
      </c>
      <c r="I79" s="52"/>
      <c r="J79" s="54">
        <v>7.2700000000000001E-2</v>
      </c>
    </row>
    <row r="80" spans="1:31">
      <c r="E80" s="49" t="s">
        <v>26</v>
      </c>
      <c r="F80" s="228">
        <v>0</v>
      </c>
      <c r="G80" s="50"/>
      <c r="H80" s="51"/>
      <c r="I80" s="52"/>
      <c r="J80" s="52"/>
    </row>
    <row r="81" spans="5:12">
      <c r="E81" s="49" t="s">
        <v>37</v>
      </c>
      <c r="F81" s="50">
        <v>0</v>
      </c>
      <c r="G81" s="51"/>
      <c r="H81" s="51"/>
      <c r="I81" s="51"/>
      <c r="J81" s="51"/>
    </row>
    <row r="82" spans="5:12" ht="17.25" thickBot="1"/>
    <row r="83" spans="5:12" ht="16.5" customHeight="1">
      <c r="E83" s="239" t="s">
        <v>54</v>
      </c>
      <c r="F83" s="240"/>
      <c r="G83" s="240"/>
      <c r="H83" s="240"/>
      <c r="I83" s="240"/>
      <c r="J83" s="240"/>
      <c r="K83" s="240"/>
      <c r="L83" s="241"/>
    </row>
    <row r="84" spans="5:12">
      <c r="E84" s="242"/>
      <c r="F84" s="243"/>
      <c r="G84" s="243"/>
      <c r="H84" s="243"/>
      <c r="I84" s="243"/>
      <c r="J84" s="243"/>
      <c r="K84" s="243"/>
      <c r="L84" s="244"/>
    </row>
    <row r="85" spans="5:12">
      <c r="E85" s="242"/>
      <c r="F85" s="243"/>
      <c r="G85" s="243"/>
      <c r="H85" s="243"/>
      <c r="I85" s="243"/>
      <c r="J85" s="243"/>
      <c r="K85" s="243"/>
      <c r="L85" s="244"/>
    </row>
    <row r="86" spans="5:12">
      <c r="E86" s="242"/>
      <c r="F86" s="243"/>
      <c r="G86" s="243"/>
      <c r="H86" s="243"/>
      <c r="I86" s="243"/>
      <c r="J86" s="243"/>
      <c r="K86" s="243"/>
      <c r="L86" s="244"/>
    </row>
    <row r="87" spans="5:12">
      <c r="E87" s="242"/>
      <c r="F87" s="243"/>
      <c r="G87" s="243"/>
      <c r="H87" s="243"/>
      <c r="I87" s="243"/>
      <c r="J87" s="243"/>
      <c r="K87" s="243"/>
      <c r="L87" s="244"/>
    </row>
    <row r="88" spans="5:12">
      <c r="E88" s="242"/>
      <c r="F88" s="243"/>
      <c r="G88" s="243"/>
      <c r="H88" s="243"/>
      <c r="I88" s="243"/>
      <c r="J88" s="243"/>
      <c r="K88" s="243"/>
      <c r="L88" s="244"/>
    </row>
    <row r="89" spans="5:12">
      <c r="E89" s="242"/>
      <c r="F89" s="243"/>
      <c r="G89" s="243"/>
      <c r="H89" s="243"/>
      <c r="I89" s="243"/>
      <c r="J89" s="243"/>
      <c r="K89" s="243"/>
      <c r="L89" s="244"/>
    </row>
    <row r="90" spans="5:12">
      <c r="E90" s="242"/>
      <c r="F90" s="243"/>
      <c r="G90" s="243"/>
      <c r="H90" s="243"/>
      <c r="I90" s="243"/>
      <c r="J90" s="243"/>
      <c r="K90" s="243"/>
      <c r="L90" s="244"/>
    </row>
    <row r="91" spans="5:12">
      <c r="E91" s="242"/>
      <c r="F91" s="243"/>
      <c r="G91" s="243"/>
      <c r="H91" s="243"/>
      <c r="I91" s="243"/>
      <c r="J91" s="243"/>
      <c r="K91" s="243"/>
      <c r="L91" s="244"/>
    </row>
    <row r="92" spans="5:12" ht="17.25" thickBot="1">
      <c r="E92" s="245"/>
      <c r="F92" s="246"/>
      <c r="G92" s="246"/>
      <c r="H92" s="246"/>
      <c r="I92" s="246"/>
      <c r="J92" s="246"/>
      <c r="K92" s="246"/>
      <c r="L92" s="247"/>
    </row>
  </sheetData>
  <mergeCells count="13">
    <mergeCell ref="E83:L92"/>
    <mergeCell ref="F4:G4"/>
    <mergeCell ref="D15:E15"/>
    <mergeCell ref="D4:E4"/>
    <mergeCell ref="B4:C4"/>
    <mergeCell ref="A31:B31"/>
    <mergeCell ref="A23:B23"/>
    <mergeCell ref="A25:B25"/>
    <mergeCell ref="A26:B26"/>
    <mergeCell ref="A27:B27"/>
    <mergeCell ref="A29:B29"/>
    <mergeCell ref="A28:B28"/>
    <mergeCell ref="A24:B24"/>
  </mergeCells>
  <phoneticPr fontId="0" type="noConversion"/>
  <hyperlinks>
    <hyperlink ref="H17" r:id="rId1"/>
    <hyperlink ref="H19" r:id="rId2"/>
    <hyperlink ref="H13" r:id="rId3"/>
    <hyperlink ref="H14" r:id="rId4"/>
  </hyperlinks>
  <pageMargins left="0.78740157499999996" right="0.78740157499999996" top="0.984251969" bottom="0.984251969" header="0.5" footer="0.5"/>
  <pageSetup scale="55" fitToWidth="2" orientation="landscape" horizontalDpi="300" verticalDpi="300" r:id="rId5"/>
  <headerFooter alignWithMargins="0"/>
  <legacyDrawing r:id="rId6"/>
</worksheet>
</file>

<file path=xl/worksheets/sheet2.xml><?xml version="1.0" encoding="utf-8"?>
<worksheet xmlns="http://schemas.openxmlformats.org/spreadsheetml/2006/main" xmlns:r="http://schemas.openxmlformats.org/officeDocument/2006/relationships">
  <dimension ref="A2:V40"/>
  <sheetViews>
    <sheetView workbookViewId="0">
      <pane xSplit="7" ySplit="21" topLeftCell="P22" activePane="bottomRight" state="frozen"/>
      <selection pane="topRight" activeCell="H1" sqref="H1"/>
      <selection pane="bottomLeft" activeCell="A22" sqref="A22"/>
      <selection pane="bottomRight" activeCell="A29" sqref="A29:A37"/>
    </sheetView>
  </sheetViews>
  <sheetFormatPr defaultRowHeight="12.75"/>
  <cols>
    <col min="1" max="1" width="32.42578125" style="71" customWidth="1"/>
    <col min="2" max="2" width="10.28515625" style="71" bestFit="1" customWidth="1"/>
    <col min="3" max="6" width="9.140625" style="71" bestFit="1" customWidth="1"/>
    <col min="7" max="8" width="11.140625" style="71" bestFit="1" customWidth="1"/>
    <col min="9" max="9" width="12.7109375" style="71" bestFit="1" customWidth="1"/>
    <col min="10" max="13" width="11.140625" style="71" bestFit="1" customWidth="1"/>
    <col min="14" max="14" width="12.7109375" style="71" bestFit="1" customWidth="1"/>
    <col min="15" max="16" width="11.140625" style="71" bestFit="1" customWidth="1"/>
    <col min="17" max="17" width="13.7109375" style="71" bestFit="1" customWidth="1"/>
    <col min="18" max="20" width="9.28515625" style="71" bestFit="1" customWidth="1"/>
    <col min="21" max="21" width="13.28515625" style="71" bestFit="1" customWidth="1"/>
    <col min="22" max="22" width="10.42578125" style="71" bestFit="1" customWidth="1"/>
    <col min="23" max="16384" width="9.140625" style="71"/>
  </cols>
  <sheetData>
    <row r="2" spans="1:21" s="138" customFormat="1">
      <c r="A2" s="138" t="s">
        <v>201</v>
      </c>
    </row>
    <row r="4" spans="1:21">
      <c r="A4" s="143" t="s">
        <v>117</v>
      </c>
      <c r="B4" s="139">
        <v>2006</v>
      </c>
      <c r="C4" s="139">
        <v>2007</v>
      </c>
      <c r="D4" s="139">
        <v>2008</v>
      </c>
      <c r="E4" s="139">
        <v>2009</v>
      </c>
      <c r="F4" s="139">
        <v>2010</v>
      </c>
      <c r="G4" s="139">
        <v>2011</v>
      </c>
      <c r="H4" s="139">
        <v>2012</v>
      </c>
      <c r="I4" s="139">
        <v>2013</v>
      </c>
      <c r="J4" s="139">
        <v>2014</v>
      </c>
      <c r="K4" s="139">
        <v>2015</v>
      </c>
      <c r="L4" s="139">
        <v>2016</v>
      </c>
      <c r="M4" s="139">
        <v>2017</v>
      </c>
      <c r="N4" s="139">
        <v>2018</v>
      </c>
      <c r="O4" s="139">
        <v>2019</v>
      </c>
      <c r="P4" s="139">
        <v>2020</v>
      </c>
      <c r="Q4" s="139" t="s">
        <v>30</v>
      </c>
      <c r="R4" s="180" t="s">
        <v>200</v>
      </c>
    </row>
    <row r="5" spans="1:21">
      <c r="A5" s="140" t="s">
        <v>135</v>
      </c>
      <c r="B5" s="178">
        <v>0</v>
      </c>
      <c r="C5" s="178">
        <v>0</v>
      </c>
      <c r="D5" s="178">
        <v>0</v>
      </c>
      <c r="E5" s="178">
        <v>0</v>
      </c>
      <c r="F5" s="148">
        <v>0</v>
      </c>
      <c r="G5" s="133">
        <f>'Payment Schedule'!C4*Inv!$Q$5</f>
        <v>18458.88</v>
      </c>
      <c r="H5" s="133">
        <f>'Payment Schedule'!D4*Inv!$Q$5</f>
        <v>28527.360000000001</v>
      </c>
      <c r="I5" s="133">
        <f>'Payment Schedule'!E4*Inv!$Q$5</f>
        <v>23556.959999999999</v>
      </c>
      <c r="J5" s="133">
        <f>'Payment Schedule'!F4*Inv!$Q$5</f>
        <v>15731.999999999998</v>
      </c>
      <c r="K5" s="133">
        <f>'Payment Schedule'!G4*Inv!$Q$5</f>
        <v>4924.8</v>
      </c>
      <c r="L5" s="133">
        <v>0</v>
      </c>
      <c r="M5" s="133">
        <v>0</v>
      </c>
      <c r="N5" s="133">
        <v>0</v>
      </c>
      <c r="O5" s="133">
        <v>0</v>
      </c>
      <c r="P5" s="133">
        <v>0</v>
      </c>
      <c r="Q5" s="148">
        <f>91200000/1000</f>
        <v>91200</v>
      </c>
      <c r="R5" s="180" t="s">
        <v>199</v>
      </c>
    </row>
    <row r="6" spans="1:21">
      <c r="A6" s="140" t="s">
        <v>133</v>
      </c>
      <c r="B6" s="178">
        <v>0</v>
      </c>
      <c r="C6" s="178">
        <v>0</v>
      </c>
      <c r="D6" s="178">
        <v>0</v>
      </c>
      <c r="E6" s="178">
        <v>0</v>
      </c>
      <c r="F6" s="148">
        <v>0</v>
      </c>
      <c r="G6" s="133">
        <f>'Payment Schedule'!C5*Inv!$Q$6</f>
        <v>62524.61314365</v>
      </c>
      <c r="H6" s="133">
        <f>'Payment Schedule'!D5*Inv!$Q$6</f>
        <v>156270.97343010001</v>
      </c>
      <c r="I6" s="133">
        <f>'Payment Schedule'!E5*Inv!$Q$6</f>
        <v>330829.74274725001</v>
      </c>
      <c r="J6" s="133">
        <f>'Payment Schedule'!F5*Inv!$Q$6</f>
        <v>291126.56833500002</v>
      </c>
      <c r="K6" s="133">
        <f>'Payment Schedule'!G5*Inv!$Q$6</f>
        <v>60568.747343999996</v>
      </c>
      <c r="L6" s="133">
        <v>0</v>
      </c>
      <c r="M6" s="133">
        <v>0</v>
      </c>
      <c r="N6" s="133">
        <v>0</v>
      </c>
      <c r="O6" s="133">
        <v>0</v>
      </c>
      <c r="P6" s="133">
        <v>0</v>
      </c>
      <c r="Q6" s="148">
        <f>(892485363+8835282)/1000</f>
        <v>901320.64500000002</v>
      </c>
      <c r="R6" s="180" t="s">
        <v>199</v>
      </c>
    </row>
    <row r="7" spans="1:21">
      <c r="A7" s="140" t="s">
        <v>134</v>
      </c>
      <c r="B7" s="178">
        <v>0</v>
      </c>
      <c r="C7" s="178">
        <v>0</v>
      </c>
      <c r="D7" s="178">
        <v>0</v>
      </c>
      <c r="E7" s="178">
        <v>0</v>
      </c>
      <c r="F7" s="148">
        <v>0</v>
      </c>
      <c r="G7" s="133">
        <f>'Payment Schedule'!C6*Inv!$Q$7</f>
        <v>4051.2749419999996</v>
      </c>
      <c r="H7" s="133">
        <f>'Payment Schedule'!D6*Inv!$Q$7</f>
        <v>37115.911199399998</v>
      </c>
      <c r="I7" s="133">
        <f>'Payment Schedule'!E6*Inv!$Q$7</f>
        <v>83674.409379000004</v>
      </c>
      <c r="J7" s="133">
        <f>'Payment Schedule'!F6*Inv!$Q$7</f>
        <v>124748.10456019999</v>
      </c>
      <c r="K7" s="133">
        <f>'Payment Schedule'!G6*Inv!$Q$7</f>
        <v>62046.8339194</v>
      </c>
      <c r="L7" s="133">
        <v>0</v>
      </c>
      <c r="M7" s="133">
        <v>0</v>
      </c>
      <c r="N7" s="133">
        <v>0</v>
      </c>
      <c r="O7" s="133">
        <v>0</v>
      </c>
      <c r="P7" s="133">
        <v>0</v>
      </c>
      <c r="Q7" s="148">
        <f>(67636534+244000000)/1000</f>
        <v>311636.53399999999</v>
      </c>
      <c r="R7" s="180" t="s">
        <v>199</v>
      </c>
    </row>
    <row r="8" spans="1:21">
      <c r="A8" s="140" t="s">
        <v>136</v>
      </c>
      <c r="B8" s="178">
        <v>0</v>
      </c>
      <c r="C8" s="178">
        <v>0</v>
      </c>
      <c r="D8" s="178">
        <v>0</v>
      </c>
      <c r="E8" s="178">
        <v>0</v>
      </c>
      <c r="F8" s="148">
        <v>0</v>
      </c>
      <c r="G8" s="133">
        <f>'Payment Schedule'!C7*Inv!$Q$8</f>
        <v>225607.37535404001</v>
      </c>
      <c r="H8" s="133">
        <f>'Payment Schedule'!D7*Inv!$Q$8</f>
        <v>661604.35248579993</v>
      </c>
      <c r="I8" s="133">
        <f>'Payment Schedule'!E7*Inv!$Q$8</f>
        <v>611525.45474740001</v>
      </c>
      <c r="J8" s="133">
        <f>'Payment Schedule'!F7*Inv!$Q$8</f>
        <v>353366.79586339998</v>
      </c>
      <c r="K8" s="133">
        <f>'Payment Schedule'!G7*Inv!$Q$8</f>
        <v>88938.569549359992</v>
      </c>
      <c r="L8" s="133">
        <v>0</v>
      </c>
      <c r="M8" s="133">
        <v>0</v>
      </c>
      <c r="N8" s="133">
        <v>0</v>
      </c>
      <c r="O8" s="133">
        <v>0</v>
      </c>
      <c r="P8" s="133">
        <v>0</v>
      </c>
      <c r="Q8" s="148">
        <f>(1911042548+30000000)/1000</f>
        <v>1941042.548</v>
      </c>
      <c r="R8" s="180" t="s">
        <v>199</v>
      </c>
    </row>
    <row r="9" spans="1:21">
      <c r="A9" s="140" t="s">
        <v>118</v>
      </c>
      <c r="B9" s="178">
        <v>0</v>
      </c>
      <c r="C9" s="178">
        <v>0</v>
      </c>
      <c r="D9" s="178">
        <v>0</v>
      </c>
      <c r="E9" s="178">
        <v>0</v>
      </c>
      <c r="F9" s="148">
        <v>0</v>
      </c>
      <c r="G9" s="133">
        <f>'Payment Schedule'!C8*Inv!$Q$9</f>
        <v>19606.623322500003</v>
      </c>
      <c r="H9" s="133">
        <f>'Payment Schedule'!D8*Inv!$Q$9</f>
        <v>46260.385346925003</v>
      </c>
      <c r="I9" s="133">
        <f>'Payment Schedule'!E8*Inv!$Q$9</f>
        <v>59108.346470250006</v>
      </c>
      <c r="J9" s="133">
        <f>'Payment Schedule'!F8*Inv!$Q$9</f>
        <v>52700.745506625004</v>
      </c>
      <c r="K9" s="133">
        <f>'Payment Schedule'!G8*Inv!$Q$9</f>
        <v>17901.1893537</v>
      </c>
      <c r="L9" s="133">
        <v>0</v>
      </c>
      <c r="M9" s="133">
        <v>0</v>
      </c>
      <c r="N9" s="133">
        <v>0</v>
      </c>
      <c r="O9" s="133">
        <v>0</v>
      </c>
      <c r="P9" s="133">
        <v>0</v>
      </c>
      <c r="Q9" s="148">
        <f>195577290/1000</f>
        <v>195577.29</v>
      </c>
      <c r="R9" s="230" t="s">
        <v>198</v>
      </c>
      <c r="S9" s="134"/>
      <c r="T9" s="134"/>
    </row>
    <row r="10" spans="1:21">
      <c r="A10" s="140" t="s">
        <v>114</v>
      </c>
      <c r="B10" s="178">
        <v>0</v>
      </c>
      <c r="C10" s="178">
        <v>0</v>
      </c>
      <c r="D10" s="178">
        <v>0</v>
      </c>
      <c r="E10" s="178">
        <v>0</v>
      </c>
      <c r="F10" s="148">
        <v>0</v>
      </c>
      <c r="G10" s="133">
        <f>'Payment Schedule'!C9*Inv!$Q$10</f>
        <v>10259.8657</v>
      </c>
      <c r="H10" s="133">
        <f>'Payment Schedule'!D9*Inv!$Q$10</f>
        <v>24207.398341</v>
      </c>
      <c r="I10" s="133">
        <f>'Payment Schedule'!E9*Inv!$Q$10</f>
        <v>30930.552730000003</v>
      </c>
      <c r="J10" s="133">
        <f>'Payment Schedule'!F9*Inv!$Q$10</f>
        <v>27577.546745</v>
      </c>
      <c r="K10" s="133">
        <f>'Payment Schedule'!G9*Inv!$Q$10</f>
        <v>9367.4364839999998</v>
      </c>
      <c r="L10" s="133">
        <v>0</v>
      </c>
      <c r="M10" s="133">
        <v>0</v>
      </c>
      <c r="N10" s="133">
        <v>0</v>
      </c>
      <c r="O10" s="133">
        <v>0</v>
      </c>
      <c r="P10" s="133">
        <v>0</v>
      </c>
      <c r="Q10" s="148">
        <f>102342800/1000</f>
        <v>102342.8</v>
      </c>
      <c r="R10" s="230" t="s">
        <v>198</v>
      </c>
    </row>
    <row r="11" spans="1:21">
      <c r="A11" s="140" t="s">
        <v>120</v>
      </c>
      <c r="B11" s="178">
        <v>0</v>
      </c>
      <c r="C11" s="178">
        <v>0</v>
      </c>
      <c r="D11" s="178">
        <v>0</v>
      </c>
      <c r="E11" s="178">
        <v>0</v>
      </c>
      <c r="F11" s="148">
        <v>0</v>
      </c>
      <c r="G11" s="133">
        <f>'Payment Schedule'!C10*Inv!$Q$11</f>
        <v>2456.99116</v>
      </c>
      <c r="H11" s="133">
        <f>'Payment Schedule'!D10*Inv!$Q$11</f>
        <v>5797.0898907999999</v>
      </c>
      <c r="I11" s="133">
        <f>'Payment Schedule'!E10*Inv!$Q$11</f>
        <v>7407.123724</v>
      </c>
      <c r="J11" s="133">
        <f>'Payment Schedule'!F10*Inv!$Q$11</f>
        <v>6604.1594059999998</v>
      </c>
      <c r="K11" s="133">
        <f>'Payment Schedule'!G10*Inv!$Q$11</f>
        <v>2243.2758192000001</v>
      </c>
      <c r="L11" s="133">
        <v>0</v>
      </c>
      <c r="M11" s="133">
        <v>0</v>
      </c>
      <c r="N11" s="133">
        <v>0</v>
      </c>
      <c r="O11" s="133">
        <v>0</v>
      </c>
      <c r="P11" s="133">
        <v>0</v>
      </c>
      <c r="Q11" s="148">
        <f>24508640/1000</f>
        <v>24508.639999999999</v>
      </c>
      <c r="R11" s="230" t="s">
        <v>198</v>
      </c>
    </row>
    <row r="12" spans="1:21">
      <c r="A12" s="141" t="s">
        <v>30</v>
      </c>
      <c r="B12" s="179">
        <f t="shared" ref="B12:Q12" si="0">SUM(B5:B11)</f>
        <v>0</v>
      </c>
      <c r="C12" s="179">
        <f t="shared" si="0"/>
        <v>0</v>
      </c>
      <c r="D12" s="179">
        <f t="shared" si="0"/>
        <v>0</v>
      </c>
      <c r="E12" s="179">
        <f t="shared" si="0"/>
        <v>0</v>
      </c>
      <c r="F12" s="179">
        <f t="shared" si="0"/>
        <v>0</v>
      </c>
      <c r="G12" s="135">
        <f t="shared" si="0"/>
        <v>342965.62362219003</v>
      </c>
      <c r="H12" s="135">
        <f t="shared" si="0"/>
        <v>959783.47069402481</v>
      </c>
      <c r="I12" s="135">
        <f t="shared" si="0"/>
        <v>1147032.5897979003</v>
      </c>
      <c r="J12" s="135">
        <f t="shared" si="0"/>
        <v>871855.92041622521</v>
      </c>
      <c r="K12" s="135">
        <f t="shared" si="0"/>
        <v>245990.85246965999</v>
      </c>
      <c r="L12" s="135">
        <f t="shared" si="0"/>
        <v>0</v>
      </c>
      <c r="M12" s="135">
        <f t="shared" si="0"/>
        <v>0</v>
      </c>
      <c r="N12" s="135">
        <f t="shared" si="0"/>
        <v>0</v>
      </c>
      <c r="O12" s="135">
        <f t="shared" si="0"/>
        <v>0</v>
      </c>
      <c r="P12" s="133">
        <f t="shared" si="0"/>
        <v>0</v>
      </c>
      <c r="Q12" s="148">
        <f t="shared" si="0"/>
        <v>3567628.4569999999</v>
      </c>
      <c r="R12" s="180"/>
    </row>
    <row r="13" spans="1:21">
      <c r="Q13" s="145"/>
    </row>
    <row r="14" spans="1:21">
      <c r="A14" s="132" t="s">
        <v>122</v>
      </c>
      <c r="Q14" s="134"/>
    </row>
    <row r="15" spans="1:21">
      <c r="A15" s="132"/>
      <c r="K15" s="253"/>
      <c r="L15" s="253"/>
      <c r="M15" s="253"/>
      <c r="N15" s="253"/>
      <c r="O15" s="253"/>
      <c r="P15" s="253"/>
      <c r="Q15" s="253"/>
      <c r="R15" s="253"/>
      <c r="S15" s="253"/>
      <c r="T15" s="253"/>
      <c r="U15" s="253"/>
    </row>
    <row r="16" spans="1:21" ht="15">
      <c r="A16" s="138" t="s">
        <v>121</v>
      </c>
      <c r="K16" s="163"/>
      <c r="L16" s="163"/>
      <c r="M16" s="163"/>
      <c r="N16" s="163"/>
      <c r="O16" s="163"/>
      <c r="P16" s="163"/>
      <c r="Q16" s="163"/>
      <c r="R16" s="163"/>
      <c r="S16" s="163"/>
      <c r="T16" s="163"/>
      <c r="U16" s="164"/>
    </row>
    <row r="17" spans="1:22" ht="15">
      <c r="A17" s="138"/>
      <c r="K17" s="165"/>
      <c r="L17" s="166"/>
      <c r="M17" s="166"/>
      <c r="N17" s="166"/>
      <c r="O17" s="166"/>
      <c r="P17" s="166"/>
      <c r="Q17" s="167"/>
      <c r="R17" s="167"/>
      <c r="S17" s="167"/>
      <c r="T17" s="167"/>
      <c r="U17" s="166"/>
    </row>
    <row r="18" spans="1:22" ht="15">
      <c r="A18" s="140" t="s">
        <v>123</v>
      </c>
      <c r="B18" s="142" t="s">
        <v>124</v>
      </c>
      <c r="C18" s="142" t="s">
        <v>197</v>
      </c>
      <c r="K18" s="168"/>
      <c r="L18" s="166"/>
      <c r="M18" s="166"/>
      <c r="N18" s="166"/>
      <c r="O18" s="166"/>
      <c r="P18" s="166"/>
      <c r="Q18" s="167"/>
      <c r="R18" s="167"/>
      <c r="S18" s="167"/>
      <c r="T18" s="167"/>
      <c r="U18" s="166"/>
    </row>
    <row r="19" spans="1:22" ht="15">
      <c r="A19" s="140" t="s">
        <v>135</v>
      </c>
      <c r="B19" s="146">
        <v>25</v>
      </c>
      <c r="C19" s="169">
        <v>0.04</v>
      </c>
      <c r="K19" s="168"/>
      <c r="L19" s="166"/>
      <c r="M19" s="166"/>
      <c r="N19" s="166"/>
      <c r="O19" s="166"/>
      <c r="P19" s="166"/>
      <c r="Q19" s="167"/>
      <c r="R19" s="167"/>
      <c r="S19" s="167"/>
      <c r="T19" s="167"/>
      <c r="U19" s="166"/>
    </row>
    <row r="20" spans="1:22" ht="15">
      <c r="A20" s="140" t="s">
        <v>133</v>
      </c>
      <c r="B20" s="147">
        <v>10</v>
      </c>
      <c r="C20" s="169">
        <v>0.1</v>
      </c>
      <c r="K20" s="168"/>
      <c r="L20" s="166"/>
      <c r="M20" s="166"/>
      <c r="N20" s="166"/>
      <c r="O20" s="166"/>
      <c r="P20" s="166"/>
      <c r="Q20" s="167"/>
      <c r="R20" s="167"/>
      <c r="S20" s="167"/>
      <c r="T20" s="167"/>
      <c r="U20" s="166"/>
    </row>
    <row r="21" spans="1:22" ht="15">
      <c r="A21" s="140" t="s">
        <v>134</v>
      </c>
      <c r="B21" s="147">
        <v>10</v>
      </c>
      <c r="C21" s="169">
        <v>0.1</v>
      </c>
      <c r="K21" s="168"/>
      <c r="L21" s="166"/>
      <c r="M21" s="166"/>
      <c r="N21" s="166"/>
      <c r="O21" s="166"/>
      <c r="P21" s="166"/>
      <c r="Q21" s="167"/>
      <c r="R21" s="167"/>
      <c r="S21" s="167"/>
      <c r="T21" s="167"/>
      <c r="U21" s="166"/>
    </row>
    <row r="22" spans="1:22" ht="15">
      <c r="A22" s="140" t="s">
        <v>136</v>
      </c>
      <c r="B22" s="147">
        <v>25</v>
      </c>
      <c r="C22" s="169">
        <v>0.04</v>
      </c>
      <c r="K22" s="165"/>
      <c r="L22" s="166"/>
      <c r="M22" s="166"/>
      <c r="N22" s="166"/>
      <c r="O22" s="166"/>
      <c r="P22" s="166"/>
      <c r="Q22" s="166"/>
      <c r="R22" s="166"/>
      <c r="S22" s="166"/>
      <c r="T22" s="166"/>
      <c r="U22" s="166"/>
    </row>
    <row r="23" spans="1:22" s="132" customFormat="1" ht="15">
      <c r="A23" s="140" t="s">
        <v>118</v>
      </c>
      <c r="B23" s="146" t="s">
        <v>29</v>
      </c>
      <c r="C23" s="146" t="s">
        <v>29</v>
      </c>
      <c r="K23" s="232"/>
      <c r="L23" s="233"/>
      <c r="M23" s="233"/>
      <c r="N23" s="233"/>
      <c r="O23" s="233"/>
      <c r="P23" s="233"/>
      <c r="Q23" s="233"/>
      <c r="R23" s="234"/>
      <c r="S23" s="234"/>
      <c r="T23" s="234"/>
      <c r="U23" s="233"/>
    </row>
    <row r="24" spans="1:22" s="132" customFormat="1" ht="15">
      <c r="A24" s="140" t="s">
        <v>114</v>
      </c>
      <c r="B24" s="146" t="s">
        <v>29</v>
      </c>
      <c r="C24" s="146" t="s">
        <v>29</v>
      </c>
      <c r="K24" s="232"/>
      <c r="L24" s="233"/>
      <c r="M24" s="233"/>
      <c r="N24" s="233"/>
      <c r="O24" s="233"/>
      <c r="P24" s="233"/>
      <c r="Q24" s="234"/>
      <c r="R24" s="234"/>
      <c r="S24" s="234"/>
      <c r="T24" s="234"/>
      <c r="U24" s="233"/>
    </row>
    <row r="25" spans="1:22" s="132" customFormat="1">
      <c r="A25" s="140" t="s">
        <v>115</v>
      </c>
      <c r="B25" s="146" t="s">
        <v>29</v>
      </c>
      <c r="C25" s="146" t="s">
        <v>29</v>
      </c>
      <c r="K25" s="235"/>
      <c r="L25" s="235"/>
      <c r="M25" s="235"/>
      <c r="N25" s="235"/>
      <c r="O25" s="235"/>
      <c r="P25" s="235"/>
      <c r="Q25" s="236"/>
      <c r="R25" s="235"/>
      <c r="S25" s="235"/>
      <c r="T25" s="235"/>
      <c r="U25" s="235"/>
    </row>
    <row r="26" spans="1:22" s="132" customFormat="1">
      <c r="Q26" s="237"/>
    </row>
    <row r="28" spans="1:22">
      <c r="A28" s="182" t="s">
        <v>123</v>
      </c>
      <c r="B28" s="144">
        <v>2015</v>
      </c>
      <c r="C28" s="144">
        <f>B28+1</f>
        <v>2016</v>
      </c>
      <c r="D28" s="144">
        <f t="shared" ref="D28" si="1">C28+1</f>
        <v>2017</v>
      </c>
      <c r="E28" s="144">
        <f t="shared" ref="E28" si="2">D28+1</f>
        <v>2018</v>
      </c>
      <c r="F28" s="144">
        <f t="shared" ref="F28" si="3">E28+1</f>
        <v>2019</v>
      </c>
      <c r="G28" s="144">
        <f t="shared" ref="G28" si="4">F28+1</f>
        <v>2020</v>
      </c>
      <c r="H28" s="144">
        <f t="shared" ref="H28" si="5">G28+1</f>
        <v>2021</v>
      </c>
      <c r="I28" s="144">
        <f t="shared" ref="I28" si="6">H28+1</f>
        <v>2022</v>
      </c>
      <c r="J28" s="144">
        <f t="shared" ref="J28" si="7">I28+1</f>
        <v>2023</v>
      </c>
      <c r="K28" s="144">
        <f t="shared" ref="K28" si="8">J28+1</f>
        <v>2024</v>
      </c>
      <c r="L28" s="144">
        <f t="shared" ref="L28" si="9">K28+1</f>
        <v>2025</v>
      </c>
      <c r="M28" s="144">
        <f t="shared" ref="M28" si="10">L28+1</f>
        <v>2026</v>
      </c>
      <c r="N28" s="144">
        <f t="shared" ref="N28" si="11">M28+1</f>
        <v>2027</v>
      </c>
      <c r="O28" s="144">
        <f t="shared" ref="O28" si="12">N28+1</f>
        <v>2028</v>
      </c>
      <c r="P28" s="144">
        <f t="shared" ref="P28" si="13">O28+1</f>
        <v>2029</v>
      </c>
      <c r="Q28" s="144">
        <f>P28+1</f>
        <v>2030</v>
      </c>
      <c r="R28" s="144">
        <f>Q28+1</f>
        <v>2031</v>
      </c>
      <c r="S28" s="144">
        <f>R28+1</f>
        <v>2032</v>
      </c>
      <c r="T28" s="144">
        <f>S28+1</f>
        <v>2033</v>
      </c>
      <c r="U28" s="144">
        <f>T28+1</f>
        <v>2034</v>
      </c>
      <c r="V28" s="144" t="s">
        <v>28</v>
      </c>
    </row>
    <row r="29" spans="1:22">
      <c r="A29" s="181" t="s">
        <v>135</v>
      </c>
      <c r="B29" s="149">
        <f t="shared" ref="B29:U29" si="14">$Q$5/$B$19</f>
        <v>3648</v>
      </c>
      <c r="C29" s="149">
        <f t="shared" si="14"/>
        <v>3648</v>
      </c>
      <c r="D29" s="149">
        <f t="shared" si="14"/>
        <v>3648</v>
      </c>
      <c r="E29" s="149">
        <f t="shared" si="14"/>
        <v>3648</v>
      </c>
      <c r="F29" s="149">
        <f t="shared" si="14"/>
        <v>3648</v>
      </c>
      <c r="G29" s="149">
        <f t="shared" si="14"/>
        <v>3648</v>
      </c>
      <c r="H29" s="149">
        <f t="shared" si="14"/>
        <v>3648</v>
      </c>
      <c r="I29" s="149">
        <f t="shared" si="14"/>
        <v>3648</v>
      </c>
      <c r="J29" s="149">
        <f t="shared" si="14"/>
        <v>3648</v>
      </c>
      <c r="K29" s="149">
        <f t="shared" si="14"/>
        <v>3648</v>
      </c>
      <c r="L29" s="149">
        <f t="shared" si="14"/>
        <v>3648</v>
      </c>
      <c r="M29" s="149">
        <f t="shared" si="14"/>
        <v>3648</v>
      </c>
      <c r="N29" s="149">
        <f t="shared" si="14"/>
        <v>3648</v>
      </c>
      <c r="O29" s="149">
        <f t="shared" si="14"/>
        <v>3648</v>
      </c>
      <c r="P29" s="149">
        <f t="shared" si="14"/>
        <v>3648</v>
      </c>
      <c r="Q29" s="149">
        <f t="shared" si="14"/>
        <v>3648</v>
      </c>
      <c r="R29" s="149">
        <f t="shared" si="14"/>
        <v>3648</v>
      </c>
      <c r="S29" s="149">
        <f t="shared" si="14"/>
        <v>3648</v>
      </c>
      <c r="T29" s="149">
        <f t="shared" si="14"/>
        <v>3648</v>
      </c>
      <c r="U29" s="149">
        <f t="shared" si="14"/>
        <v>3648</v>
      </c>
      <c r="V29" s="156">
        <f>Q5-SUM(B29:U29)</f>
        <v>18240</v>
      </c>
    </row>
    <row r="30" spans="1:22">
      <c r="A30" s="181" t="s">
        <v>133</v>
      </c>
      <c r="B30" s="149">
        <f t="shared" ref="B30:K30" si="15">$Q$6/$B$20</f>
        <v>90132.064500000008</v>
      </c>
      <c r="C30" s="149">
        <f t="shared" si="15"/>
        <v>90132.064500000008</v>
      </c>
      <c r="D30" s="149">
        <f t="shared" si="15"/>
        <v>90132.064500000008</v>
      </c>
      <c r="E30" s="149">
        <f t="shared" si="15"/>
        <v>90132.064500000008</v>
      </c>
      <c r="F30" s="149">
        <f t="shared" si="15"/>
        <v>90132.064500000008</v>
      </c>
      <c r="G30" s="149">
        <f t="shared" si="15"/>
        <v>90132.064500000008</v>
      </c>
      <c r="H30" s="149">
        <f t="shared" si="15"/>
        <v>90132.064500000008</v>
      </c>
      <c r="I30" s="149">
        <f t="shared" si="15"/>
        <v>90132.064500000008</v>
      </c>
      <c r="J30" s="149">
        <f t="shared" si="15"/>
        <v>90132.064500000008</v>
      </c>
      <c r="K30" s="149">
        <f t="shared" si="15"/>
        <v>90132.064500000008</v>
      </c>
      <c r="L30" s="149" t="s">
        <v>29</v>
      </c>
      <c r="M30" s="149" t="s">
        <v>29</v>
      </c>
      <c r="N30" s="149" t="s">
        <v>29</v>
      </c>
      <c r="O30" s="149" t="s">
        <v>29</v>
      </c>
      <c r="P30" s="149" t="s">
        <v>29</v>
      </c>
      <c r="Q30" s="149" t="s">
        <v>29</v>
      </c>
      <c r="R30" s="149" t="s">
        <v>29</v>
      </c>
      <c r="S30" s="149" t="s">
        <v>29</v>
      </c>
      <c r="T30" s="149" t="s">
        <v>29</v>
      </c>
      <c r="U30" s="149" t="s">
        <v>29</v>
      </c>
      <c r="V30" s="156">
        <f t="shared" ref="V30:V34" si="16">Q6-SUM(B30:U30)</f>
        <v>0</v>
      </c>
    </row>
    <row r="31" spans="1:22">
      <c r="A31" s="181" t="s">
        <v>134</v>
      </c>
      <c r="B31" s="149">
        <f>$Q$7/$B$21</f>
        <v>31163.653399999999</v>
      </c>
      <c r="C31" s="149">
        <f t="shared" ref="C31:K31" si="17">$Q$7/$B$21</f>
        <v>31163.653399999999</v>
      </c>
      <c r="D31" s="149">
        <f t="shared" si="17"/>
        <v>31163.653399999999</v>
      </c>
      <c r="E31" s="149">
        <f t="shared" si="17"/>
        <v>31163.653399999999</v>
      </c>
      <c r="F31" s="149">
        <f t="shared" si="17"/>
        <v>31163.653399999999</v>
      </c>
      <c r="G31" s="149">
        <f t="shared" si="17"/>
        <v>31163.653399999999</v>
      </c>
      <c r="H31" s="149">
        <f t="shared" si="17"/>
        <v>31163.653399999999</v>
      </c>
      <c r="I31" s="149">
        <f t="shared" si="17"/>
        <v>31163.653399999999</v>
      </c>
      <c r="J31" s="149">
        <f t="shared" si="17"/>
        <v>31163.653399999999</v>
      </c>
      <c r="K31" s="149">
        <f t="shared" si="17"/>
        <v>31163.653399999999</v>
      </c>
      <c r="L31" s="149" t="s">
        <v>29</v>
      </c>
      <c r="M31" s="149" t="s">
        <v>29</v>
      </c>
      <c r="N31" s="149" t="s">
        <v>29</v>
      </c>
      <c r="O31" s="149" t="s">
        <v>29</v>
      </c>
      <c r="P31" s="149" t="s">
        <v>29</v>
      </c>
      <c r="Q31" s="149" t="s">
        <v>29</v>
      </c>
      <c r="R31" s="149" t="s">
        <v>29</v>
      </c>
      <c r="S31" s="149" t="s">
        <v>29</v>
      </c>
      <c r="T31" s="149" t="s">
        <v>29</v>
      </c>
      <c r="U31" s="149" t="s">
        <v>29</v>
      </c>
      <c r="V31" s="156">
        <f t="shared" si="16"/>
        <v>0</v>
      </c>
    </row>
    <row r="32" spans="1:22">
      <c r="A32" s="181" t="s">
        <v>136</v>
      </c>
      <c r="B32" s="149">
        <f t="shared" ref="B32:U32" si="18">$Q$8/$B$22</f>
        <v>77641.701919999992</v>
      </c>
      <c r="C32" s="149">
        <f t="shared" si="18"/>
        <v>77641.701919999992</v>
      </c>
      <c r="D32" s="149">
        <f t="shared" si="18"/>
        <v>77641.701919999992</v>
      </c>
      <c r="E32" s="149">
        <f t="shared" si="18"/>
        <v>77641.701919999992</v>
      </c>
      <c r="F32" s="149">
        <f t="shared" si="18"/>
        <v>77641.701919999992</v>
      </c>
      <c r="G32" s="149">
        <f t="shared" si="18"/>
        <v>77641.701919999992</v>
      </c>
      <c r="H32" s="149">
        <f t="shared" si="18"/>
        <v>77641.701919999992</v>
      </c>
      <c r="I32" s="149">
        <f t="shared" si="18"/>
        <v>77641.701919999992</v>
      </c>
      <c r="J32" s="149">
        <f t="shared" si="18"/>
        <v>77641.701919999992</v>
      </c>
      <c r="K32" s="149">
        <f t="shared" si="18"/>
        <v>77641.701919999992</v>
      </c>
      <c r="L32" s="149">
        <f t="shared" si="18"/>
        <v>77641.701919999992</v>
      </c>
      <c r="M32" s="149">
        <f t="shared" si="18"/>
        <v>77641.701919999992</v>
      </c>
      <c r="N32" s="149">
        <f t="shared" si="18"/>
        <v>77641.701919999992</v>
      </c>
      <c r="O32" s="149">
        <f t="shared" si="18"/>
        <v>77641.701919999992</v>
      </c>
      <c r="P32" s="149">
        <f t="shared" si="18"/>
        <v>77641.701919999992</v>
      </c>
      <c r="Q32" s="149">
        <f t="shared" si="18"/>
        <v>77641.701919999992</v>
      </c>
      <c r="R32" s="149">
        <f t="shared" si="18"/>
        <v>77641.701919999992</v>
      </c>
      <c r="S32" s="149">
        <f t="shared" si="18"/>
        <v>77641.701919999992</v>
      </c>
      <c r="T32" s="149">
        <f t="shared" si="18"/>
        <v>77641.701919999992</v>
      </c>
      <c r="U32" s="149">
        <f t="shared" si="18"/>
        <v>77641.701919999992</v>
      </c>
      <c r="V32" s="156">
        <f t="shared" si="16"/>
        <v>388208.50960000046</v>
      </c>
    </row>
    <row r="33" spans="1:22">
      <c r="A33" s="181" t="s">
        <v>118</v>
      </c>
      <c r="B33" s="238" t="s">
        <v>29</v>
      </c>
      <c r="C33" s="238" t="s">
        <v>29</v>
      </c>
      <c r="D33" s="238" t="s">
        <v>29</v>
      </c>
      <c r="E33" s="238" t="s">
        <v>29</v>
      </c>
      <c r="F33" s="238" t="s">
        <v>29</v>
      </c>
      <c r="G33" s="238" t="s">
        <v>29</v>
      </c>
      <c r="H33" s="238" t="s">
        <v>29</v>
      </c>
      <c r="I33" s="238" t="s">
        <v>29</v>
      </c>
      <c r="J33" s="238" t="s">
        <v>29</v>
      </c>
      <c r="K33" s="238" t="s">
        <v>29</v>
      </c>
      <c r="L33" s="238" t="s">
        <v>29</v>
      </c>
      <c r="M33" s="238" t="s">
        <v>29</v>
      </c>
      <c r="N33" s="238" t="s">
        <v>29</v>
      </c>
      <c r="O33" s="238" t="s">
        <v>29</v>
      </c>
      <c r="P33" s="238" t="s">
        <v>29</v>
      </c>
      <c r="Q33" s="238" t="s">
        <v>29</v>
      </c>
      <c r="R33" s="238" t="s">
        <v>29</v>
      </c>
      <c r="S33" s="238" t="s">
        <v>29</v>
      </c>
      <c r="T33" s="238" t="s">
        <v>29</v>
      </c>
      <c r="U33" s="238" t="s">
        <v>29</v>
      </c>
      <c r="V33" s="156">
        <f>Q9-SUM(B33:U33)</f>
        <v>195577.29</v>
      </c>
    </row>
    <row r="34" spans="1:22">
      <c r="A34" s="181" t="s">
        <v>114</v>
      </c>
      <c r="B34" s="238" t="s">
        <v>29</v>
      </c>
      <c r="C34" s="238" t="s">
        <v>29</v>
      </c>
      <c r="D34" s="238" t="s">
        <v>29</v>
      </c>
      <c r="E34" s="238" t="s">
        <v>29</v>
      </c>
      <c r="F34" s="238" t="s">
        <v>29</v>
      </c>
      <c r="G34" s="238" t="s">
        <v>29</v>
      </c>
      <c r="H34" s="238" t="s">
        <v>29</v>
      </c>
      <c r="I34" s="238" t="s">
        <v>29</v>
      </c>
      <c r="J34" s="238" t="s">
        <v>29</v>
      </c>
      <c r="K34" s="238" t="s">
        <v>29</v>
      </c>
      <c r="L34" s="238" t="s">
        <v>29</v>
      </c>
      <c r="M34" s="238" t="s">
        <v>29</v>
      </c>
      <c r="N34" s="238" t="s">
        <v>29</v>
      </c>
      <c r="O34" s="238" t="s">
        <v>29</v>
      </c>
      <c r="P34" s="238" t="s">
        <v>29</v>
      </c>
      <c r="Q34" s="238" t="s">
        <v>29</v>
      </c>
      <c r="R34" s="238" t="s">
        <v>29</v>
      </c>
      <c r="S34" s="238" t="s">
        <v>29</v>
      </c>
      <c r="T34" s="238" t="s">
        <v>29</v>
      </c>
      <c r="U34" s="238" t="s">
        <v>29</v>
      </c>
      <c r="V34" s="156">
        <f t="shared" si="16"/>
        <v>102342.8</v>
      </c>
    </row>
    <row r="35" spans="1:22">
      <c r="A35" s="181" t="s">
        <v>115</v>
      </c>
      <c r="B35" s="238" t="s">
        <v>29</v>
      </c>
      <c r="C35" s="238" t="s">
        <v>29</v>
      </c>
      <c r="D35" s="238" t="s">
        <v>29</v>
      </c>
      <c r="E35" s="238" t="s">
        <v>29</v>
      </c>
      <c r="F35" s="238" t="s">
        <v>29</v>
      </c>
      <c r="G35" s="238" t="s">
        <v>29</v>
      </c>
      <c r="H35" s="238" t="s">
        <v>29</v>
      </c>
      <c r="I35" s="238" t="s">
        <v>29</v>
      </c>
      <c r="J35" s="238" t="s">
        <v>29</v>
      </c>
      <c r="K35" s="238" t="s">
        <v>29</v>
      </c>
      <c r="L35" s="238" t="s">
        <v>29</v>
      </c>
      <c r="M35" s="238" t="s">
        <v>29</v>
      </c>
      <c r="N35" s="238" t="s">
        <v>29</v>
      </c>
      <c r="O35" s="238" t="s">
        <v>29</v>
      </c>
      <c r="P35" s="238" t="s">
        <v>29</v>
      </c>
      <c r="Q35" s="238" t="s">
        <v>29</v>
      </c>
      <c r="R35" s="238" t="s">
        <v>29</v>
      </c>
      <c r="S35" s="238" t="s">
        <v>29</v>
      </c>
      <c r="T35" s="238" t="s">
        <v>29</v>
      </c>
      <c r="U35" s="238" t="s">
        <v>29</v>
      </c>
      <c r="V35" s="156">
        <f>Q11-SUM(B35:U35)</f>
        <v>24508.639999999999</v>
      </c>
    </row>
    <row r="36" spans="1:22">
      <c r="A36" s="181" t="s">
        <v>30</v>
      </c>
      <c r="B36" s="145">
        <f t="shared" ref="B36:V36" si="19">SUM(B29:B35)</f>
        <v>202585.41982000001</v>
      </c>
      <c r="C36" s="145">
        <f t="shared" si="19"/>
        <v>202585.41982000001</v>
      </c>
      <c r="D36" s="145">
        <f t="shared" si="19"/>
        <v>202585.41982000001</v>
      </c>
      <c r="E36" s="145">
        <f t="shared" si="19"/>
        <v>202585.41982000001</v>
      </c>
      <c r="F36" s="145">
        <f t="shared" si="19"/>
        <v>202585.41982000001</v>
      </c>
      <c r="G36" s="145">
        <f t="shared" si="19"/>
        <v>202585.41982000001</v>
      </c>
      <c r="H36" s="145">
        <f t="shared" si="19"/>
        <v>202585.41982000001</v>
      </c>
      <c r="I36" s="145">
        <f t="shared" si="19"/>
        <v>202585.41982000001</v>
      </c>
      <c r="J36" s="145">
        <f t="shared" si="19"/>
        <v>202585.41982000001</v>
      </c>
      <c r="K36" s="145">
        <f t="shared" si="19"/>
        <v>202585.41982000001</v>
      </c>
      <c r="L36" s="145">
        <f t="shared" si="19"/>
        <v>81289.701919999992</v>
      </c>
      <c r="M36" s="145">
        <f t="shared" si="19"/>
        <v>81289.701919999992</v>
      </c>
      <c r="N36" s="145">
        <f t="shared" si="19"/>
        <v>81289.701919999992</v>
      </c>
      <c r="O36" s="145">
        <f t="shared" si="19"/>
        <v>81289.701919999992</v>
      </c>
      <c r="P36" s="145">
        <f t="shared" si="19"/>
        <v>81289.701919999992</v>
      </c>
      <c r="Q36" s="145">
        <f t="shared" si="19"/>
        <v>81289.701919999992</v>
      </c>
      <c r="R36" s="145">
        <f t="shared" si="19"/>
        <v>81289.701919999992</v>
      </c>
      <c r="S36" s="145">
        <f t="shared" si="19"/>
        <v>81289.701919999992</v>
      </c>
      <c r="T36" s="145">
        <f t="shared" si="19"/>
        <v>81289.701919999992</v>
      </c>
      <c r="U36" s="145">
        <f t="shared" si="19"/>
        <v>81289.701919999992</v>
      </c>
      <c r="V36" s="145">
        <f t="shared" si="19"/>
        <v>728877.23960000055</v>
      </c>
    </row>
    <row r="38" spans="1:22">
      <c r="B38" s="136"/>
    </row>
    <row r="39" spans="1:22">
      <c r="B39" s="136"/>
    </row>
    <row r="40" spans="1:22">
      <c r="A40" s="137"/>
      <c r="B40" s="136"/>
    </row>
  </sheetData>
  <mergeCells count="1">
    <mergeCell ref="K15:U15"/>
  </mergeCells>
  <phoneticPr fontId="17" type="noConversion"/>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B2:M11"/>
  <sheetViews>
    <sheetView zoomScaleNormal="100" workbookViewId="0">
      <selection activeCell="B11" sqref="B11"/>
    </sheetView>
  </sheetViews>
  <sheetFormatPr defaultRowHeight="12.75"/>
  <cols>
    <col min="1" max="1" width="4.140625" style="71" customWidth="1"/>
    <col min="2" max="2" width="30" style="71" bestFit="1" customWidth="1"/>
    <col min="3" max="16384" width="9.140625" style="71"/>
  </cols>
  <sheetData>
    <row r="2" spans="2:13" ht="15">
      <c r="B2" s="254" t="s">
        <v>137</v>
      </c>
      <c r="C2" s="254"/>
      <c r="D2" s="254"/>
      <c r="E2" s="254"/>
      <c r="F2" s="254"/>
      <c r="G2" s="254"/>
      <c r="H2" s="254"/>
    </row>
    <row r="3" spans="2:13" ht="15">
      <c r="B3" s="174"/>
      <c r="C3" s="175">
        <v>2011</v>
      </c>
      <c r="D3" s="175">
        <v>2012</v>
      </c>
      <c r="E3" s="175">
        <v>2013</v>
      </c>
      <c r="F3" s="175">
        <v>2014</v>
      </c>
      <c r="G3" s="175">
        <v>2015</v>
      </c>
      <c r="H3" s="175" t="s">
        <v>30</v>
      </c>
    </row>
    <row r="4" spans="2:13" ht="15">
      <c r="B4" s="176" t="s">
        <v>135</v>
      </c>
      <c r="C4" s="173">
        <v>0.2024</v>
      </c>
      <c r="D4" s="173">
        <v>0.31280000000000002</v>
      </c>
      <c r="E4" s="173">
        <v>0.25829999999999997</v>
      </c>
      <c r="F4" s="173">
        <v>0.17249999999999999</v>
      </c>
      <c r="G4" s="173">
        <v>5.3999999999999999E-2</v>
      </c>
      <c r="H4" s="177">
        <f>SUM(C4:G4)</f>
        <v>1</v>
      </c>
    </row>
    <row r="5" spans="2:13" ht="15">
      <c r="B5" s="176" t="s">
        <v>133</v>
      </c>
      <c r="C5" s="173">
        <v>6.9370000000000001E-2</v>
      </c>
      <c r="D5" s="173">
        <v>0.17338000000000001</v>
      </c>
      <c r="E5" s="173">
        <v>0.36704999999999999</v>
      </c>
      <c r="F5" s="173">
        <v>0.32300000000000001</v>
      </c>
      <c r="G5" s="173">
        <v>6.7199999999999996E-2</v>
      </c>
      <c r="H5" s="177">
        <f t="shared" ref="H5:H6" si="0">SUM(C5:G5)</f>
        <v>1</v>
      </c>
    </row>
    <row r="6" spans="2:13" ht="15">
      <c r="B6" s="176" t="s">
        <v>134</v>
      </c>
      <c r="C6" s="173">
        <v>1.2999999999999999E-2</v>
      </c>
      <c r="D6" s="173">
        <v>0.1191</v>
      </c>
      <c r="E6" s="173">
        <v>0.26850000000000002</v>
      </c>
      <c r="F6" s="173">
        <v>0.40029999999999999</v>
      </c>
      <c r="G6" s="173">
        <v>0.1991</v>
      </c>
      <c r="H6" s="177">
        <f t="shared" si="0"/>
        <v>1</v>
      </c>
    </row>
    <row r="7" spans="2:13" ht="15">
      <c r="B7" s="176" t="s">
        <v>136</v>
      </c>
      <c r="C7" s="173">
        <v>0.11623</v>
      </c>
      <c r="D7" s="173">
        <v>0.34084999999999999</v>
      </c>
      <c r="E7" s="173">
        <v>0.31505</v>
      </c>
      <c r="F7" s="173">
        <v>0.18204999999999999</v>
      </c>
      <c r="G7" s="173">
        <v>4.582E-2</v>
      </c>
      <c r="H7" s="177">
        <f>SUM(C7:G7)</f>
        <v>1</v>
      </c>
    </row>
    <row r="8" spans="2:13" s="132" customFormat="1" ht="15" customHeight="1">
      <c r="B8" s="176" t="s">
        <v>118</v>
      </c>
      <c r="C8" s="173">
        <f>AVERAGE($C$4:$C$7)</f>
        <v>0.10025000000000001</v>
      </c>
      <c r="D8" s="173">
        <f>AVERAGE($D$4:$D$7)</f>
        <v>0.23653250000000001</v>
      </c>
      <c r="E8" s="173">
        <f>AVERAGE($E$4:$E$7)</f>
        <v>0.30222500000000002</v>
      </c>
      <c r="F8" s="173">
        <f>AVERAGE($F$4:$F$7)</f>
        <v>0.26946249999999999</v>
      </c>
      <c r="G8" s="173">
        <f>AVERAGE($G$4:$G$7)</f>
        <v>9.153E-2</v>
      </c>
      <c r="H8" s="229">
        <f t="shared" ref="H8:H10" si="1">SUM(C8:G8)</f>
        <v>0.99999999999999989</v>
      </c>
      <c r="I8" s="255"/>
      <c r="J8" s="255"/>
      <c r="K8" s="255"/>
      <c r="L8" s="255"/>
      <c r="M8" s="255"/>
    </row>
    <row r="9" spans="2:13" s="132" customFormat="1" ht="15">
      <c r="B9" s="176" t="s">
        <v>114</v>
      </c>
      <c r="C9" s="173">
        <f>AVERAGE($C$4:$C$7)</f>
        <v>0.10025000000000001</v>
      </c>
      <c r="D9" s="173">
        <f t="shared" ref="D9:D10" si="2">AVERAGE($D$4:$D$7)</f>
        <v>0.23653250000000001</v>
      </c>
      <c r="E9" s="173">
        <f t="shared" ref="E9:E10" si="3">AVERAGE($E$4:$E$7)</f>
        <v>0.30222500000000002</v>
      </c>
      <c r="F9" s="173">
        <f t="shared" ref="F9:F10" si="4">AVERAGE($F$4:$F$7)</f>
        <v>0.26946249999999999</v>
      </c>
      <c r="G9" s="173">
        <f t="shared" ref="G9:G10" si="5">AVERAGE($G$4:$G$7)</f>
        <v>9.153E-2</v>
      </c>
      <c r="H9" s="229">
        <f t="shared" si="1"/>
        <v>0.99999999999999989</v>
      </c>
      <c r="I9" s="255"/>
      <c r="J9" s="255"/>
      <c r="K9" s="255"/>
      <c r="L9" s="255"/>
      <c r="M9" s="255"/>
    </row>
    <row r="10" spans="2:13" s="132" customFormat="1" ht="15">
      <c r="B10" s="176" t="s">
        <v>120</v>
      </c>
      <c r="C10" s="173">
        <f>AVERAGE($C$4:$C$7)</f>
        <v>0.10025000000000001</v>
      </c>
      <c r="D10" s="173">
        <f t="shared" si="2"/>
        <v>0.23653250000000001</v>
      </c>
      <c r="E10" s="173">
        <f t="shared" si="3"/>
        <v>0.30222500000000002</v>
      </c>
      <c r="F10" s="173">
        <f t="shared" si="4"/>
        <v>0.26946249999999999</v>
      </c>
      <c r="G10" s="173">
        <f t="shared" si="5"/>
        <v>9.153E-2</v>
      </c>
      <c r="H10" s="229">
        <f t="shared" si="1"/>
        <v>0.99999999999999989</v>
      </c>
      <c r="I10" s="255"/>
      <c r="J10" s="255"/>
      <c r="K10" s="255"/>
      <c r="L10" s="255"/>
      <c r="M10" s="255"/>
    </row>
    <row r="11" spans="2:13">
      <c r="B11" s="180" t="s">
        <v>138</v>
      </c>
      <c r="I11" s="255"/>
      <c r="J11" s="255"/>
      <c r="K11" s="255"/>
      <c r="L11" s="255"/>
      <c r="M11" s="255"/>
    </row>
  </sheetData>
  <mergeCells count="2">
    <mergeCell ref="B2:H2"/>
    <mergeCell ref="I8:M11"/>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dimension ref="A12:J289"/>
  <sheetViews>
    <sheetView workbookViewId="0">
      <selection activeCell="C45" sqref="C45"/>
    </sheetView>
  </sheetViews>
  <sheetFormatPr defaultRowHeight="12.75"/>
  <cols>
    <col min="1" max="1" width="23.28515625" style="82" customWidth="1"/>
    <col min="2" max="2" width="9.140625" style="82"/>
    <col min="3" max="3" width="18.28515625" style="82" customWidth="1"/>
    <col min="4" max="4" width="19" style="82" customWidth="1"/>
    <col min="5" max="7" width="9.140625" style="82"/>
    <col min="8" max="8" width="19" style="82" customWidth="1"/>
    <col min="9" max="256" width="9.140625" style="82"/>
    <col min="257" max="257" width="23.28515625" style="82" customWidth="1"/>
    <col min="258" max="258" width="9.140625" style="82"/>
    <col min="259" max="259" width="18.28515625" style="82" customWidth="1"/>
    <col min="260" max="260" width="19" style="82" customWidth="1"/>
    <col min="261" max="263" width="9.140625" style="82"/>
    <col min="264" max="264" width="19" style="82" customWidth="1"/>
    <col min="265" max="512" width="9.140625" style="82"/>
    <col min="513" max="513" width="23.28515625" style="82" customWidth="1"/>
    <col min="514" max="514" width="9.140625" style="82"/>
    <col min="515" max="515" width="18.28515625" style="82" customWidth="1"/>
    <col min="516" max="516" width="19" style="82" customWidth="1"/>
    <col min="517" max="519" width="9.140625" style="82"/>
    <col min="520" max="520" width="19" style="82" customWidth="1"/>
    <col min="521" max="768" width="9.140625" style="82"/>
    <col min="769" max="769" width="23.28515625" style="82" customWidth="1"/>
    <col min="770" max="770" width="9.140625" style="82"/>
    <col min="771" max="771" width="18.28515625" style="82" customWidth="1"/>
    <col min="772" max="772" width="19" style="82" customWidth="1"/>
    <col min="773" max="775" width="9.140625" style="82"/>
    <col min="776" max="776" width="19" style="82" customWidth="1"/>
    <col min="777" max="1024" width="9.140625" style="82"/>
    <col min="1025" max="1025" width="23.28515625" style="82" customWidth="1"/>
    <col min="1026" max="1026" width="9.140625" style="82"/>
    <col min="1027" max="1027" width="18.28515625" style="82" customWidth="1"/>
    <col min="1028" max="1028" width="19" style="82" customWidth="1"/>
    <col min="1029" max="1031" width="9.140625" style="82"/>
    <col min="1032" max="1032" width="19" style="82" customWidth="1"/>
    <col min="1033" max="1280" width="9.140625" style="82"/>
    <col min="1281" max="1281" width="23.28515625" style="82" customWidth="1"/>
    <col min="1282" max="1282" width="9.140625" style="82"/>
    <col min="1283" max="1283" width="18.28515625" style="82" customWidth="1"/>
    <col min="1284" max="1284" width="19" style="82" customWidth="1"/>
    <col min="1285" max="1287" width="9.140625" style="82"/>
    <col min="1288" max="1288" width="19" style="82" customWidth="1"/>
    <col min="1289" max="1536" width="9.140625" style="82"/>
    <col min="1537" max="1537" width="23.28515625" style="82" customWidth="1"/>
    <col min="1538" max="1538" width="9.140625" style="82"/>
    <col min="1539" max="1539" width="18.28515625" style="82" customWidth="1"/>
    <col min="1540" max="1540" width="19" style="82" customWidth="1"/>
    <col min="1541" max="1543" width="9.140625" style="82"/>
    <col min="1544" max="1544" width="19" style="82" customWidth="1"/>
    <col min="1545" max="1792" width="9.140625" style="82"/>
    <col min="1793" max="1793" width="23.28515625" style="82" customWidth="1"/>
    <col min="1794" max="1794" width="9.140625" style="82"/>
    <col min="1795" max="1795" width="18.28515625" style="82" customWidth="1"/>
    <col min="1796" max="1796" width="19" style="82" customWidth="1"/>
    <col min="1797" max="1799" width="9.140625" style="82"/>
    <col min="1800" max="1800" width="19" style="82" customWidth="1"/>
    <col min="1801" max="2048" width="9.140625" style="82"/>
    <col min="2049" max="2049" width="23.28515625" style="82" customWidth="1"/>
    <col min="2050" max="2050" width="9.140625" style="82"/>
    <col min="2051" max="2051" width="18.28515625" style="82" customWidth="1"/>
    <col min="2052" max="2052" width="19" style="82" customWidth="1"/>
    <col min="2053" max="2055" width="9.140625" style="82"/>
    <col min="2056" max="2056" width="19" style="82" customWidth="1"/>
    <col min="2057" max="2304" width="9.140625" style="82"/>
    <col min="2305" max="2305" width="23.28515625" style="82" customWidth="1"/>
    <col min="2306" max="2306" width="9.140625" style="82"/>
    <col min="2307" max="2307" width="18.28515625" style="82" customWidth="1"/>
    <col min="2308" max="2308" width="19" style="82" customWidth="1"/>
    <col min="2309" max="2311" width="9.140625" style="82"/>
    <col min="2312" max="2312" width="19" style="82" customWidth="1"/>
    <col min="2313" max="2560" width="9.140625" style="82"/>
    <col min="2561" max="2561" width="23.28515625" style="82" customWidth="1"/>
    <col min="2562" max="2562" width="9.140625" style="82"/>
    <col min="2563" max="2563" width="18.28515625" style="82" customWidth="1"/>
    <col min="2564" max="2564" width="19" style="82" customWidth="1"/>
    <col min="2565" max="2567" width="9.140625" style="82"/>
    <col min="2568" max="2568" width="19" style="82" customWidth="1"/>
    <col min="2569" max="2816" width="9.140625" style="82"/>
    <col min="2817" max="2817" width="23.28515625" style="82" customWidth="1"/>
    <col min="2818" max="2818" width="9.140625" style="82"/>
    <col min="2819" max="2819" width="18.28515625" style="82" customWidth="1"/>
    <col min="2820" max="2820" width="19" style="82" customWidth="1"/>
    <col min="2821" max="2823" width="9.140625" style="82"/>
    <col min="2824" max="2824" width="19" style="82" customWidth="1"/>
    <col min="2825" max="3072" width="9.140625" style="82"/>
    <col min="3073" max="3073" width="23.28515625" style="82" customWidth="1"/>
    <col min="3074" max="3074" width="9.140625" style="82"/>
    <col min="3075" max="3075" width="18.28515625" style="82" customWidth="1"/>
    <col min="3076" max="3076" width="19" style="82" customWidth="1"/>
    <col min="3077" max="3079" width="9.140625" style="82"/>
    <col min="3080" max="3080" width="19" style="82" customWidth="1"/>
    <col min="3081" max="3328" width="9.140625" style="82"/>
    <col min="3329" max="3329" width="23.28515625" style="82" customWidth="1"/>
    <col min="3330" max="3330" width="9.140625" style="82"/>
    <col min="3331" max="3331" width="18.28515625" style="82" customWidth="1"/>
    <col min="3332" max="3332" width="19" style="82" customWidth="1"/>
    <col min="3333" max="3335" width="9.140625" style="82"/>
    <col min="3336" max="3336" width="19" style="82" customWidth="1"/>
    <col min="3337" max="3584" width="9.140625" style="82"/>
    <col min="3585" max="3585" width="23.28515625" style="82" customWidth="1"/>
    <col min="3586" max="3586" width="9.140625" style="82"/>
    <col min="3587" max="3587" width="18.28515625" style="82" customWidth="1"/>
    <col min="3588" max="3588" width="19" style="82" customWidth="1"/>
    <col min="3589" max="3591" width="9.140625" style="82"/>
    <col min="3592" max="3592" width="19" style="82" customWidth="1"/>
    <col min="3593" max="3840" width="9.140625" style="82"/>
    <col min="3841" max="3841" width="23.28515625" style="82" customWidth="1"/>
    <col min="3842" max="3842" width="9.140625" style="82"/>
    <col min="3843" max="3843" width="18.28515625" style="82" customWidth="1"/>
    <col min="3844" max="3844" width="19" style="82" customWidth="1"/>
    <col min="3845" max="3847" width="9.140625" style="82"/>
    <col min="3848" max="3848" width="19" style="82" customWidth="1"/>
    <col min="3849" max="4096" width="9.140625" style="82"/>
    <col min="4097" max="4097" width="23.28515625" style="82" customWidth="1"/>
    <col min="4098" max="4098" width="9.140625" style="82"/>
    <col min="4099" max="4099" width="18.28515625" style="82" customWidth="1"/>
    <col min="4100" max="4100" width="19" style="82" customWidth="1"/>
    <col min="4101" max="4103" width="9.140625" style="82"/>
    <col min="4104" max="4104" width="19" style="82" customWidth="1"/>
    <col min="4105" max="4352" width="9.140625" style="82"/>
    <col min="4353" max="4353" width="23.28515625" style="82" customWidth="1"/>
    <col min="4354" max="4354" width="9.140625" style="82"/>
    <col min="4355" max="4355" width="18.28515625" style="82" customWidth="1"/>
    <col min="4356" max="4356" width="19" style="82" customWidth="1"/>
    <col min="4357" max="4359" width="9.140625" style="82"/>
    <col min="4360" max="4360" width="19" style="82" customWidth="1"/>
    <col min="4361" max="4608" width="9.140625" style="82"/>
    <col min="4609" max="4609" width="23.28515625" style="82" customWidth="1"/>
    <col min="4610" max="4610" width="9.140625" style="82"/>
    <col min="4611" max="4611" width="18.28515625" style="82" customWidth="1"/>
    <col min="4612" max="4612" width="19" style="82" customWidth="1"/>
    <col min="4613" max="4615" width="9.140625" style="82"/>
    <col min="4616" max="4616" width="19" style="82" customWidth="1"/>
    <col min="4617" max="4864" width="9.140625" style="82"/>
    <col min="4865" max="4865" width="23.28515625" style="82" customWidth="1"/>
    <col min="4866" max="4866" width="9.140625" style="82"/>
    <col min="4867" max="4867" width="18.28515625" style="82" customWidth="1"/>
    <col min="4868" max="4868" width="19" style="82" customWidth="1"/>
    <col min="4869" max="4871" width="9.140625" style="82"/>
    <col min="4872" max="4872" width="19" style="82" customWidth="1"/>
    <col min="4873" max="5120" width="9.140625" style="82"/>
    <col min="5121" max="5121" width="23.28515625" style="82" customWidth="1"/>
    <col min="5122" max="5122" width="9.140625" style="82"/>
    <col min="5123" max="5123" width="18.28515625" style="82" customWidth="1"/>
    <col min="5124" max="5124" width="19" style="82" customWidth="1"/>
    <col min="5125" max="5127" width="9.140625" style="82"/>
    <col min="5128" max="5128" width="19" style="82" customWidth="1"/>
    <col min="5129" max="5376" width="9.140625" style="82"/>
    <col min="5377" max="5377" width="23.28515625" style="82" customWidth="1"/>
    <col min="5378" max="5378" width="9.140625" style="82"/>
    <col min="5379" max="5379" width="18.28515625" style="82" customWidth="1"/>
    <col min="5380" max="5380" width="19" style="82" customWidth="1"/>
    <col min="5381" max="5383" width="9.140625" style="82"/>
    <col min="5384" max="5384" width="19" style="82" customWidth="1"/>
    <col min="5385" max="5632" width="9.140625" style="82"/>
    <col min="5633" max="5633" width="23.28515625" style="82" customWidth="1"/>
    <col min="5634" max="5634" width="9.140625" style="82"/>
    <col min="5635" max="5635" width="18.28515625" style="82" customWidth="1"/>
    <col min="5636" max="5636" width="19" style="82" customWidth="1"/>
    <col min="5637" max="5639" width="9.140625" style="82"/>
    <col min="5640" max="5640" width="19" style="82" customWidth="1"/>
    <col min="5641" max="5888" width="9.140625" style="82"/>
    <col min="5889" max="5889" width="23.28515625" style="82" customWidth="1"/>
    <col min="5890" max="5890" width="9.140625" style="82"/>
    <col min="5891" max="5891" width="18.28515625" style="82" customWidth="1"/>
    <col min="5892" max="5892" width="19" style="82" customWidth="1"/>
    <col min="5893" max="5895" width="9.140625" style="82"/>
    <col min="5896" max="5896" width="19" style="82" customWidth="1"/>
    <col min="5897" max="6144" width="9.140625" style="82"/>
    <col min="6145" max="6145" width="23.28515625" style="82" customWidth="1"/>
    <col min="6146" max="6146" width="9.140625" style="82"/>
    <col min="6147" max="6147" width="18.28515625" style="82" customWidth="1"/>
    <col min="6148" max="6148" width="19" style="82" customWidth="1"/>
    <col min="6149" max="6151" width="9.140625" style="82"/>
    <col min="6152" max="6152" width="19" style="82" customWidth="1"/>
    <col min="6153" max="6400" width="9.140625" style="82"/>
    <col min="6401" max="6401" width="23.28515625" style="82" customWidth="1"/>
    <col min="6402" max="6402" width="9.140625" style="82"/>
    <col min="6403" max="6403" width="18.28515625" style="82" customWidth="1"/>
    <col min="6404" max="6404" width="19" style="82" customWidth="1"/>
    <col min="6405" max="6407" width="9.140625" style="82"/>
    <col min="6408" max="6408" width="19" style="82" customWidth="1"/>
    <col min="6409" max="6656" width="9.140625" style="82"/>
    <col min="6657" max="6657" width="23.28515625" style="82" customWidth="1"/>
    <col min="6658" max="6658" width="9.140625" style="82"/>
    <col min="6659" max="6659" width="18.28515625" style="82" customWidth="1"/>
    <col min="6660" max="6660" width="19" style="82" customWidth="1"/>
    <col min="6661" max="6663" width="9.140625" style="82"/>
    <col min="6664" max="6664" width="19" style="82" customWidth="1"/>
    <col min="6665" max="6912" width="9.140625" style="82"/>
    <col min="6913" max="6913" width="23.28515625" style="82" customWidth="1"/>
    <col min="6914" max="6914" width="9.140625" style="82"/>
    <col min="6915" max="6915" width="18.28515625" style="82" customWidth="1"/>
    <col min="6916" max="6916" width="19" style="82" customWidth="1"/>
    <col min="6917" max="6919" width="9.140625" style="82"/>
    <col min="6920" max="6920" width="19" style="82" customWidth="1"/>
    <col min="6921" max="7168" width="9.140625" style="82"/>
    <col min="7169" max="7169" width="23.28515625" style="82" customWidth="1"/>
    <col min="7170" max="7170" width="9.140625" style="82"/>
    <col min="7171" max="7171" width="18.28515625" style="82" customWidth="1"/>
    <col min="7172" max="7172" width="19" style="82" customWidth="1"/>
    <col min="7173" max="7175" width="9.140625" style="82"/>
    <col min="7176" max="7176" width="19" style="82" customWidth="1"/>
    <col min="7177" max="7424" width="9.140625" style="82"/>
    <col min="7425" max="7425" width="23.28515625" style="82" customWidth="1"/>
    <col min="7426" max="7426" width="9.140625" style="82"/>
    <col min="7427" max="7427" width="18.28515625" style="82" customWidth="1"/>
    <col min="7428" max="7428" width="19" style="82" customWidth="1"/>
    <col min="7429" max="7431" width="9.140625" style="82"/>
    <col min="7432" max="7432" width="19" style="82" customWidth="1"/>
    <col min="7433" max="7680" width="9.140625" style="82"/>
    <col min="7681" max="7681" width="23.28515625" style="82" customWidth="1"/>
    <col min="7682" max="7682" width="9.140625" style="82"/>
    <col min="7683" max="7683" width="18.28515625" style="82" customWidth="1"/>
    <col min="7684" max="7684" width="19" style="82" customWidth="1"/>
    <col min="7685" max="7687" width="9.140625" style="82"/>
    <col min="7688" max="7688" width="19" style="82" customWidth="1"/>
    <col min="7689" max="7936" width="9.140625" style="82"/>
    <col min="7937" max="7937" width="23.28515625" style="82" customWidth="1"/>
    <col min="7938" max="7938" width="9.140625" style="82"/>
    <col min="7939" max="7939" width="18.28515625" style="82" customWidth="1"/>
    <col min="7940" max="7940" width="19" style="82" customWidth="1"/>
    <col min="7941" max="7943" width="9.140625" style="82"/>
    <col min="7944" max="7944" width="19" style="82" customWidth="1"/>
    <col min="7945" max="8192" width="9.140625" style="82"/>
    <col min="8193" max="8193" width="23.28515625" style="82" customWidth="1"/>
    <col min="8194" max="8194" width="9.140625" style="82"/>
    <col min="8195" max="8195" width="18.28515625" style="82" customWidth="1"/>
    <col min="8196" max="8196" width="19" style="82" customWidth="1"/>
    <col min="8197" max="8199" width="9.140625" style="82"/>
    <col min="8200" max="8200" width="19" style="82" customWidth="1"/>
    <col min="8201" max="8448" width="9.140625" style="82"/>
    <col min="8449" max="8449" width="23.28515625" style="82" customWidth="1"/>
    <col min="8450" max="8450" width="9.140625" style="82"/>
    <col min="8451" max="8451" width="18.28515625" style="82" customWidth="1"/>
    <col min="8452" max="8452" width="19" style="82" customWidth="1"/>
    <col min="8453" max="8455" width="9.140625" style="82"/>
    <col min="8456" max="8456" width="19" style="82" customWidth="1"/>
    <col min="8457" max="8704" width="9.140625" style="82"/>
    <col min="8705" max="8705" width="23.28515625" style="82" customWidth="1"/>
    <col min="8706" max="8706" width="9.140625" style="82"/>
    <col min="8707" max="8707" width="18.28515625" style="82" customWidth="1"/>
    <col min="8708" max="8708" width="19" style="82" customWidth="1"/>
    <col min="8709" max="8711" width="9.140625" style="82"/>
    <col min="8712" max="8712" width="19" style="82" customWidth="1"/>
    <col min="8713" max="8960" width="9.140625" style="82"/>
    <col min="8961" max="8961" width="23.28515625" style="82" customWidth="1"/>
    <col min="8962" max="8962" width="9.140625" style="82"/>
    <col min="8963" max="8963" width="18.28515625" style="82" customWidth="1"/>
    <col min="8964" max="8964" width="19" style="82" customWidth="1"/>
    <col min="8965" max="8967" width="9.140625" style="82"/>
    <col min="8968" max="8968" width="19" style="82" customWidth="1"/>
    <col min="8969" max="9216" width="9.140625" style="82"/>
    <col min="9217" max="9217" width="23.28515625" style="82" customWidth="1"/>
    <col min="9218" max="9218" width="9.140625" style="82"/>
    <col min="9219" max="9219" width="18.28515625" style="82" customWidth="1"/>
    <col min="9220" max="9220" width="19" style="82" customWidth="1"/>
    <col min="9221" max="9223" width="9.140625" style="82"/>
    <col min="9224" max="9224" width="19" style="82" customWidth="1"/>
    <col min="9225" max="9472" width="9.140625" style="82"/>
    <col min="9473" max="9473" width="23.28515625" style="82" customWidth="1"/>
    <col min="9474" max="9474" width="9.140625" style="82"/>
    <col min="9475" max="9475" width="18.28515625" style="82" customWidth="1"/>
    <col min="9476" max="9476" width="19" style="82" customWidth="1"/>
    <col min="9477" max="9479" width="9.140625" style="82"/>
    <col min="9480" max="9480" width="19" style="82" customWidth="1"/>
    <col min="9481" max="9728" width="9.140625" style="82"/>
    <col min="9729" max="9729" width="23.28515625" style="82" customWidth="1"/>
    <col min="9730" max="9730" width="9.140625" style="82"/>
    <col min="9731" max="9731" width="18.28515625" style="82" customWidth="1"/>
    <col min="9732" max="9732" width="19" style="82" customWidth="1"/>
    <col min="9733" max="9735" width="9.140625" style="82"/>
    <col min="9736" max="9736" width="19" style="82" customWidth="1"/>
    <col min="9737" max="9984" width="9.140625" style="82"/>
    <col min="9985" max="9985" width="23.28515625" style="82" customWidth="1"/>
    <col min="9986" max="9986" width="9.140625" style="82"/>
    <col min="9987" max="9987" width="18.28515625" style="82" customWidth="1"/>
    <col min="9988" max="9988" width="19" style="82" customWidth="1"/>
    <col min="9989" max="9991" width="9.140625" style="82"/>
    <col min="9992" max="9992" width="19" style="82" customWidth="1"/>
    <col min="9993" max="10240" width="9.140625" style="82"/>
    <col min="10241" max="10241" width="23.28515625" style="82" customWidth="1"/>
    <col min="10242" max="10242" width="9.140625" style="82"/>
    <col min="10243" max="10243" width="18.28515625" style="82" customWidth="1"/>
    <col min="10244" max="10244" width="19" style="82" customWidth="1"/>
    <col min="10245" max="10247" width="9.140625" style="82"/>
    <col min="10248" max="10248" width="19" style="82" customWidth="1"/>
    <col min="10249" max="10496" width="9.140625" style="82"/>
    <col min="10497" max="10497" width="23.28515625" style="82" customWidth="1"/>
    <col min="10498" max="10498" width="9.140625" style="82"/>
    <col min="10499" max="10499" width="18.28515625" style="82" customWidth="1"/>
    <col min="10500" max="10500" width="19" style="82" customWidth="1"/>
    <col min="10501" max="10503" width="9.140625" style="82"/>
    <col min="10504" max="10504" width="19" style="82" customWidth="1"/>
    <col min="10505" max="10752" width="9.140625" style="82"/>
    <col min="10753" max="10753" width="23.28515625" style="82" customWidth="1"/>
    <col min="10754" max="10754" width="9.140625" style="82"/>
    <col min="10755" max="10755" width="18.28515625" style="82" customWidth="1"/>
    <col min="10756" max="10756" width="19" style="82" customWidth="1"/>
    <col min="10757" max="10759" width="9.140625" style="82"/>
    <col min="10760" max="10760" width="19" style="82" customWidth="1"/>
    <col min="10761" max="11008" width="9.140625" style="82"/>
    <col min="11009" max="11009" width="23.28515625" style="82" customWidth="1"/>
    <col min="11010" max="11010" width="9.140625" style="82"/>
    <col min="11011" max="11011" width="18.28515625" style="82" customWidth="1"/>
    <col min="11012" max="11012" width="19" style="82" customWidth="1"/>
    <col min="11013" max="11015" width="9.140625" style="82"/>
    <col min="11016" max="11016" width="19" style="82" customWidth="1"/>
    <col min="11017" max="11264" width="9.140625" style="82"/>
    <col min="11265" max="11265" width="23.28515625" style="82" customWidth="1"/>
    <col min="11266" max="11266" width="9.140625" style="82"/>
    <col min="11267" max="11267" width="18.28515625" style="82" customWidth="1"/>
    <col min="11268" max="11268" width="19" style="82" customWidth="1"/>
    <col min="11269" max="11271" width="9.140625" style="82"/>
    <col min="11272" max="11272" width="19" style="82" customWidth="1"/>
    <col min="11273" max="11520" width="9.140625" style="82"/>
    <col min="11521" max="11521" width="23.28515625" style="82" customWidth="1"/>
    <col min="11522" max="11522" width="9.140625" style="82"/>
    <col min="11523" max="11523" width="18.28515625" style="82" customWidth="1"/>
    <col min="11524" max="11524" width="19" style="82" customWidth="1"/>
    <col min="11525" max="11527" width="9.140625" style="82"/>
    <col min="11528" max="11528" width="19" style="82" customWidth="1"/>
    <col min="11529" max="11776" width="9.140625" style="82"/>
    <col min="11777" max="11777" width="23.28515625" style="82" customWidth="1"/>
    <col min="11778" max="11778" width="9.140625" style="82"/>
    <col min="11779" max="11779" width="18.28515625" style="82" customWidth="1"/>
    <col min="11780" max="11780" width="19" style="82" customWidth="1"/>
    <col min="11781" max="11783" width="9.140625" style="82"/>
    <col min="11784" max="11784" width="19" style="82" customWidth="1"/>
    <col min="11785" max="12032" width="9.140625" style="82"/>
    <col min="12033" max="12033" width="23.28515625" style="82" customWidth="1"/>
    <col min="12034" max="12034" width="9.140625" style="82"/>
    <col min="12035" max="12035" width="18.28515625" style="82" customWidth="1"/>
    <col min="12036" max="12036" width="19" style="82" customWidth="1"/>
    <col min="12037" max="12039" width="9.140625" style="82"/>
    <col min="12040" max="12040" width="19" style="82" customWidth="1"/>
    <col min="12041" max="12288" width="9.140625" style="82"/>
    <col min="12289" max="12289" width="23.28515625" style="82" customWidth="1"/>
    <col min="12290" max="12290" width="9.140625" style="82"/>
    <col min="12291" max="12291" width="18.28515625" style="82" customWidth="1"/>
    <col min="12292" max="12292" width="19" style="82" customWidth="1"/>
    <col min="12293" max="12295" width="9.140625" style="82"/>
    <col min="12296" max="12296" width="19" style="82" customWidth="1"/>
    <col min="12297" max="12544" width="9.140625" style="82"/>
    <col min="12545" max="12545" width="23.28515625" style="82" customWidth="1"/>
    <col min="12546" max="12546" width="9.140625" style="82"/>
    <col min="12547" max="12547" width="18.28515625" style="82" customWidth="1"/>
    <col min="12548" max="12548" width="19" style="82" customWidth="1"/>
    <col min="12549" max="12551" width="9.140625" style="82"/>
    <col min="12552" max="12552" width="19" style="82" customWidth="1"/>
    <col min="12553" max="12800" width="9.140625" style="82"/>
    <col min="12801" max="12801" width="23.28515625" style="82" customWidth="1"/>
    <col min="12802" max="12802" width="9.140625" style="82"/>
    <col min="12803" max="12803" width="18.28515625" style="82" customWidth="1"/>
    <col min="12804" max="12804" width="19" style="82" customWidth="1"/>
    <col min="12805" max="12807" width="9.140625" style="82"/>
    <col min="12808" max="12808" width="19" style="82" customWidth="1"/>
    <col min="12809" max="13056" width="9.140625" style="82"/>
    <col min="13057" max="13057" width="23.28515625" style="82" customWidth="1"/>
    <col min="13058" max="13058" width="9.140625" style="82"/>
    <col min="13059" max="13059" width="18.28515625" style="82" customWidth="1"/>
    <col min="13060" max="13060" width="19" style="82" customWidth="1"/>
    <col min="13061" max="13063" width="9.140625" style="82"/>
    <col min="13064" max="13064" width="19" style="82" customWidth="1"/>
    <col min="13065" max="13312" width="9.140625" style="82"/>
    <col min="13313" max="13313" width="23.28515625" style="82" customWidth="1"/>
    <col min="13314" max="13314" width="9.140625" style="82"/>
    <col min="13315" max="13315" width="18.28515625" style="82" customWidth="1"/>
    <col min="13316" max="13316" width="19" style="82" customWidth="1"/>
    <col min="13317" max="13319" width="9.140625" style="82"/>
    <col min="13320" max="13320" width="19" style="82" customWidth="1"/>
    <col min="13321" max="13568" width="9.140625" style="82"/>
    <col min="13569" max="13569" width="23.28515625" style="82" customWidth="1"/>
    <col min="13570" max="13570" width="9.140625" style="82"/>
    <col min="13571" max="13571" width="18.28515625" style="82" customWidth="1"/>
    <col min="13572" max="13572" width="19" style="82" customWidth="1"/>
    <col min="13573" max="13575" width="9.140625" style="82"/>
    <col min="13576" max="13576" width="19" style="82" customWidth="1"/>
    <col min="13577" max="13824" width="9.140625" style="82"/>
    <col min="13825" max="13825" width="23.28515625" style="82" customWidth="1"/>
    <col min="13826" max="13826" width="9.140625" style="82"/>
    <col min="13827" max="13827" width="18.28515625" style="82" customWidth="1"/>
    <col min="13828" max="13828" width="19" style="82" customWidth="1"/>
    <col min="13829" max="13831" width="9.140625" style="82"/>
    <col min="13832" max="13832" width="19" style="82" customWidth="1"/>
    <col min="13833" max="14080" width="9.140625" style="82"/>
    <col min="14081" max="14081" width="23.28515625" style="82" customWidth="1"/>
    <col min="14082" max="14082" width="9.140625" style="82"/>
    <col min="14083" max="14083" width="18.28515625" style="82" customWidth="1"/>
    <col min="14084" max="14084" width="19" style="82" customWidth="1"/>
    <col min="14085" max="14087" width="9.140625" style="82"/>
    <col min="14088" max="14088" width="19" style="82" customWidth="1"/>
    <col min="14089" max="14336" width="9.140625" style="82"/>
    <col min="14337" max="14337" width="23.28515625" style="82" customWidth="1"/>
    <col min="14338" max="14338" width="9.140625" style="82"/>
    <col min="14339" max="14339" width="18.28515625" style="82" customWidth="1"/>
    <col min="14340" max="14340" width="19" style="82" customWidth="1"/>
    <col min="14341" max="14343" width="9.140625" style="82"/>
    <col min="14344" max="14344" width="19" style="82" customWidth="1"/>
    <col min="14345" max="14592" width="9.140625" style="82"/>
    <col min="14593" max="14593" width="23.28515625" style="82" customWidth="1"/>
    <col min="14594" max="14594" width="9.140625" style="82"/>
    <col min="14595" max="14595" width="18.28515625" style="82" customWidth="1"/>
    <col min="14596" max="14596" width="19" style="82" customWidth="1"/>
    <col min="14597" max="14599" width="9.140625" style="82"/>
    <col min="14600" max="14600" width="19" style="82" customWidth="1"/>
    <col min="14601" max="14848" width="9.140625" style="82"/>
    <col min="14849" max="14849" width="23.28515625" style="82" customWidth="1"/>
    <col min="14850" max="14850" width="9.140625" style="82"/>
    <col min="14851" max="14851" width="18.28515625" style="82" customWidth="1"/>
    <col min="14852" max="14852" width="19" style="82" customWidth="1"/>
    <col min="14853" max="14855" width="9.140625" style="82"/>
    <col min="14856" max="14856" width="19" style="82" customWidth="1"/>
    <col min="14857" max="15104" width="9.140625" style="82"/>
    <col min="15105" max="15105" width="23.28515625" style="82" customWidth="1"/>
    <col min="15106" max="15106" width="9.140625" style="82"/>
    <col min="15107" max="15107" width="18.28515625" style="82" customWidth="1"/>
    <col min="15108" max="15108" width="19" style="82" customWidth="1"/>
    <col min="15109" max="15111" width="9.140625" style="82"/>
    <col min="15112" max="15112" width="19" style="82" customWidth="1"/>
    <col min="15113" max="15360" width="9.140625" style="82"/>
    <col min="15361" max="15361" width="23.28515625" style="82" customWidth="1"/>
    <col min="15362" max="15362" width="9.140625" style="82"/>
    <col min="15363" max="15363" width="18.28515625" style="82" customWidth="1"/>
    <col min="15364" max="15364" width="19" style="82" customWidth="1"/>
    <col min="15365" max="15367" width="9.140625" style="82"/>
    <col min="15368" max="15368" width="19" style="82" customWidth="1"/>
    <col min="15369" max="15616" width="9.140625" style="82"/>
    <col min="15617" max="15617" width="23.28515625" style="82" customWidth="1"/>
    <col min="15618" max="15618" width="9.140625" style="82"/>
    <col min="15619" max="15619" width="18.28515625" style="82" customWidth="1"/>
    <col min="15620" max="15620" width="19" style="82" customWidth="1"/>
    <col min="15621" max="15623" width="9.140625" style="82"/>
    <col min="15624" max="15624" width="19" style="82" customWidth="1"/>
    <col min="15625" max="15872" width="9.140625" style="82"/>
    <col min="15873" max="15873" width="23.28515625" style="82" customWidth="1"/>
    <col min="15874" max="15874" width="9.140625" style="82"/>
    <col min="15875" max="15875" width="18.28515625" style="82" customWidth="1"/>
    <col min="15876" max="15876" width="19" style="82" customWidth="1"/>
    <col min="15877" max="15879" width="9.140625" style="82"/>
    <col min="15880" max="15880" width="19" style="82" customWidth="1"/>
    <col min="15881" max="16128" width="9.140625" style="82"/>
    <col min="16129" max="16129" width="23.28515625" style="82" customWidth="1"/>
    <col min="16130" max="16130" width="9.140625" style="82"/>
    <col min="16131" max="16131" width="18.28515625" style="82" customWidth="1"/>
    <col min="16132" max="16132" width="19" style="82" customWidth="1"/>
    <col min="16133" max="16135" width="9.140625" style="82"/>
    <col min="16136" max="16136" width="19" style="82" customWidth="1"/>
    <col min="16137" max="16384" width="9.140625" style="82"/>
  </cols>
  <sheetData>
    <row r="12" spans="3:10">
      <c r="G12" s="110"/>
      <c r="H12" s="110"/>
      <c r="I12" s="110"/>
      <c r="J12" s="110"/>
    </row>
    <row r="13" spans="3:10">
      <c r="C13" s="80" t="s">
        <v>72</v>
      </c>
      <c r="G13" s="105"/>
      <c r="H13" s="110"/>
      <c r="I13" s="110"/>
      <c r="J13" s="110"/>
    </row>
    <row r="14" spans="3:10">
      <c r="G14" s="110"/>
      <c r="H14" s="110"/>
      <c r="I14" s="110"/>
      <c r="J14" s="110"/>
    </row>
    <row r="15" spans="3:10">
      <c r="C15" s="115" t="s">
        <v>73</v>
      </c>
      <c r="D15" s="115" t="s">
        <v>74</v>
      </c>
      <c r="G15" s="170"/>
      <c r="H15" s="170"/>
      <c r="I15" s="110"/>
      <c r="J15" s="110"/>
    </row>
    <row r="16" spans="3:10">
      <c r="C16" s="116">
        <v>2010</v>
      </c>
      <c r="D16" s="117">
        <v>12784000</v>
      </c>
      <c r="E16" s="83"/>
      <c r="G16" s="110"/>
      <c r="H16" s="85"/>
      <c r="I16" s="171"/>
      <c r="J16" s="110"/>
    </row>
    <row r="17" spans="2:10">
      <c r="C17" s="80" t="s">
        <v>128</v>
      </c>
      <c r="G17" s="110"/>
      <c r="H17" s="110"/>
      <c r="I17" s="110"/>
      <c r="J17" s="110"/>
    </row>
    <row r="19" spans="2:10">
      <c r="D19" s="84" t="s">
        <v>101</v>
      </c>
      <c r="E19" s="82">
        <f>F30</f>
        <v>223</v>
      </c>
      <c r="I19" s="160"/>
    </row>
    <row r="20" spans="2:10">
      <c r="D20" s="84" t="s">
        <v>75</v>
      </c>
      <c r="E20" s="85">
        <f>D16/E19</f>
        <v>57327.354260089684</v>
      </c>
      <c r="F20" s="86"/>
    </row>
    <row r="21" spans="2:10" ht="15">
      <c r="B21" s="110"/>
      <c r="C21" s="110"/>
      <c r="D21" s="118" t="s">
        <v>98</v>
      </c>
      <c r="E21" s="119">
        <f>D16*(20%*(1/(F26+1))+80%*(FCF!C5/F33))</f>
        <v>190335.77437010437</v>
      </c>
    </row>
    <row r="23" spans="2:10">
      <c r="C23" s="87" t="s">
        <v>76</v>
      </c>
      <c r="D23" s="88" t="s">
        <v>77</v>
      </c>
      <c r="E23" s="89"/>
      <c r="F23" s="90"/>
    </row>
    <row r="24" spans="2:10">
      <c r="C24" s="91"/>
      <c r="D24" s="92" t="s">
        <v>78</v>
      </c>
      <c r="E24" s="93" t="s">
        <v>79</v>
      </c>
      <c r="F24" s="94" t="s">
        <v>30</v>
      </c>
    </row>
    <row r="25" spans="2:10">
      <c r="C25" s="95" t="s">
        <v>80</v>
      </c>
      <c r="D25" s="96">
        <v>47</v>
      </c>
      <c r="E25" s="97">
        <v>0</v>
      </c>
      <c r="F25" s="98">
        <f>SUM(D25:E25)</f>
        <v>47</v>
      </c>
    </row>
    <row r="26" spans="2:10">
      <c r="C26" s="95" t="s">
        <v>81</v>
      </c>
      <c r="D26" s="96">
        <v>97</v>
      </c>
      <c r="E26" s="97">
        <v>0</v>
      </c>
      <c r="F26" s="98">
        <f>SUM(D26:E26)</f>
        <v>97</v>
      </c>
    </row>
    <row r="27" spans="2:10">
      <c r="C27" s="95" t="s">
        <v>82</v>
      </c>
      <c r="D27" s="96">
        <v>0</v>
      </c>
      <c r="E27" s="97">
        <v>0</v>
      </c>
      <c r="F27" s="98">
        <f>SUM(D27:E27)</f>
        <v>0</v>
      </c>
    </row>
    <row r="28" spans="2:10">
      <c r="C28" s="95" t="s">
        <v>83</v>
      </c>
      <c r="D28" s="96">
        <v>0</v>
      </c>
      <c r="E28" s="97">
        <v>2</v>
      </c>
      <c r="F28" s="98">
        <f>SUM(D28:E28)</f>
        <v>2</v>
      </c>
    </row>
    <row r="29" spans="2:10">
      <c r="C29" s="99" t="s">
        <v>84</v>
      </c>
      <c r="D29" s="100">
        <v>73</v>
      </c>
      <c r="E29" s="91">
        <v>4</v>
      </c>
      <c r="F29" s="98">
        <f>SUM(D29:E29)</f>
        <v>77</v>
      </c>
    </row>
    <row r="30" spans="2:10" ht="15">
      <c r="C30" s="101" t="s">
        <v>85</v>
      </c>
      <c r="D30" s="102">
        <f>SUM(D25:D29)</f>
        <v>217</v>
      </c>
      <c r="E30" s="102">
        <f>SUM(E25:E29)</f>
        <v>6</v>
      </c>
      <c r="F30" s="102">
        <f>SUM(F25:F29)</f>
        <v>223</v>
      </c>
    </row>
    <row r="31" spans="2:10">
      <c r="C31" s="80" t="s">
        <v>100</v>
      </c>
    </row>
    <row r="33" spans="1:7">
      <c r="D33" s="157" t="s">
        <v>125</v>
      </c>
      <c r="E33" s="158" t="s">
        <v>126</v>
      </c>
      <c r="F33" s="159">
        <v>113327</v>
      </c>
      <c r="G33" s="82" t="s">
        <v>127</v>
      </c>
    </row>
    <row r="35" spans="1:7">
      <c r="A35" s="110"/>
      <c r="B35" s="110"/>
      <c r="C35" s="110"/>
      <c r="D35" s="110"/>
    </row>
    <row r="36" spans="1:7">
      <c r="A36" s="110"/>
      <c r="B36" s="110"/>
      <c r="C36" s="110"/>
      <c r="D36" s="110"/>
    </row>
    <row r="37" spans="1:7">
      <c r="A37" s="110"/>
      <c r="B37" s="161"/>
      <c r="C37" s="110"/>
      <c r="D37" s="110"/>
    </row>
    <row r="38" spans="1:7">
      <c r="A38" s="110"/>
      <c r="B38" s="161"/>
      <c r="C38" s="110"/>
      <c r="D38" s="110"/>
    </row>
    <row r="39" spans="1:7">
      <c r="A39" s="110"/>
      <c r="B39" s="161"/>
      <c r="C39" s="110"/>
      <c r="D39" s="110"/>
    </row>
    <row r="40" spans="1:7">
      <c r="A40" s="110"/>
      <c r="B40" s="161"/>
      <c r="C40" s="110"/>
      <c r="D40" s="110"/>
    </row>
    <row r="41" spans="1:7">
      <c r="A41" s="110"/>
      <c r="B41" s="161"/>
      <c r="C41" s="110"/>
      <c r="D41" s="110"/>
    </row>
    <row r="42" spans="1:7">
      <c r="A42" s="110"/>
      <c r="B42" s="161"/>
      <c r="C42" s="110"/>
      <c r="D42" s="110"/>
    </row>
    <row r="43" spans="1:7">
      <c r="A43" s="110"/>
      <c r="B43" s="161"/>
      <c r="C43" s="110"/>
      <c r="D43" s="110"/>
    </row>
    <row r="44" spans="1:7">
      <c r="A44" s="110"/>
      <c r="B44" s="161"/>
      <c r="C44" s="110"/>
      <c r="D44" s="110"/>
    </row>
    <row r="45" spans="1:7">
      <c r="A45" s="110"/>
      <c r="B45" s="161"/>
      <c r="C45" s="110"/>
      <c r="D45" s="110"/>
    </row>
    <row r="46" spans="1:7">
      <c r="A46" s="110"/>
      <c r="B46" s="161"/>
      <c r="C46" s="110"/>
      <c r="D46" s="110"/>
    </row>
    <row r="47" spans="1:7">
      <c r="A47" s="110"/>
      <c r="B47" s="161"/>
      <c r="C47" s="110"/>
      <c r="D47" s="110"/>
    </row>
    <row r="48" spans="1:7">
      <c r="A48" s="110"/>
      <c r="B48" s="161"/>
      <c r="C48" s="110"/>
      <c r="D48" s="110"/>
    </row>
    <row r="49" spans="1:4">
      <c r="A49" s="110"/>
      <c r="B49" s="161"/>
      <c r="C49" s="110"/>
      <c r="D49" s="110"/>
    </row>
    <row r="50" spans="1:4">
      <c r="A50" s="110"/>
      <c r="B50" s="161"/>
      <c r="C50" s="110"/>
      <c r="D50" s="110"/>
    </row>
    <row r="51" spans="1:4">
      <c r="A51" s="110"/>
      <c r="B51" s="161"/>
      <c r="C51" s="110"/>
      <c r="D51" s="110"/>
    </row>
    <row r="52" spans="1:4">
      <c r="A52" s="110"/>
      <c r="B52" s="161"/>
      <c r="C52" s="110"/>
      <c r="D52" s="110"/>
    </row>
    <row r="53" spans="1:4">
      <c r="A53" s="110"/>
      <c r="B53" s="161"/>
      <c r="C53" s="110"/>
      <c r="D53" s="110"/>
    </row>
    <row r="54" spans="1:4">
      <c r="A54" s="110"/>
      <c r="B54" s="161"/>
      <c r="C54" s="110"/>
      <c r="D54" s="110"/>
    </row>
    <row r="55" spans="1:4">
      <c r="A55" s="110"/>
      <c r="B55" s="161"/>
      <c r="C55" s="110"/>
      <c r="D55" s="110"/>
    </row>
    <row r="56" spans="1:4">
      <c r="A56" s="110"/>
      <c r="B56" s="161"/>
      <c r="C56" s="110"/>
      <c r="D56" s="110"/>
    </row>
    <row r="57" spans="1:4">
      <c r="A57" s="110"/>
      <c r="B57" s="161"/>
      <c r="C57" s="110"/>
      <c r="D57" s="110"/>
    </row>
    <row r="58" spans="1:4">
      <c r="A58" s="110"/>
      <c r="B58" s="161"/>
      <c r="C58" s="110"/>
      <c r="D58" s="110"/>
    </row>
    <row r="59" spans="1:4">
      <c r="A59" s="110"/>
      <c r="B59" s="161"/>
      <c r="C59" s="110"/>
      <c r="D59" s="110"/>
    </row>
    <row r="60" spans="1:4">
      <c r="A60" s="110"/>
      <c r="B60" s="161"/>
      <c r="C60" s="110"/>
      <c r="D60" s="110"/>
    </row>
    <row r="61" spans="1:4">
      <c r="A61" s="110"/>
      <c r="B61" s="161"/>
      <c r="C61" s="110"/>
      <c r="D61" s="110"/>
    </row>
    <row r="62" spans="1:4">
      <c r="A62" s="110"/>
      <c r="B62" s="161"/>
      <c r="C62" s="110"/>
      <c r="D62" s="110"/>
    </row>
    <row r="63" spans="1:4">
      <c r="A63" s="110"/>
      <c r="B63" s="161"/>
      <c r="C63" s="110"/>
      <c r="D63" s="110"/>
    </row>
    <row r="64" spans="1:4">
      <c r="A64" s="110"/>
      <c r="B64" s="161"/>
      <c r="C64" s="110"/>
      <c r="D64" s="110"/>
    </row>
    <row r="65" spans="1:4">
      <c r="A65" s="110"/>
      <c r="B65" s="161"/>
      <c r="C65" s="110"/>
      <c r="D65" s="110"/>
    </row>
    <row r="66" spans="1:4">
      <c r="A66" s="110"/>
      <c r="B66" s="161"/>
      <c r="C66" s="110"/>
      <c r="D66" s="110"/>
    </row>
    <row r="67" spans="1:4">
      <c r="A67" s="110"/>
      <c r="B67" s="161"/>
      <c r="C67" s="110"/>
      <c r="D67" s="110"/>
    </row>
    <row r="68" spans="1:4">
      <c r="A68" s="110"/>
      <c r="B68" s="161"/>
      <c r="C68" s="110"/>
      <c r="D68" s="110"/>
    </row>
    <row r="69" spans="1:4">
      <c r="A69" s="110"/>
      <c r="B69" s="161"/>
      <c r="C69" s="110"/>
      <c r="D69" s="110"/>
    </row>
    <row r="70" spans="1:4">
      <c r="A70" s="110"/>
      <c r="B70" s="161"/>
      <c r="C70" s="110"/>
      <c r="D70" s="110"/>
    </row>
    <row r="71" spans="1:4">
      <c r="A71" s="110"/>
      <c r="B71" s="161"/>
      <c r="C71" s="110"/>
      <c r="D71" s="110"/>
    </row>
    <row r="72" spans="1:4">
      <c r="A72" s="110"/>
      <c r="B72" s="161"/>
      <c r="C72" s="110"/>
      <c r="D72" s="110"/>
    </row>
    <row r="73" spans="1:4">
      <c r="A73" s="110"/>
      <c r="B73" s="161"/>
      <c r="C73" s="110"/>
      <c r="D73" s="110"/>
    </row>
    <row r="74" spans="1:4">
      <c r="A74" s="110"/>
      <c r="B74" s="161"/>
      <c r="C74" s="110"/>
      <c r="D74" s="110"/>
    </row>
    <row r="75" spans="1:4">
      <c r="A75" s="110"/>
      <c r="B75" s="161"/>
      <c r="C75" s="110"/>
      <c r="D75" s="110"/>
    </row>
    <row r="76" spans="1:4">
      <c r="A76" s="110"/>
      <c r="B76" s="161"/>
      <c r="C76" s="110"/>
      <c r="D76" s="110"/>
    </row>
    <row r="77" spans="1:4">
      <c r="A77" s="110"/>
      <c r="B77" s="161"/>
      <c r="C77" s="110"/>
      <c r="D77" s="110"/>
    </row>
    <row r="78" spans="1:4">
      <c r="A78" s="110"/>
      <c r="B78" s="161"/>
      <c r="C78" s="110"/>
      <c r="D78" s="110"/>
    </row>
    <row r="79" spans="1:4">
      <c r="A79" s="110"/>
      <c r="B79" s="161"/>
      <c r="C79" s="110"/>
      <c r="D79" s="110"/>
    </row>
    <row r="80" spans="1:4">
      <c r="A80" s="110"/>
      <c r="B80" s="161"/>
      <c r="C80" s="110"/>
      <c r="D80" s="110"/>
    </row>
    <row r="81" spans="1:4">
      <c r="A81" s="110"/>
      <c r="B81" s="161"/>
      <c r="C81" s="110"/>
      <c r="D81" s="110"/>
    </row>
    <row r="82" spans="1:4">
      <c r="A82" s="110"/>
      <c r="B82" s="161"/>
      <c r="C82" s="110"/>
      <c r="D82" s="110"/>
    </row>
    <row r="83" spans="1:4">
      <c r="A83" s="110"/>
      <c r="B83" s="161"/>
      <c r="C83" s="110"/>
      <c r="D83" s="110"/>
    </row>
    <row r="84" spans="1:4">
      <c r="A84" s="110"/>
      <c r="B84" s="161"/>
      <c r="C84" s="110"/>
      <c r="D84" s="110"/>
    </row>
    <row r="85" spans="1:4">
      <c r="A85" s="110"/>
      <c r="B85" s="161"/>
      <c r="C85" s="110"/>
      <c r="D85" s="110"/>
    </row>
    <row r="86" spans="1:4">
      <c r="A86" s="110"/>
      <c r="B86" s="161"/>
      <c r="C86" s="110"/>
      <c r="D86" s="110"/>
    </row>
    <row r="87" spans="1:4">
      <c r="A87" s="110"/>
      <c r="B87" s="161"/>
      <c r="C87" s="110"/>
      <c r="D87" s="110"/>
    </row>
    <row r="88" spans="1:4">
      <c r="A88" s="110"/>
      <c r="B88" s="161"/>
      <c r="C88" s="110"/>
      <c r="D88" s="110"/>
    </row>
    <row r="89" spans="1:4">
      <c r="A89" s="110"/>
      <c r="B89" s="161"/>
      <c r="C89" s="110"/>
      <c r="D89" s="110"/>
    </row>
    <row r="90" spans="1:4">
      <c r="A90" s="110"/>
      <c r="B90" s="161"/>
      <c r="C90" s="110"/>
      <c r="D90" s="110"/>
    </row>
    <row r="91" spans="1:4">
      <c r="A91" s="110"/>
      <c r="B91" s="161"/>
      <c r="C91" s="110"/>
      <c r="D91" s="110"/>
    </row>
    <row r="92" spans="1:4">
      <c r="A92" s="110"/>
      <c r="B92" s="161"/>
      <c r="C92" s="110"/>
      <c r="D92" s="110"/>
    </row>
    <row r="93" spans="1:4">
      <c r="A93" s="110"/>
      <c r="B93" s="161"/>
      <c r="C93" s="110"/>
      <c r="D93" s="110"/>
    </row>
    <row r="94" spans="1:4">
      <c r="A94" s="110"/>
      <c r="B94" s="161"/>
      <c r="C94" s="110"/>
      <c r="D94" s="110"/>
    </row>
    <row r="95" spans="1:4">
      <c r="A95" s="110"/>
      <c r="B95" s="161"/>
      <c r="C95" s="110"/>
      <c r="D95" s="110"/>
    </row>
    <row r="96" spans="1:4">
      <c r="A96" s="110"/>
      <c r="B96" s="161"/>
      <c r="C96" s="110"/>
      <c r="D96" s="110"/>
    </row>
    <row r="97" spans="1:4">
      <c r="A97" s="110"/>
      <c r="B97" s="161"/>
      <c r="C97" s="110"/>
      <c r="D97" s="110"/>
    </row>
    <row r="98" spans="1:4">
      <c r="A98" s="110"/>
      <c r="B98" s="161"/>
      <c r="C98" s="110"/>
      <c r="D98" s="110"/>
    </row>
    <row r="99" spans="1:4">
      <c r="A99" s="110"/>
      <c r="B99" s="161"/>
      <c r="C99" s="110"/>
      <c r="D99" s="110"/>
    </row>
    <row r="100" spans="1:4">
      <c r="A100" s="110"/>
      <c r="B100" s="161"/>
      <c r="C100" s="110"/>
      <c r="D100" s="110"/>
    </row>
    <row r="101" spans="1:4">
      <c r="A101" s="110"/>
      <c r="B101" s="161"/>
      <c r="C101" s="110"/>
      <c r="D101" s="110"/>
    </row>
    <row r="102" spans="1:4">
      <c r="A102" s="110"/>
      <c r="B102" s="161"/>
      <c r="C102" s="110"/>
      <c r="D102" s="110"/>
    </row>
    <row r="103" spans="1:4">
      <c r="A103" s="110"/>
      <c r="B103" s="161"/>
      <c r="C103" s="110"/>
      <c r="D103" s="110"/>
    </row>
    <row r="104" spans="1:4">
      <c r="A104" s="110"/>
      <c r="B104" s="161"/>
      <c r="C104" s="110"/>
      <c r="D104" s="110"/>
    </row>
    <row r="105" spans="1:4">
      <c r="A105" s="110"/>
      <c r="B105" s="161"/>
      <c r="C105" s="110"/>
      <c r="D105" s="110"/>
    </row>
    <row r="106" spans="1:4">
      <c r="A106" s="110"/>
      <c r="B106" s="161"/>
      <c r="C106" s="110"/>
      <c r="D106" s="110"/>
    </row>
    <row r="107" spans="1:4">
      <c r="A107" s="110"/>
      <c r="B107" s="161"/>
      <c r="C107" s="110"/>
      <c r="D107" s="110"/>
    </row>
    <row r="108" spans="1:4">
      <c r="A108" s="110"/>
      <c r="B108" s="161"/>
      <c r="C108" s="110"/>
      <c r="D108" s="110"/>
    </row>
    <row r="109" spans="1:4">
      <c r="A109" s="110"/>
      <c r="B109" s="161"/>
      <c r="C109" s="110"/>
      <c r="D109" s="110"/>
    </row>
    <row r="110" spans="1:4">
      <c r="A110" s="110"/>
      <c r="B110" s="161"/>
      <c r="C110" s="110"/>
      <c r="D110" s="110"/>
    </row>
    <row r="111" spans="1:4">
      <c r="A111" s="110"/>
      <c r="B111" s="161"/>
      <c r="C111" s="110"/>
      <c r="D111" s="110"/>
    </row>
    <row r="112" spans="1:4">
      <c r="A112" s="110"/>
      <c r="B112" s="161"/>
      <c r="C112" s="110"/>
      <c r="D112" s="110"/>
    </row>
    <row r="113" spans="1:4">
      <c r="A113" s="110"/>
      <c r="B113" s="161"/>
      <c r="C113" s="110"/>
      <c r="D113" s="110"/>
    </row>
    <row r="114" spans="1:4">
      <c r="A114" s="110"/>
      <c r="B114" s="161"/>
      <c r="C114" s="110"/>
      <c r="D114" s="110"/>
    </row>
    <row r="115" spans="1:4">
      <c r="A115" s="110"/>
      <c r="B115" s="161"/>
      <c r="C115" s="110"/>
      <c r="D115" s="110"/>
    </row>
    <row r="116" spans="1:4">
      <c r="A116" s="110"/>
      <c r="B116" s="161"/>
      <c r="C116" s="110"/>
      <c r="D116" s="110"/>
    </row>
    <row r="117" spans="1:4">
      <c r="A117" s="110"/>
      <c r="B117" s="161"/>
      <c r="C117" s="110"/>
      <c r="D117" s="110"/>
    </row>
    <row r="118" spans="1:4">
      <c r="A118" s="110"/>
      <c r="B118" s="161"/>
      <c r="C118" s="110"/>
      <c r="D118" s="110"/>
    </row>
    <row r="119" spans="1:4">
      <c r="A119" s="110"/>
      <c r="B119" s="161"/>
      <c r="C119" s="110"/>
      <c r="D119" s="110"/>
    </row>
    <row r="120" spans="1:4">
      <c r="A120" s="110"/>
      <c r="B120" s="161"/>
      <c r="C120" s="110"/>
      <c r="D120" s="110"/>
    </row>
    <row r="121" spans="1:4">
      <c r="A121" s="110"/>
      <c r="B121" s="161"/>
      <c r="C121" s="110"/>
      <c r="D121" s="110"/>
    </row>
    <row r="122" spans="1:4">
      <c r="A122" s="110"/>
      <c r="B122" s="161"/>
      <c r="C122" s="110"/>
      <c r="D122" s="110"/>
    </row>
    <row r="123" spans="1:4">
      <c r="A123" s="110"/>
      <c r="B123" s="161"/>
      <c r="C123" s="110"/>
      <c r="D123" s="110"/>
    </row>
    <row r="124" spans="1:4">
      <c r="A124" s="110"/>
      <c r="B124" s="161"/>
      <c r="C124" s="110"/>
      <c r="D124" s="110"/>
    </row>
    <row r="125" spans="1:4">
      <c r="A125" s="110"/>
      <c r="B125" s="161"/>
      <c r="C125" s="110"/>
      <c r="D125" s="110"/>
    </row>
    <row r="126" spans="1:4">
      <c r="A126" s="110"/>
      <c r="B126" s="161"/>
      <c r="C126" s="110"/>
      <c r="D126" s="110"/>
    </row>
    <row r="127" spans="1:4">
      <c r="A127" s="110"/>
      <c r="B127" s="161"/>
      <c r="C127" s="110"/>
      <c r="D127" s="110"/>
    </row>
    <row r="128" spans="1:4">
      <c r="A128" s="110"/>
      <c r="B128" s="161"/>
      <c r="C128" s="110"/>
      <c r="D128" s="110"/>
    </row>
    <row r="129" spans="1:4">
      <c r="A129" s="110"/>
      <c r="B129" s="161"/>
      <c r="C129" s="110"/>
      <c r="D129" s="110"/>
    </row>
    <row r="130" spans="1:4">
      <c r="A130" s="110"/>
      <c r="B130" s="161"/>
      <c r="C130" s="110"/>
      <c r="D130" s="110"/>
    </row>
    <row r="131" spans="1:4">
      <c r="A131" s="110"/>
      <c r="B131" s="161"/>
      <c r="C131" s="110"/>
      <c r="D131" s="110"/>
    </row>
    <row r="132" spans="1:4">
      <c r="A132" s="110"/>
      <c r="B132" s="161"/>
      <c r="C132" s="110"/>
      <c r="D132" s="110"/>
    </row>
    <row r="133" spans="1:4">
      <c r="A133" s="110"/>
      <c r="B133" s="161"/>
      <c r="C133" s="110"/>
      <c r="D133" s="110"/>
    </row>
    <row r="134" spans="1:4">
      <c r="A134" s="110"/>
      <c r="B134" s="161"/>
      <c r="C134" s="110"/>
      <c r="D134" s="110"/>
    </row>
    <row r="135" spans="1:4">
      <c r="A135" s="110"/>
      <c r="B135" s="161"/>
      <c r="C135" s="110"/>
      <c r="D135" s="110"/>
    </row>
    <row r="136" spans="1:4">
      <c r="A136" s="110"/>
      <c r="B136" s="161"/>
      <c r="C136" s="110"/>
      <c r="D136" s="110"/>
    </row>
    <row r="137" spans="1:4">
      <c r="A137" s="110"/>
      <c r="B137" s="161"/>
      <c r="C137" s="110"/>
      <c r="D137" s="110"/>
    </row>
    <row r="138" spans="1:4">
      <c r="A138" s="110"/>
      <c r="B138" s="161"/>
      <c r="C138" s="110"/>
      <c r="D138" s="110"/>
    </row>
    <row r="139" spans="1:4">
      <c r="A139" s="110"/>
      <c r="B139" s="161"/>
      <c r="C139" s="110"/>
      <c r="D139" s="110"/>
    </row>
    <row r="140" spans="1:4">
      <c r="A140" s="110"/>
      <c r="B140" s="161"/>
      <c r="C140" s="110"/>
      <c r="D140" s="110"/>
    </row>
    <row r="141" spans="1:4">
      <c r="A141" s="110"/>
      <c r="B141" s="161"/>
      <c r="C141" s="110"/>
      <c r="D141" s="110"/>
    </row>
    <row r="142" spans="1:4">
      <c r="A142" s="110"/>
      <c r="B142" s="161"/>
      <c r="C142" s="110"/>
      <c r="D142" s="110"/>
    </row>
    <row r="143" spans="1:4">
      <c r="A143" s="110"/>
      <c r="B143" s="161"/>
      <c r="C143" s="110"/>
      <c r="D143" s="110"/>
    </row>
    <row r="144" spans="1:4">
      <c r="A144" s="110"/>
      <c r="B144" s="161"/>
      <c r="C144" s="110"/>
      <c r="D144" s="110"/>
    </row>
    <row r="145" spans="1:4">
      <c r="A145" s="110"/>
      <c r="B145" s="161"/>
      <c r="C145" s="110"/>
      <c r="D145" s="110"/>
    </row>
    <row r="146" spans="1:4">
      <c r="A146" s="110"/>
      <c r="B146" s="161"/>
      <c r="C146" s="110"/>
      <c r="D146" s="110"/>
    </row>
    <row r="147" spans="1:4">
      <c r="A147" s="110"/>
      <c r="B147" s="161"/>
      <c r="C147" s="110"/>
      <c r="D147" s="110"/>
    </row>
    <row r="148" spans="1:4">
      <c r="A148" s="110"/>
      <c r="B148" s="161"/>
      <c r="C148" s="110"/>
      <c r="D148" s="110"/>
    </row>
    <row r="149" spans="1:4">
      <c r="A149" s="110"/>
      <c r="B149" s="161"/>
      <c r="C149" s="110"/>
      <c r="D149" s="110"/>
    </row>
    <row r="150" spans="1:4">
      <c r="A150" s="110"/>
      <c r="B150" s="161"/>
      <c r="C150" s="110"/>
      <c r="D150" s="110"/>
    </row>
    <row r="151" spans="1:4">
      <c r="A151" s="110"/>
      <c r="B151" s="161"/>
      <c r="C151" s="110"/>
      <c r="D151" s="110"/>
    </row>
    <row r="152" spans="1:4">
      <c r="A152" s="110"/>
      <c r="B152" s="161"/>
      <c r="C152" s="110"/>
      <c r="D152" s="110"/>
    </row>
    <row r="153" spans="1:4">
      <c r="A153" s="110"/>
      <c r="B153" s="161"/>
      <c r="C153" s="110"/>
      <c r="D153" s="110"/>
    </row>
    <row r="154" spans="1:4">
      <c r="A154" s="110"/>
      <c r="B154" s="161"/>
      <c r="C154" s="110"/>
      <c r="D154" s="110"/>
    </row>
    <row r="155" spans="1:4">
      <c r="A155" s="110"/>
      <c r="B155" s="161"/>
      <c r="C155" s="110"/>
      <c r="D155" s="110"/>
    </row>
    <row r="156" spans="1:4">
      <c r="A156" s="110"/>
      <c r="B156" s="161"/>
      <c r="C156" s="110"/>
      <c r="D156" s="110"/>
    </row>
    <row r="157" spans="1:4">
      <c r="A157" s="110"/>
      <c r="B157" s="161"/>
      <c r="C157" s="110"/>
      <c r="D157" s="110"/>
    </row>
    <row r="158" spans="1:4">
      <c r="A158" s="110"/>
      <c r="B158" s="161"/>
      <c r="C158" s="110"/>
      <c r="D158" s="110"/>
    </row>
    <row r="159" spans="1:4">
      <c r="A159" s="110"/>
      <c r="B159" s="161"/>
      <c r="C159" s="110"/>
      <c r="D159" s="110"/>
    </row>
    <row r="160" spans="1:4">
      <c r="A160" s="110"/>
      <c r="B160" s="161"/>
      <c r="C160" s="110"/>
      <c r="D160" s="110"/>
    </row>
    <row r="161" spans="1:4">
      <c r="A161" s="110"/>
      <c r="B161" s="161"/>
      <c r="C161" s="110"/>
      <c r="D161" s="110"/>
    </row>
    <row r="162" spans="1:4">
      <c r="A162" s="110"/>
      <c r="B162" s="161"/>
      <c r="C162" s="110"/>
      <c r="D162" s="110"/>
    </row>
    <row r="163" spans="1:4">
      <c r="A163" s="110"/>
      <c r="B163" s="161"/>
      <c r="C163" s="110"/>
      <c r="D163" s="110"/>
    </row>
    <row r="164" spans="1:4">
      <c r="A164" s="110"/>
      <c r="B164" s="161"/>
      <c r="C164" s="110"/>
      <c r="D164" s="110"/>
    </row>
    <row r="165" spans="1:4">
      <c r="A165" s="110"/>
      <c r="B165" s="161"/>
      <c r="C165" s="110"/>
      <c r="D165" s="110"/>
    </row>
    <row r="166" spans="1:4">
      <c r="A166" s="110"/>
      <c r="B166" s="161"/>
      <c r="C166" s="110"/>
      <c r="D166" s="110"/>
    </row>
    <row r="167" spans="1:4">
      <c r="A167" s="110"/>
      <c r="B167" s="161"/>
      <c r="C167" s="110"/>
      <c r="D167" s="110"/>
    </row>
    <row r="168" spans="1:4">
      <c r="A168" s="110"/>
      <c r="B168" s="161"/>
      <c r="C168" s="110"/>
      <c r="D168" s="110"/>
    </row>
    <row r="169" spans="1:4">
      <c r="A169" s="110"/>
      <c r="B169" s="161"/>
      <c r="C169" s="110"/>
      <c r="D169" s="110"/>
    </row>
    <row r="170" spans="1:4">
      <c r="A170" s="110"/>
      <c r="B170" s="161"/>
      <c r="C170" s="110"/>
      <c r="D170" s="110"/>
    </row>
    <row r="171" spans="1:4">
      <c r="A171" s="110"/>
      <c r="B171" s="161"/>
      <c r="C171" s="110"/>
      <c r="D171" s="110"/>
    </row>
    <row r="172" spans="1:4">
      <c r="A172" s="110"/>
      <c r="B172" s="161"/>
      <c r="C172" s="110"/>
      <c r="D172" s="110"/>
    </row>
    <row r="173" spans="1:4">
      <c r="A173" s="110"/>
      <c r="B173" s="161"/>
      <c r="C173" s="110"/>
      <c r="D173" s="110"/>
    </row>
    <row r="174" spans="1:4">
      <c r="A174" s="110"/>
      <c r="B174" s="161"/>
      <c r="C174" s="110"/>
      <c r="D174" s="110"/>
    </row>
    <row r="175" spans="1:4">
      <c r="A175" s="110"/>
      <c r="B175" s="161"/>
      <c r="C175" s="110"/>
      <c r="D175" s="110"/>
    </row>
    <row r="176" spans="1:4">
      <c r="A176" s="110"/>
      <c r="B176" s="161"/>
      <c r="C176" s="110"/>
      <c r="D176" s="110"/>
    </row>
    <row r="177" spans="1:4">
      <c r="A177" s="110"/>
      <c r="B177" s="161"/>
      <c r="C177" s="110"/>
      <c r="D177" s="110"/>
    </row>
    <row r="178" spans="1:4">
      <c r="A178" s="110"/>
      <c r="B178" s="161"/>
      <c r="C178" s="110"/>
      <c r="D178" s="110"/>
    </row>
    <row r="179" spans="1:4">
      <c r="A179" s="110"/>
      <c r="B179" s="161"/>
      <c r="C179" s="110"/>
      <c r="D179" s="110"/>
    </row>
    <row r="180" spans="1:4">
      <c r="A180" s="110"/>
      <c r="B180" s="161"/>
      <c r="C180" s="110"/>
      <c r="D180" s="110"/>
    </row>
    <row r="181" spans="1:4">
      <c r="A181" s="110"/>
      <c r="B181" s="161"/>
      <c r="C181" s="110"/>
      <c r="D181" s="110"/>
    </row>
    <row r="182" spans="1:4">
      <c r="A182" s="110"/>
      <c r="B182" s="161"/>
      <c r="C182" s="110"/>
      <c r="D182" s="110"/>
    </row>
    <row r="183" spans="1:4">
      <c r="A183" s="110"/>
      <c r="B183" s="161"/>
      <c r="C183" s="110"/>
      <c r="D183" s="110"/>
    </row>
    <row r="184" spans="1:4">
      <c r="A184" s="110"/>
      <c r="B184" s="161"/>
      <c r="C184" s="110"/>
      <c r="D184" s="110"/>
    </row>
    <row r="185" spans="1:4">
      <c r="A185" s="110"/>
      <c r="B185" s="161"/>
      <c r="C185" s="110"/>
      <c r="D185" s="110"/>
    </row>
    <row r="186" spans="1:4">
      <c r="A186" s="110"/>
      <c r="B186" s="161"/>
      <c r="C186" s="110"/>
      <c r="D186" s="110"/>
    </row>
    <row r="187" spans="1:4">
      <c r="A187" s="110"/>
      <c r="B187" s="161"/>
      <c r="C187" s="110"/>
      <c r="D187" s="110"/>
    </row>
    <row r="188" spans="1:4">
      <c r="A188" s="110"/>
      <c r="B188" s="161"/>
      <c r="C188" s="110"/>
      <c r="D188" s="110"/>
    </row>
    <row r="189" spans="1:4">
      <c r="A189" s="110"/>
      <c r="B189" s="161"/>
      <c r="C189" s="110"/>
      <c r="D189" s="110"/>
    </row>
    <row r="190" spans="1:4">
      <c r="A190" s="110"/>
      <c r="B190" s="161"/>
      <c r="C190" s="110"/>
      <c r="D190" s="110"/>
    </row>
    <row r="191" spans="1:4">
      <c r="A191" s="110"/>
      <c r="B191" s="161"/>
      <c r="C191" s="110"/>
      <c r="D191" s="110"/>
    </row>
    <row r="192" spans="1:4">
      <c r="A192" s="110"/>
      <c r="B192" s="161"/>
      <c r="C192" s="110"/>
      <c r="D192" s="110"/>
    </row>
    <row r="193" spans="1:4">
      <c r="A193" s="110"/>
      <c r="B193" s="161"/>
      <c r="C193" s="110"/>
      <c r="D193" s="110"/>
    </row>
    <row r="194" spans="1:4">
      <c r="A194" s="110"/>
      <c r="B194" s="161"/>
      <c r="C194" s="110"/>
      <c r="D194" s="110"/>
    </row>
    <row r="195" spans="1:4">
      <c r="A195" s="110"/>
      <c r="B195" s="161"/>
      <c r="C195" s="110"/>
      <c r="D195" s="110"/>
    </row>
    <row r="196" spans="1:4">
      <c r="A196" s="110"/>
      <c r="B196" s="161"/>
      <c r="C196" s="110"/>
      <c r="D196" s="110"/>
    </row>
    <row r="197" spans="1:4">
      <c r="A197" s="110"/>
      <c r="B197" s="161"/>
      <c r="C197" s="110"/>
      <c r="D197" s="110"/>
    </row>
    <row r="198" spans="1:4">
      <c r="A198" s="110"/>
      <c r="B198" s="161"/>
      <c r="C198" s="110"/>
      <c r="D198" s="110"/>
    </row>
    <row r="199" spans="1:4">
      <c r="A199" s="110"/>
      <c r="B199" s="161"/>
      <c r="C199" s="110"/>
      <c r="D199" s="110"/>
    </row>
    <row r="200" spans="1:4">
      <c r="A200" s="110"/>
      <c r="B200" s="161"/>
      <c r="C200" s="110"/>
      <c r="D200" s="110"/>
    </row>
    <row r="201" spans="1:4">
      <c r="A201" s="110"/>
      <c r="B201" s="161"/>
      <c r="C201" s="110"/>
      <c r="D201" s="110"/>
    </row>
    <row r="202" spans="1:4">
      <c r="A202" s="110"/>
      <c r="B202" s="161"/>
      <c r="C202" s="110"/>
      <c r="D202" s="110"/>
    </row>
    <row r="203" spans="1:4">
      <c r="A203" s="110"/>
      <c r="B203" s="161"/>
      <c r="C203" s="110"/>
      <c r="D203" s="110"/>
    </row>
    <row r="204" spans="1:4">
      <c r="A204" s="110"/>
      <c r="B204" s="161"/>
      <c r="C204" s="110"/>
      <c r="D204" s="110"/>
    </row>
    <row r="205" spans="1:4">
      <c r="A205" s="110"/>
      <c r="B205" s="161"/>
      <c r="C205" s="110"/>
      <c r="D205" s="110"/>
    </row>
    <row r="206" spans="1:4">
      <c r="A206" s="110"/>
      <c r="B206" s="161"/>
      <c r="C206" s="110"/>
      <c r="D206" s="110"/>
    </row>
    <row r="207" spans="1:4">
      <c r="A207" s="110"/>
      <c r="B207" s="161"/>
      <c r="C207" s="110"/>
      <c r="D207" s="110"/>
    </row>
    <row r="208" spans="1:4">
      <c r="A208" s="110"/>
      <c r="B208" s="161"/>
      <c r="C208" s="110"/>
      <c r="D208" s="110"/>
    </row>
    <row r="209" spans="1:4">
      <c r="A209" s="110"/>
      <c r="B209" s="161"/>
      <c r="C209" s="110"/>
      <c r="D209" s="110"/>
    </row>
    <row r="210" spans="1:4">
      <c r="A210" s="110"/>
      <c r="B210" s="161"/>
      <c r="C210" s="110"/>
      <c r="D210" s="110"/>
    </row>
    <row r="211" spans="1:4">
      <c r="A211" s="110"/>
      <c r="B211" s="161"/>
      <c r="C211" s="110"/>
      <c r="D211" s="110"/>
    </row>
    <row r="212" spans="1:4">
      <c r="A212" s="110"/>
      <c r="B212" s="161"/>
      <c r="C212" s="110"/>
      <c r="D212" s="110"/>
    </row>
    <row r="213" spans="1:4">
      <c r="A213" s="110"/>
      <c r="B213" s="161"/>
      <c r="C213" s="110"/>
      <c r="D213" s="110"/>
    </row>
    <row r="214" spans="1:4">
      <c r="A214" s="110"/>
      <c r="B214" s="161"/>
      <c r="C214" s="110"/>
      <c r="D214" s="110"/>
    </row>
    <row r="215" spans="1:4">
      <c r="A215" s="110"/>
      <c r="B215" s="161"/>
      <c r="C215" s="110"/>
      <c r="D215" s="110"/>
    </row>
    <row r="216" spans="1:4">
      <c r="A216" s="110"/>
      <c r="B216" s="161"/>
      <c r="C216" s="110"/>
      <c r="D216" s="110"/>
    </row>
    <row r="217" spans="1:4">
      <c r="A217" s="110"/>
      <c r="B217" s="161"/>
      <c r="C217" s="110"/>
      <c r="D217" s="110"/>
    </row>
    <row r="218" spans="1:4">
      <c r="A218" s="110"/>
      <c r="B218" s="161"/>
      <c r="C218" s="110"/>
      <c r="D218" s="110"/>
    </row>
    <row r="219" spans="1:4">
      <c r="A219" s="110"/>
      <c r="B219" s="161"/>
      <c r="C219" s="110"/>
      <c r="D219" s="110"/>
    </row>
    <row r="220" spans="1:4">
      <c r="A220" s="110"/>
      <c r="B220" s="161"/>
      <c r="C220" s="110"/>
      <c r="D220" s="110"/>
    </row>
    <row r="221" spans="1:4">
      <c r="A221" s="110"/>
      <c r="B221" s="161"/>
      <c r="C221" s="110"/>
      <c r="D221" s="110"/>
    </row>
    <row r="222" spans="1:4">
      <c r="A222" s="110"/>
      <c r="B222" s="161"/>
      <c r="C222" s="110"/>
      <c r="D222" s="110"/>
    </row>
    <row r="223" spans="1:4">
      <c r="A223" s="110"/>
      <c r="B223" s="161"/>
      <c r="C223" s="110"/>
      <c r="D223" s="110"/>
    </row>
    <row r="224" spans="1:4">
      <c r="A224" s="110"/>
      <c r="B224" s="161"/>
      <c r="C224" s="110"/>
      <c r="D224" s="110"/>
    </row>
    <row r="225" spans="1:4">
      <c r="A225" s="110"/>
      <c r="B225" s="161"/>
      <c r="C225" s="110"/>
      <c r="D225" s="110"/>
    </row>
    <row r="226" spans="1:4">
      <c r="A226" s="110"/>
      <c r="B226" s="161"/>
      <c r="C226" s="110"/>
      <c r="D226" s="110"/>
    </row>
    <row r="227" spans="1:4">
      <c r="A227" s="110"/>
      <c r="B227" s="161"/>
      <c r="C227" s="110"/>
      <c r="D227" s="110"/>
    </row>
    <row r="228" spans="1:4">
      <c r="A228" s="110"/>
      <c r="B228" s="161"/>
      <c r="C228" s="110"/>
      <c r="D228" s="110"/>
    </row>
    <row r="229" spans="1:4">
      <c r="A229" s="110"/>
      <c r="B229" s="161"/>
      <c r="C229" s="110"/>
      <c r="D229" s="110"/>
    </row>
    <row r="230" spans="1:4">
      <c r="A230" s="110"/>
      <c r="B230" s="161"/>
      <c r="C230" s="110"/>
      <c r="D230" s="110"/>
    </row>
    <row r="231" spans="1:4">
      <c r="A231" s="110"/>
      <c r="B231" s="161"/>
      <c r="C231" s="110"/>
      <c r="D231" s="110"/>
    </row>
    <row r="232" spans="1:4">
      <c r="A232" s="110"/>
      <c r="B232" s="161"/>
      <c r="C232" s="110"/>
      <c r="D232" s="110"/>
    </row>
    <row r="233" spans="1:4">
      <c r="A233" s="110"/>
      <c r="B233" s="161"/>
      <c r="C233" s="110"/>
      <c r="D233" s="110"/>
    </row>
    <row r="234" spans="1:4">
      <c r="A234" s="110"/>
      <c r="B234" s="161"/>
      <c r="C234" s="110"/>
      <c r="D234" s="110"/>
    </row>
    <row r="235" spans="1:4">
      <c r="A235" s="110"/>
      <c r="B235" s="161"/>
      <c r="C235" s="110"/>
      <c r="D235" s="110"/>
    </row>
    <row r="236" spans="1:4">
      <c r="A236" s="110"/>
      <c r="B236" s="161"/>
      <c r="C236" s="110"/>
      <c r="D236" s="110"/>
    </row>
    <row r="237" spans="1:4">
      <c r="A237" s="110"/>
      <c r="B237" s="161"/>
      <c r="C237" s="110"/>
      <c r="D237" s="110"/>
    </row>
    <row r="238" spans="1:4">
      <c r="A238" s="110"/>
      <c r="B238" s="161"/>
      <c r="C238" s="110"/>
      <c r="D238" s="110"/>
    </row>
    <row r="239" spans="1:4">
      <c r="A239" s="110"/>
      <c r="B239" s="161"/>
      <c r="C239" s="110"/>
      <c r="D239" s="110"/>
    </row>
    <row r="240" spans="1:4">
      <c r="A240" s="110"/>
      <c r="B240" s="161"/>
      <c r="C240" s="110"/>
      <c r="D240" s="110"/>
    </row>
    <row r="241" spans="1:4">
      <c r="A241" s="110"/>
      <c r="B241" s="161"/>
      <c r="C241" s="110"/>
      <c r="D241" s="110"/>
    </row>
    <row r="242" spans="1:4">
      <c r="A242" s="110"/>
      <c r="B242" s="161"/>
      <c r="C242" s="110"/>
      <c r="D242" s="110"/>
    </row>
    <row r="243" spans="1:4">
      <c r="A243" s="110"/>
      <c r="B243" s="161"/>
      <c r="C243" s="110"/>
      <c r="D243" s="110"/>
    </row>
    <row r="244" spans="1:4">
      <c r="A244" s="110"/>
      <c r="B244" s="161"/>
      <c r="C244" s="110"/>
      <c r="D244" s="110"/>
    </row>
    <row r="245" spans="1:4">
      <c r="A245" s="110"/>
      <c r="B245" s="161"/>
      <c r="C245" s="110"/>
      <c r="D245" s="110"/>
    </row>
    <row r="246" spans="1:4">
      <c r="A246" s="110"/>
      <c r="B246" s="161"/>
      <c r="C246" s="110"/>
      <c r="D246" s="110"/>
    </row>
    <row r="247" spans="1:4">
      <c r="A247" s="110"/>
      <c r="B247" s="161"/>
      <c r="C247" s="110"/>
      <c r="D247" s="110"/>
    </row>
    <row r="248" spans="1:4">
      <c r="A248" s="110"/>
      <c r="B248" s="161"/>
      <c r="C248" s="110"/>
      <c r="D248" s="110"/>
    </row>
    <row r="249" spans="1:4">
      <c r="A249" s="110"/>
      <c r="B249" s="161"/>
      <c r="C249" s="110"/>
      <c r="D249" s="110"/>
    </row>
    <row r="250" spans="1:4">
      <c r="A250" s="110"/>
      <c r="B250" s="161"/>
      <c r="C250" s="110"/>
      <c r="D250" s="110"/>
    </row>
    <row r="251" spans="1:4">
      <c r="A251" s="110"/>
      <c r="B251" s="161"/>
      <c r="C251" s="110"/>
      <c r="D251" s="110"/>
    </row>
    <row r="252" spans="1:4">
      <c r="A252" s="110"/>
      <c r="B252" s="161"/>
      <c r="C252" s="110"/>
      <c r="D252" s="110"/>
    </row>
    <row r="253" spans="1:4">
      <c r="A253" s="110"/>
      <c r="B253" s="161"/>
      <c r="C253" s="110"/>
      <c r="D253" s="110"/>
    </row>
    <row r="254" spans="1:4">
      <c r="A254" s="110"/>
      <c r="B254" s="161"/>
      <c r="C254" s="110"/>
      <c r="D254" s="110"/>
    </row>
    <row r="255" spans="1:4">
      <c r="A255" s="110"/>
      <c r="B255" s="161"/>
      <c r="C255" s="110"/>
      <c r="D255" s="110"/>
    </row>
    <row r="256" spans="1:4">
      <c r="A256" s="110"/>
      <c r="B256" s="161"/>
      <c r="C256" s="110"/>
      <c r="D256" s="110"/>
    </row>
    <row r="257" spans="1:4">
      <c r="A257" s="110"/>
      <c r="B257" s="161"/>
      <c r="C257" s="110"/>
      <c r="D257" s="110"/>
    </row>
    <row r="258" spans="1:4">
      <c r="A258" s="110"/>
      <c r="B258" s="161"/>
      <c r="C258" s="110"/>
      <c r="D258" s="110"/>
    </row>
    <row r="259" spans="1:4">
      <c r="A259" s="110"/>
      <c r="B259" s="161"/>
      <c r="C259" s="110"/>
      <c r="D259" s="110"/>
    </row>
    <row r="260" spans="1:4">
      <c r="A260" s="110"/>
      <c r="B260" s="161"/>
      <c r="C260" s="110"/>
      <c r="D260" s="110"/>
    </row>
    <row r="261" spans="1:4">
      <c r="A261" s="110"/>
      <c r="B261" s="161"/>
      <c r="C261" s="110"/>
      <c r="D261" s="110"/>
    </row>
    <row r="262" spans="1:4">
      <c r="A262" s="110"/>
      <c r="B262" s="161"/>
      <c r="C262" s="110"/>
      <c r="D262" s="110"/>
    </row>
    <row r="263" spans="1:4">
      <c r="A263" s="110"/>
      <c r="B263" s="161"/>
      <c r="C263" s="110"/>
      <c r="D263" s="110"/>
    </row>
    <row r="264" spans="1:4">
      <c r="A264" s="110"/>
      <c r="B264" s="161"/>
      <c r="C264" s="110"/>
      <c r="D264" s="110"/>
    </row>
    <row r="265" spans="1:4">
      <c r="A265" s="110"/>
      <c r="B265" s="161"/>
      <c r="C265" s="110"/>
      <c r="D265" s="110"/>
    </row>
    <row r="266" spans="1:4">
      <c r="A266" s="110"/>
      <c r="B266" s="161"/>
      <c r="C266" s="110"/>
      <c r="D266" s="110"/>
    </row>
    <row r="267" spans="1:4">
      <c r="A267" s="110"/>
      <c r="B267" s="161"/>
      <c r="C267" s="110"/>
      <c r="D267" s="110"/>
    </row>
    <row r="268" spans="1:4">
      <c r="A268" s="110"/>
      <c r="B268" s="161"/>
      <c r="C268" s="110"/>
      <c r="D268" s="110"/>
    </row>
    <row r="269" spans="1:4">
      <c r="A269" s="110"/>
      <c r="B269" s="161"/>
      <c r="C269" s="110"/>
      <c r="D269" s="110"/>
    </row>
    <row r="270" spans="1:4">
      <c r="A270" s="110"/>
      <c r="B270" s="161"/>
      <c r="C270" s="110"/>
      <c r="D270" s="110"/>
    </row>
    <row r="271" spans="1:4">
      <c r="A271" s="110"/>
      <c r="B271" s="161"/>
      <c r="C271" s="110"/>
      <c r="D271" s="110"/>
    </row>
    <row r="272" spans="1:4">
      <c r="A272" s="110"/>
      <c r="B272" s="161"/>
      <c r="C272" s="110"/>
      <c r="D272" s="110"/>
    </row>
    <row r="273" spans="1:4">
      <c r="A273" s="110"/>
      <c r="B273" s="161"/>
      <c r="C273" s="110"/>
      <c r="D273" s="110"/>
    </row>
    <row r="274" spans="1:4">
      <c r="A274" s="110"/>
      <c r="B274" s="161"/>
      <c r="C274" s="110"/>
      <c r="D274" s="110"/>
    </row>
    <row r="275" spans="1:4">
      <c r="A275" s="110"/>
      <c r="B275" s="161"/>
      <c r="C275" s="110"/>
      <c r="D275" s="110"/>
    </row>
    <row r="276" spans="1:4">
      <c r="A276" s="110"/>
      <c r="B276" s="161"/>
      <c r="C276" s="110"/>
      <c r="D276" s="110"/>
    </row>
    <row r="277" spans="1:4">
      <c r="A277" s="110"/>
      <c r="B277" s="161"/>
      <c r="C277" s="110"/>
      <c r="D277" s="110"/>
    </row>
    <row r="278" spans="1:4">
      <c r="A278" s="110"/>
      <c r="B278" s="161"/>
      <c r="C278" s="110"/>
      <c r="D278" s="110"/>
    </row>
    <row r="279" spans="1:4">
      <c r="A279" s="110"/>
      <c r="B279" s="161"/>
      <c r="C279" s="110"/>
      <c r="D279" s="110"/>
    </row>
    <row r="280" spans="1:4">
      <c r="A280" s="110"/>
      <c r="B280" s="161"/>
      <c r="C280" s="110"/>
      <c r="D280" s="110"/>
    </row>
    <row r="281" spans="1:4">
      <c r="A281" s="110"/>
      <c r="B281" s="161"/>
      <c r="C281" s="110"/>
      <c r="D281" s="110"/>
    </row>
    <row r="282" spans="1:4">
      <c r="A282" s="110"/>
      <c r="B282" s="161"/>
      <c r="C282" s="110"/>
      <c r="D282" s="110"/>
    </row>
    <row r="283" spans="1:4">
      <c r="A283" s="110"/>
      <c r="B283" s="161"/>
      <c r="C283" s="110"/>
      <c r="D283" s="110"/>
    </row>
    <row r="284" spans="1:4">
      <c r="A284" s="110"/>
      <c r="B284" s="161"/>
      <c r="C284" s="110"/>
      <c r="D284" s="110"/>
    </row>
    <row r="285" spans="1:4">
      <c r="A285" s="110"/>
      <c r="B285" s="161"/>
      <c r="C285" s="110"/>
      <c r="D285" s="110"/>
    </row>
    <row r="286" spans="1:4">
      <c r="A286" s="110"/>
      <c r="B286" s="161"/>
      <c r="C286" s="110"/>
      <c r="D286" s="110"/>
    </row>
    <row r="287" spans="1:4">
      <c r="A287" s="110"/>
      <c r="B287" s="161"/>
      <c r="C287" s="110"/>
      <c r="D287" s="110"/>
    </row>
    <row r="288" spans="1:4">
      <c r="A288" s="110"/>
      <c r="B288" s="161"/>
      <c r="C288" s="110"/>
      <c r="D288" s="110"/>
    </row>
    <row r="289" spans="1:4">
      <c r="A289" s="110"/>
      <c r="B289" s="161"/>
      <c r="C289" s="110"/>
      <c r="D289" s="110"/>
    </row>
  </sheetData>
  <pageMargins left="0.511811024" right="0.511811024" top="0.78740157499999996" bottom="0.78740157499999996" header="0.31496062000000002" footer="0.31496062000000002"/>
  <drawing r:id="rId1"/>
</worksheet>
</file>

<file path=xl/worksheets/sheet5.xml><?xml version="1.0" encoding="utf-8"?>
<worksheet xmlns="http://schemas.openxmlformats.org/spreadsheetml/2006/main" xmlns:r="http://schemas.openxmlformats.org/officeDocument/2006/relationships">
  <dimension ref="A13:AN33"/>
  <sheetViews>
    <sheetView zoomScaleNormal="100" workbookViewId="0">
      <selection activeCell="F18" sqref="F18"/>
    </sheetView>
  </sheetViews>
  <sheetFormatPr defaultRowHeight="12.75"/>
  <cols>
    <col min="1" max="2" width="9.140625" style="82"/>
    <col min="3" max="3" width="57" style="82" customWidth="1"/>
    <col min="4" max="4" width="15.42578125" style="82" bestFit="1" customWidth="1"/>
    <col min="5" max="5" width="9.140625" style="82"/>
    <col min="6" max="6" width="10.140625" style="82" bestFit="1" customWidth="1"/>
    <col min="7" max="7" width="9.140625" style="82"/>
    <col min="8" max="8" width="15" style="82" bestFit="1" customWidth="1"/>
    <col min="9" max="40" width="9.140625" style="82"/>
    <col min="41" max="258" width="9.140625" style="81"/>
    <col min="259" max="259" width="57" style="81" customWidth="1"/>
    <col min="260" max="260" width="15.42578125" style="81" bestFit="1" customWidth="1"/>
    <col min="261" max="261" width="9.140625" style="81"/>
    <col min="262" max="262" width="10.140625" style="81" bestFit="1" customWidth="1"/>
    <col min="263" max="514" width="9.140625" style="81"/>
    <col min="515" max="515" width="57" style="81" customWidth="1"/>
    <col min="516" max="516" width="15.42578125" style="81" bestFit="1" customWidth="1"/>
    <col min="517" max="517" width="9.140625" style="81"/>
    <col min="518" max="518" width="10.140625" style="81" bestFit="1" customWidth="1"/>
    <col min="519" max="770" width="9.140625" style="81"/>
    <col min="771" max="771" width="57" style="81" customWidth="1"/>
    <col min="772" max="772" width="15.42578125" style="81" bestFit="1" customWidth="1"/>
    <col min="773" max="773" width="9.140625" style="81"/>
    <col min="774" max="774" width="10.140625" style="81" bestFit="1" customWidth="1"/>
    <col min="775" max="1026" width="9.140625" style="81"/>
    <col min="1027" max="1027" width="57" style="81" customWidth="1"/>
    <col min="1028" max="1028" width="15.42578125" style="81" bestFit="1" customWidth="1"/>
    <col min="1029" max="1029" width="9.140625" style="81"/>
    <col min="1030" max="1030" width="10.140625" style="81" bestFit="1" customWidth="1"/>
    <col min="1031" max="1282" width="9.140625" style="81"/>
    <col min="1283" max="1283" width="57" style="81" customWidth="1"/>
    <col min="1284" max="1284" width="15.42578125" style="81" bestFit="1" customWidth="1"/>
    <col min="1285" max="1285" width="9.140625" style="81"/>
    <col min="1286" max="1286" width="10.140625" style="81" bestFit="1" customWidth="1"/>
    <col min="1287" max="1538" width="9.140625" style="81"/>
    <col min="1539" max="1539" width="57" style="81" customWidth="1"/>
    <col min="1540" max="1540" width="15.42578125" style="81" bestFit="1" customWidth="1"/>
    <col min="1541" max="1541" width="9.140625" style="81"/>
    <col min="1542" max="1542" width="10.140625" style="81" bestFit="1" customWidth="1"/>
    <col min="1543" max="1794" width="9.140625" style="81"/>
    <col min="1795" max="1795" width="57" style="81" customWidth="1"/>
    <col min="1796" max="1796" width="15.42578125" style="81" bestFit="1" customWidth="1"/>
    <col min="1797" max="1797" width="9.140625" style="81"/>
    <col min="1798" max="1798" width="10.140625" style="81" bestFit="1" customWidth="1"/>
    <col min="1799" max="2050" width="9.140625" style="81"/>
    <col min="2051" max="2051" width="57" style="81" customWidth="1"/>
    <col min="2052" max="2052" width="15.42578125" style="81" bestFit="1" customWidth="1"/>
    <col min="2053" max="2053" width="9.140625" style="81"/>
    <col min="2054" max="2054" width="10.140625" style="81" bestFit="1" customWidth="1"/>
    <col min="2055" max="2306" width="9.140625" style="81"/>
    <col min="2307" max="2307" width="57" style="81" customWidth="1"/>
    <col min="2308" max="2308" width="15.42578125" style="81" bestFit="1" customWidth="1"/>
    <col min="2309" max="2309" width="9.140625" style="81"/>
    <col min="2310" max="2310" width="10.140625" style="81" bestFit="1" customWidth="1"/>
    <col min="2311" max="2562" width="9.140625" style="81"/>
    <col min="2563" max="2563" width="57" style="81" customWidth="1"/>
    <col min="2564" max="2564" width="15.42578125" style="81" bestFit="1" customWidth="1"/>
    <col min="2565" max="2565" width="9.140625" style="81"/>
    <col min="2566" max="2566" width="10.140625" style="81" bestFit="1" customWidth="1"/>
    <col min="2567" max="2818" width="9.140625" style="81"/>
    <col min="2819" max="2819" width="57" style="81" customWidth="1"/>
    <col min="2820" max="2820" width="15.42578125" style="81" bestFit="1" customWidth="1"/>
    <col min="2821" max="2821" width="9.140625" style="81"/>
    <col min="2822" max="2822" width="10.140625" style="81" bestFit="1" customWidth="1"/>
    <col min="2823" max="3074" width="9.140625" style="81"/>
    <col min="3075" max="3075" width="57" style="81" customWidth="1"/>
    <col min="3076" max="3076" width="15.42578125" style="81" bestFit="1" customWidth="1"/>
    <col min="3077" max="3077" width="9.140625" style="81"/>
    <col min="3078" max="3078" width="10.140625" style="81" bestFit="1" customWidth="1"/>
    <col min="3079" max="3330" width="9.140625" style="81"/>
    <col min="3331" max="3331" width="57" style="81" customWidth="1"/>
    <col min="3332" max="3332" width="15.42578125" style="81" bestFit="1" customWidth="1"/>
    <col min="3333" max="3333" width="9.140625" style="81"/>
    <col min="3334" max="3334" width="10.140625" style="81" bestFit="1" customWidth="1"/>
    <col min="3335" max="3586" width="9.140625" style="81"/>
    <col min="3587" max="3587" width="57" style="81" customWidth="1"/>
    <col min="3588" max="3588" width="15.42578125" style="81" bestFit="1" customWidth="1"/>
    <col min="3589" max="3589" width="9.140625" style="81"/>
    <col min="3590" max="3590" width="10.140625" style="81" bestFit="1" customWidth="1"/>
    <col min="3591" max="3842" width="9.140625" style="81"/>
    <col min="3843" max="3843" width="57" style="81" customWidth="1"/>
    <col min="3844" max="3844" width="15.42578125" style="81" bestFit="1" customWidth="1"/>
    <col min="3845" max="3845" width="9.140625" style="81"/>
    <col min="3846" max="3846" width="10.140625" style="81" bestFit="1" customWidth="1"/>
    <col min="3847" max="4098" width="9.140625" style="81"/>
    <col min="4099" max="4099" width="57" style="81" customWidth="1"/>
    <col min="4100" max="4100" width="15.42578125" style="81" bestFit="1" customWidth="1"/>
    <col min="4101" max="4101" width="9.140625" style="81"/>
    <col min="4102" max="4102" width="10.140625" style="81" bestFit="1" customWidth="1"/>
    <col min="4103" max="4354" width="9.140625" style="81"/>
    <col min="4355" max="4355" width="57" style="81" customWidth="1"/>
    <col min="4356" max="4356" width="15.42578125" style="81" bestFit="1" customWidth="1"/>
    <col min="4357" max="4357" width="9.140625" style="81"/>
    <col min="4358" max="4358" width="10.140625" style="81" bestFit="1" customWidth="1"/>
    <col min="4359" max="4610" width="9.140625" style="81"/>
    <col min="4611" max="4611" width="57" style="81" customWidth="1"/>
    <col min="4612" max="4612" width="15.42578125" style="81" bestFit="1" customWidth="1"/>
    <col min="4613" max="4613" width="9.140625" style="81"/>
    <col min="4614" max="4614" width="10.140625" style="81" bestFit="1" customWidth="1"/>
    <col min="4615" max="4866" width="9.140625" style="81"/>
    <col min="4867" max="4867" width="57" style="81" customWidth="1"/>
    <col min="4868" max="4868" width="15.42578125" style="81" bestFit="1" customWidth="1"/>
    <col min="4869" max="4869" width="9.140625" style="81"/>
    <col min="4870" max="4870" width="10.140625" style="81" bestFit="1" customWidth="1"/>
    <col min="4871" max="5122" width="9.140625" style="81"/>
    <col min="5123" max="5123" width="57" style="81" customWidth="1"/>
    <col min="5124" max="5124" width="15.42578125" style="81" bestFit="1" customWidth="1"/>
    <col min="5125" max="5125" width="9.140625" style="81"/>
    <col min="5126" max="5126" width="10.140625" style="81" bestFit="1" customWidth="1"/>
    <col min="5127" max="5378" width="9.140625" style="81"/>
    <col min="5379" max="5379" width="57" style="81" customWidth="1"/>
    <col min="5380" max="5380" width="15.42578125" style="81" bestFit="1" customWidth="1"/>
    <col min="5381" max="5381" width="9.140625" style="81"/>
    <col min="5382" max="5382" width="10.140625" style="81" bestFit="1" customWidth="1"/>
    <col min="5383" max="5634" width="9.140625" style="81"/>
    <col min="5635" max="5635" width="57" style="81" customWidth="1"/>
    <col min="5636" max="5636" width="15.42578125" style="81" bestFit="1" customWidth="1"/>
    <col min="5637" max="5637" width="9.140625" style="81"/>
    <col min="5638" max="5638" width="10.140625" style="81" bestFit="1" customWidth="1"/>
    <col min="5639" max="5890" width="9.140625" style="81"/>
    <col min="5891" max="5891" width="57" style="81" customWidth="1"/>
    <col min="5892" max="5892" width="15.42578125" style="81" bestFit="1" customWidth="1"/>
    <col min="5893" max="5893" width="9.140625" style="81"/>
    <col min="5894" max="5894" width="10.140625" style="81" bestFit="1" customWidth="1"/>
    <col min="5895" max="6146" width="9.140625" style="81"/>
    <col min="6147" max="6147" width="57" style="81" customWidth="1"/>
    <col min="6148" max="6148" width="15.42578125" style="81" bestFit="1" customWidth="1"/>
    <col min="6149" max="6149" width="9.140625" style="81"/>
    <col min="6150" max="6150" width="10.140625" style="81" bestFit="1" customWidth="1"/>
    <col min="6151" max="6402" width="9.140625" style="81"/>
    <col min="6403" max="6403" width="57" style="81" customWidth="1"/>
    <col min="6404" max="6404" width="15.42578125" style="81" bestFit="1" customWidth="1"/>
    <col min="6405" max="6405" width="9.140625" style="81"/>
    <col min="6406" max="6406" width="10.140625" style="81" bestFit="1" customWidth="1"/>
    <col min="6407" max="6658" width="9.140625" style="81"/>
    <col min="6659" max="6659" width="57" style="81" customWidth="1"/>
    <col min="6660" max="6660" width="15.42578125" style="81" bestFit="1" customWidth="1"/>
    <col min="6661" max="6661" width="9.140625" style="81"/>
    <col min="6662" max="6662" width="10.140625" style="81" bestFit="1" customWidth="1"/>
    <col min="6663" max="6914" width="9.140625" style="81"/>
    <col min="6915" max="6915" width="57" style="81" customWidth="1"/>
    <col min="6916" max="6916" width="15.42578125" style="81" bestFit="1" customWidth="1"/>
    <col min="6917" max="6917" width="9.140625" style="81"/>
    <col min="6918" max="6918" width="10.140625" style="81" bestFit="1" customWidth="1"/>
    <col min="6919" max="7170" width="9.140625" style="81"/>
    <col min="7171" max="7171" width="57" style="81" customWidth="1"/>
    <col min="7172" max="7172" width="15.42578125" style="81" bestFit="1" customWidth="1"/>
    <col min="7173" max="7173" width="9.140625" style="81"/>
    <col min="7174" max="7174" width="10.140625" style="81" bestFit="1" customWidth="1"/>
    <col min="7175" max="7426" width="9.140625" style="81"/>
    <col min="7427" max="7427" width="57" style="81" customWidth="1"/>
    <col min="7428" max="7428" width="15.42578125" style="81" bestFit="1" customWidth="1"/>
    <col min="7429" max="7429" width="9.140625" style="81"/>
    <col min="7430" max="7430" width="10.140625" style="81" bestFit="1" customWidth="1"/>
    <col min="7431" max="7682" width="9.140625" style="81"/>
    <col min="7683" max="7683" width="57" style="81" customWidth="1"/>
    <col min="7684" max="7684" width="15.42578125" style="81" bestFit="1" customWidth="1"/>
    <col min="7685" max="7685" width="9.140625" style="81"/>
    <col min="7686" max="7686" width="10.140625" style="81" bestFit="1" customWidth="1"/>
    <col min="7687" max="7938" width="9.140625" style="81"/>
    <col min="7939" max="7939" width="57" style="81" customWidth="1"/>
    <col min="7940" max="7940" width="15.42578125" style="81" bestFit="1" customWidth="1"/>
    <col min="7941" max="7941" width="9.140625" style="81"/>
    <col min="7942" max="7942" width="10.140625" style="81" bestFit="1" customWidth="1"/>
    <col min="7943" max="8194" width="9.140625" style="81"/>
    <col min="8195" max="8195" width="57" style="81" customWidth="1"/>
    <col min="8196" max="8196" width="15.42578125" style="81" bestFit="1" customWidth="1"/>
    <col min="8197" max="8197" width="9.140625" style="81"/>
    <col min="8198" max="8198" width="10.140625" style="81" bestFit="1" customWidth="1"/>
    <col min="8199" max="8450" width="9.140625" style="81"/>
    <col min="8451" max="8451" width="57" style="81" customWidth="1"/>
    <col min="8452" max="8452" width="15.42578125" style="81" bestFit="1" customWidth="1"/>
    <col min="8453" max="8453" width="9.140625" style="81"/>
    <col min="8454" max="8454" width="10.140625" style="81" bestFit="1" customWidth="1"/>
    <col min="8455" max="8706" width="9.140625" style="81"/>
    <col min="8707" max="8707" width="57" style="81" customWidth="1"/>
    <col min="8708" max="8708" width="15.42578125" style="81" bestFit="1" customWidth="1"/>
    <col min="8709" max="8709" width="9.140625" style="81"/>
    <col min="8710" max="8710" width="10.140625" style="81" bestFit="1" customWidth="1"/>
    <col min="8711" max="8962" width="9.140625" style="81"/>
    <col min="8963" max="8963" width="57" style="81" customWidth="1"/>
    <col min="8964" max="8964" width="15.42578125" style="81" bestFit="1" customWidth="1"/>
    <col min="8965" max="8965" width="9.140625" style="81"/>
    <col min="8966" max="8966" width="10.140625" style="81" bestFit="1" customWidth="1"/>
    <col min="8967" max="9218" width="9.140625" style="81"/>
    <col min="9219" max="9219" width="57" style="81" customWidth="1"/>
    <col min="9220" max="9220" width="15.42578125" style="81" bestFit="1" customWidth="1"/>
    <col min="9221" max="9221" width="9.140625" style="81"/>
    <col min="9222" max="9222" width="10.140625" style="81" bestFit="1" customWidth="1"/>
    <col min="9223" max="9474" width="9.140625" style="81"/>
    <col min="9475" max="9475" width="57" style="81" customWidth="1"/>
    <col min="9476" max="9476" width="15.42578125" style="81" bestFit="1" customWidth="1"/>
    <col min="9477" max="9477" width="9.140625" style="81"/>
    <col min="9478" max="9478" width="10.140625" style="81" bestFit="1" customWidth="1"/>
    <col min="9479" max="9730" width="9.140625" style="81"/>
    <col min="9731" max="9731" width="57" style="81" customWidth="1"/>
    <col min="9732" max="9732" width="15.42578125" style="81" bestFit="1" customWidth="1"/>
    <col min="9733" max="9733" width="9.140625" style="81"/>
    <col min="9734" max="9734" width="10.140625" style="81" bestFit="1" customWidth="1"/>
    <col min="9735" max="9986" width="9.140625" style="81"/>
    <col min="9987" max="9987" width="57" style="81" customWidth="1"/>
    <col min="9988" max="9988" width="15.42578125" style="81" bestFit="1" customWidth="1"/>
    <col min="9989" max="9989" width="9.140625" style="81"/>
    <col min="9990" max="9990" width="10.140625" style="81" bestFit="1" customWidth="1"/>
    <col min="9991" max="10242" width="9.140625" style="81"/>
    <col min="10243" max="10243" width="57" style="81" customWidth="1"/>
    <col min="10244" max="10244" width="15.42578125" style="81" bestFit="1" customWidth="1"/>
    <col min="10245" max="10245" width="9.140625" style="81"/>
    <col min="10246" max="10246" width="10.140625" style="81" bestFit="1" customWidth="1"/>
    <col min="10247" max="10498" width="9.140625" style="81"/>
    <col min="10499" max="10499" width="57" style="81" customWidth="1"/>
    <col min="10500" max="10500" width="15.42578125" style="81" bestFit="1" customWidth="1"/>
    <col min="10501" max="10501" width="9.140625" style="81"/>
    <col min="10502" max="10502" width="10.140625" style="81" bestFit="1" customWidth="1"/>
    <col min="10503" max="10754" width="9.140625" style="81"/>
    <col min="10755" max="10755" width="57" style="81" customWidth="1"/>
    <col min="10756" max="10756" width="15.42578125" style="81" bestFit="1" customWidth="1"/>
    <col min="10757" max="10757" width="9.140625" style="81"/>
    <col min="10758" max="10758" width="10.140625" style="81" bestFit="1" customWidth="1"/>
    <col min="10759" max="11010" width="9.140625" style="81"/>
    <col min="11011" max="11011" width="57" style="81" customWidth="1"/>
    <col min="11012" max="11012" width="15.42578125" style="81" bestFit="1" customWidth="1"/>
    <col min="11013" max="11013" width="9.140625" style="81"/>
    <col min="11014" max="11014" width="10.140625" style="81" bestFit="1" customWidth="1"/>
    <col min="11015" max="11266" width="9.140625" style="81"/>
    <col min="11267" max="11267" width="57" style="81" customWidth="1"/>
    <col min="11268" max="11268" width="15.42578125" style="81" bestFit="1" customWidth="1"/>
    <col min="11269" max="11269" width="9.140625" style="81"/>
    <col min="11270" max="11270" width="10.140625" style="81" bestFit="1" customWidth="1"/>
    <col min="11271" max="11522" width="9.140625" style="81"/>
    <col min="11523" max="11523" width="57" style="81" customWidth="1"/>
    <col min="11524" max="11524" width="15.42578125" style="81" bestFit="1" customWidth="1"/>
    <col min="11525" max="11525" width="9.140625" style="81"/>
    <col min="11526" max="11526" width="10.140625" style="81" bestFit="1" customWidth="1"/>
    <col min="11527" max="11778" width="9.140625" style="81"/>
    <col min="11779" max="11779" width="57" style="81" customWidth="1"/>
    <col min="11780" max="11780" width="15.42578125" style="81" bestFit="1" customWidth="1"/>
    <col min="11781" max="11781" width="9.140625" style="81"/>
    <col min="11782" max="11782" width="10.140625" style="81" bestFit="1" customWidth="1"/>
    <col min="11783" max="12034" width="9.140625" style="81"/>
    <col min="12035" max="12035" width="57" style="81" customWidth="1"/>
    <col min="12036" max="12036" width="15.42578125" style="81" bestFit="1" customWidth="1"/>
    <col min="12037" max="12037" width="9.140625" style="81"/>
    <col min="12038" max="12038" width="10.140625" style="81" bestFit="1" customWidth="1"/>
    <col min="12039" max="12290" width="9.140625" style="81"/>
    <col min="12291" max="12291" width="57" style="81" customWidth="1"/>
    <col min="12292" max="12292" width="15.42578125" style="81" bestFit="1" customWidth="1"/>
    <col min="12293" max="12293" width="9.140625" style="81"/>
    <col min="12294" max="12294" width="10.140625" style="81" bestFit="1" customWidth="1"/>
    <col min="12295" max="12546" width="9.140625" style="81"/>
    <col min="12547" max="12547" width="57" style="81" customWidth="1"/>
    <col min="12548" max="12548" width="15.42578125" style="81" bestFit="1" customWidth="1"/>
    <col min="12549" max="12549" width="9.140625" style="81"/>
    <col min="12550" max="12550" width="10.140625" style="81" bestFit="1" customWidth="1"/>
    <col min="12551" max="12802" width="9.140625" style="81"/>
    <col min="12803" max="12803" width="57" style="81" customWidth="1"/>
    <col min="12804" max="12804" width="15.42578125" style="81" bestFit="1" customWidth="1"/>
    <col min="12805" max="12805" width="9.140625" style="81"/>
    <col min="12806" max="12806" width="10.140625" style="81" bestFit="1" customWidth="1"/>
    <col min="12807" max="13058" width="9.140625" style="81"/>
    <col min="13059" max="13059" width="57" style="81" customWidth="1"/>
    <col min="13060" max="13060" width="15.42578125" style="81" bestFit="1" customWidth="1"/>
    <col min="13061" max="13061" width="9.140625" style="81"/>
    <col min="13062" max="13062" width="10.140625" style="81" bestFit="1" customWidth="1"/>
    <col min="13063" max="13314" width="9.140625" style="81"/>
    <col min="13315" max="13315" width="57" style="81" customWidth="1"/>
    <col min="13316" max="13316" width="15.42578125" style="81" bestFit="1" customWidth="1"/>
    <col min="13317" max="13317" width="9.140625" style="81"/>
    <col min="13318" max="13318" width="10.140625" style="81" bestFit="1" customWidth="1"/>
    <col min="13319" max="13570" width="9.140625" style="81"/>
    <col min="13571" max="13571" width="57" style="81" customWidth="1"/>
    <col min="13572" max="13572" width="15.42578125" style="81" bestFit="1" customWidth="1"/>
    <col min="13573" max="13573" width="9.140625" style="81"/>
    <col min="13574" max="13574" width="10.140625" style="81" bestFit="1" customWidth="1"/>
    <col min="13575" max="13826" width="9.140625" style="81"/>
    <col min="13827" max="13827" width="57" style="81" customWidth="1"/>
    <col min="13828" max="13828" width="15.42578125" style="81" bestFit="1" customWidth="1"/>
    <col min="13829" max="13829" width="9.140625" style="81"/>
    <col min="13830" max="13830" width="10.140625" style="81" bestFit="1" customWidth="1"/>
    <col min="13831" max="14082" width="9.140625" style="81"/>
    <col min="14083" max="14083" width="57" style="81" customWidth="1"/>
    <col min="14084" max="14084" width="15.42578125" style="81" bestFit="1" customWidth="1"/>
    <col min="14085" max="14085" width="9.140625" style="81"/>
    <col min="14086" max="14086" width="10.140625" style="81" bestFit="1" customWidth="1"/>
    <col min="14087" max="14338" width="9.140625" style="81"/>
    <col min="14339" max="14339" width="57" style="81" customWidth="1"/>
    <col min="14340" max="14340" width="15.42578125" style="81" bestFit="1" customWidth="1"/>
    <col min="14341" max="14341" width="9.140625" style="81"/>
    <col min="14342" max="14342" width="10.140625" style="81" bestFit="1" customWidth="1"/>
    <col min="14343" max="14594" width="9.140625" style="81"/>
    <col min="14595" max="14595" width="57" style="81" customWidth="1"/>
    <col min="14596" max="14596" width="15.42578125" style="81" bestFit="1" customWidth="1"/>
    <col min="14597" max="14597" width="9.140625" style="81"/>
    <col min="14598" max="14598" width="10.140625" style="81" bestFit="1" customWidth="1"/>
    <col min="14599" max="14850" width="9.140625" style="81"/>
    <col min="14851" max="14851" width="57" style="81" customWidth="1"/>
    <col min="14852" max="14852" width="15.42578125" style="81" bestFit="1" customWidth="1"/>
    <col min="14853" max="14853" width="9.140625" style="81"/>
    <col min="14854" max="14854" width="10.140625" style="81" bestFit="1" customWidth="1"/>
    <col min="14855" max="15106" width="9.140625" style="81"/>
    <col min="15107" max="15107" width="57" style="81" customWidth="1"/>
    <col min="15108" max="15108" width="15.42578125" style="81" bestFit="1" customWidth="1"/>
    <col min="15109" max="15109" width="9.140625" style="81"/>
    <col min="15110" max="15110" width="10.140625" style="81" bestFit="1" customWidth="1"/>
    <col min="15111" max="15362" width="9.140625" style="81"/>
    <col min="15363" max="15363" width="57" style="81" customWidth="1"/>
    <col min="15364" max="15364" width="15.42578125" style="81" bestFit="1" customWidth="1"/>
    <col min="15365" max="15365" width="9.140625" style="81"/>
    <col min="15366" max="15366" width="10.140625" style="81" bestFit="1" customWidth="1"/>
    <col min="15367" max="15618" width="9.140625" style="81"/>
    <col min="15619" max="15619" width="57" style="81" customWidth="1"/>
    <col min="15620" max="15620" width="15.42578125" style="81" bestFit="1" customWidth="1"/>
    <col min="15621" max="15621" width="9.140625" style="81"/>
    <col min="15622" max="15622" width="10.140625" style="81" bestFit="1" customWidth="1"/>
    <col min="15623" max="15874" width="9.140625" style="81"/>
    <col min="15875" max="15875" width="57" style="81" customWidth="1"/>
    <col min="15876" max="15876" width="15.42578125" style="81" bestFit="1" customWidth="1"/>
    <col min="15877" max="15877" width="9.140625" style="81"/>
    <col min="15878" max="15878" width="10.140625" style="81" bestFit="1" customWidth="1"/>
    <col min="15879" max="16130" width="9.140625" style="81"/>
    <col min="16131" max="16131" width="57" style="81" customWidth="1"/>
    <col min="16132" max="16132" width="15.42578125" style="81" bestFit="1" customWidth="1"/>
    <col min="16133" max="16133" width="9.140625" style="81"/>
    <col min="16134" max="16134" width="10.140625" style="81" bestFit="1" customWidth="1"/>
    <col min="16135" max="16384" width="9.140625" style="81"/>
  </cols>
  <sheetData>
    <row r="13" spans="3:7" ht="15">
      <c r="C13" s="103" t="s">
        <v>86</v>
      </c>
      <c r="D13" s="104"/>
      <c r="E13" s="105"/>
      <c r="F13" s="105"/>
      <c r="G13" s="105"/>
    </row>
    <row r="14" spans="3:7">
      <c r="C14" s="105" t="s">
        <v>87</v>
      </c>
      <c r="D14" s="106">
        <v>100000</v>
      </c>
      <c r="E14" s="105" t="s">
        <v>88</v>
      </c>
      <c r="F14" s="105"/>
      <c r="G14" s="105"/>
    </row>
    <row r="15" spans="3:7">
      <c r="C15" s="105" t="s">
        <v>108</v>
      </c>
      <c r="D15" s="107">
        <v>1403</v>
      </c>
      <c r="E15" s="105" t="s">
        <v>89</v>
      </c>
      <c r="F15" s="105"/>
      <c r="G15" s="105"/>
    </row>
    <row r="16" spans="3:7">
      <c r="C16" s="105" t="s">
        <v>90</v>
      </c>
      <c r="D16" s="108">
        <f>5000/D15</f>
        <v>3.5637918745545258</v>
      </c>
      <c r="E16" s="105"/>
      <c r="F16" s="105"/>
      <c r="G16" s="105"/>
    </row>
    <row r="17" spans="3:8">
      <c r="C17" s="105" t="s">
        <v>109</v>
      </c>
      <c r="D17" s="106">
        <f>433522*1000</f>
        <v>433522000</v>
      </c>
      <c r="E17" s="105" t="s">
        <v>91</v>
      </c>
      <c r="F17" s="109">
        <f>D17/8760</f>
        <v>49488.812785388131</v>
      </c>
      <c r="G17" s="110" t="s">
        <v>92</v>
      </c>
      <c r="H17" s="128"/>
    </row>
    <row r="18" spans="3:8">
      <c r="C18" s="105" t="s">
        <v>93</v>
      </c>
      <c r="D18" s="106">
        <f>FCF!C6*8760</f>
        <v>8239656</v>
      </c>
      <c r="E18" s="105" t="s">
        <v>91</v>
      </c>
      <c r="F18" s="109"/>
      <c r="G18" s="110"/>
    </row>
    <row r="19" spans="3:8">
      <c r="C19" s="105" t="s">
        <v>94</v>
      </c>
      <c r="D19" s="108">
        <f>D18/D17*95000</f>
        <v>1805.5999926185982</v>
      </c>
      <c r="E19" s="105"/>
      <c r="F19" s="105"/>
      <c r="G19" s="105"/>
    </row>
    <row r="20" spans="3:8">
      <c r="C20" s="105" t="s">
        <v>95</v>
      </c>
      <c r="D20" s="108">
        <f>D19+D16</f>
        <v>1809.1637844931527</v>
      </c>
      <c r="E20" s="105"/>
      <c r="F20" s="105"/>
      <c r="G20" s="105"/>
    </row>
    <row r="21" spans="3:8">
      <c r="C21" s="105" t="s">
        <v>96</v>
      </c>
      <c r="D21" s="111">
        <f>D20/D14</f>
        <v>1.8091637844931528E-2</v>
      </c>
      <c r="E21" s="105"/>
      <c r="F21" s="105"/>
      <c r="G21" s="105"/>
    </row>
    <row r="22" spans="3:8">
      <c r="C22" s="105"/>
      <c r="D22" s="105"/>
      <c r="E22" s="105"/>
      <c r="F22" s="105"/>
      <c r="G22" s="105"/>
    </row>
    <row r="23" spans="3:8" ht="15.75">
      <c r="C23" s="112" t="s">
        <v>130</v>
      </c>
      <c r="D23" s="172">
        <v>94000000</v>
      </c>
      <c r="E23" s="105"/>
      <c r="F23" s="105" t="s">
        <v>132</v>
      </c>
      <c r="G23" s="105"/>
    </row>
    <row r="24" spans="3:8" ht="15.75">
      <c r="C24" s="112"/>
      <c r="D24" s="109"/>
      <c r="E24" s="105"/>
      <c r="F24" s="105"/>
      <c r="G24" s="105"/>
    </row>
    <row r="25" spans="3:8" ht="15.75">
      <c r="C25" s="112"/>
      <c r="D25" s="109"/>
      <c r="E25" s="105"/>
      <c r="F25" s="105"/>
      <c r="G25" s="105"/>
    </row>
    <row r="26" spans="3:8" ht="15.75">
      <c r="C26" s="112" t="s">
        <v>131</v>
      </c>
      <c r="D26" s="113">
        <f>D23*D21</f>
        <v>1700613.9574235636</v>
      </c>
      <c r="E26" s="105"/>
      <c r="F26" s="105"/>
      <c r="G26" s="105"/>
    </row>
    <row r="27" spans="3:8">
      <c r="C27" s="104"/>
      <c r="D27" s="114">
        <f>D26/D18</f>
        <v>0.20639380544813565</v>
      </c>
      <c r="E27" s="110" t="s">
        <v>97</v>
      </c>
      <c r="F27" s="105"/>
      <c r="G27" s="105"/>
    </row>
    <row r="28" spans="3:8">
      <c r="C28" s="105" t="s">
        <v>107</v>
      </c>
      <c r="D28" s="104"/>
      <c r="E28" s="105"/>
      <c r="F28" s="105"/>
      <c r="G28" s="105"/>
    </row>
    <row r="31" spans="3:8">
      <c r="C31" s="127" t="s">
        <v>103</v>
      </c>
      <c r="D31" s="42" t="s">
        <v>104</v>
      </c>
    </row>
    <row r="32" spans="3:8">
      <c r="C32" s="127" t="s">
        <v>105</v>
      </c>
      <c r="D32" s="42" t="s">
        <v>106</v>
      </c>
    </row>
    <row r="33" spans="3:4">
      <c r="C33" s="127"/>
      <c r="D33" s="42"/>
    </row>
  </sheetData>
  <hyperlinks>
    <hyperlink ref="D31" r:id="rId1"/>
    <hyperlink ref="D32" r:id="rId2"/>
  </hyperlinks>
  <pageMargins left="0.511811024" right="0.511811024" top="0.78740157499999996" bottom="0.78740157499999996" header="0.31496062000000002" footer="0.31496062000000002"/>
  <drawing r:id="rId3"/>
</worksheet>
</file>

<file path=xl/worksheets/sheet6.xml><?xml version="1.0" encoding="utf-8"?>
<worksheet xmlns="http://schemas.openxmlformats.org/spreadsheetml/2006/main" xmlns:r="http://schemas.openxmlformats.org/officeDocument/2006/relationships">
  <dimension ref="A1:O62"/>
  <sheetViews>
    <sheetView workbookViewId="0">
      <selection activeCell="B43" sqref="B43"/>
    </sheetView>
  </sheetViews>
  <sheetFormatPr defaultRowHeight="12.75"/>
  <cols>
    <col min="1" max="1" width="33.5703125" style="71" customWidth="1"/>
    <col min="2" max="2" width="14.28515625" style="71" bestFit="1" customWidth="1"/>
    <col min="3" max="3" width="33.140625" style="71" bestFit="1" customWidth="1"/>
    <col min="4" max="4" width="24.42578125" style="71" customWidth="1"/>
    <col min="5" max="6" width="12.5703125" style="71" bestFit="1" customWidth="1"/>
    <col min="7" max="7" width="15" style="71" bestFit="1" customWidth="1"/>
    <col min="8" max="16384" width="9.140625" style="71"/>
  </cols>
  <sheetData>
    <row r="1" spans="1:15" ht="15.75">
      <c r="A1" s="183" t="s">
        <v>139</v>
      </c>
      <c r="B1" s="184"/>
      <c r="C1" s="185"/>
      <c r="D1" s="186"/>
      <c r="E1" s="186"/>
      <c r="F1" s="186"/>
      <c r="G1" s="186"/>
      <c r="H1" s="186"/>
      <c r="I1" s="186"/>
      <c r="J1" s="186"/>
      <c r="K1" s="186"/>
      <c r="L1" s="186"/>
      <c r="M1" s="186"/>
      <c r="N1" s="186"/>
      <c r="O1" s="186"/>
    </row>
    <row r="2" spans="1:15">
      <c r="A2" s="186"/>
      <c r="B2" s="186"/>
      <c r="C2" s="186"/>
      <c r="D2" s="186"/>
      <c r="E2" s="186"/>
      <c r="F2" s="186"/>
      <c r="G2" s="186"/>
      <c r="H2" s="186"/>
      <c r="I2" s="186"/>
      <c r="J2" s="186"/>
      <c r="K2" s="186"/>
      <c r="L2" s="186"/>
      <c r="M2" s="186"/>
      <c r="N2" s="186"/>
      <c r="O2" s="186"/>
    </row>
    <row r="3" spans="1:15">
      <c r="A3" s="256" t="s">
        <v>140</v>
      </c>
      <c r="B3" s="256"/>
      <c r="C3" s="187" t="s">
        <v>141</v>
      </c>
      <c r="D3" s="187" t="s">
        <v>142</v>
      </c>
      <c r="E3" s="187" t="s">
        <v>143</v>
      </c>
      <c r="F3" s="188"/>
      <c r="G3" s="188"/>
      <c r="H3" s="189"/>
      <c r="I3" s="190"/>
      <c r="J3" s="188"/>
      <c r="K3" s="188"/>
      <c r="L3" s="188"/>
      <c r="M3" s="188"/>
      <c r="N3" s="191"/>
      <c r="O3" s="191"/>
    </row>
    <row r="4" spans="1:15">
      <c r="A4" s="192" t="s">
        <v>144</v>
      </c>
      <c r="B4" s="193">
        <f>D14</f>
        <v>6.2674999999999995E-2</v>
      </c>
      <c r="C4" s="192" t="s">
        <v>145</v>
      </c>
      <c r="D4" s="194" t="s">
        <v>146</v>
      </c>
      <c r="E4" s="195" t="s">
        <v>147</v>
      </c>
      <c r="F4" s="186"/>
      <c r="G4" s="186"/>
      <c r="H4" s="196"/>
      <c r="I4" s="191"/>
      <c r="J4" s="188"/>
      <c r="K4" s="188"/>
      <c r="L4" s="188"/>
      <c r="M4" s="188"/>
      <c r="N4" s="191"/>
      <c r="O4" s="191"/>
    </row>
    <row r="5" spans="1:15">
      <c r="A5" s="192" t="s">
        <v>148</v>
      </c>
      <c r="B5" s="193">
        <v>8.9999999999999993E-3</v>
      </c>
      <c r="C5" s="192" t="s">
        <v>149</v>
      </c>
      <c r="D5" s="194" t="s">
        <v>146</v>
      </c>
      <c r="E5" s="195" t="s">
        <v>150</v>
      </c>
      <c r="F5" s="186"/>
      <c r="G5" s="186"/>
      <c r="H5" s="196"/>
      <c r="I5" s="191"/>
      <c r="J5" s="188"/>
      <c r="K5" s="188"/>
      <c r="L5" s="188"/>
      <c r="M5" s="188"/>
      <c r="N5" s="191"/>
      <c r="O5" s="191"/>
    </row>
    <row r="6" spans="1:15">
      <c r="A6" s="192" t="s">
        <v>151</v>
      </c>
      <c r="B6" s="193">
        <v>2.0899999999999998E-2</v>
      </c>
      <c r="C6" s="192" t="s">
        <v>152</v>
      </c>
      <c r="D6" s="194" t="s">
        <v>146</v>
      </c>
      <c r="E6" s="195" t="s">
        <v>150</v>
      </c>
      <c r="F6" s="188"/>
      <c r="G6" s="188"/>
      <c r="H6" s="196"/>
      <c r="I6" s="191"/>
      <c r="J6" s="188"/>
      <c r="K6" s="188"/>
      <c r="L6" s="188"/>
      <c r="M6" s="188"/>
      <c r="N6" s="191"/>
      <c r="O6" s="191"/>
    </row>
    <row r="7" spans="1:15">
      <c r="A7" s="197" t="s">
        <v>153</v>
      </c>
      <c r="B7" s="198">
        <f>SUM(B4:B6)</f>
        <v>9.2574999999999991E-2</v>
      </c>
      <c r="C7" s="192" t="s">
        <v>154</v>
      </c>
      <c r="D7" s="192" t="s">
        <v>29</v>
      </c>
      <c r="E7" s="199"/>
      <c r="F7" s="188"/>
      <c r="G7" s="188"/>
      <c r="H7" s="200"/>
      <c r="I7" s="191"/>
      <c r="J7" s="188"/>
      <c r="K7" s="188"/>
      <c r="L7" s="188"/>
      <c r="M7" s="188"/>
      <c r="N7" s="191"/>
      <c r="O7" s="191"/>
    </row>
    <row r="8" spans="1:15" ht="36">
      <c r="A8" s="201" t="s">
        <v>155</v>
      </c>
      <c r="B8" s="202">
        <v>0</v>
      </c>
      <c r="C8" s="201" t="s">
        <v>156</v>
      </c>
      <c r="D8" s="201" t="s">
        <v>157</v>
      </c>
      <c r="E8" s="203" t="s">
        <v>158</v>
      </c>
      <c r="F8" s="188"/>
      <c r="G8" s="188"/>
      <c r="H8" s="204"/>
      <c r="I8" s="191"/>
      <c r="J8" s="188"/>
      <c r="K8" s="188"/>
      <c r="L8" s="188"/>
      <c r="M8" s="188"/>
      <c r="N8" s="191"/>
      <c r="O8" s="191"/>
    </row>
    <row r="9" spans="1:15" ht="24">
      <c r="A9" s="197" t="s">
        <v>159</v>
      </c>
      <c r="B9" s="205">
        <f>B7*(1-B8)</f>
        <v>9.2574999999999991E-2</v>
      </c>
      <c r="C9" s="192" t="s">
        <v>160</v>
      </c>
      <c r="D9" s="192"/>
      <c r="E9" s="199"/>
      <c r="F9" s="188"/>
      <c r="G9" s="188"/>
      <c r="H9" s="206"/>
      <c r="I9" s="191"/>
      <c r="J9" s="190"/>
      <c r="K9" s="190"/>
      <c r="L9" s="191"/>
      <c r="M9" s="207"/>
      <c r="N9" s="191"/>
      <c r="O9" s="191"/>
    </row>
    <row r="10" spans="1:15">
      <c r="A10" s="197" t="s">
        <v>161</v>
      </c>
      <c r="B10" s="205">
        <v>4.4999999999999998E-2</v>
      </c>
      <c r="C10" s="192" t="s">
        <v>162</v>
      </c>
      <c r="D10" s="192" t="s">
        <v>163</v>
      </c>
      <c r="E10" s="195" t="s">
        <v>164</v>
      </c>
      <c r="F10" s="188"/>
      <c r="G10" s="188"/>
      <c r="H10" s="206"/>
      <c r="I10" s="191"/>
      <c r="J10" s="190"/>
      <c r="K10" s="190"/>
      <c r="L10" s="191"/>
      <c r="M10" s="207"/>
      <c r="N10" s="191"/>
      <c r="O10" s="191"/>
    </row>
    <row r="11" spans="1:15">
      <c r="A11" s="201" t="s">
        <v>165</v>
      </c>
      <c r="B11" s="208">
        <f>(1+B9)/(1+B10)-1</f>
        <v>4.5526315789473859E-2</v>
      </c>
      <c r="C11" s="201" t="s">
        <v>166</v>
      </c>
      <c r="D11" s="201"/>
      <c r="E11" s="209"/>
      <c r="F11" s="188"/>
      <c r="G11" s="188"/>
      <c r="H11" s="206"/>
      <c r="I11" s="191"/>
      <c r="J11" s="190"/>
      <c r="K11" s="190"/>
      <c r="L11" s="191"/>
      <c r="M11" s="207"/>
      <c r="N11" s="191"/>
      <c r="O11" s="191"/>
    </row>
    <row r="14" spans="1:15">
      <c r="A14" s="257" t="s">
        <v>167</v>
      </c>
      <c r="B14" s="257"/>
      <c r="C14" s="210" t="s">
        <v>168</v>
      </c>
      <c r="D14" s="211">
        <f>AVERAGE(B15:B34)</f>
        <v>6.2674999999999995E-2</v>
      </c>
      <c r="E14" s="162"/>
    </row>
    <row r="15" spans="1:15">
      <c r="A15" s="212" t="s">
        <v>169</v>
      </c>
      <c r="B15" s="213">
        <v>0.06</v>
      </c>
      <c r="C15" s="214" t="s">
        <v>170</v>
      </c>
      <c r="D15" s="212" t="s">
        <v>171</v>
      </c>
      <c r="E15" s="215"/>
    </row>
    <row r="16" spans="1:15">
      <c r="A16" s="212" t="s">
        <v>172</v>
      </c>
      <c r="B16" s="213">
        <v>0.06</v>
      </c>
      <c r="C16" s="162"/>
      <c r="D16" s="215"/>
      <c r="E16" s="162"/>
    </row>
    <row r="17" spans="1:2">
      <c r="A17" s="212" t="s">
        <v>173</v>
      </c>
      <c r="B17" s="216">
        <v>0.06</v>
      </c>
    </row>
    <row r="18" spans="1:2">
      <c r="A18" s="212" t="s">
        <v>174</v>
      </c>
      <c r="B18" s="216">
        <v>0.06</v>
      </c>
    </row>
    <row r="19" spans="1:2">
      <c r="A19" s="212" t="s">
        <v>175</v>
      </c>
      <c r="B19" s="216">
        <v>0.06</v>
      </c>
    </row>
    <row r="20" spans="1:2">
      <c r="A20" s="212" t="s">
        <v>176</v>
      </c>
      <c r="B20" s="216">
        <v>0.06</v>
      </c>
    </row>
    <row r="21" spans="1:2">
      <c r="A21" s="212" t="s">
        <v>177</v>
      </c>
      <c r="B21" s="213">
        <v>0.06</v>
      </c>
    </row>
    <row r="22" spans="1:2">
      <c r="A22" s="212" t="s">
        <v>178</v>
      </c>
      <c r="B22" s="213">
        <v>0.06</v>
      </c>
    </row>
    <row r="23" spans="1:2">
      <c r="A23" s="217" t="s">
        <v>179</v>
      </c>
      <c r="B23" s="218">
        <v>6.25E-2</v>
      </c>
    </row>
    <row r="24" spans="1:2">
      <c r="A24" s="217" t="s">
        <v>180</v>
      </c>
      <c r="B24" s="218">
        <v>6.25E-2</v>
      </c>
    </row>
    <row r="25" spans="1:2">
      <c r="A25" s="217" t="s">
        <v>181</v>
      </c>
      <c r="B25" s="218">
        <v>6.25E-2</v>
      </c>
    </row>
    <row r="26" spans="1:2">
      <c r="A26" s="217" t="s">
        <v>182</v>
      </c>
      <c r="B26" s="218">
        <v>6.25E-2</v>
      </c>
    </row>
    <row r="27" spans="1:2">
      <c r="A27" s="217" t="s">
        <v>183</v>
      </c>
      <c r="B27" s="218">
        <v>6.25E-2</v>
      </c>
    </row>
    <row r="28" spans="1:2">
      <c r="A28" s="217" t="s">
        <v>184</v>
      </c>
      <c r="B28" s="218">
        <v>6.25E-2</v>
      </c>
    </row>
    <row r="29" spans="1:2">
      <c r="A29" s="217" t="s">
        <v>185</v>
      </c>
      <c r="B29" s="218">
        <v>6.25E-2</v>
      </c>
    </row>
    <row r="30" spans="1:2">
      <c r="A30" s="217" t="s">
        <v>186</v>
      </c>
      <c r="B30" s="218">
        <v>6.25E-2</v>
      </c>
    </row>
    <row r="31" spans="1:2">
      <c r="A31" s="217" t="s">
        <v>187</v>
      </c>
      <c r="B31" s="218">
        <v>6.5000000000000002E-2</v>
      </c>
    </row>
    <row r="32" spans="1:2">
      <c r="A32" s="217" t="s">
        <v>188</v>
      </c>
      <c r="B32" s="218">
        <v>6.5000000000000002E-2</v>
      </c>
    </row>
    <row r="33" spans="1:6">
      <c r="A33" s="217" t="s">
        <v>189</v>
      </c>
      <c r="B33" s="218">
        <v>6.8500000000000005E-2</v>
      </c>
    </row>
    <row r="34" spans="1:6">
      <c r="A34" s="217" t="s">
        <v>190</v>
      </c>
      <c r="B34" s="218">
        <v>7.4999999999999997E-2</v>
      </c>
    </row>
    <row r="36" spans="1:6">
      <c r="A36" s="160" t="s">
        <v>147</v>
      </c>
    </row>
    <row r="38" spans="1:6" ht="15">
      <c r="A38" s="219" t="s">
        <v>191</v>
      </c>
      <c r="B38" s="220">
        <f>B11</f>
        <v>4.5526315789473859E-2</v>
      </c>
    </row>
    <row r="39" spans="1:6" ht="15">
      <c r="A39" s="219" t="s">
        <v>192</v>
      </c>
      <c r="B39" s="221">
        <v>15</v>
      </c>
    </row>
    <row r="41" spans="1:6" ht="15">
      <c r="C41" s="222"/>
      <c r="F41" s="222"/>
    </row>
    <row r="42" spans="1:6" ht="15">
      <c r="A42" s="223"/>
      <c r="B42" s="223"/>
      <c r="C42" s="224" t="s">
        <v>193</v>
      </c>
      <c r="D42" s="225" t="s">
        <v>194</v>
      </c>
      <c r="E42" s="226"/>
      <c r="F42" s="222"/>
    </row>
    <row r="43" spans="1:6" ht="15">
      <c r="A43" s="225" t="s">
        <v>73</v>
      </c>
      <c r="B43" s="224">
        <f>Inv!Q12*0.7</f>
        <v>2497339.9198999996</v>
      </c>
      <c r="C43" s="225" t="s">
        <v>29</v>
      </c>
      <c r="D43" s="225" t="s">
        <v>29</v>
      </c>
    </row>
    <row r="44" spans="1:6" ht="15">
      <c r="A44" s="225">
        <v>1</v>
      </c>
      <c r="B44" s="227">
        <f>+B43-C44</f>
        <v>2330850.5919066663</v>
      </c>
      <c r="C44" s="224">
        <f t="shared" ref="C44:C58" si="0">$B$43/15</f>
        <v>166489.32799333331</v>
      </c>
      <c r="D44" s="224">
        <f t="shared" ref="D44:D58" si="1">(+B43*$B$38)/1000</f>
        <v>113.69468582702675</v>
      </c>
    </row>
    <row r="45" spans="1:6" ht="15">
      <c r="A45" s="225">
        <v>2</v>
      </c>
      <c r="B45" s="227">
        <f t="shared" ref="B45:B58" si="2">+B44-C45</f>
        <v>2164361.263913333</v>
      </c>
      <c r="C45" s="224">
        <f t="shared" si="0"/>
        <v>166489.32799333331</v>
      </c>
      <c r="D45" s="224">
        <f t="shared" si="1"/>
        <v>106.11504010522495</v>
      </c>
    </row>
    <row r="46" spans="1:6" ht="15">
      <c r="A46" s="225">
        <v>3</v>
      </c>
      <c r="B46" s="227">
        <f t="shared" si="2"/>
        <v>1997871.9359199996</v>
      </c>
      <c r="C46" s="224">
        <f t="shared" si="0"/>
        <v>166489.32799333331</v>
      </c>
      <c r="D46" s="224">
        <f t="shared" si="1"/>
        <v>98.535394383423167</v>
      </c>
    </row>
    <row r="47" spans="1:6" ht="15">
      <c r="A47" s="225">
        <v>4</v>
      </c>
      <c r="B47" s="227">
        <f t="shared" si="2"/>
        <v>1831382.6079266663</v>
      </c>
      <c r="C47" s="224">
        <f t="shared" si="0"/>
        <v>166489.32799333331</v>
      </c>
      <c r="D47" s="224">
        <f t="shared" si="1"/>
        <v>90.955748661621385</v>
      </c>
    </row>
    <row r="48" spans="1:6" ht="15">
      <c r="A48" s="225">
        <v>5</v>
      </c>
      <c r="B48" s="227">
        <f t="shared" si="2"/>
        <v>1664893.2799333329</v>
      </c>
      <c r="C48" s="224">
        <f t="shared" si="0"/>
        <v>166489.32799333331</v>
      </c>
      <c r="D48" s="224">
        <f t="shared" si="1"/>
        <v>83.376102939819603</v>
      </c>
    </row>
    <row r="49" spans="1:4" ht="15">
      <c r="A49" s="225">
        <v>6</v>
      </c>
      <c r="B49" s="227">
        <f t="shared" si="2"/>
        <v>1498403.9519399996</v>
      </c>
      <c r="C49" s="224">
        <f t="shared" si="0"/>
        <v>166489.32799333331</v>
      </c>
      <c r="D49" s="224">
        <f t="shared" si="1"/>
        <v>75.796457218017821</v>
      </c>
    </row>
    <row r="50" spans="1:4" ht="15">
      <c r="A50" s="225">
        <v>7</v>
      </c>
      <c r="B50" s="227">
        <f t="shared" si="2"/>
        <v>1331914.6239466663</v>
      </c>
      <c r="C50" s="224">
        <f t="shared" si="0"/>
        <v>166489.32799333331</v>
      </c>
      <c r="D50" s="224">
        <f t="shared" si="1"/>
        <v>68.216811496216039</v>
      </c>
    </row>
    <row r="51" spans="1:4" ht="15">
      <c r="A51" s="225">
        <v>8</v>
      </c>
      <c r="B51" s="227">
        <f t="shared" si="2"/>
        <v>1165425.2959533329</v>
      </c>
      <c r="C51" s="224">
        <f t="shared" si="0"/>
        <v>166489.32799333331</v>
      </c>
      <c r="D51" s="224">
        <f t="shared" si="1"/>
        <v>60.63716577441425</v>
      </c>
    </row>
    <row r="52" spans="1:4" ht="15">
      <c r="A52" s="225">
        <v>9</v>
      </c>
      <c r="B52" s="227">
        <f t="shared" si="2"/>
        <v>998935.96795999957</v>
      </c>
      <c r="C52" s="224">
        <f t="shared" si="0"/>
        <v>166489.32799333331</v>
      </c>
      <c r="D52" s="224">
        <f t="shared" si="1"/>
        <v>53.057520052612468</v>
      </c>
    </row>
    <row r="53" spans="1:4" ht="15">
      <c r="A53" s="225">
        <v>10</v>
      </c>
      <c r="B53" s="227">
        <f t="shared" si="2"/>
        <v>832446.63996666623</v>
      </c>
      <c r="C53" s="224">
        <f t="shared" si="0"/>
        <v>166489.32799333331</v>
      </c>
      <c r="D53" s="224">
        <f t="shared" si="1"/>
        <v>45.477874330810678</v>
      </c>
    </row>
    <row r="54" spans="1:4" ht="15">
      <c r="A54" s="225">
        <v>11</v>
      </c>
      <c r="B54" s="227">
        <f t="shared" si="2"/>
        <v>665957.31197333289</v>
      </c>
      <c r="C54" s="224">
        <f t="shared" si="0"/>
        <v>166489.32799333331</v>
      </c>
      <c r="D54" s="224">
        <f t="shared" si="1"/>
        <v>37.898228609008896</v>
      </c>
    </row>
    <row r="55" spans="1:4" ht="15">
      <c r="A55" s="225">
        <v>12</v>
      </c>
      <c r="B55" s="227">
        <f t="shared" si="2"/>
        <v>499467.98397999955</v>
      </c>
      <c r="C55" s="224">
        <f t="shared" si="0"/>
        <v>166489.32799333331</v>
      </c>
      <c r="D55" s="224">
        <f t="shared" si="1"/>
        <v>30.318582887207114</v>
      </c>
    </row>
    <row r="56" spans="1:4" ht="15">
      <c r="A56" s="225">
        <v>13</v>
      </c>
      <c r="B56" s="227">
        <f t="shared" si="2"/>
        <v>332978.65598666621</v>
      </c>
      <c r="C56" s="224">
        <f t="shared" si="0"/>
        <v>166489.32799333331</v>
      </c>
      <c r="D56" s="224">
        <f t="shared" si="1"/>
        <v>22.738937165405328</v>
      </c>
    </row>
    <row r="57" spans="1:4" ht="15">
      <c r="A57" s="225">
        <v>14</v>
      </c>
      <c r="B57" s="227">
        <f t="shared" si="2"/>
        <v>166489.3279933329</v>
      </c>
      <c r="C57" s="224">
        <f t="shared" si="0"/>
        <v>166489.32799333331</v>
      </c>
      <c r="D57" s="224">
        <f t="shared" si="1"/>
        <v>15.159291443603546</v>
      </c>
    </row>
    <row r="58" spans="1:4" ht="15">
      <c r="A58" s="225">
        <v>15</v>
      </c>
      <c r="B58" s="227">
        <f t="shared" si="2"/>
        <v>-4.0745362639427185E-10</v>
      </c>
      <c r="C58" s="224">
        <f t="shared" si="0"/>
        <v>166489.32799333331</v>
      </c>
      <c r="D58" s="224">
        <f t="shared" si="1"/>
        <v>7.5796457218017643</v>
      </c>
    </row>
    <row r="59" spans="1:4" ht="15">
      <c r="A59" s="222"/>
      <c r="B59" s="222"/>
      <c r="C59" s="226">
        <f>SUM(C44:C58)</f>
        <v>2497339.9198999996</v>
      </c>
    </row>
    <row r="60" spans="1:4">
      <c r="C60" s="134"/>
    </row>
    <row r="62" spans="1:4">
      <c r="C62" s="231"/>
    </row>
  </sheetData>
  <mergeCells count="2">
    <mergeCell ref="A3:B3"/>
    <mergeCell ref="A14:B14"/>
  </mergeCells>
  <dataValidations disablePrompts="1" count="1">
    <dataValidation type="list" allowBlank="1" showInputMessage="1" showErrorMessage="1" sqref="B8">
      <formula1>"34%,0%"</formula1>
    </dataValidation>
  </dataValidations>
  <hyperlinks>
    <hyperlink ref="E10" r:id="rId1"/>
    <hyperlink ref="E8" r:id="rId2" display="http://www.receita.fazenda.gov.br/Aliquotas/ContribCsll/Aliquotas.htm"/>
    <hyperlink ref="E5" r:id="rId3"/>
    <hyperlink ref="E6" r:id="rId4"/>
    <hyperlink ref="A36" r:id="rId5"/>
  </hyperlink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8E525B64F43C2B4194AF53939E7CBBB4" ma:contentTypeVersion="2" ma:contentTypeDescription="Create a new document." ma:contentTypeScope="" ma:versionID="784291fcaf800955e83e3951eb4c9ccb">
  <xsd:schema xmlns:xsd="http://www.w3.org/2001/XMLSchema" xmlns:p="http://schemas.microsoft.com/office/2006/metadata/properties" xmlns:ns2="0e6f4cf3-a2bc-41f3-a29e-0b5c32fb267d" targetNamespace="http://schemas.microsoft.com/office/2006/metadata/properties" ma:root="true" ma:fieldsID="0707849b8ba7ed87bee041450b312417" ns2:_="">
    <xsd:import namespace="0e6f4cf3-a2bc-41f3-a29e-0b5c32fb267d"/>
    <xsd:element name="properties">
      <xsd:complexType>
        <xsd:sequence>
          <xsd:element name="documentManagement">
            <xsd:complexType>
              <xsd:all>
                <xsd:element ref="ns2:Contract_x0020_ID" minOccurs="0"/>
              </xsd:all>
            </xsd:complexType>
          </xsd:element>
        </xsd:sequence>
      </xsd:complexType>
    </xsd:element>
  </xsd:schema>
  <xsd:schema xmlns:xsd="http://www.w3.org/2001/XMLSchema" xmlns:dms="http://schemas.microsoft.com/office/2006/documentManagement/types" targetNamespace="0e6f4cf3-a2bc-41f3-a29e-0b5c32fb267d" elementFormDefault="qualified">
    <xsd:import namespace="http://schemas.microsoft.com/office/2006/documentManagement/types"/>
    <xsd:element name="Contract_x0020_ID" ma:index="8" nillable="true" ma:displayName="Contract ID" ma:decimals="0" ma:description="Project Contract ID" ma:internalName="Contract_x0020_ID">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Contract_x0020_ID xmlns="0e6f4cf3-a2bc-41f3-a29e-0b5c32fb267d">68696</Contract_x0020_ID>
  </documentManagement>
</p:properties>
</file>

<file path=customXml/itemProps1.xml><?xml version="1.0" encoding="utf-8"?>
<ds:datastoreItem xmlns:ds="http://schemas.openxmlformats.org/officeDocument/2006/customXml" ds:itemID="{3677DDCA-8353-4F5D-B5EE-89D07725F9C1}"/>
</file>

<file path=customXml/itemProps2.xml><?xml version="1.0" encoding="utf-8"?>
<ds:datastoreItem xmlns:ds="http://schemas.openxmlformats.org/officeDocument/2006/customXml" ds:itemID="{46359BB4-1349-4445-9AFC-9E30813F641C}">
  <ds:schemaRefs>
    <ds:schemaRef ds:uri="http://schemas.microsoft.com/sharepoint/events"/>
  </ds:schemaRefs>
</ds:datastoreItem>
</file>

<file path=customXml/itemProps3.xml><?xml version="1.0" encoding="utf-8"?>
<ds:datastoreItem xmlns:ds="http://schemas.openxmlformats.org/officeDocument/2006/customXml" ds:itemID="{0B0ABA2C-055D-4D3A-A8F4-EC60ECFA246D}"/>
</file>

<file path=customXml/itemProps4.xml><?xml version="1.0" encoding="utf-8"?>
<ds:datastoreItem xmlns:ds="http://schemas.openxmlformats.org/officeDocument/2006/customXml" ds:itemID="{FD508B55-94F1-477D-AC72-1FBCECC2109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FCF</vt:lpstr>
      <vt:lpstr>Inv</vt:lpstr>
      <vt:lpstr>Payment Schedule</vt:lpstr>
      <vt:lpstr>ONS</vt:lpstr>
      <vt:lpstr>CCEE</vt:lpstr>
      <vt:lpstr>Financing</vt:lpstr>
    </vt:vector>
  </TitlesOfParts>
  <Company>Ecoinvest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Carlos de Mathias Martins Jr</dc:creator>
  <cp:lastModifiedBy>Renata</cp:lastModifiedBy>
  <cp:lastPrinted>2001-03-05T14:10:38Z</cp:lastPrinted>
  <dcterms:created xsi:type="dcterms:W3CDTF">2000-11-14T15:26:59Z</dcterms:created>
  <dcterms:modified xsi:type="dcterms:W3CDTF">2012-10-23T17:07:56Z</dcterms:modified>
  <cp:contentType>Document</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082a91ee-9198-4abe-84d3-fb142adead43</vt:lpwstr>
  </property>
  <property fmtid="{D5CDD505-2E9C-101B-9397-08002B2CF9AE}" pid="3" name="ContentTypeId">
    <vt:lpwstr>0x0101008E525B64F43C2B4194AF53939E7CBBB4</vt:lpwstr>
  </property>
  <property fmtid="{D5CDD505-2E9C-101B-9397-08002B2CF9AE}" pid="4" name="_dlc_DocId">
    <vt:lpwstr>EQAOID-339-1626</vt:lpwstr>
  </property>
  <property fmtid="{D5CDD505-2E9C-101B-9397-08002B2CF9AE}" pid="5" name="_dlc_DocIdUrl">
    <vt:lpwstr>http://portal/projetos/neoenergia/_layouts/DocIdRedir.aspx?ID=EQAOID-339-1626EQAOID-339-1626</vt:lpwstr>
  </property>
</Properties>
</file>