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45" yWindow="-15" windowWidth="9645" windowHeight="8835" tabRatio="697" activeTab="7"/>
  </bookViews>
  <sheets>
    <sheet name="Assumptions" sheetId="4" r:id="rId1"/>
    <sheet name="Project Cost" sheetId="29" r:id="rId2"/>
    <sheet name="Operations" sheetId="6" r:id="rId3"/>
    <sheet name="Term Loan" sheetId="28" r:id="rId4"/>
    <sheet name="Depreciation" sheetId="8" r:id="rId5"/>
    <sheet name="Tax calculations" sheetId="9" r:id="rId6"/>
    <sheet name="P&amp;L" sheetId="10" r:id="rId7"/>
    <sheet name="Sensitivity Analysis" sheetId="25" r:id="rId8"/>
  </sheets>
  <definedNames>
    <definedName name="_xlnm.Print_Area" localSheetId="0">Assumptions!$A$1:$D$43</definedName>
    <definedName name="_xlnm.Print_Area" localSheetId="4">Depreciation!$A$2:$U$22</definedName>
    <definedName name="_xlnm.Print_Area" localSheetId="2">Operations!$A$2:$T$14</definedName>
    <definedName name="_xlnm.Print_Area" localSheetId="6">'P&amp;L'!$B$2:$X$31</definedName>
    <definedName name="_xlnm.Print_Area" localSheetId="5">'Tax calculations'!$A$1:$T$18</definedName>
  </definedNames>
  <calcPr calcId="125725"/>
</workbook>
</file>

<file path=xl/calcChain.xml><?xml version="1.0" encoding="utf-8"?>
<calcChain xmlns="http://schemas.openxmlformats.org/spreadsheetml/2006/main">
  <c r="B33" i="4"/>
  <c r="B15"/>
  <c r="B13"/>
  <c r="C13" i="9" l="1"/>
  <c r="D13"/>
  <c r="E13"/>
  <c r="F13"/>
  <c r="G13"/>
  <c r="H13"/>
  <c r="I13"/>
  <c r="J13"/>
  <c r="K13"/>
  <c r="L13"/>
  <c r="M13"/>
  <c r="N13"/>
  <c r="O13"/>
  <c r="P13"/>
  <c r="B13"/>
  <c r="O34" i="10"/>
  <c r="P34"/>
  <c r="Q34"/>
  <c r="R34"/>
  <c r="S34"/>
  <c r="T34"/>
  <c r="U34"/>
  <c r="V34"/>
  <c r="W34"/>
  <c r="X34"/>
  <c r="E6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V6" s="1"/>
  <c r="W6" s="1"/>
  <c r="X6" s="1"/>
  <c r="B8" i="6"/>
  <c r="D8" s="1"/>
  <c r="E8" s="1"/>
  <c r="F8" s="1"/>
  <c r="G8" s="1"/>
  <c r="H8" s="1"/>
  <c r="I8" s="1"/>
  <c r="J8" s="1"/>
  <c r="K8" s="1"/>
  <c r="L8" s="1"/>
  <c r="I9" i="29"/>
  <c r="J9" s="1"/>
  <c r="F25"/>
  <c r="F22"/>
  <c r="F21"/>
  <c r="F17"/>
  <c r="F18"/>
  <c r="F19"/>
  <c r="F20"/>
  <c r="F15"/>
  <c r="F16"/>
  <c r="F14"/>
  <c r="D21"/>
  <c r="F9"/>
  <c r="B22" i="4" s="1"/>
  <c r="G17" i="10" s="1"/>
  <c r="F7" i="29"/>
  <c r="B6" i="4"/>
  <c r="F4" i="6" s="1"/>
  <c r="F7" s="1"/>
  <c r="E18" i="10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B12" i="8"/>
  <c r="B20"/>
  <c r="D155" i="28"/>
  <c r="D140"/>
  <c r="D125"/>
  <c r="D4"/>
  <c r="G78" s="1"/>
  <c r="D110"/>
  <c r="D95"/>
  <c r="D80"/>
  <c r="D65"/>
  <c r="D50"/>
  <c r="D35"/>
  <c r="D20"/>
  <c r="B10" i="6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C2" i="9"/>
  <c r="B11" i="8"/>
  <c r="B25"/>
  <c r="D6" i="6"/>
  <c r="E6"/>
  <c r="B12"/>
  <c r="C12" s="1"/>
  <c r="B4"/>
  <c r="B7" s="1"/>
  <c r="M4"/>
  <c r="M7" s="1"/>
  <c r="S22" i="10"/>
  <c r="T22"/>
  <c r="U22" s="1"/>
  <c r="S4" i="6"/>
  <c r="S7" s="1"/>
  <c r="L4"/>
  <c r="L7" s="1"/>
  <c r="R4"/>
  <c r="R7" s="1"/>
  <c r="P4"/>
  <c r="P7" s="1"/>
  <c r="T4"/>
  <c r="T7" s="1"/>
  <c r="D2" i="9"/>
  <c r="F6" i="6"/>
  <c r="G6"/>
  <c r="H6"/>
  <c r="I6"/>
  <c r="F19" i="10"/>
  <c r="E2" i="9"/>
  <c r="J6" i="6"/>
  <c r="F2" i="9"/>
  <c r="K6" i="6"/>
  <c r="G2" i="9"/>
  <c r="L6" i="6"/>
  <c r="H2" i="9"/>
  <c r="M6" i="6"/>
  <c r="I2" i="9"/>
  <c r="N6" i="6"/>
  <c r="J2" i="9"/>
  <c r="O6" i="6"/>
  <c r="K2" i="9"/>
  <c r="P6" i="6"/>
  <c r="L2" i="9"/>
  <c r="Q6" i="6"/>
  <c r="M2" i="9"/>
  <c r="R6" i="6"/>
  <c r="N2" i="9"/>
  <c r="S6" i="6"/>
  <c r="O2" i="9"/>
  <c r="T6" i="6"/>
  <c r="P2" i="9"/>
  <c r="U6" i="6"/>
  <c r="Q2" i="9"/>
  <c r="R2"/>
  <c r="S2"/>
  <c r="T2"/>
  <c r="U2"/>
  <c r="D12" i="6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G4"/>
  <c r="G7" s="1"/>
  <c r="B3" i="8"/>
  <c r="B5" s="1"/>
  <c r="D2" i="29"/>
  <c r="D4" s="1"/>
  <c r="G19" i="10"/>
  <c r="G68" i="28" l="1"/>
  <c r="G40"/>
  <c r="G73"/>
  <c r="G133"/>
  <c r="G64"/>
  <c r="G19"/>
  <c r="G55"/>
  <c r="G29"/>
  <c r="G135"/>
  <c r="G11"/>
  <c r="G63"/>
  <c r="G16"/>
  <c r="G85"/>
  <c r="G58"/>
  <c r="G138"/>
  <c r="G15"/>
  <c r="G134"/>
  <c r="G107"/>
  <c r="G38"/>
  <c r="G12"/>
  <c r="G13"/>
  <c r="G98"/>
  <c r="G145"/>
  <c r="G87"/>
  <c r="G154"/>
  <c r="G32"/>
  <c r="G76"/>
  <c r="G23"/>
  <c r="G104"/>
  <c r="G106"/>
  <c r="G53"/>
  <c r="G8"/>
  <c r="G136"/>
  <c r="G70"/>
  <c r="G56"/>
  <c r="G94"/>
  <c r="G90"/>
  <c r="G44"/>
  <c r="G49"/>
  <c r="G45"/>
  <c r="G146"/>
  <c r="G74"/>
  <c r="G150"/>
  <c r="G25"/>
  <c r="G118"/>
  <c r="G102"/>
  <c r="G27"/>
  <c r="G130"/>
  <c r="G46"/>
  <c r="G83"/>
  <c r="G119"/>
  <c r="G105"/>
  <c r="G62"/>
  <c r="G132"/>
  <c r="G120"/>
  <c r="G124"/>
  <c r="G139"/>
  <c r="G48"/>
  <c r="G100"/>
  <c r="G47"/>
  <c r="G123"/>
  <c r="G24"/>
  <c r="V22" i="10"/>
  <c r="G21"/>
  <c r="E21"/>
  <c r="G129" i="28"/>
  <c r="G103"/>
  <c r="G121"/>
  <c r="G115"/>
  <c r="G84"/>
  <c r="G137"/>
  <c r="G17"/>
  <c r="G34"/>
  <c r="G60"/>
  <c r="G41"/>
  <c r="G92"/>
  <c r="G14"/>
  <c r="G42"/>
  <c r="G61"/>
  <c r="G54"/>
  <c r="G147"/>
  <c r="G128"/>
  <c r="G151"/>
  <c r="G114"/>
  <c r="G30"/>
  <c r="G79"/>
  <c r="G28"/>
  <c r="G77"/>
  <c r="G143"/>
  <c r="G93"/>
  <c r="F21" i="10"/>
  <c r="B9" i="6"/>
  <c r="B11" s="1"/>
  <c r="B13" s="1"/>
  <c r="B14" s="1"/>
  <c r="E5" i="10" s="1"/>
  <c r="E8" s="1"/>
  <c r="E9" s="1"/>
  <c r="H19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W19" s="1"/>
  <c r="X19" s="1"/>
  <c r="G89" i="28"/>
  <c r="D3" i="29"/>
  <c r="B7" i="4" s="1"/>
  <c r="B8"/>
  <c r="B11" s="1"/>
  <c r="F9" i="6"/>
  <c r="F11" s="1"/>
  <c r="G9"/>
  <c r="G11" s="1"/>
  <c r="G13" s="1"/>
  <c r="G14" s="1"/>
  <c r="J5" i="10" s="1"/>
  <c r="J8" s="1"/>
  <c r="E4" i="6"/>
  <c r="E7" s="1"/>
  <c r="E9" s="1"/>
  <c r="E11" s="1"/>
  <c r="E13" s="1"/>
  <c r="E14" s="1"/>
  <c r="H5" i="10" s="1"/>
  <c r="H8" s="1"/>
  <c r="H4" i="6"/>
  <c r="H7" s="1"/>
  <c r="H9" s="1"/>
  <c r="H11" s="1"/>
  <c r="H13" s="1"/>
  <c r="H14" s="1"/>
  <c r="K5" i="10" s="1"/>
  <c r="K13" s="1"/>
  <c r="K14" s="1"/>
  <c r="O4" i="6"/>
  <c r="O7" s="1"/>
  <c r="N4"/>
  <c r="N7" s="1"/>
  <c r="I4"/>
  <c r="I7" s="1"/>
  <c r="I9" s="1"/>
  <c r="I11" s="1"/>
  <c r="I13" s="1"/>
  <c r="I14" s="1"/>
  <c r="L5" i="10" s="1"/>
  <c r="L8" s="1"/>
  <c r="D4" i="6"/>
  <c r="D7" s="1"/>
  <c r="D9" s="1"/>
  <c r="D11" s="1"/>
  <c r="D13" s="1"/>
  <c r="D14" s="1"/>
  <c r="G5" i="10" s="1"/>
  <c r="C4" i="6"/>
  <c r="C7" s="1"/>
  <c r="L9"/>
  <c r="L11" s="1"/>
  <c r="L13" s="1"/>
  <c r="L14" s="1"/>
  <c r="O5" i="10" s="1"/>
  <c r="K4" i="6"/>
  <c r="K7" s="1"/>
  <c r="K9" s="1"/>
  <c r="K11" s="1"/>
  <c r="K13" s="1"/>
  <c r="K14" s="1"/>
  <c r="N5" i="10" s="1"/>
  <c r="N13" s="1"/>
  <c r="N14" s="1"/>
  <c r="U4" i="6"/>
  <c r="U7" s="1"/>
  <c r="B16" i="4"/>
  <c r="B19" s="1"/>
  <c r="J4" i="6"/>
  <c r="J7" s="1"/>
  <c r="J9" s="1"/>
  <c r="J11" s="1"/>
  <c r="J13" s="1"/>
  <c r="J14" s="1"/>
  <c r="M5" i="10" s="1"/>
  <c r="M13" s="1"/>
  <c r="M14" s="1"/>
  <c r="Q4" i="6"/>
  <c r="Q7" s="1"/>
  <c r="F13"/>
  <c r="F14" s="1"/>
  <c r="I5" i="10" s="1"/>
  <c r="X29"/>
  <c r="B6" i="8"/>
  <c r="B8" s="1"/>
  <c r="H17" i="10"/>
  <c r="H21" s="1"/>
  <c r="C8" i="6"/>
  <c r="C9" s="1"/>
  <c r="C11" s="1"/>
  <c r="C13" s="1"/>
  <c r="C14" s="1"/>
  <c r="F5" i="10" s="1"/>
  <c r="M8" i="6"/>
  <c r="G152" i="28"/>
  <c r="G117"/>
  <c r="G57"/>
  <c r="G108"/>
  <c r="G148"/>
  <c r="G31"/>
  <c r="G71"/>
  <c r="G18"/>
  <c r="G113"/>
  <c r="G10"/>
  <c r="G9"/>
  <c r="G149"/>
  <c r="G86"/>
  <c r="G101"/>
  <c r="G153"/>
  <c r="G39"/>
  <c r="G144"/>
  <c r="G43"/>
  <c r="G116"/>
  <c r="G33"/>
  <c r="G26"/>
  <c r="G72"/>
  <c r="G88"/>
  <c r="G69"/>
  <c r="G75"/>
  <c r="G109"/>
  <c r="G99"/>
  <c r="G131"/>
  <c r="G91"/>
  <c r="G122"/>
  <c r="G59"/>
  <c r="J13" i="10" l="1"/>
  <c r="J14" s="1"/>
  <c r="K8"/>
  <c r="W22"/>
  <c r="N8"/>
  <c r="L13"/>
  <c r="L14" s="1"/>
  <c r="H13"/>
  <c r="H14" s="1"/>
  <c r="D31"/>
  <c r="B9" i="4"/>
  <c r="M8" i="10"/>
  <c r="E10"/>
  <c r="E15" s="1"/>
  <c r="D3" i="28"/>
  <c r="M9" i="6"/>
  <c r="M11" s="1"/>
  <c r="M13" s="1"/>
  <c r="M14" s="1"/>
  <c r="P5" i="10" s="1"/>
  <c r="N8" i="6"/>
  <c r="I17" i="10"/>
  <c r="I21" s="1"/>
  <c r="G13"/>
  <c r="G14" s="1"/>
  <c r="G8"/>
  <c r="B21" i="8"/>
  <c r="B22" s="1"/>
  <c r="B10"/>
  <c r="B13" s="1"/>
  <c r="B15"/>
  <c r="O8" i="10"/>
  <c r="O13"/>
  <c r="O14" s="1"/>
  <c r="I8"/>
  <c r="I13"/>
  <c r="I14" s="1"/>
  <c r="F13"/>
  <c r="F14" s="1"/>
  <c r="F8"/>
  <c r="F9" s="1"/>
  <c r="F8" i="28" l="1"/>
  <c r="E8"/>
  <c r="E9"/>
  <c r="X22" i="10"/>
  <c r="F10"/>
  <c r="F15" s="1"/>
  <c r="G9"/>
  <c r="B16" i="8"/>
  <c r="B18" s="1"/>
  <c r="P8" i="10"/>
  <c r="E60" i="28"/>
  <c r="E13"/>
  <c r="E28"/>
  <c r="E151"/>
  <c r="E107"/>
  <c r="E78"/>
  <c r="E109"/>
  <c r="E19"/>
  <c r="E39"/>
  <c r="E143"/>
  <c r="E83"/>
  <c r="E56"/>
  <c r="E58"/>
  <c r="E34"/>
  <c r="E89"/>
  <c r="E11"/>
  <c r="E139"/>
  <c r="E152"/>
  <c r="E153"/>
  <c r="E92"/>
  <c r="E149"/>
  <c r="E91"/>
  <c r="E68"/>
  <c r="E79"/>
  <c r="E62"/>
  <c r="E154"/>
  <c r="E61"/>
  <c r="E130"/>
  <c r="E138"/>
  <c r="E106"/>
  <c r="E103"/>
  <c r="E31"/>
  <c r="E42"/>
  <c r="E114"/>
  <c r="E54"/>
  <c r="E77"/>
  <c r="E23"/>
  <c r="E108"/>
  <c r="E16"/>
  <c r="E40"/>
  <c r="E74"/>
  <c r="E46"/>
  <c r="E137"/>
  <c r="E104"/>
  <c r="E27"/>
  <c r="E131"/>
  <c r="E10"/>
  <c r="E145"/>
  <c r="E100"/>
  <c r="E132"/>
  <c r="E121"/>
  <c r="E113"/>
  <c r="E76"/>
  <c r="E49"/>
  <c r="E55"/>
  <c r="E128"/>
  <c r="E133"/>
  <c r="E32"/>
  <c r="E75"/>
  <c r="E129"/>
  <c r="E150"/>
  <c r="E29"/>
  <c r="E147"/>
  <c r="E102"/>
  <c r="E115"/>
  <c r="E41"/>
  <c r="E45"/>
  <c r="E94"/>
  <c r="E148"/>
  <c r="E105"/>
  <c r="E144"/>
  <c r="E146"/>
  <c r="E38"/>
  <c r="E24"/>
  <c r="E122"/>
  <c r="E71"/>
  <c r="E12"/>
  <c r="E30"/>
  <c r="E87"/>
  <c r="E18"/>
  <c r="E33"/>
  <c r="E15"/>
  <c r="E93"/>
  <c r="E25"/>
  <c r="E86"/>
  <c r="E73"/>
  <c r="E119"/>
  <c r="E136"/>
  <c r="E98"/>
  <c r="E69"/>
  <c r="E48"/>
  <c r="E17"/>
  <c r="E117"/>
  <c r="E26"/>
  <c r="E70"/>
  <c r="E120"/>
  <c r="E101"/>
  <c r="E123"/>
  <c r="E53"/>
  <c r="E88"/>
  <c r="E57"/>
  <c r="E134"/>
  <c r="E59"/>
  <c r="E84"/>
  <c r="E63"/>
  <c r="E124"/>
  <c r="E116"/>
  <c r="E43"/>
  <c r="E85"/>
  <c r="E135"/>
  <c r="E72"/>
  <c r="E118"/>
  <c r="E44"/>
  <c r="E47"/>
  <c r="E90"/>
  <c r="E14"/>
  <c r="E64"/>
  <c r="E99"/>
  <c r="J17" i="10"/>
  <c r="O8" i="6"/>
  <c r="N9"/>
  <c r="N11" s="1"/>
  <c r="N13" s="1"/>
  <c r="N14" s="1"/>
  <c r="Q5" i="10" s="1"/>
  <c r="B10" i="9"/>
  <c r="B12" i="4"/>
  <c r="D36" i="10" s="1"/>
  <c r="J21" l="1"/>
  <c r="K17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C15" i="8"/>
  <c r="C16"/>
  <c r="P8" i="6"/>
  <c r="O9"/>
  <c r="O11" s="1"/>
  <c r="O13" s="1"/>
  <c r="O14" s="1"/>
  <c r="R5" i="10" s="1"/>
  <c r="B23" i="8"/>
  <c r="C21" s="1"/>
  <c r="E65" i="28"/>
  <c r="H35" i="10" s="1"/>
  <c r="E80" i="28"/>
  <c r="I35" i="10" s="1"/>
  <c r="Q8"/>
  <c r="G10"/>
  <c r="G15" s="1"/>
  <c r="H9"/>
  <c r="E110" i="28"/>
  <c r="K35" i="10" s="1"/>
  <c r="E50" i="28"/>
  <c r="G35" i="10" s="1"/>
  <c r="E20" i="28"/>
  <c r="E35" i="10" s="1"/>
  <c r="E155" i="28"/>
  <c r="N35" i="10" s="1"/>
  <c r="E35" i="28"/>
  <c r="F35" i="10" s="1"/>
  <c r="E95" i="28"/>
  <c r="J35" i="10" s="1"/>
  <c r="B17" i="8"/>
  <c r="E25" i="10"/>
  <c r="B6" i="9" s="1"/>
  <c r="E140" i="28"/>
  <c r="M35" i="10" s="1"/>
  <c r="E125" i="28"/>
  <c r="L35" i="10" s="1"/>
  <c r="K21" l="1"/>
  <c r="I9"/>
  <c r="H10"/>
  <c r="H15" s="1"/>
  <c r="R8"/>
  <c r="C22" i="8"/>
  <c r="C10" i="9" s="1"/>
  <c r="C18" i="8"/>
  <c r="L21" i="10"/>
  <c r="F25"/>
  <c r="C6" i="9" s="1"/>
  <c r="C17" i="8"/>
  <c r="Q8" i="6"/>
  <c r="P9"/>
  <c r="P11" s="1"/>
  <c r="P13" s="1"/>
  <c r="P14" s="1"/>
  <c r="S5" i="10" s="1"/>
  <c r="S8" l="1"/>
  <c r="J9"/>
  <c r="I10"/>
  <c r="I15" s="1"/>
  <c r="C23" i="8"/>
  <c r="R8" i="6"/>
  <c r="Q9"/>
  <c r="Q11" s="1"/>
  <c r="Q13" s="1"/>
  <c r="Q14" s="1"/>
  <c r="T5" i="10" s="1"/>
  <c r="M21"/>
  <c r="D15" i="8"/>
  <c r="D16"/>
  <c r="D18" l="1"/>
  <c r="E16" s="1"/>
  <c r="H25" i="10" s="1"/>
  <c r="E6" i="9" s="1"/>
  <c r="D17" i="8"/>
  <c r="G25" i="10"/>
  <c r="D6" i="9" s="1"/>
  <c r="T8" i="10"/>
  <c r="D21" i="8"/>
  <c r="D22" s="1"/>
  <c r="D10" i="9" s="1"/>
  <c r="N21" i="10"/>
  <c r="R9" i="6"/>
  <c r="R11" s="1"/>
  <c r="R13" s="1"/>
  <c r="R14" s="1"/>
  <c r="U5" i="10" s="1"/>
  <c r="S8" i="6"/>
  <c r="K9" i="10"/>
  <c r="J10"/>
  <c r="J15" s="1"/>
  <c r="E15" i="8"/>
  <c r="D23" l="1"/>
  <c r="E18"/>
  <c r="F15" s="1"/>
  <c r="U8" i="10"/>
  <c r="S9" i="6"/>
  <c r="S11" s="1"/>
  <c r="S13" s="1"/>
  <c r="S14" s="1"/>
  <c r="V5" i="10" s="1"/>
  <c r="T8" i="6"/>
  <c r="L9" i="10"/>
  <c r="K10"/>
  <c r="K15" s="1"/>
  <c r="E17" i="8"/>
  <c r="E21"/>
  <c r="E22" s="1"/>
  <c r="E10" i="9" s="1"/>
  <c r="O21" i="10"/>
  <c r="F16" i="8" l="1"/>
  <c r="I25" i="10" s="1"/>
  <c r="F6" i="9" s="1"/>
  <c r="V8" i="10"/>
  <c r="U8" i="6"/>
  <c r="U9" s="1"/>
  <c r="U11" s="1"/>
  <c r="U13" s="1"/>
  <c r="U14" s="1"/>
  <c r="X5" i="10" s="1"/>
  <c r="T9" i="6"/>
  <c r="T11" s="1"/>
  <c r="T13" s="1"/>
  <c r="T14" s="1"/>
  <c r="W5" i="10" s="1"/>
  <c r="M9"/>
  <c r="L10"/>
  <c r="L11" s="1"/>
  <c r="L15" s="1"/>
  <c r="E23" i="8"/>
  <c r="P21" i="10"/>
  <c r="F17" i="8" l="1"/>
  <c r="F18"/>
  <c r="G15" s="1"/>
  <c r="X8" i="10"/>
  <c r="W8"/>
  <c r="Q21"/>
  <c r="F21" i="8"/>
  <c r="F22" s="1"/>
  <c r="F10" i="9" s="1"/>
  <c r="N9" i="10"/>
  <c r="M10"/>
  <c r="M11" s="1"/>
  <c r="M15" s="1"/>
  <c r="G16" i="8" l="1"/>
  <c r="J25" i="10" s="1"/>
  <c r="G6" i="9" s="1"/>
  <c r="F23" i="8"/>
  <c r="G21" s="1"/>
  <c r="G22" s="1"/>
  <c r="G10" i="9" s="1"/>
  <c r="N10" i="10"/>
  <c r="N11" s="1"/>
  <c r="N15" s="1"/>
  <c r="O9"/>
  <c r="R21"/>
  <c r="G17" i="8" l="1"/>
  <c r="G18"/>
  <c r="G23"/>
  <c r="P9" i="10"/>
  <c r="O10"/>
  <c r="O11" s="1"/>
  <c r="O15" s="1"/>
  <c r="O24" s="1"/>
  <c r="S21"/>
  <c r="H21" i="8"/>
  <c r="H22" s="1"/>
  <c r="H10" i="9" s="1"/>
  <c r="H15" i="8" l="1"/>
  <c r="H16"/>
  <c r="H23"/>
  <c r="I21" s="1"/>
  <c r="I22" s="1"/>
  <c r="I10" i="9" s="1"/>
  <c r="T21" i="10"/>
  <c r="P10"/>
  <c r="P11" s="1"/>
  <c r="P15" s="1"/>
  <c r="P24" s="1"/>
  <c r="Q9"/>
  <c r="H18" i="8" l="1"/>
  <c r="I15" s="1"/>
  <c r="H17"/>
  <c r="K25" i="10"/>
  <c r="H6" i="9" s="1"/>
  <c r="I16" i="8"/>
  <c r="L25" i="10" s="1"/>
  <c r="I6" i="9" s="1"/>
  <c r="R9" i="10"/>
  <c r="Q10"/>
  <c r="Q11" s="1"/>
  <c r="Q15" s="1"/>
  <c r="Q24" s="1"/>
  <c r="U21"/>
  <c r="I23" i="8"/>
  <c r="I18" l="1"/>
  <c r="J16" s="1"/>
  <c r="M25" i="10" s="1"/>
  <c r="J6" i="9" s="1"/>
  <c r="I17" i="8"/>
  <c r="J17" s="1"/>
  <c r="J15"/>
  <c r="J18" s="1"/>
  <c r="K16" s="1"/>
  <c r="N25" i="10" s="1"/>
  <c r="K6" i="9" s="1"/>
  <c r="J21" i="8"/>
  <c r="J22" s="1"/>
  <c r="J10" i="9" s="1"/>
  <c r="V21" i="10"/>
  <c r="R10"/>
  <c r="R11" s="1"/>
  <c r="R15" s="1"/>
  <c r="R24" s="1"/>
  <c r="S9"/>
  <c r="K17" i="8" l="1"/>
  <c r="K15"/>
  <c r="K18" s="1"/>
  <c r="L16" s="1"/>
  <c r="O25" i="10" s="1"/>
  <c r="L6" i="9" s="1"/>
  <c r="T9" i="10"/>
  <c r="S10"/>
  <c r="S11" s="1"/>
  <c r="S15" s="1"/>
  <c r="S24" s="1"/>
  <c r="J23" i="8"/>
  <c r="X21" i="10" l="1"/>
  <c r="W21"/>
  <c r="L15" i="8"/>
  <c r="L18" s="1"/>
  <c r="M15" s="1"/>
  <c r="L17"/>
  <c r="K21"/>
  <c r="K22" s="1"/>
  <c r="K10" i="9" s="1"/>
  <c r="U9" i="10"/>
  <c r="T10"/>
  <c r="T11" s="1"/>
  <c r="T15" s="1"/>
  <c r="T24" s="1"/>
  <c r="M16" i="8" l="1"/>
  <c r="P25" i="10" s="1"/>
  <c r="M6" i="9" s="1"/>
  <c r="M17" i="8"/>
  <c r="M18"/>
  <c r="N15" s="1"/>
  <c r="V9" i="10"/>
  <c r="U10"/>
  <c r="U11" s="1"/>
  <c r="U15" s="1"/>
  <c r="U24" s="1"/>
  <c r="K23" i="8"/>
  <c r="N16" l="1"/>
  <c r="Q25" i="10" s="1"/>
  <c r="N6" i="9" s="1"/>
  <c r="L21" i="8"/>
  <c r="L22" s="1"/>
  <c r="L10" i="9" s="1"/>
  <c r="W9" i="10"/>
  <c r="V10"/>
  <c r="V11" s="1"/>
  <c r="V15" s="1"/>
  <c r="V24" s="1"/>
  <c r="N18" i="8" l="1"/>
  <c r="N17"/>
  <c r="O15"/>
  <c r="O16"/>
  <c r="X9" i="10"/>
  <c r="X10" s="1"/>
  <c r="X11" s="1"/>
  <c r="X15" s="1"/>
  <c r="X24" s="1"/>
  <c r="W10"/>
  <c r="W11" s="1"/>
  <c r="W15" s="1"/>
  <c r="W24" s="1"/>
  <c r="L23" i="8"/>
  <c r="O18" l="1"/>
  <c r="R25" i="10"/>
  <c r="O17" i="8"/>
  <c r="M21"/>
  <c r="M22" s="1"/>
  <c r="M10" i="9" s="1"/>
  <c r="P15" i="8" l="1"/>
  <c r="P16"/>
  <c r="O6" i="9"/>
  <c r="R26" i="10"/>
  <c r="O4" i="9" s="1"/>
  <c r="M23" i="8"/>
  <c r="P18" l="1"/>
  <c r="Q16" s="1"/>
  <c r="T25" i="10" s="1"/>
  <c r="Q6" i="9" s="1"/>
  <c r="S25" i="10"/>
  <c r="P17" i="8"/>
  <c r="Q17" s="1"/>
  <c r="O14" i="9"/>
  <c r="O7"/>
  <c r="N21" i="8"/>
  <c r="N22" s="1"/>
  <c r="N10" i="9" s="1"/>
  <c r="T26" i="10" l="1"/>
  <c r="Q4" i="9" s="1"/>
  <c r="Q15" i="8"/>
  <c r="Q18" s="1"/>
  <c r="S26" i="10"/>
  <c r="P4" i="9" s="1"/>
  <c r="P6"/>
  <c r="N23" i="8"/>
  <c r="R15" l="1"/>
  <c r="R16"/>
  <c r="P7" i="9"/>
  <c r="P14"/>
  <c r="O21" i="8"/>
  <c r="O22" s="1"/>
  <c r="O10" i="9" s="1"/>
  <c r="O11" s="1"/>
  <c r="Q7"/>
  <c r="Q14"/>
  <c r="U25" i="10" l="1"/>
  <c r="R17" i="8"/>
  <c r="R18"/>
  <c r="O23"/>
  <c r="P21" s="1"/>
  <c r="P22" s="1"/>
  <c r="P10" i="9" s="1"/>
  <c r="P11" s="1"/>
  <c r="U26" i="10" l="1"/>
  <c r="R4" i="9" s="1"/>
  <c r="R6"/>
  <c r="S16" i="8"/>
  <c r="V25" i="10" s="1"/>
  <c r="S15" i="8"/>
  <c r="P23"/>
  <c r="S18" l="1"/>
  <c r="T16" s="1"/>
  <c r="W25" i="10" s="1"/>
  <c r="T6" i="9" s="1"/>
  <c r="S17" i="8"/>
  <c r="R14" i="9"/>
  <c r="R7"/>
  <c r="T15" i="8"/>
  <c r="T18" s="1"/>
  <c r="S6" i="9"/>
  <c r="V26" i="10"/>
  <c r="S4" i="9" s="1"/>
  <c r="S14" s="1"/>
  <c r="F9" i="28"/>
  <c r="H8"/>
  <c r="Q21" i="8"/>
  <c r="Q22" s="1"/>
  <c r="Q10" i="9" s="1"/>
  <c r="Q11" s="1"/>
  <c r="W26" i="10" l="1"/>
  <c r="T4" i="9" s="1"/>
  <c r="T17" i="8"/>
  <c r="S7" i="9"/>
  <c r="F10" i="28"/>
  <c r="H9"/>
  <c r="Q23" i="8"/>
  <c r="U15"/>
  <c r="U16"/>
  <c r="U18" l="1"/>
  <c r="X25" i="10"/>
  <c r="U17" i="8"/>
  <c r="R21"/>
  <c r="R22" s="1"/>
  <c r="R10" i="9" s="1"/>
  <c r="R11" s="1"/>
  <c r="F11" i="28"/>
  <c r="H10"/>
  <c r="T14" i="9"/>
  <c r="T7"/>
  <c r="U6" l="1"/>
  <c r="X26" i="10"/>
  <c r="F12" i="28"/>
  <c r="H11"/>
  <c r="R23" i="8"/>
  <c r="U4" i="9" l="1"/>
  <c r="S21" i="8"/>
  <c r="S22" s="1"/>
  <c r="S10" i="9" s="1"/>
  <c r="S11" s="1"/>
  <c r="H12" i="28"/>
  <c r="F13"/>
  <c r="U7" i="9" l="1"/>
  <c r="U14"/>
  <c r="S23" i="8"/>
  <c r="H13" i="28"/>
  <c r="F14"/>
  <c r="T21" i="8" l="1"/>
  <c r="T22" s="1"/>
  <c r="T10" i="9" s="1"/>
  <c r="T11" s="1"/>
  <c r="F15" i="28"/>
  <c r="H14"/>
  <c r="T23" i="8" l="1"/>
  <c r="H15" i="28"/>
  <c r="F16"/>
  <c r="U21" i="8" l="1"/>
  <c r="U22" s="1"/>
  <c r="U10" i="9" s="1"/>
  <c r="U11" s="1"/>
  <c r="F17" i="28"/>
  <c r="H16"/>
  <c r="U23" i="8" l="1"/>
  <c r="H17" i="28"/>
  <c r="F18"/>
  <c r="H18" l="1"/>
  <c r="F19"/>
  <c r="H19" l="1"/>
  <c r="H20" s="1"/>
  <c r="E22" i="10" s="1"/>
  <c r="F23" i="28"/>
  <c r="E34" i="10" l="1"/>
  <c r="E24"/>
  <c r="E26" s="1"/>
  <c r="B4" i="9" s="1"/>
  <c r="F24" i="28"/>
  <c r="H23"/>
  <c r="B14" i="9" l="1"/>
  <c r="B7"/>
  <c r="B11" s="1"/>
  <c r="B12" s="1"/>
  <c r="F25" i="28"/>
  <c r="H24"/>
  <c r="B18" i="9" l="1"/>
  <c r="E27" i="10" s="1"/>
  <c r="E28" s="1"/>
  <c r="E31" s="1"/>
  <c r="E36" s="1"/>
  <c r="F26" i="28"/>
  <c r="H25"/>
  <c r="H26" l="1"/>
  <c r="F27"/>
  <c r="F28" l="1"/>
  <c r="H27"/>
  <c r="F29" l="1"/>
  <c r="H28"/>
  <c r="H29" l="1"/>
  <c r="F30"/>
  <c r="H30" l="1"/>
  <c r="F31"/>
  <c r="H31" l="1"/>
  <c r="F32"/>
  <c r="H32" l="1"/>
  <c r="F33"/>
  <c r="H33" l="1"/>
  <c r="F34"/>
  <c r="H34" l="1"/>
  <c r="H35" s="1"/>
  <c r="F22" i="10" s="1"/>
  <c r="F38" i="28"/>
  <c r="F34" i="10" l="1"/>
  <c r="F24"/>
  <c r="F26" s="1"/>
  <c r="C4" i="9" s="1"/>
  <c r="H38" i="28"/>
  <c r="F39"/>
  <c r="C14" i="9" l="1"/>
  <c r="C7"/>
  <c r="C11" s="1"/>
  <c r="C12" s="1"/>
  <c r="F40" i="28"/>
  <c r="H39"/>
  <c r="C18" i="9" l="1"/>
  <c r="F27" i="10" s="1"/>
  <c r="F28" s="1"/>
  <c r="F31" s="1"/>
  <c r="F36" s="1"/>
  <c r="F41" i="28"/>
  <c r="H40"/>
  <c r="H41" l="1"/>
  <c r="F42"/>
  <c r="H42" l="1"/>
  <c r="F43"/>
  <c r="F44" l="1"/>
  <c r="H43"/>
  <c r="H44" l="1"/>
  <c r="F45"/>
  <c r="F46" l="1"/>
  <c r="H45"/>
  <c r="F47" l="1"/>
  <c r="H46"/>
  <c r="F48" l="1"/>
  <c r="H47"/>
  <c r="F49" l="1"/>
  <c r="H48"/>
  <c r="F53" l="1"/>
  <c r="H49"/>
  <c r="H50" s="1"/>
  <c r="G22" i="10" s="1"/>
  <c r="G34" l="1"/>
  <c r="G24"/>
  <c r="G26" s="1"/>
  <c r="D4" i="9" s="1"/>
  <c r="H53" i="28"/>
  <c r="F54"/>
  <c r="D7" i="9" l="1"/>
  <c r="D11" s="1"/>
  <c r="D12" s="1"/>
  <c r="D14"/>
  <c r="H54" i="28"/>
  <c r="F55"/>
  <c r="D18" i="9" l="1"/>
  <c r="G27" i="10" s="1"/>
  <c r="G28" s="1"/>
  <c r="G31" s="1"/>
  <c r="G36" s="1"/>
  <c r="H55" i="28"/>
  <c r="F56"/>
  <c r="H56" l="1"/>
  <c r="F57"/>
  <c r="F58" l="1"/>
  <c r="H57"/>
  <c r="F59" l="1"/>
  <c r="H58"/>
  <c r="F60" l="1"/>
  <c r="H59"/>
  <c r="H60" l="1"/>
  <c r="F61"/>
  <c r="H61" l="1"/>
  <c r="F62"/>
  <c r="H62" l="1"/>
  <c r="F63"/>
  <c r="H63" l="1"/>
  <c r="F64"/>
  <c r="H64" l="1"/>
  <c r="H65" s="1"/>
  <c r="H22" i="10" s="1"/>
  <c r="F68" i="28"/>
  <c r="H34" i="10" l="1"/>
  <c r="H24"/>
  <c r="H26" s="1"/>
  <c r="E4" i="9" s="1"/>
  <c r="F69" i="28"/>
  <c r="H68"/>
  <c r="E7" i="9" l="1"/>
  <c r="E11" s="1"/>
  <c r="E12" s="1"/>
  <c r="E14"/>
  <c r="F70" i="28"/>
  <c r="H69"/>
  <c r="E18" i="9" l="1"/>
  <c r="H27" i="10" s="1"/>
  <c r="H28" s="1"/>
  <c r="H31" s="1"/>
  <c r="H36" s="1"/>
  <c r="F71" i="28"/>
  <c r="H70"/>
  <c r="H71" l="1"/>
  <c r="F72"/>
  <c r="F73" l="1"/>
  <c r="H72"/>
  <c r="H73" l="1"/>
  <c r="F74"/>
  <c r="F75" l="1"/>
  <c r="H74"/>
  <c r="H75" l="1"/>
  <c r="F76"/>
  <c r="F77" l="1"/>
  <c r="H76"/>
  <c r="F78" l="1"/>
  <c r="H77"/>
  <c r="F79" l="1"/>
  <c r="H78"/>
  <c r="H79" l="1"/>
  <c r="H80" s="1"/>
  <c r="I22" i="10" s="1"/>
  <c r="F83" i="28"/>
  <c r="I34" i="10" l="1"/>
  <c r="I24"/>
  <c r="I26" s="1"/>
  <c r="F4" i="9" s="1"/>
  <c r="H83" i="28"/>
  <c r="F84"/>
  <c r="F7" i="9" l="1"/>
  <c r="F11" s="1"/>
  <c r="F12" s="1"/>
  <c r="F14"/>
  <c r="H84" i="28"/>
  <c r="F85"/>
  <c r="F18" i="9" l="1"/>
  <c r="I27" i="10" s="1"/>
  <c r="I28" s="1"/>
  <c r="I31" s="1"/>
  <c r="I36" s="1"/>
  <c r="F86" i="28"/>
  <c r="H85"/>
  <c r="H86" l="1"/>
  <c r="F87"/>
  <c r="F88" l="1"/>
  <c r="H87"/>
  <c r="F89" l="1"/>
  <c r="H88"/>
  <c r="H89" l="1"/>
  <c r="F90"/>
  <c r="H90" l="1"/>
  <c r="F91"/>
  <c r="H91" l="1"/>
  <c r="F92"/>
  <c r="H92" l="1"/>
  <c r="F93"/>
  <c r="F94" l="1"/>
  <c r="H93"/>
  <c r="H94" l="1"/>
  <c r="H95" s="1"/>
  <c r="J22" i="10" s="1"/>
  <c r="F98" i="28"/>
  <c r="J34" i="10" l="1"/>
  <c r="J24"/>
  <c r="J26" s="1"/>
  <c r="G4" i="9" s="1"/>
  <c r="H98" i="28"/>
  <c r="F99"/>
  <c r="G7" i="9" l="1"/>
  <c r="G11" s="1"/>
  <c r="G12" s="1"/>
  <c r="G14"/>
  <c r="G18" s="1"/>
  <c r="J27" i="10" s="1"/>
  <c r="J28" s="1"/>
  <c r="J31" s="1"/>
  <c r="J36" s="1"/>
  <c r="H99" i="28"/>
  <c r="F100"/>
  <c r="H100" l="1"/>
  <c r="F101"/>
  <c r="H101" l="1"/>
  <c r="F102"/>
  <c r="H102" l="1"/>
  <c r="F103"/>
  <c r="F104" l="1"/>
  <c r="H103"/>
  <c r="F105" l="1"/>
  <c r="H104"/>
  <c r="F106" l="1"/>
  <c r="H105"/>
  <c r="H106" l="1"/>
  <c r="F107"/>
  <c r="H107" l="1"/>
  <c r="F108"/>
  <c r="F109" l="1"/>
  <c r="H108"/>
  <c r="H109" l="1"/>
  <c r="H110" s="1"/>
  <c r="K22" i="10" s="1"/>
  <c r="F113" i="28"/>
  <c r="K34" i="10" l="1"/>
  <c r="K24"/>
  <c r="K26" s="1"/>
  <c r="H4" i="9" s="1"/>
  <c r="F114" i="28"/>
  <c r="H113"/>
  <c r="H7" i="9" l="1"/>
  <c r="H11" s="1"/>
  <c r="H12" s="1"/>
  <c r="H14"/>
  <c r="F115" i="28"/>
  <c r="H114"/>
  <c r="H18" i="9" l="1"/>
  <c r="K27" i="10" s="1"/>
  <c r="K28" s="1"/>
  <c r="K31" s="1"/>
  <c r="K36" s="1"/>
  <c r="F116" i="28"/>
  <c r="H115"/>
  <c r="H116" l="1"/>
  <c r="F117"/>
  <c r="F118" l="1"/>
  <c r="H117"/>
  <c r="F119" l="1"/>
  <c r="H118"/>
  <c r="H119" l="1"/>
  <c r="F120"/>
  <c r="H120" l="1"/>
  <c r="F121"/>
  <c r="F122" l="1"/>
  <c r="H121"/>
  <c r="H122" l="1"/>
  <c r="F123"/>
  <c r="H123" l="1"/>
  <c r="F124"/>
  <c r="F128" l="1"/>
  <c r="H124"/>
  <c r="H125" s="1"/>
  <c r="L22" i="10" s="1"/>
  <c r="L34" l="1"/>
  <c r="L24"/>
  <c r="L26" s="1"/>
  <c r="I4" i="9" s="1"/>
  <c r="F129" i="28"/>
  <c r="H128"/>
  <c r="I14" i="9" l="1"/>
  <c r="I7"/>
  <c r="I11" s="1"/>
  <c r="I12" s="1"/>
  <c r="F130" i="28"/>
  <c r="H129"/>
  <c r="I18" i="9" l="1"/>
  <c r="L27" i="10" s="1"/>
  <c r="L28" s="1"/>
  <c r="L31" s="1"/>
  <c r="L36" s="1"/>
  <c r="H130" i="28"/>
  <c r="F131"/>
  <c r="H131" l="1"/>
  <c r="F132"/>
  <c r="H132" l="1"/>
  <c r="F133"/>
  <c r="H133" l="1"/>
  <c r="F134"/>
  <c r="H134" l="1"/>
  <c r="F135"/>
  <c r="H135" l="1"/>
  <c r="F136"/>
  <c r="F137" l="1"/>
  <c r="H136"/>
  <c r="H137" l="1"/>
  <c r="F138"/>
  <c r="H138" l="1"/>
  <c r="F139"/>
  <c r="H139" l="1"/>
  <c r="H140" s="1"/>
  <c r="M22" i="10" s="1"/>
  <c r="F143" i="28"/>
  <c r="M34" i="10" l="1"/>
  <c r="M24"/>
  <c r="M26" s="1"/>
  <c r="J4" i="9" s="1"/>
  <c r="H143" i="28"/>
  <c r="F144"/>
  <c r="O26" i="10"/>
  <c r="J7" i="9" l="1"/>
  <c r="J11" s="1"/>
  <c r="J12" s="1"/>
  <c r="J14"/>
  <c r="F145" i="28"/>
  <c r="H144"/>
  <c r="L4" i="9"/>
  <c r="J18" l="1"/>
  <c r="M27" i="10" s="1"/>
  <c r="M28" s="1"/>
  <c r="M31" s="1"/>
  <c r="M36" s="1"/>
  <c r="L14" i="9"/>
  <c r="L7"/>
  <c r="L11" s="1"/>
  <c r="H145" i="28"/>
  <c r="F146"/>
  <c r="F147" l="1"/>
  <c r="H146"/>
  <c r="H147" l="1"/>
  <c r="F148"/>
  <c r="H148" l="1"/>
  <c r="F149"/>
  <c r="H149" l="1"/>
  <c r="F150"/>
  <c r="F151" l="1"/>
  <c r="H150"/>
  <c r="H151" l="1"/>
  <c r="F152"/>
  <c r="H152" l="1"/>
  <c r="F153"/>
  <c r="F154" l="1"/>
  <c r="H153"/>
  <c r="H154" l="1"/>
  <c r="H155" s="1"/>
  <c r="N22" i="10" s="1"/>
  <c r="N34" l="1"/>
  <c r="N24"/>
  <c r="N26" s="1"/>
  <c r="K4" i="9" s="1"/>
  <c r="P26" i="10"/>
  <c r="K7" i="9" l="1"/>
  <c r="K11" s="1"/>
  <c r="K12" s="1"/>
  <c r="L12" s="1"/>
  <c r="K14"/>
  <c r="M4"/>
  <c r="K18" l="1"/>
  <c r="N27" i="10" s="1"/>
  <c r="N28" s="1"/>
  <c r="N31" s="1"/>
  <c r="N36" s="1"/>
  <c r="Q26"/>
  <c r="M14" i="9"/>
  <c r="M7"/>
  <c r="M11" s="1"/>
  <c r="M12" s="1"/>
  <c r="L17" l="1"/>
  <c r="L18" s="1"/>
  <c r="O27" i="10" s="1"/>
  <c r="O28" s="1"/>
  <c r="O31" s="1"/>
  <c r="O36" s="1"/>
  <c r="N4" i="9"/>
  <c r="M17" l="1"/>
  <c r="M18" s="1"/>
  <c r="P27" i="10" s="1"/>
  <c r="P28" s="1"/>
  <c r="N14" i="9"/>
  <c r="Q15" s="1"/>
  <c r="N7"/>
  <c r="N11" s="1"/>
  <c r="N12" s="1"/>
  <c r="P31" i="10" l="1"/>
  <c r="P36" s="1"/>
  <c r="O12" i="9"/>
  <c r="P12" l="1"/>
  <c r="O17" l="1"/>
  <c r="O18" s="1"/>
  <c r="R27" i="10" s="1"/>
  <c r="R28" s="1"/>
  <c r="N17" i="9"/>
  <c r="N18" s="1"/>
  <c r="Q27" i="10" s="1"/>
  <c r="Q28" s="1"/>
  <c r="Q12" i="9"/>
  <c r="Q13" s="1"/>
  <c r="R31" i="10" l="1"/>
  <c r="R36" s="1"/>
  <c r="Q31"/>
  <c r="Q36" s="1"/>
  <c r="Q16" i="9"/>
  <c r="R15" s="1"/>
  <c r="R12"/>
  <c r="R13" s="1"/>
  <c r="P17" l="1"/>
  <c r="P18" s="1"/>
  <c r="S27" i="10" s="1"/>
  <c r="S28" s="1"/>
  <c r="R16" i="9"/>
  <c r="S15" s="1"/>
  <c r="S12"/>
  <c r="S13" s="1"/>
  <c r="S31" i="10" l="1"/>
  <c r="S36" s="1"/>
  <c r="R17" i="9"/>
  <c r="R18" s="1"/>
  <c r="U27" i="10" s="1"/>
  <c r="U28" s="1"/>
  <c r="Q17" i="9"/>
  <c r="Q18" s="1"/>
  <c r="T27" i="10" s="1"/>
  <c r="T28" s="1"/>
  <c r="T12" i="9"/>
  <c r="T13" s="1"/>
  <c r="T31" i="10" l="1"/>
  <c r="T36" s="1"/>
  <c r="U31"/>
  <c r="U36" s="1"/>
  <c r="U12" i="9"/>
  <c r="U13" s="1"/>
  <c r="S16" l="1"/>
  <c r="T15" s="1"/>
  <c r="T16" l="1"/>
  <c r="U15" s="1"/>
  <c r="U16" s="1"/>
  <c r="U17" s="1"/>
  <c r="U18" s="1"/>
  <c r="X27" i="10" s="1"/>
  <c r="X28" s="1"/>
  <c r="S17" i="9"/>
  <c r="S18" s="1"/>
  <c r="V27" i="10" s="1"/>
  <c r="V28" s="1"/>
  <c r="V31" s="1"/>
  <c r="V36" s="1"/>
  <c r="T17" i="9" l="1"/>
  <c r="T18" s="1"/>
  <c r="W27" i="10" s="1"/>
  <c r="W28" s="1"/>
  <c r="W31" s="1"/>
  <c r="W36" s="1"/>
  <c r="X31"/>
  <c r="X36" s="1"/>
  <c r="C37" l="1"/>
  <c r="E7" i="25" s="1"/>
  <c r="D18" s="1"/>
  <c r="D19" s="1"/>
  <c r="D20" s="1"/>
  <c r="D21" s="1"/>
</calcChain>
</file>

<file path=xl/sharedStrings.xml><?xml version="1.0" encoding="utf-8"?>
<sst xmlns="http://schemas.openxmlformats.org/spreadsheetml/2006/main" count="654" uniqueCount="229">
  <si>
    <t>Assumptions:</t>
  </si>
  <si>
    <t xml:space="preserve">Location  - State </t>
  </si>
  <si>
    <t xml:space="preserve">                Place</t>
  </si>
  <si>
    <t>Project Size</t>
  </si>
  <si>
    <t>MW</t>
  </si>
  <si>
    <t>No of WEGs</t>
  </si>
  <si>
    <t>Cost per WEG</t>
  </si>
  <si>
    <t>Total Project Cost</t>
  </si>
  <si>
    <t>Euro</t>
  </si>
  <si>
    <t>Means of Finance</t>
  </si>
  <si>
    <t xml:space="preserve">Debt </t>
  </si>
  <si>
    <t>Equity</t>
  </si>
  <si>
    <t>Opearating Parameters</t>
  </si>
  <si>
    <t>Plant Load Factor (net of Transmission charges)</t>
  </si>
  <si>
    <t>Total Generation for the project at above PLF</t>
  </si>
  <si>
    <t>Grid Availability</t>
  </si>
  <si>
    <t>Line Loss</t>
  </si>
  <si>
    <t>Total generation after Line Loss</t>
  </si>
  <si>
    <t>Life of the Wind Turbine</t>
  </si>
  <si>
    <t>Years</t>
  </si>
  <si>
    <t xml:space="preserve">O &amp; M cost </t>
  </si>
  <si>
    <t xml:space="preserve">Insurance cost </t>
  </si>
  <si>
    <t>Insurance cost per annum for 1st Year</t>
  </si>
  <si>
    <t>Insurance cost per annum from 2nd Year</t>
  </si>
  <si>
    <t>Annual escalation</t>
  </si>
  <si>
    <t>Financial Parameters</t>
  </si>
  <si>
    <t>Interest on Term Loan</t>
  </si>
  <si>
    <t>Rupee Loan</t>
  </si>
  <si>
    <t xml:space="preserve">Tariff </t>
  </si>
  <si>
    <t>Tariff escalation</t>
  </si>
  <si>
    <t>Depreciation Rate</t>
  </si>
  <si>
    <t>As per companies Act</t>
  </si>
  <si>
    <t>Plant and machinery - SLM</t>
  </si>
  <si>
    <t>As per Income Tax Act</t>
  </si>
  <si>
    <t>Depreciation rate- first year</t>
  </si>
  <si>
    <t>Taxation</t>
  </si>
  <si>
    <t>Corporate Tax</t>
  </si>
  <si>
    <t>Land cost</t>
  </si>
  <si>
    <t>Cost per MW</t>
  </si>
  <si>
    <t>Months in period</t>
  </si>
  <si>
    <t>Fiscal year</t>
  </si>
  <si>
    <t>No.of Days</t>
  </si>
  <si>
    <t>Number of hours in a day</t>
  </si>
  <si>
    <t>Total generation at 100%, KWh</t>
  </si>
  <si>
    <t>PLF%</t>
  </si>
  <si>
    <t>Net Export,KWh</t>
  </si>
  <si>
    <t>Term Loan</t>
  </si>
  <si>
    <t>Wind Mill</t>
  </si>
  <si>
    <t>TL Amount</t>
  </si>
  <si>
    <t>Rate of Interest</t>
  </si>
  <si>
    <t>Month</t>
  </si>
  <si>
    <t>Particulars</t>
  </si>
  <si>
    <t xml:space="preserve">Debit </t>
  </si>
  <si>
    <t>Credit</t>
  </si>
  <si>
    <t>Balance</t>
  </si>
  <si>
    <t>Interest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</si>
  <si>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</si>
  <si>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</si>
  <si>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</si>
  <si>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</si>
  <si>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</si>
  <si>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</si>
  <si>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</si>
  <si>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</si>
  <si>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</si>
  <si>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</si>
  <si>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</si>
  <si>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</si>
  <si>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 xml:space="preserve">Total </t>
  </si>
  <si>
    <t>Opening Balance</t>
  </si>
  <si>
    <t>By Installment</t>
  </si>
  <si>
    <t>Year</t>
  </si>
  <si>
    <t>Depreciation Details</t>
  </si>
  <si>
    <t>Project Cost</t>
  </si>
  <si>
    <t>Less:</t>
  </si>
  <si>
    <t>100% of the asset is to be written off</t>
  </si>
  <si>
    <t xml:space="preserve">Life of the asset is </t>
  </si>
  <si>
    <t xml:space="preserve">Rate of depreciation </t>
  </si>
  <si>
    <t>Amount of depreciation on SLM</t>
  </si>
  <si>
    <t>Opening Value of assets</t>
  </si>
  <si>
    <t>Depreication</t>
  </si>
  <si>
    <t>Cumulative Depreciation</t>
  </si>
  <si>
    <t>Closing Value of Assets</t>
  </si>
  <si>
    <t>Depreciation as per Income tax Act</t>
  </si>
  <si>
    <t>Rate</t>
  </si>
  <si>
    <t>Opening value</t>
  </si>
  <si>
    <t>Depreciation for each year</t>
  </si>
  <si>
    <t>Closing value</t>
  </si>
  <si>
    <t>Tax Thereon</t>
  </si>
  <si>
    <t>Tax Calculations</t>
  </si>
  <si>
    <t>Profit Before Tax</t>
  </si>
  <si>
    <t xml:space="preserve">Add: </t>
  </si>
  <si>
    <t>Depreciation as per P/L</t>
  </si>
  <si>
    <t>TOTAL</t>
  </si>
  <si>
    <t xml:space="preserve">Depreciation as per </t>
  </si>
  <si>
    <t>Income tax Act</t>
  </si>
  <si>
    <t>Taxable Profit</t>
  </si>
  <si>
    <t>Cumulative Profit/Loss</t>
  </si>
  <si>
    <t>Tax Thereon
(10 yr tax holiday)</t>
  </si>
  <si>
    <t>Amount of Tax Payable</t>
  </si>
  <si>
    <t>P&amp;L Without CDM</t>
  </si>
  <si>
    <t>Description</t>
  </si>
  <si>
    <t>Income</t>
  </si>
  <si>
    <t>Operation &amp; Maintenance</t>
  </si>
  <si>
    <t>Insurance</t>
  </si>
  <si>
    <t>Total operating  Expenses</t>
  </si>
  <si>
    <t>Total Interest</t>
  </si>
  <si>
    <t>Profit/Loss  before Depreciation and Tax</t>
  </si>
  <si>
    <t>Depreciation for year</t>
  </si>
  <si>
    <t>Profit/Loss after Depreciation but before Tax</t>
  </si>
  <si>
    <t>Tax</t>
  </si>
  <si>
    <t>Profit/ Loss after tax</t>
  </si>
  <si>
    <t>Salvage Value</t>
  </si>
  <si>
    <t>Net cash flow (adding loan interest)</t>
  </si>
  <si>
    <t>INR</t>
  </si>
  <si>
    <t>Power Evacuation, kWh</t>
  </si>
  <si>
    <t>Generaton, kWh</t>
  </si>
  <si>
    <t>Percent of Asset depreciation</t>
  </si>
  <si>
    <t>PLF</t>
  </si>
  <si>
    <t>O&amp;M</t>
  </si>
  <si>
    <t>Morotorium Period</t>
  </si>
  <si>
    <t>INR Millions</t>
  </si>
  <si>
    <t>Million kWh p.a.</t>
  </si>
  <si>
    <t>Net Export, Million KWh</t>
  </si>
  <si>
    <t>Net Export (in Million kWh)</t>
  </si>
  <si>
    <t>Rate per kWh (Rs).</t>
  </si>
  <si>
    <t>Total Income (Million INR)</t>
  </si>
  <si>
    <t>Expenses, Millions INR</t>
  </si>
  <si>
    <t>Depreciation as per Companies act</t>
  </si>
  <si>
    <t>Sensitivity analysis</t>
  </si>
  <si>
    <t>IRR without CDM</t>
  </si>
  <si>
    <t>CDM Expenses</t>
  </si>
  <si>
    <t>Land lease</t>
  </si>
  <si>
    <t>Administrative expenses</t>
  </si>
  <si>
    <t>Tariff</t>
  </si>
  <si>
    <t>Generation Based Incentive</t>
  </si>
  <si>
    <t>GBI</t>
  </si>
  <si>
    <t>CDM Revenues</t>
  </si>
  <si>
    <t>CERs</t>
  </si>
  <si>
    <t>Emission factor</t>
  </si>
  <si>
    <t>CER price</t>
  </si>
  <si>
    <t>Exchange Rate</t>
  </si>
  <si>
    <t>MAT</t>
  </si>
  <si>
    <t>Rupees</t>
  </si>
  <si>
    <t>CER revenues</t>
  </si>
  <si>
    <t>Capacity of each WTG</t>
  </si>
  <si>
    <t>Capacity(MW)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</si>
  <si>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</si>
  <si>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</si>
  <si>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</si>
  <si>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</si>
  <si>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</si>
  <si>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</si>
  <si>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</si>
  <si>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</si>
  <si>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</si>
  <si>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</si>
  <si>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2010-11</t>
  </si>
  <si>
    <t>2022-23</t>
  </si>
  <si>
    <t>2023-24</t>
  </si>
  <si>
    <t>2024-25</t>
  </si>
  <si>
    <t>2025-26</t>
  </si>
  <si>
    <t>2026-27</t>
  </si>
  <si>
    <t>2027-28</t>
  </si>
  <si>
    <t>2028-29</t>
  </si>
  <si>
    <t>2029-30</t>
  </si>
  <si>
    <t>2030-31</t>
  </si>
  <si>
    <t>2 yrs from commissioning</t>
  </si>
  <si>
    <t>2031-32</t>
  </si>
  <si>
    <t>2031-2032</t>
  </si>
  <si>
    <t>http://www.rbi.org.in/scripts/WSSView.aspx?Id=14850</t>
  </si>
  <si>
    <t>Sl.N.</t>
  </si>
  <si>
    <t>Item</t>
  </si>
  <si>
    <t>Price per unit (INR)</t>
  </si>
  <si>
    <t>No.of units</t>
  </si>
  <si>
    <t>Total Price (INR million)</t>
  </si>
  <si>
    <r>
      <rPr>
        <b/>
        <sz val="10"/>
        <color indexed="10"/>
        <rFont val="Arial"/>
        <family val="2"/>
      </rPr>
      <t xml:space="preserve">* </t>
    </r>
    <r>
      <rPr>
        <sz val="10"/>
        <rFont val="Arial"/>
        <family val="2"/>
      </rPr>
      <t>5% escalation year on year</t>
    </r>
  </si>
  <si>
    <t>INR million</t>
  </si>
  <si>
    <t>Cost per WTG</t>
  </si>
  <si>
    <t>Interest on term loan</t>
  </si>
  <si>
    <t>Equity IRR</t>
  </si>
  <si>
    <t>Debt repayment</t>
  </si>
  <si>
    <t>Net cash flow</t>
  </si>
  <si>
    <t>Project cost</t>
  </si>
  <si>
    <t>Annual escallation from 4th year</t>
  </si>
  <si>
    <t>O&amp;M cost</t>
  </si>
  <si>
    <t xml:space="preserve">O &amp; M Cost from 3rd Year of operation </t>
  </si>
  <si>
    <t>Values</t>
  </si>
  <si>
    <t>Units</t>
  </si>
  <si>
    <t>Sources</t>
  </si>
  <si>
    <t>Numbers</t>
  </si>
  <si>
    <t>Percentage</t>
  </si>
  <si>
    <t>INR/KWh</t>
  </si>
  <si>
    <t>tCO2/MWh</t>
  </si>
  <si>
    <t>Debt to Equity ratio of 70:30 has been assumed</t>
  </si>
  <si>
    <t>Maharashtra</t>
  </si>
  <si>
    <t>Chakla</t>
  </si>
  <si>
    <t>Board resolution by Caparo dated 22July 2011.</t>
  </si>
  <si>
    <t xml:space="preserve">Quotations from Suzlon dated 04 July 2011 </t>
  </si>
  <si>
    <t>Quotations from Suzlon dated 04 July 2012</t>
  </si>
  <si>
    <t>Calculated</t>
  </si>
  <si>
    <t>PLF report by Garrad Hassan. This is in conformance with Annex 11, EB 48.</t>
  </si>
  <si>
    <t>Technical specification document by Suzlon.This is in conformance to Anenx 15, EB 50</t>
  </si>
  <si>
    <t>MERC Tariff Order dated 29 April 2011. This was available during project conceptualiztion.</t>
  </si>
  <si>
    <t>Companies Act</t>
  </si>
  <si>
    <t>Income Tax Act</t>
  </si>
  <si>
    <t>Combined Margin Emission Factor calculated for NEWNE grid</t>
  </si>
  <si>
    <t>http://www.x-rates.com/d/INR/EUR/hist2011.html</t>
  </si>
  <si>
    <t>Base Case</t>
  </si>
  <si>
    <t>Parameters</t>
  </si>
  <si>
    <t>Sensitivity Analysis</t>
  </si>
  <si>
    <t>Civil Work</t>
  </si>
  <si>
    <t>E&amp;C</t>
  </si>
  <si>
    <t>Electrical</t>
  </si>
  <si>
    <t>Blades</t>
  </si>
  <si>
    <t>Towers</t>
  </si>
  <si>
    <t>Transformers</t>
  </si>
  <si>
    <t>WTG Supply</t>
  </si>
  <si>
    <t>Total</t>
  </si>
  <si>
    <t>Cost as per P.O</t>
  </si>
  <si>
    <t>Total cost in INR Million</t>
  </si>
  <si>
    <t>Taxes as applicable</t>
  </si>
  <si>
    <t>Total Cost</t>
  </si>
  <si>
    <t>Percentage reduction</t>
  </si>
  <si>
    <t>Income Tax</t>
  </si>
  <si>
    <t>MAT credit available</t>
  </si>
  <si>
    <t>Mat Set off</t>
  </si>
  <si>
    <t>Loan Repayment Period</t>
  </si>
  <si>
    <t>MERC Tariff Order, Page 28 of 81, Pararaph 3.6</t>
  </si>
</sst>
</file>

<file path=xl/styles.xml><?xml version="1.0" encoding="utf-8"?>
<styleSheet xmlns="http://schemas.openxmlformats.org/spreadsheetml/2006/main">
  <numFmts count="7">
    <numFmt numFmtId="164" formatCode="0.0"/>
    <numFmt numFmtId="165" formatCode="_(* #,##0_);_(* \(#,##0\);_(* &quot;-&quot;??_);_(@_)"/>
    <numFmt numFmtId="166" formatCode="#,##0.0"/>
    <numFmt numFmtId="167" formatCode="#,##0.000"/>
    <numFmt numFmtId="168" formatCode="#,##0.0000000"/>
    <numFmt numFmtId="169" formatCode="0.0000"/>
    <numFmt numFmtId="170" formatCode="0.0%"/>
  </numFmts>
  <fonts count="8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9" fontId="7" fillId="0" borderId="0" applyFont="0" applyFill="0" applyBorder="0" applyAlignment="0" applyProtection="0"/>
  </cellStyleXfs>
  <cellXfs count="164">
    <xf numFmtId="0" fontId="0" fillId="0" borderId="0" xfId="0"/>
    <xf numFmtId="0" fontId="1" fillId="2" borderId="1" xfId="0" applyFont="1" applyFill="1" applyBorder="1"/>
    <xf numFmtId="0" fontId="2" fillId="0" borderId="1" xfId="0" applyFont="1" applyBorder="1"/>
    <xf numFmtId="0" fontId="2" fillId="0" borderId="0" xfId="0" applyFont="1" applyBorder="1"/>
    <xf numFmtId="0" fontId="2" fillId="0" borderId="0" xfId="0" applyFont="1"/>
    <xf numFmtId="0" fontId="2" fillId="0" borderId="1" xfId="0" applyFont="1" applyBorder="1" applyAlignment="1">
      <alignment horizontal="right"/>
    </xf>
    <xf numFmtId="0" fontId="2" fillId="0" borderId="1" xfId="0" applyFont="1" applyFill="1" applyBorder="1"/>
    <xf numFmtId="2" fontId="2" fillId="0" borderId="1" xfId="0" applyNumberFormat="1" applyFont="1" applyFill="1" applyBorder="1"/>
    <xf numFmtId="0" fontId="2" fillId="0" borderId="0" xfId="0" applyFont="1" applyFill="1" applyBorder="1"/>
    <xf numFmtId="164" fontId="1" fillId="0" borderId="1" xfId="0" applyNumberFormat="1" applyFont="1" applyFill="1" applyBorder="1"/>
    <xf numFmtId="9" fontId="1" fillId="0" borderId="0" xfId="0" applyNumberFormat="1" applyFont="1" applyBorder="1" applyAlignment="1">
      <alignment horizontal="left"/>
    </xf>
    <xf numFmtId="0" fontId="1" fillId="0" borderId="1" xfId="0" applyFont="1" applyBorder="1"/>
    <xf numFmtId="0" fontId="1" fillId="0" borderId="0" xfId="0" applyFont="1" applyBorder="1" applyAlignment="1">
      <alignment horizontal="left"/>
    </xf>
    <xf numFmtId="10" fontId="2" fillId="0" borderId="0" xfId="0" applyNumberFormat="1" applyFont="1"/>
    <xf numFmtId="0" fontId="2" fillId="3" borderId="1" xfId="0" applyFont="1" applyFill="1" applyBorder="1"/>
    <xf numFmtId="10" fontId="2" fillId="0" borderId="1" xfId="0" applyNumberFormat="1" applyFont="1" applyFill="1" applyBorder="1"/>
    <xf numFmtId="9" fontId="2" fillId="0" borderId="1" xfId="0" applyNumberFormat="1" applyFont="1" applyFill="1" applyBorder="1"/>
    <xf numFmtId="0" fontId="2" fillId="0" borderId="2" xfId="0" applyFont="1" applyFill="1" applyBorder="1"/>
    <xf numFmtId="10" fontId="2" fillId="0" borderId="1" xfId="0" applyNumberFormat="1" applyFont="1" applyBorder="1"/>
    <xf numFmtId="2" fontId="2" fillId="0" borderId="1" xfId="0" applyNumberFormat="1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Fill="1"/>
    <xf numFmtId="0" fontId="1" fillId="0" borderId="0" xfId="0" applyFont="1" applyFill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165" fontId="2" fillId="0" borderId="1" xfId="0" applyNumberFormat="1" applyFont="1" applyBorder="1"/>
    <xf numFmtId="0" fontId="1" fillId="0" borderId="1" xfId="0" applyFont="1" applyFill="1" applyBorder="1"/>
    <xf numFmtId="1" fontId="2" fillId="0" borderId="1" xfId="0" applyNumberFormat="1" applyFont="1" applyBorder="1"/>
    <xf numFmtId="1" fontId="2" fillId="0" borderId="0" xfId="0" applyNumberFormat="1" applyFont="1"/>
    <xf numFmtId="10" fontId="0" fillId="0" borderId="0" xfId="0" applyNumberFormat="1"/>
    <xf numFmtId="0" fontId="1" fillId="0" borderId="0" xfId="0" applyFont="1"/>
    <xf numFmtId="0" fontId="0" fillId="0" borderId="1" xfId="0" applyBorder="1"/>
    <xf numFmtId="10" fontId="0" fillId="0" borderId="1" xfId="0" applyNumberFormat="1" applyBorder="1"/>
    <xf numFmtId="2" fontId="0" fillId="0" borderId="1" xfId="0" applyNumberFormat="1" applyBorder="1"/>
    <xf numFmtId="9" fontId="0" fillId="0" borderId="1" xfId="0" applyNumberFormat="1" applyBorder="1"/>
    <xf numFmtId="10" fontId="0" fillId="0" borderId="1" xfId="0" applyNumberFormat="1" applyFill="1" applyBorder="1"/>
    <xf numFmtId="0" fontId="0" fillId="0" borderId="1" xfId="0" applyFill="1" applyBorder="1"/>
    <xf numFmtId="0" fontId="1" fillId="2" borderId="1" xfId="0" applyFont="1" applyFill="1" applyBorder="1" applyAlignment="1">
      <alignment horizontal="left"/>
    </xf>
    <xf numFmtId="0" fontId="3" fillId="0" borderId="1" xfId="0" applyFont="1" applyBorder="1"/>
    <xf numFmtId="2" fontId="0" fillId="0" borderId="0" xfId="0" applyNumberFormat="1"/>
    <xf numFmtId="4" fontId="1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2" fillId="0" borderId="1" xfId="0" applyNumberFormat="1" applyFont="1" applyBorder="1"/>
    <xf numFmtId="4" fontId="2" fillId="0" borderId="1" xfId="0" applyNumberFormat="1" applyFont="1" applyFill="1" applyBorder="1"/>
    <xf numFmtId="4" fontId="2" fillId="0" borderId="0" xfId="0" applyNumberFormat="1" applyFont="1" applyFill="1" applyBorder="1"/>
    <xf numFmtId="0" fontId="1" fillId="0" borderId="0" xfId="0" applyFont="1" applyFill="1"/>
    <xf numFmtId="4" fontId="1" fillId="0" borderId="1" xfId="0" applyNumberFormat="1" applyFont="1" applyFill="1" applyBorder="1"/>
    <xf numFmtId="4" fontId="1" fillId="0" borderId="0" xfId="0" applyNumberFormat="1" applyFont="1"/>
    <xf numFmtId="4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/>
    <xf numFmtId="2" fontId="0" fillId="0" borderId="1" xfId="0" applyNumberFormat="1" applyFill="1" applyBorder="1"/>
    <xf numFmtId="9" fontId="0" fillId="0" borderId="1" xfId="0" applyNumberFormat="1" applyFill="1" applyBorder="1"/>
    <xf numFmtId="2" fontId="0" fillId="0" borderId="0" xfId="0" applyNumberFormat="1" applyBorder="1"/>
    <xf numFmtId="0" fontId="1" fillId="4" borderId="3" xfId="0" applyFont="1" applyFill="1" applyBorder="1" applyAlignment="1"/>
    <xf numFmtId="167" fontId="0" fillId="0" borderId="1" xfId="0" applyNumberFormat="1" applyBorder="1"/>
    <xf numFmtId="167" fontId="1" fillId="0" borderId="1" xfId="0" applyNumberFormat="1" applyFont="1" applyFill="1" applyBorder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0" fontId="0" fillId="5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0" fillId="0" borderId="0" xfId="0" applyNumberFormat="1" applyFill="1" applyBorder="1"/>
    <xf numFmtId="0" fontId="0" fillId="6" borderId="1" xfId="0" applyFill="1" applyBorder="1" applyAlignment="1">
      <alignment wrapText="1"/>
    </xf>
    <xf numFmtId="4" fontId="1" fillId="0" borderId="1" xfId="0" applyNumberFormat="1" applyFont="1" applyFill="1" applyBorder="1" applyAlignment="1">
      <alignment horizontal="left"/>
    </xf>
    <xf numFmtId="1" fontId="0" fillId="0" borderId="0" xfId="0" applyNumberForma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8" xfId="0" applyBorder="1"/>
    <xf numFmtId="1" fontId="0" fillId="0" borderId="1" xfId="0" applyNumberFormat="1" applyBorder="1"/>
    <xf numFmtId="10" fontId="0" fillId="0" borderId="9" xfId="0" applyNumberFormat="1" applyBorder="1"/>
    <xf numFmtId="1" fontId="0" fillId="0" borderId="10" xfId="0" applyNumberFormat="1" applyBorder="1"/>
    <xf numFmtId="10" fontId="0" fillId="0" borderId="11" xfId="0" applyNumberFormat="1" applyBorder="1" applyAlignment="1">
      <alignment horizontal="right"/>
    </xf>
    <xf numFmtId="0" fontId="0" fillId="0" borderId="12" xfId="0" applyBorder="1"/>
    <xf numFmtId="0" fontId="0" fillId="0" borderId="13" xfId="0" applyBorder="1"/>
    <xf numFmtId="1" fontId="0" fillId="0" borderId="13" xfId="0" applyNumberFormat="1" applyBorder="1"/>
    <xf numFmtId="10" fontId="0" fillId="0" borderId="14" xfId="0" applyNumberFormat="1" applyBorder="1"/>
    <xf numFmtId="1" fontId="0" fillId="0" borderId="15" xfId="0" applyNumberFormat="1" applyBorder="1"/>
    <xf numFmtId="4" fontId="1" fillId="0" borderId="1" xfId="0" applyNumberFormat="1" applyFont="1" applyBorder="1" applyAlignment="1">
      <alignment horizontal="right"/>
    </xf>
    <xf numFmtId="168" fontId="1" fillId="0" borderId="1" xfId="0" applyNumberFormat="1" applyFont="1" applyBorder="1"/>
    <xf numFmtId="1" fontId="0" fillId="8" borderId="1" xfId="0" applyNumberFormat="1" applyFill="1" applyBorder="1"/>
    <xf numFmtId="1" fontId="0" fillId="8" borderId="13" xfId="0" applyNumberFormat="1" applyFill="1" applyBorder="1"/>
    <xf numFmtId="1" fontId="0" fillId="0" borderId="0" xfId="0" applyNumberFormat="1" applyFill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9" xfId="0" applyFont="1" applyBorder="1" applyAlignment="1">
      <alignment horizontal="right"/>
    </xf>
    <xf numFmtId="1" fontId="0" fillId="0" borderId="10" xfId="0" applyNumberFormat="1" applyFill="1" applyBorder="1"/>
    <xf numFmtId="10" fontId="2" fillId="0" borderId="0" xfId="0" applyNumberFormat="1" applyFont="1" applyBorder="1"/>
    <xf numFmtId="10" fontId="2" fillId="0" borderId="0" xfId="0" applyNumberFormat="1" applyFont="1" applyBorder="1" applyAlignment="1"/>
    <xf numFmtId="4" fontId="2" fillId="0" borderId="0" xfId="0" applyNumberFormat="1" applyFont="1" applyBorder="1"/>
    <xf numFmtId="0" fontId="0" fillId="0" borderId="0" xfId="0" applyFill="1" applyAlignment="1">
      <alignment horizontal="center"/>
    </xf>
    <xf numFmtId="0" fontId="0" fillId="0" borderId="8" xfId="0" applyFill="1" applyBorder="1"/>
    <xf numFmtId="1" fontId="0" fillId="0" borderId="1" xfId="0" applyNumberFormat="1" applyFill="1" applyBorder="1"/>
    <xf numFmtId="10" fontId="0" fillId="0" borderId="11" xfId="0" applyNumberFormat="1" applyFill="1" applyBorder="1" applyAlignment="1">
      <alignment horizontal="right"/>
    </xf>
    <xf numFmtId="1" fontId="0" fillId="8" borderId="5" xfId="0" applyNumberFormat="1" applyFill="1" applyBorder="1" applyAlignment="1">
      <alignment horizontal="center"/>
    </xf>
    <xf numFmtId="1" fontId="0" fillId="8" borderId="1" xfId="0" applyNumberForma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6" fillId="0" borderId="1" xfId="1" applyFill="1" applyBorder="1" applyAlignment="1" applyProtection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Border="1"/>
    <xf numFmtId="2" fontId="0" fillId="0" borderId="0" xfId="0" applyNumberFormat="1" applyAlignment="1">
      <alignment wrapText="1"/>
    </xf>
    <xf numFmtId="2" fontId="1" fillId="0" borderId="1" xfId="0" applyNumberFormat="1" applyFont="1" applyBorder="1"/>
    <xf numFmtId="0" fontId="1" fillId="7" borderId="1" xfId="0" applyFont="1" applyFill="1" applyBorder="1"/>
    <xf numFmtId="10" fontId="1" fillId="7" borderId="1" xfId="0" applyNumberFormat="1" applyFont="1" applyFill="1" applyBorder="1"/>
    <xf numFmtId="0" fontId="2" fillId="0" borderId="9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wrapText="1"/>
    </xf>
    <xf numFmtId="169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6" xfId="0" applyFont="1" applyBorder="1" applyAlignment="1"/>
    <xf numFmtId="0" fontId="2" fillId="0" borderId="17" xfId="0" applyFont="1" applyBorder="1" applyAlignment="1"/>
    <xf numFmtId="164" fontId="2" fillId="0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0" fontId="0" fillId="0" borderId="0" xfId="0" applyNumberFormat="1" applyFill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10" fontId="2" fillId="0" borderId="0" xfId="0" applyNumberFormat="1" applyFont="1" applyFill="1"/>
    <xf numFmtId="170" fontId="2" fillId="0" borderId="1" xfId="0" applyNumberFormat="1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10" borderId="1" xfId="0" applyFont="1" applyFill="1" applyBorder="1"/>
    <xf numFmtId="10" fontId="1" fillId="10" borderId="1" xfId="0" applyNumberFormat="1" applyFont="1" applyFill="1" applyBorder="1" applyAlignment="1">
      <alignment horizontal="center"/>
    </xf>
    <xf numFmtId="9" fontId="1" fillId="10" borderId="1" xfId="0" applyNumberFormat="1" applyFont="1" applyFill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9" fontId="0" fillId="0" borderId="0" xfId="2" applyFont="1" applyAlignment="1">
      <alignment wrapText="1"/>
    </xf>
    <xf numFmtId="10" fontId="0" fillId="0" borderId="1" xfId="0" applyNumberFormat="1" applyBorder="1" applyAlignment="1">
      <alignment wrapText="1"/>
    </xf>
    <xf numFmtId="9" fontId="0" fillId="0" borderId="1" xfId="0" applyNumberFormat="1" applyBorder="1" applyAlignment="1">
      <alignment wrapText="1"/>
    </xf>
    <xf numFmtId="9" fontId="2" fillId="0" borderId="0" xfId="2" applyFont="1"/>
    <xf numFmtId="9" fontId="0" fillId="0" borderId="0" xfId="2" applyFont="1"/>
    <xf numFmtId="0" fontId="2" fillId="0" borderId="1" xfId="0" applyNumberFormat="1" applyFont="1" applyFill="1" applyBorder="1" applyAlignment="1">
      <alignment horizontal="center"/>
    </xf>
    <xf numFmtId="1" fontId="0" fillId="0" borderId="18" xfId="0" applyNumberFormat="1" applyBorder="1"/>
    <xf numFmtId="1" fontId="0" fillId="0" borderId="19" xfId="0" applyNumberFormat="1" applyFill="1" applyBorder="1"/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left" wrapText="1"/>
    </xf>
    <xf numFmtId="1" fontId="0" fillId="7" borderId="0" xfId="0" applyNumberFormat="1" applyFill="1" applyAlignment="1">
      <alignment horizontal="center"/>
    </xf>
    <xf numFmtId="0" fontId="1" fillId="0" borderId="0" xfId="0" applyFont="1" applyAlignment="1">
      <alignment horizontal="left" inden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bi.org.in/scripts/WSSView.aspx?Id=148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8"/>
  <sheetViews>
    <sheetView topLeftCell="A10" zoomScaleNormal="100" workbookViewId="0">
      <selection activeCell="D27" sqref="D27"/>
    </sheetView>
  </sheetViews>
  <sheetFormatPr defaultRowHeight="12.75"/>
  <cols>
    <col min="1" max="1" width="51.85546875" style="4" bestFit="1" customWidth="1"/>
    <col min="2" max="2" width="18.140625" style="4" bestFit="1" customWidth="1"/>
    <col min="3" max="3" width="18.140625" style="4" customWidth="1"/>
    <col min="4" max="4" width="52.85546875" style="4" bestFit="1" customWidth="1"/>
    <col min="5" max="5" width="35.140625" style="4" bestFit="1" customWidth="1"/>
    <col min="6" max="16384" width="9.140625" style="4"/>
  </cols>
  <sheetData>
    <row r="1" spans="1:6">
      <c r="A1" s="128" t="s">
        <v>0</v>
      </c>
      <c r="B1" s="128" t="s">
        <v>187</v>
      </c>
      <c r="C1" s="128" t="s">
        <v>188</v>
      </c>
      <c r="D1" s="128" t="s">
        <v>189</v>
      </c>
      <c r="E1" s="24"/>
    </row>
    <row r="2" spans="1:6">
      <c r="A2" s="2" t="s">
        <v>1</v>
      </c>
      <c r="B2" s="129" t="s">
        <v>195</v>
      </c>
      <c r="C2" s="29"/>
      <c r="D2" s="2" t="s">
        <v>197</v>
      </c>
      <c r="E2" s="97"/>
    </row>
    <row r="3" spans="1:6">
      <c r="A3" s="2" t="s">
        <v>2</v>
      </c>
      <c r="B3" s="130" t="s">
        <v>196</v>
      </c>
      <c r="C3" s="95"/>
      <c r="D3" s="2" t="s">
        <v>197</v>
      </c>
      <c r="E3" s="98"/>
    </row>
    <row r="4" spans="1:6">
      <c r="A4" s="2" t="s">
        <v>5</v>
      </c>
      <c r="B4" s="129">
        <v>26</v>
      </c>
      <c r="C4" s="6" t="s">
        <v>190</v>
      </c>
      <c r="D4" s="2" t="s">
        <v>198</v>
      </c>
      <c r="E4" s="99"/>
    </row>
    <row r="5" spans="1:6">
      <c r="A5" s="2" t="s">
        <v>145</v>
      </c>
      <c r="B5" s="129">
        <v>1.5</v>
      </c>
      <c r="C5" s="6" t="s">
        <v>4</v>
      </c>
      <c r="D5" s="2" t="s">
        <v>198</v>
      </c>
      <c r="E5" s="3"/>
    </row>
    <row r="6" spans="1:6">
      <c r="A6" s="2" t="s">
        <v>3</v>
      </c>
      <c r="B6" s="129">
        <f>B4*B5</f>
        <v>39</v>
      </c>
      <c r="C6" s="6" t="s">
        <v>4</v>
      </c>
      <c r="D6" s="2" t="s">
        <v>198</v>
      </c>
      <c r="E6" s="3"/>
    </row>
    <row r="7" spans="1:6">
      <c r="A7" s="6" t="s">
        <v>6</v>
      </c>
      <c r="B7" s="131">
        <f>'Project Cost'!D3</f>
        <v>97.5</v>
      </c>
      <c r="C7" s="6" t="s">
        <v>121</v>
      </c>
      <c r="D7" s="2" t="s">
        <v>198</v>
      </c>
      <c r="E7" s="8"/>
    </row>
    <row r="8" spans="1:6">
      <c r="A8" s="6" t="s">
        <v>7</v>
      </c>
      <c r="B8" s="132">
        <f>'Project Cost'!D2*(1+'Sensitivity Analysis'!C12)</f>
        <v>2535</v>
      </c>
      <c r="C8" s="6" t="s">
        <v>121</v>
      </c>
      <c r="D8" s="2" t="s">
        <v>200</v>
      </c>
      <c r="E8" s="8"/>
    </row>
    <row r="9" spans="1:6">
      <c r="A9" s="6" t="s">
        <v>38</v>
      </c>
      <c r="B9" s="133">
        <f>B8/B6</f>
        <v>65</v>
      </c>
      <c r="C9" s="6" t="s">
        <v>121</v>
      </c>
      <c r="D9" s="2" t="s">
        <v>200</v>
      </c>
      <c r="E9" s="8"/>
    </row>
    <row r="10" spans="1:6">
      <c r="A10" s="1" t="s">
        <v>9</v>
      </c>
      <c r="B10" s="131"/>
      <c r="C10" s="7"/>
      <c r="D10" s="2"/>
      <c r="E10" s="3"/>
    </row>
    <row r="11" spans="1:6">
      <c r="A11" s="2" t="s">
        <v>10</v>
      </c>
      <c r="B11" s="133">
        <f>B13*70%</f>
        <v>1774.5</v>
      </c>
      <c r="C11" s="127" t="s">
        <v>121</v>
      </c>
      <c r="D11" s="140" t="s">
        <v>194</v>
      </c>
      <c r="E11" s="10"/>
    </row>
    <row r="12" spans="1:6">
      <c r="A12" s="2" t="s">
        <v>11</v>
      </c>
      <c r="B12" s="133">
        <f>B13-B11</f>
        <v>760.5</v>
      </c>
      <c r="C12" s="9" t="s">
        <v>121</v>
      </c>
      <c r="D12" s="140" t="s">
        <v>194</v>
      </c>
      <c r="E12" s="10"/>
      <c r="F12" s="13"/>
    </row>
    <row r="13" spans="1:6">
      <c r="A13" s="11" t="s">
        <v>7</v>
      </c>
      <c r="B13" s="134">
        <f>B8</f>
        <v>2535</v>
      </c>
      <c r="C13" s="9" t="s">
        <v>121</v>
      </c>
      <c r="D13" s="141" t="s">
        <v>200</v>
      </c>
      <c r="E13" s="12"/>
      <c r="F13" s="13"/>
    </row>
    <row r="14" spans="1:6">
      <c r="A14" s="1" t="s">
        <v>12</v>
      </c>
      <c r="B14" s="129"/>
      <c r="C14" s="6"/>
      <c r="D14" s="2"/>
      <c r="E14" s="3"/>
    </row>
    <row r="15" spans="1:6" ht="25.5">
      <c r="A15" s="14" t="s">
        <v>13</v>
      </c>
      <c r="B15" s="135">
        <f>22.83%*(1+'Sensitivity Analysis'!C6)</f>
        <v>0.22829999999999998</v>
      </c>
      <c r="C15" s="139" t="s">
        <v>191</v>
      </c>
      <c r="D15" s="142" t="s">
        <v>201</v>
      </c>
      <c r="E15" s="3"/>
      <c r="F15" s="13"/>
    </row>
    <row r="16" spans="1:6">
      <c r="A16" s="2" t="s">
        <v>14</v>
      </c>
      <c r="B16" s="131">
        <f>+B6*24*365*1000/10^6*B15</f>
        <v>77.996411999999992</v>
      </c>
      <c r="C16" s="2" t="s">
        <v>122</v>
      </c>
      <c r="D16" s="4" t="s">
        <v>200</v>
      </c>
      <c r="E16" s="3"/>
    </row>
    <row r="17" spans="1:5">
      <c r="A17" s="2" t="s">
        <v>15</v>
      </c>
      <c r="B17" s="136">
        <v>1</v>
      </c>
      <c r="C17" s="15" t="s">
        <v>191</v>
      </c>
      <c r="D17" s="6"/>
      <c r="E17" s="3"/>
    </row>
    <row r="18" spans="1:5">
      <c r="A18" s="2" t="s">
        <v>16</v>
      </c>
      <c r="B18" s="137">
        <v>0</v>
      </c>
      <c r="C18" s="15" t="s">
        <v>191</v>
      </c>
      <c r="D18" s="6"/>
      <c r="E18" s="3"/>
    </row>
    <row r="19" spans="1:5">
      <c r="A19" s="2" t="s">
        <v>17</v>
      </c>
      <c r="B19" s="131">
        <f>+B16*(1-B18)</f>
        <v>77.996411999999992</v>
      </c>
      <c r="C19" s="2" t="s">
        <v>122</v>
      </c>
      <c r="D19" s="2"/>
      <c r="E19" s="3"/>
    </row>
    <row r="20" spans="1:5" ht="25.5">
      <c r="A20" s="2" t="s">
        <v>18</v>
      </c>
      <c r="B20" s="131">
        <v>20</v>
      </c>
      <c r="C20" s="6" t="s">
        <v>19</v>
      </c>
      <c r="D20" s="142" t="s">
        <v>202</v>
      </c>
      <c r="E20" s="3"/>
    </row>
    <row r="21" spans="1:5">
      <c r="A21" s="1" t="s">
        <v>20</v>
      </c>
      <c r="B21" s="131"/>
      <c r="C21" s="7"/>
      <c r="D21" s="6"/>
      <c r="E21" s="3"/>
    </row>
    <row r="22" spans="1:5">
      <c r="A22" s="2" t="s">
        <v>186</v>
      </c>
      <c r="B22" s="131">
        <f>'Project Cost'!F9*(1+'Sensitivity Analysis'!C8)</f>
        <v>42.874000000000002</v>
      </c>
      <c r="D22" s="2" t="s">
        <v>198</v>
      </c>
      <c r="E22" s="3"/>
    </row>
    <row r="23" spans="1:5">
      <c r="A23" s="6" t="s">
        <v>184</v>
      </c>
      <c r="B23" s="136">
        <v>0.05</v>
      </c>
      <c r="C23" s="15" t="s">
        <v>191</v>
      </c>
      <c r="D23" s="2" t="s">
        <v>199</v>
      </c>
      <c r="E23" s="3"/>
    </row>
    <row r="24" spans="1:5">
      <c r="A24" s="6"/>
      <c r="B24" s="131"/>
      <c r="C24" s="7"/>
      <c r="D24" s="6"/>
      <c r="E24" s="3"/>
    </row>
    <row r="25" spans="1:5">
      <c r="A25" s="1" t="s">
        <v>21</v>
      </c>
      <c r="B25" s="138"/>
      <c r="C25" s="16"/>
      <c r="D25" s="6"/>
      <c r="E25" s="3"/>
    </row>
    <row r="26" spans="1:5">
      <c r="A26" s="17" t="s">
        <v>22</v>
      </c>
      <c r="B26" s="131">
        <v>0</v>
      </c>
      <c r="C26" s="7" t="s">
        <v>121</v>
      </c>
      <c r="D26" s="6"/>
      <c r="E26" s="3"/>
    </row>
    <row r="27" spans="1:5">
      <c r="A27" s="2" t="s">
        <v>23</v>
      </c>
      <c r="B27" s="131">
        <v>0</v>
      </c>
      <c r="C27" s="7" t="s">
        <v>121</v>
      </c>
      <c r="D27" s="6"/>
      <c r="E27" s="3"/>
    </row>
    <row r="28" spans="1:5">
      <c r="A28" s="2" t="s">
        <v>24</v>
      </c>
      <c r="B28" s="136">
        <v>0</v>
      </c>
      <c r="C28" s="139" t="s">
        <v>191</v>
      </c>
      <c r="D28" s="6"/>
      <c r="E28" s="3"/>
    </row>
    <row r="29" spans="1:5">
      <c r="A29" s="2"/>
      <c r="B29" s="136"/>
      <c r="C29" s="15"/>
      <c r="D29" s="6"/>
      <c r="E29" s="3"/>
    </row>
    <row r="30" spans="1:5">
      <c r="A30" s="1" t="s">
        <v>25</v>
      </c>
      <c r="B30" s="129"/>
      <c r="C30" s="6"/>
      <c r="D30" s="6"/>
      <c r="E30" s="3"/>
    </row>
    <row r="31" spans="1:5">
      <c r="A31" s="11" t="s">
        <v>26</v>
      </c>
      <c r="B31" s="129"/>
      <c r="C31" s="6"/>
      <c r="D31" s="6"/>
      <c r="E31" s="3"/>
    </row>
    <row r="32" spans="1:5">
      <c r="A32" s="2" t="s">
        <v>27</v>
      </c>
      <c r="B32" s="136">
        <v>0.1285</v>
      </c>
      <c r="C32" s="139" t="s">
        <v>191</v>
      </c>
      <c r="D32" s="109" t="s">
        <v>170</v>
      </c>
      <c r="E32" s="3"/>
    </row>
    <row r="33" spans="1:5" ht="25.5">
      <c r="A33" s="11" t="s">
        <v>28</v>
      </c>
      <c r="B33" s="131">
        <f>4.67*(1+'Sensitivity Analysis'!C10)</f>
        <v>4.67</v>
      </c>
      <c r="C33" s="7" t="s">
        <v>192</v>
      </c>
      <c r="D33" s="143" t="s">
        <v>203</v>
      </c>
      <c r="E33" s="3"/>
    </row>
    <row r="34" spans="1:5">
      <c r="A34" s="11" t="s">
        <v>29</v>
      </c>
      <c r="B34" s="136">
        <v>0</v>
      </c>
      <c r="C34" s="15" t="s">
        <v>191</v>
      </c>
      <c r="D34" s="6"/>
      <c r="E34" s="3"/>
    </row>
    <row r="35" spans="1:5">
      <c r="A35" s="11" t="s">
        <v>227</v>
      </c>
      <c r="B35" s="157">
        <v>10</v>
      </c>
      <c r="C35" s="15" t="s">
        <v>19</v>
      </c>
      <c r="D35" s="6" t="s">
        <v>228</v>
      </c>
      <c r="E35" s="3"/>
    </row>
    <row r="36" spans="1:5">
      <c r="A36" s="1" t="s">
        <v>30</v>
      </c>
      <c r="B36" s="138"/>
      <c r="C36" s="16"/>
      <c r="D36" s="6"/>
      <c r="E36" s="3"/>
    </row>
    <row r="37" spans="1:5">
      <c r="A37" s="11" t="s">
        <v>31</v>
      </c>
      <c r="B37" s="138"/>
      <c r="C37" s="16"/>
      <c r="D37" s="6"/>
      <c r="E37" s="3"/>
    </row>
    <row r="38" spans="1:5">
      <c r="A38" s="2" t="s">
        <v>32</v>
      </c>
      <c r="B38" s="136">
        <v>5.28E-2</v>
      </c>
      <c r="C38" s="15" t="s">
        <v>191</v>
      </c>
      <c r="D38" s="6" t="s">
        <v>204</v>
      </c>
      <c r="E38" s="3"/>
    </row>
    <row r="39" spans="1:5">
      <c r="A39" s="11" t="s">
        <v>33</v>
      </c>
      <c r="B39" s="138"/>
      <c r="C39" s="16"/>
      <c r="D39" s="2"/>
      <c r="E39" s="3"/>
    </row>
    <row r="40" spans="1:5">
      <c r="A40" s="2" t="s">
        <v>34</v>
      </c>
      <c r="B40" s="138">
        <v>0.15</v>
      </c>
      <c r="C40" s="16" t="s">
        <v>191</v>
      </c>
      <c r="D40" s="2" t="s">
        <v>205</v>
      </c>
      <c r="E40" s="3"/>
    </row>
    <row r="41" spans="1:5">
      <c r="A41" s="2"/>
      <c r="B41" s="138"/>
      <c r="C41" s="16"/>
      <c r="D41" s="2"/>
      <c r="E41" s="3"/>
    </row>
    <row r="42" spans="1:5">
      <c r="A42" s="1" t="s">
        <v>35</v>
      </c>
      <c r="B42" s="138"/>
      <c r="C42" s="16"/>
      <c r="D42" s="2"/>
      <c r="E42" s="3"/>
    </row>
    <row r="43" spans="1:5">
      <c r="A43" s="2" t="s">
        <v>36</v>
      </c>
      <c r="B43" s="136">
        <v>0.32450000000000001</v>
      </c>
      <c r="C43" s="16" t="s">
        <v>191</v>
      </c>
      <c r="D43" s="2"/>
      <c r="E43" s="3"/>
    </row>
    <row r="44" spans="1:5">
      <c r="A44" s="6" t="s">
        <v>142</v>
      </c>
      <c r="B44" s="138">
        <v>0.2001</v>
      </c>
      <c r="C44" s="16" t="s">
        <v>191</v>
      </c>
      <c r="D44" s="2"/>
    </row>
    <row r="45" spans="1:5">
      <c r="A45" s="1" t="s">
        <v>138</v>
      </c>
      <c r="B45" s="129"/>
      <c r="C45" s="6"/>
      <c r="D45" s="2"/>
    </row>
    <row r="46" spans="1:5">
      <c r="A46" s="6" t="s">
        <v>139</v>
      </c>
      <c r="B46" s="129">
        <v>0.95269999999999999</v>
      </c>
      <c r="C46" s="6" t="s">
        <v>193</v>
      </c>
      <c r="D46" s="2" t="s">
        <v>206</v>
      </c>
    </row>
    <row r="47" spans="1:5">
      <c r="A47" s="2" t="s">
        <v>140</v>
      </c>
      <c r="B47" s="129">
        <v>0</v>
      </c>
      <c r="C47" s="2" t="s">
        <v>8</v>
      </c>
      <c r="D47" s="2"/>
    </row>
    <row r="48" spans="1:5">
      <c r="A48" s="6" t="s">
        <v>141</v>
      </c>
      <c r="B48" s="129">
        <v>64.52</v>
      </c>
      <c r="C48" s="2" t="s">
        <v>143</v>
      </c>
      <c r="D48" s="2" t="s">
        <v>207</v>
      </c>
    </row>
  </sheetData>
  <dataConsolidate/>
  <phoneticPr fontId="0" type="noConversion"/>
  <hyperlinks>
    <hyperlink ref="D32" r:id="rId1"/>
  </hyperlinks>
  <pageMargins left="0" right="0" top="0" bottom="0" header="0" footer="0"/>
  <pageSetup orientation="portrait" verticalDpi="18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J25"/>
  <sheetViews>
    <sheetView workbookViewId="0">
      <selection activeCell="I21" sqref="I21"/>
    </sheetView>
  </sheetViews>
  <sheetFormatPr defaultRowHeight="12.75"/>
  <cols>
    <col min="2" max="2" width="5.140625" style="114" customWidth="1"/>
    <col min="3" max="3" width="20.7109375" style="113" customWidth="1"/>
    <col min="4" max="4" width="14.7109375" style="114" customWidth="1"/>
    <col min="5" max="5" width="10.7109375" style="114" customWidth="1"/>
    <col min="6" max="6" width="12.28515625" style="114" customWidth="1"/>
    <col min="7" max="7" width="9.140625" style="114"/>
    <col min="8" max="8" width="11.5703125" style="114" bestFit="1" customWidth="1"/>
    <col min="9" max="9" width="11" style="114" bestFit="1" customWidth="1"/>
    <col min="10" max="10" width="20.28515625" bestFit="1" customWidth="1"/>
  </cols>
  <sheetData>
    <row r="2" spans="2:10">
      <c r="C2" s="113" t="s">
        <v>7</v>
      </c>
      <c r="D2" s="116">
        <f>F7</f>
        <v>2535</v>
      </c>
      <c r="E2" s="114" t="s">
        <v>177</v>
      </c>
    </row>
    <row r="3" spans="2:10">
      <c r="C3" s="113" t="s">
        <v>178</v>
      </c>
      <c r="D3" s="114">
        <f>D2/Assumptions!B4</f>
        <v>97.5</v>
      </c>
      <c r="E3" s="114" t="s">
        <v>177</v>
      </c>
    </row>
    <row r="4" spans="2:10">
      <c r="C4" s="113" t="s">
        <v>38</v>
      </c>
      <c r="D4" s="116">
        <f>D2/Assumptions!B6</f>
        <v>65</v>
      </c>
      <c r="E4" s="114" t="s">
        <v>177</v>
      </c>
    </row>
    <row r="6" spans="2:10" s="26" customFormat="1" ht="25.5">
      <c r="B6" s="110" t="s">
        <v>171</v>
      </c>
      <c r="C6" s="110" t="s">
        <v>172</v>
      </c>
      <c r="D6" s="110" t="s">
        <v>173</v>
      </c>
      <c r="E6" s="110" t="s">
        <v>174</v>
      </c>
      <c r="F6" s="110" t="s">
        <v>175</v>
      </c>
      <c r="G6" s="111"/>
      <c r="H6" s="111"/>
      <c r="I6" s="111"/>
    </row>
    <row r="7" spans="2:10" s="25" customFormat="1" ht="12.75" customHeight="1">
      <c r="B7" s="120">
        <v>1</v>
      </c>
      <c r="C7" s="121" t="s">
        <v>183</v>
      </c>
      <c r="D7" s="121">
        <v>97500000</v>
      </c>
      <c r="E7" s="122">
        <v>26</v>
      </c>
      <c r="F7" s="123">
        <f>(D7*E7)/10^6</f>
        <v>2535</v>
      </c>
      <c r="G7" s="124"/>
      <c r="H7" s="124"/>
      <c r="I7" s="124"/>
    </row>
    <row r="8" spans="2:10" s="21" customFormat="1">
      <c r="B8" s="112"/>
      <c r="C8" s="113"/>
      <c r="D8" s="112"/>
      <c r="E8" s="112"/>
      <c r="F8" s="112"/>
      <c r="G8" s="112"/>
      <c r="H8" s="112"/>
      <c r="I8" s="112">
        <v>1530000</v>
      </c>
    </row>
    <row r="9" spans="2:10" s="4" customFormat="1" ht="12.75" customHeight="1">
      <c r="B9" s="120">
        <v>2</v>
      </c>
      <c r="C9" s="125" t="s">
        <v>185</v>
      </c>
      <c r="D9" s="125">
        <v>1649000</v>
      </c>
      <c r="E9" s="126">
        <v>26</v>
      </c>
      <c r="F9" s="123">
        <f>(D9*E9)/10^6</f>
        <v>42.874000000000002</v>
      </c>
      <c r="G9" s="108"/>
      <c r="H9" s="108"/>
      <c r="I9" s="108">
        <f>D9-I8</f>
        <v>119000</v>
      </c>
      <c r="J9" s="155">
        <f>I9/D9</f>
        <v>7.2164948453608241E-2</v>
      </c>
    </row>
    <row r="11" spans="2:10" s="114" customFormat="1">
      <c r="C11" s="161" t="s">
        <v>176</v>
      </c>
      <c r="D11" s="161"/>
    </row>
    <row r="13" spans="2:10" ht="25.5">
      <c r="C13" s="149" t="s">
        <v>209</v>
      </c>
      <c r="D13" s="150" t="s">
        <v>219</v>
      </c>
      <c r="E13" s="150" t="s">
        <v>221</v>
      </c>
      <c r="F13" s="150" t="s">
        <v>222</v>
      </c>
    </row>
    <row r="14" spans="2:10">
      <c r="C14" s="149" t="s">
        <v>211</v>
      </c>
      <c r="D14" s="149">
        <v>96720000</v>
      </c>
      <c r="E14" s="153">
        <v>0.10299999999999999</v>
      </c>
      <c r="F14" s="150">
        <f>D14*(1+E14)</f>
        <v>106682160</v>
      </c>
    </row>
    <row r="15" spans="2:10">
      <c r="C15" s="149" t="s">
        <v>212</v>
      </c>
      <c r="D15" s="149">
        <v>95979000</v>
      </c>
      <c r="E15" s="153">
        <v>0.10299999999999999</v>
      </c>
      <c r="F15" s="150">
        <f t="shared" ref="F15:F20" si="0">D15*(1+E15)</f>
        <v>105864837</v>
      </c>
    </row>
    <row r="16" spans="2:10">
      <c r="C16" s="149" t="s">
        <v>213</v>
      </c>
      <c r="D16" s="149">
        <v>95270983</v>
      </c>
      <c r="E16" s="153">
        <v>0.10299999999999999</v>
      </c>
      <c r="F16" s="150">
        <f t="shared" si="0"/>
        <v>105083894.249</v>
      </c>
    </row>
    <row r="17" spans="3:6">
      <c r="C17" s="149" t="s">
        <v>214</v>
      </c>
      <c r="D17" s="149">
        <v>270270000</v>
      </c>
      <c r="E17" s="154">
        <v>0</v>
      </c>
      <c r="F17" s="150">
        <f t="shared" si="0"/>
        <v>270270000</v>
      </c>
    </row>
    <row r="18" spans="3:6">
      <c r="C18" s="149" t="s">
        <v>215</v>
      </c>
      <c r="D18" s="149">
        <v>377000000</v>
      </c>
      <c r="E18" s="154">
        <v>0</v>
      </c>
      <c r="F18" s="150">
        <f t="shared" si="0"/>
        <v>377000000</v>
      </c>
    </row>
    <row r="19" spans="3:6">
      <c r="C19" s="149" t="s">
        <v>216</v>
      </c>
      <c r="D19" s="149">
        <v>33020000</v>
      </c>
      <c r="E19" s="154">
        <v>0</v>
      </c>
      <c r="F19" s="150">
        <f t="shared" si="0"/>
        <v>33020000</v>
      </c>
    </row>
    <row r="20" spans="3:6">
      <c r="C20" s="149" t="s">
        <v>217</v>
      </c>
      <c r="D20" s="149">
        <v>1202799000</v>
      </c>
      <c r="E20" s="154">
        <v>0</v>
      </c>
      <c r="F20" s="150">
        <f t="shared" si="0"/>
        <v>1202799000</v>
      </c>
    </row>
    <row r="21" spans="3:6">
      <c r="C21" s="149" t="s">
        <v>218</v>
      </c>
      <c r="D21" s="149">
        <f>SUM(D14:D20)</f>
        <v>2171058983</v>
      </c>
      <c r="E21" s="150"/>
      <c r="F21" s="150">
        <f>SUM(F14:F20)</f>
        <v>2200719891.2490001</v>
      </c>
    </row>
    <row r="22" spans="3:6" ht="25.5">
      <c r="C22" s="149" t="s">
        <v>220</v>
      </c>
      <c r="D22" s="151"/>
      <c r="E22" s="150"/>
      <c r="F22" s="150">
        <f>F21/1000000</f>
        <v>2200.7198912490003</v>
      </c>
    </row>
    <row r="23" spans="3:6">
      <c r="F23" s="152"/>
    </row>
    <row r="25" spans="3:6" ht="25.5">
      <c r="E25" s="114" t="s">
        <v>223</v>
      </c>
      <c r="F25" s="152">
        <f>(D2-F22)/F7</f>
        <v>0.13186592061183422</v>
      </c>
    </row>
  </sheetData>
  <mergeCells count="1">
    <mergeCell ref="C11:D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5"/>
  <sheetViews>
    <sheetView zoomScaleNormal="100" workbookViewId="0">
      <selection activeCell="A13" sqref="A13"/>
    </sheetView>
  </sheetViews>
  <sheetFormatPr defaultColWidth="0" defaultRowHeight="12.75"/>
  <cols>
    <col min="1" max="1" width="27.42578125" style="4" bestFit="1" customWidth="1"/>
    <col min="2" max="21" width="12.28515625" style="4" bestFit="1" customWidth="1"/>
    <col min="22" max="22" width="9.140625" style="4" customWidth="1"/>
    <col min="23" max="16384" width="0" style="4" hidden="1"/>
  </cols>
  <sheetData>
    <row r="1" spans="1:21" s="25" customFormat="1">
      <c r="B1" s="25" t="s">
        <v>147</v>
      </c>
      <c r="C1" s="25" t="s">
        <v>148</v>
      </c>
      <c r="D1" s="25" t="s">
        <v>149</v>
      </c>
      <c r="E1" s="25" t="s">
        <v>150</v>
      </c>
      <c r="F1" s="25" t="s">
        <v>151</v>
      </c>
      <c r="G1" s="25" t="s">
        <v>152</v>
      </c>
      <c r="H1" s="25" t="s">
        <v>153</v>
      </c>
      <c r="I1" s="25" t="s">
        <v>154</v>
      </c>
      <c r="J1" s="25" t="s">
        <v>155</v>
      </c>
      <c r="K1" s="25" t="s">
        <v>156</v>
      </c>
      <c r="L1" s="25" t="s">
        <v>158</v>
      </c>
      <c r="M1" s="25" t="s">
        <v>159</v>
      </c>
      <c r="N1" s="25" t="s">
        <v>160</v>
      </c>
      <c r="O1" s="25" t="s">
        <v>161</v>
      </c>
      <c r="P1" s="25" t="s">
        <v>162</v>
      </c>
      <c r="Q1" s="25" t="s">
        <v>163</v>
      </c>
      <c r="R1" s="25" t="s">
        <v>164</v>
      </c>
      <c r="S1" s="25" t="s">
        <v>165</v>
      </c>
      <c r="T1" s="25" t="s">
        <v>166</v>
      </c>
      <c r="U1" s="25" t="s">
        <v>168</v>
      </c>
    </row>
    <row r="2" spans="1:21" ht="13.5" customHeight="1">
      <c r="A2" s="11" t="s">
        <v>39</v>
      </c>
      <c r="B2" s="11">
        <v>12</v>
      </c>
      <c r="C2" s="11">
        <v>12</v>
      </c>
      <c r="D2" s="11">
        <v>12</v>
      </c>
      <c r="E2" s="11">
        <v>12</v>
      </c>
      <c r="F2" s="11">
        <v>12</v>
      </c>
      <c r="G2" s="11">
        <v>12</v>
      </c>
      <c r="H2" s="11">
        <v>12</v>
      </c>
      <c r="I2" s="11">
        <v>12</v>
      </c>
      <c r="J2" s="11">
        <v>12</v>
      </c>
      <c r="K2" s="11">
        <v>12</v>
      </c>
      <c r="L2" s="11">
        <v>12</v>
      </c>
      <c r="M2" s="11">
        <v>12</v>
      </c>
      <c r="N2" s="11">
        <v>12</v>
      </c>
      <c r="O2" s="11">
        <v>12</v>
      </c>
      <c r="P2" s="11">
        <v>12</v>
      </c>
      <c r="Q2" s="11">
        <v>12</v>
      </c>
      <c r="R2" s="11">
        <v>12</v>
      </c>
      <c r="S2" s="11">
        <v>12</v>
      </c>
      <c r="T2" s="11">
        <v>12</v>
      </c>
      <c r="U2" s="11">
        <v>12</v>
      </c>
    </row>
    <row r="3" spans="1:21" ht="13.5" customHeight="1">
      <c r="A3" s="11" t="s">
        <v>40</v>
      </c>
      <c r="B3" s="27"/>
      <c r="C3" s="26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t="13.5" customHeight="1">
      <c r="A4" s="2" t="s">
        <v>146</v>
      </c>
      <c r="B4" s="2">
        <f>Assumptions!B6</f>
        <v>39</v>
      </c>
      <c r="C4" s="2">
        <f>Assumptions!$B$6</f>
        <v>39</v>
      </c>
      <c r="D4" s="2">
        <f>Assumptions!$B$6</f>
        <v>39</v>
      </c>
      <c r="E4" s="2">
        <f>Assumptions!$B$6</f>
        <v>39</v>
      </c>
      <c r="F4" s="2">
        <f>Assumptions!$B$6</f>
        <v>39</v>
      </c>
      <c r="G4" s="2">
        <f>Assumptions!$B$6</f>
        <v>39</v>
      </c>
      <c r="H4" s="2">
        <f>Assumptions!$B$6</f>
        <v>39</v>
      </c>
      <c r="I4" s="2">
        <f>Assumptions!$B$6</f>
        <v>39</v>
      </c>
      <c r="J4" s="2">
        <f>Assumptions!$B$6</f>
        <v>39</v>
      </c>
      <c r="K4" s="2">
        <f>Assumptions!$B$6</f>
        <v>39</v>
      </c>
      <c r="L4" s="2">
        <f>Assumptions!$B$6</f>
        <v>39</v>
      </c>
      <c r="M4" s="2">
        <f>Assumptions!$B$6</f>
        <v>39</v>
      </c>
      <c r="N4" s="2">
        <f>Assumptions!$B$6</f>
        <v>39</v>
      </c>
      <c r="O4" s="2">
        <f>Assumptions!$B$6</f>
        <v>39</v>
      </c>
      <c r="P4" s="2">
        <f>Assumptions!$B$6</f>
        <v>39</v>
      </c>
      <c r="Q4" s="2">
        <f>Assumptions!$B$6</f>
        <v>39</v>
      </c>
      <c r="R4" s="2">
        <f>Assumptions!$B$6</f>
        <v>39</v>
      </c>
      <c r="S4" s="2">
        <f>Assumptions!$B$6</f>
        <v>39</v>
      </c>
      <c r="T4" s="2">
        <f>Assumptions!$B$6</f>
        <v>39</v>
      </c>
      <c r="U4" s="2">
        <f>Assumptions!$B$6</f>
        <v>39</v>
      </c>
    </row>
    <row r="5" spans="1:21" ht="13.5" customHeight="1">
      <c r="A5" s="2" t="s">
        <v>41</v>
      </c>
      <c r="B5" s="6">
        <v>365</v>
      </c>
      <c r="C5" s="5">
        <v>365</v>
      </c>
      <c r="D5" s="5">
        <v>365</v>
      </c>
      <c r="E5" s="5">
        <v>365</v>
      </c>
      <c r="F5" s="5">
        <v>365</v>
      </c>
      <c r="G5" s="5">
        <v>365</v>
      </c>
      <c r="H5" s="5">
        <v>365</v>
      </c>
      <c r="I5" s="5">
        <v>365</v>
      </c>
      <c r="J5" s="5">
        <v>365</v>
      </c>
      <c r="K5" s="5">
        <v>365</v>
      </c>
      <c r="L5" s="5">
        <v>365</v>
      </c>
      <c r="M5" s="5">
        <v>365</v>
      </c>
      <c r="N5" s="5">
        <v>365</v>
      </c>
      <c r="O5" s="5">
        <v>365</v>
      </c>
      <c r="P5" s="5">
        <v>365</v>
      </c>
      <c r="Q5" s="5">
        <v>365</v>
      </c>
      <c r="R5" s="5">
        <v>365</v>
      </c>
      <c r="S5" s="5">
        <v>365</v>
      </c>
      <c r="T5" s="5">
        <v>365</v>
      </c>
      <c r="U5" s="5">
        <v>365</v>
      </c>
    </row>
    <row r="6" spans="1:21" ht="13.5" customHeight="1">
      <c r="A6" s="2" t="s">
        <v>42</v>
      </c>
      <c r="B6" s="2">
        <v>24</v>
      </c>
      <c r="C6" s="2">
        <v>24</v>
      </c>
      <c r="D6" s="2">
        <f t="shared" ref="D6:U6" si="0">C6</f>
        <v>24</v>
      </c>
      <c r="E6" s="2">
        <f t="shared" si="0"/>
        <v>24</v>
      </c>
      <c r="F6" s="2">
        <f t="shared" si="0"/>
        <v>24</v>
      </c>
      <c r="G6" s="2">
        <f t="shared" si="0"/>
        <v>24</v>
      </c>
      <c r="H6" s="2">
        <f t="shared" si="0"/>
        <v>24</v>
      </c>
      <c r="I6" s="2">
        <f t="shared" si="0"/>
        <v>24</v>
      </c>
      <c r="J6" s="2">
        <f t="shared" si="0"/>
        <v>24</v>
      </c>
      <c r="K6" s="2">
        <f t="shared" si="0"/>
        <v>24</v>
      </c>
      <c r="L6" s="2">
        <f t="shared" si="0"/>
        <v>24</v>
      </c>
      <c r="M6" s="2">
        <f t="shared" si="0"/>
        <v>24</v>
      </c>
      <c r="N6" s="2">
        <f t="shared" si="0"/>
        <v>24</v>
      </c>
      <c r="O6" s="2">
        <f t="shared" si="0"/>
        <v>24</v>
      </c>
      <c r="P6" s="2">
        <f t="shared" si="0"/>
        <v>24</v>
      </c>
      <c r="Q6" s="2">
        <f t="shared" si="0"/>
        <v>24</v>
      </c>
      <c r="R6" s="2">
        <f t="shared" si="0"/>
        <v>24</v>
      </c>
      <c r="S6" s="2">
        <f t="shared" si="0"/>
        <v>24</v>
      </c>
      <c r="T6" s="2">
        <f t="shared" si="0"/>
        <v>24</v>
      </c>
      <c r="U6" s="2">
        <f t="shared" si="0"/>
        <v>24</v>
      </c>
    </row>
    <row r="7" spans="1:21" ht="13.5" customHeight="1">
      <c r="A7" s="2" t="s">
        <v>43</v>
      </c>
      <c r="B7" s="30">
        <f>B4*B5*B6*1000</f>
        <v>341640000</v>
      </c>
      <c r="C7" s="30">
        <f t="shared" ref="C7:U7" si="1">C4*C5*C6*1000</f>
        <v>341640000</v>
      </c>
      <c r="D7" s="30">
        <f t="shared" si="1"/>
        <v>341640000</v>
      </c>
      <c r="E7" s="30">
        <f t="shared" si="1"/>
        <v>341640000</v>
      </c>
      <c r="F7" s="30">
        <f t="shared" si="1"/>
        <v>341640000</v>
      </c>
      <c r="G7" s="30">
        <f t="shared" si="1"/>
        <v>341640000</v>
      </c>
      <c r="H7" s="30">
        <f t="shared" si="1"/>
        <v>341640000</v>
      </c>
      <c r="I7" s="30">
        <f t="shared" si="1"/>
        <v>341640000</v>
      </c>
      <c r="J7" s="30">
        <f t="shared" si="1"/>
        <v>341640000</v>
      </c>
      <c r="K7" s="30">
        <f t="shared" si="1"/>
        <v>341640000</v>
      </c>
      <c r="L7" s="30">
        <f t="shared" si="1"/>
        <v>341640000</v>
      </c>
      <c r="M7" s="30">
        <f t="shared" si="1"/>
        <v>341640000</v>
      </c>
      <c r="N7" s="30">
        <f t="shared" si="1"/>
        <v>341640000</v>
      </c>
      <c r="O7" s="30">
        <f t="shared" si="1"/>
        <v>341640000</v>
      </c>
      <c r="P7" s="30">
        <f t="shared" si="1"/>
        <v>341640000</v>
      </c>
      <c r="Q7" s="30">
        <f t="shared" si="1"/>
        <v>341640000</v>
      </c>
      <c r="R7" s="30">
        <f t="shared" si="1"/>
        <v>341640000</v>
      </c>
      <c r="S7" s="30">
        <f t="shared" si="1"/>
        <v>341640000</v>
      </c>
      <c r="T7" s="30">
        <f t="shared" si="1"/>
        <v>341640000</v>
      </c>
      <c r="U7" s="30">
        <f t="shared" si="1"/>
        <v>341640000</v>
      </c>
    </row>
    <row r="8" spans="1:21" ht="13.5" customHeight="1">
      <c r="A8" s="2" t="s">
        <v>44</v>
      </c>
      <c r="B8" s="18">
        <f>Assumptions!B15</f>
        <v>0.22829999999999998</v>
      </c>
      <c r="C8" s="13">
        <f>B8</f>
        <v>0.22829999999999998</v>
      </c>
      <c r="D8" s="18">
        <f>B8</f>
        <v>0.22829999999999998</v>
      </c>
      <c r="E8" s="18">
        <f t="shared" ref="E8:U8" si="2">D8</f>
        <v>0.22829999999999998</v>
      </c>
      <c r="F8" s="18">
        <f t="shared" si="2"/>
        <v>0.22829999999999998</v>
      </c>
      <c r="G8" s="18">
        <f t="shared" si="2"/>
        <v>0.22829999999999998</v>
      </c>
      <c r="H8" s="18">
        <f t="shared" si="2"/>
        <v>0.22829999999999998</v>
      </c>
      <c r="I8" s="18">
        <f t="shared" si="2"/>
        <v>0.22829999999999998</v>
      </c>
      <c r="J8" s="18">
        <f t="shared" si="2"/>
        <v>0.22829999999999998</v>
      </c>
      <c r="K8" s="18">
        <f t="shared" si="2"/>
        <v>0.22829999999999998</v>
      </c>
      <c r="L8" s="18">
        <f t="shared" si="2"/>
        <v>0.22829999999999998</v>
      </c>
      <c r="M8" s="18">
        <f t="shared" si="2"/>
        <v>0.22829999999999998</v>
      </c>
      <c r="N8" s="18">
        <f t="shared" si="2"/>
        <v>0.22829999999999998</v>
      </c>
      <c r="O8" s="18">
        <f t="shared" si="2"/>
        <v>0.22829999999999998</v>
      </c>
      <c r="P8" s="18">
        <f t="shared" si="2"/>
        <v>0.22829999999999998</v>
      </c>
      <c r="Q8" s="18">
        <f t="shared" si="2"/>
        <v>0.22829999999999998</v>
      </c>
      <c r="R8" s="18">
        <f t="shared" si="2"/>
        <v>0.22829999999999998</v>
      </c>
      <c r="S8" s="18">
        <f t="shared" si="2"/>
        <v>0.22829999999999998</v>
      </c>
      <c r="T8" s="18">
        <f t="shared" si="2"/>
        <v>0.22829999999999998</v>
      </c>
      <c r="U8" s="18">
        <f t="shared" si="2"/>
        <v>0.22829999999999998</v>
      </c>
    </row>
    <row r="9" spans="1:21" ht="13.5" customHeight="1">
      <c r="A9" s="31" t="s">
        <v>116</v>
      </c>
      <c r="B9" s="32">
        <f t="shared" ref="B9:U9" si="3">B7*B8</f>
        <v>77996411.999999985</v>
      </c>
      <c r="C9" s="32">
        <f t="shared" si="3"/>
        <v>77996411.999999985</v>
      </c>
      <c r="D9" s="32">
        <f t="shared" si="3"/>
        <v>77996411.999999985</v>
      </c>
      <c r="E9" s="32">
        <f t="shared" si="3"/>
        <v>77996411.999999985</v>
      </c>
      <c r="F9" s="32">
        <f t="shared" si="3"/>
        <v>77996411.999999985</v>
      </c>
      <c r="G9" s="32">
        <f t="shared" si="3"/>
        <v>77996411.999999985</v>
      </c>
      <c r="H9" s="32">
        <f t="shared" si="3"/>
        <v>77996411.999999985</v>
      </c>
      <c r="I9" s="32">
        <f t="shared" si="3"/>
        <v>77996411.999999985</v>
      </c>
      <c r="J9" s="32">
        <f t="shared" si="3"/>
        <v>77996411.999999985</v>
      </c>
      <c r="K9" s="32">
        <f t="shared" si="3"/>
        <v>77996411.999999985</v>
      </c>
      <c r="L9" s="32">
        <f t="shared" si="3"/>
        <v>77996411.999999985</v>
      </c>
      <c r="M9" s="32">
        <f t="shared" si="3"/>
        <v>77996411.999999985</v>
      </c>
      <c r="N9" s="32">
        <f t="shared" si="3"/>
        <v>77996411.999999985</v>
      </c>
      <c r="O9" s="32">
        <f t="shared" si="3"/>
        <v>77996411.999999985</v>
      </c>
      <c r="P9" s="32">
        <f t="shared" si="3"/>
        <v>77996411.999999985</v>
      </c>
      <c r="Q9" s="32">
        <f t="shared" si="3"/>
        <v>77996411.999999985</v>
      </c>
      <c r="R9" s="32">
        <f t="shared" si="3"/>
        <v>77996411.999999985</v>
      </c>
      <c r="S9" s="32">
        <f t="shared" si="3"/>
        <v>77996411.999999985</v>
      </c>
      <c r="T9" s="32">
        <f t="shared" si="3"/>
        <v>77996411.999999985</v>
      </c>
      <c r="U9" s="32">
        <f t="shared" si="3"/>
        <v>77996411.999999985</v>
      </c>
    </row>
    <row r="10" spans="1:21" ht="13.5" customHeight="1">
      <c r="A10" s="31" t="s">
        <v>15</v>
      </c>
      <c r="B10" s="18">
        <f>Assumptions!B17</f>
        <v>1</v>
      </c>
      <c r="C10" s="18">
        <f>B10</f>
        <v>1</v>
      </c>
      <c r="D10" s="18">
        <f t="shared" ref="D10:U10" si="4">+C10</f>
        <v>1</v>
      </c>
      <c r="E10" s="18">
        <f t="shared" si="4"/>
        <v>1</v>
      </c>
      <c r="F10" s="18">
        <f t="shared" si="4"/>
        <v>1</v>
      </c>
      <c r="G10" s="18">
        <f t="shared" si="4"/>
        <v>1</v>
      </c>
      <c r="H10" s="18">
        <f t="shared" si="4"/>
        <v>1</v>
      </c>
      <c r="I10" s="18">
        <f t="shared" si="4"/>
        <v>1</v>
      </c>
      <c r="J10" s="18">
        <f t="shared" si="4"/>
        <v>1</v>
      </c>
      <c r="K10" s="18">
        <f t="shared" si="4"/>
        <v>1</v>
      </c>
      <c r="L10" s="18">
        <f t="shared" si="4"/>
        <v>1</v>
      </c>
      <c r="M10" s="18">
        <f t="shared" si="4"/>
        <v>1</v>
      </c>
      <c r="N10" s="18">
        <f t="shared" si="4"/>
        <v>1</v>
      </c>
      <c r="O10" s="18">
        <f t="shared" si="4"/>
        <v>1</v>
      </c>
      <c r="P10" s="18">
        <f t="shared" si="4"/>
        <v>1</v>
      </c>
      <c r="Q10" s="18">
        <f t="shared" si="4"/>
        <v>1</v>
      </c>
      <c r="R10" s="18">
        <f t="shared" si="4"/>
        <v>1</v>
      </c>
      <c r="S10" s="18">
        <f t="shared" si="4"/>
        <v>1</v>
      </c>
      <c r="T10" s="18">
        <f t="shared" si="4"/>
        <v>1</v>
      </c>
      <c r="U10" s="18">
        <f t="shared" si="4"/>
        <v>1</v>
      </c>
    </row>
    <row r="11" spans="1:21" ht="13.5" customHeight="1">
      <c r="A11" s="31" t="s">
        <v>115</v>
      </c>
      <c r="B11" s="32">
        <f t="shared" ref="B11:U11" si="5">B9*B10</f>
        <v>77996411.999999985</v>
      </c>
      <c r="C11" s="32">
        <f t="shared" si="5"/>
        <v>77996411.999999985</v>
      </c>
      <c r="D11" s="32">
        <f t="shared" si="5"/>
        <v>77996411.999999985</v>
      </c>
      <c r="E11" s="32">
        <f t="shared" si="5"/>
        <v>77996411.999999985</v>
      </c>
      <c r="F11" s="32">
        <f t="shared" si="5"/>
        <v>77996411.999999985</v>
      </c>
      <c r="G11" s="32">
        <f t="shared" si="5"/>
        <v>77996411.999999985</v>
      </c>
      <c r="H11" s="32">
        <f t="shared" si="5"/>
        <v>77996411.999999985</v>
      </c>
      <c r="I11" s="32">
        <f t="shared" si="5"/>
        <v>77996411.999999985</v>
      </c>
      <c r="J11" s="32">
        <f t="shared" si="5"/>
        <v>77996411.999999985</v>
      </c>
      <c r="K11" s="32">
        <f t="shared" si="5"/>
        <v>77996411.999999985</v>
      </c>
      <c r="L11" s="32">
        <f t="shared" si="5"/>
        <v>77996411.999999985</v>
      </c>
      <c r="M11" s="32">
        <f t="shared" si="5"/>
        <v>77996411.999999985</v>
      </c>
      <c r="N11" s="32">
        <f t="shared" si="5"/>
        <v>77996411.999999985</v>
      </c>
      <c r="O11" s="32">
        <f t="shared" si="5"/>
        <v>77996411.999999985</v>
      </c>
      <c r="P11" s="32">
        <f t="shared" si="5"/>
        <v>77996411.999999985</v>
      </c>
      <c r="Q11" s="32">
        <f t="shared" si="5"/>
        <v>77996411.999999985</v>
      </c>
      <c r="R11" s="32">
        <f t="shared" si="5"/>
        <v>77996411.999999985</v>
      </c>
      <c r="S11" s="32">
        <f t="shared" si="5"/>
        <v>77996411.999999985</v>
      </c>
      <c r="T11" s="32">
        <f t="shared" si="5"/>
        <v>77996411.999999985</v>
      </c>
      <c r="U11" s="32">
        <f t="shared" si="5"/>
        <v>77996411.999999985</v>
      </c>
    </row>
    <row r="12" spans="1:21" ht="13.5" customHeight="1">
      <c r="A12" s="31" t="s">
        <v>16</v>
      </c>
      <c r="B12" s="18">
        <f>+Assumptions!B18</f>
        <v>0</v>
      </c>
      <c r="C12" s="13">
        <f>B12</f>
        <v>0</v>
      </c>
      <c r="D12" s="18">
        <f>+B12</f>
        <v>0</v>
      </c>
      <c r="E12" s="18">
        <f t="shared" ref="E12:U12" si="6">+D12</f>
        <v>0</v>
      </c>
      <c r="F12" s="18">
        <f t="shared" si="6"/>
        <v>0</v>
      </c>
      <c r="G12" s="18">
        <f t="shared" si="6"/>
        <v>0</v>
      </c>
      <c r="H12" s="18">
        <f t="shared" si="6"/>
        <v>0</v>
      </c>
      <c r="I12" s="18">
        <f t="shared" si="6"/>
        <v>0</v>
      </c>
      <c r="J12" s="18">
        <f t="shared" si="6"/>
        <v>0</v>
      </c>
      <c r="K12" s="18">
        <f t="shared" si="6"/>
        <v>0</v>
      </c>
      <c r="L12" s="18">
        <f t="shared" si="6"/>
        <v>0</v>
      </c>
      <c r="M12" s="18">
        <f t="shared" si="6"/>
        <v>0</v>
      </c>
      <c r="N12" s="18">
        <f t="shared" si="6"/>
        <v>0</v>
      </c>
      <c r="O12" s="18">
        <f t="shared" si="6"/>
        <v>0</v>
      </c>
      <c r="P12" s="18">
        <f t="shared" si="6"/>
        <v>0</v>
      </c>
      <c r="Q12" s="18">
        <f t="shared" si="6"/>
        <v>0</v>
      </c>
      <c r="R12" s="18">
        <f t="shared" si="6"/>
        <v>0</v>
      </c>
      <c r="S12" s="18">
        <f t="shared" si="6"/>
        <v>0</v>
      </c>
      <c r="T12" s="18">
        <f t="shared" si="6"/>
        <v>0</v>
      </c>
      <c r="U12" s="18">
        <f t="shared" si="6"/>
        <v>0</v>
      </c>
    </row>
    <row r="13" spans="1:21" ht="13.5" customHeight="1">
      <c r="A13" s="2" t="s">
        <v>45</v>
      </c>
      <c r="B13" s="32">
        <f>B11*(1-B12)</f>
        <v>77996411.999999985</v>
      </c>
      <c r="C13" s="32">
        <f t="shared" ref="C13:U13" si="7">C11*(1-C12)</f>
        <v>77996411.999999985</v>
      </c>
      <c r="D13" s="32">
        <f t="shared" si="7"/>
        <v>77996411.999999985</v>
      </c>
      <c r="E13" s="32">
        <f t="shared" si="7"/>
        <v>77996411.999999985</v>
      </c>
      <c r="F13" s="32">
        <f t="shared" si="7"/>
        <v>77996411.999999985</v>
      </c>
      <c r="G13" s="32">
        <f t="shared" si="7"/>
        <v>77996411.999999985</v>
      </c>
      <c r="H13" s="32">
        <f t="shared" si="7"/>
        <v>77996411.999999985</v>
      </c>
      <c r="I13" s="32">
        <f t="shared" si="7"/>
        <v>77996411.999999985</v>
      </c>
      <c r="J13" s="32">
        <f t="shared" si="7"/>
        <v>77996411.999999985</v>
      </c>
      <c r="K13" s="32">
        <f t="shared" si="7"/>
        <v>77996411.999999985</v>
      </c>
      <c r="L13" s="32">
        <f t="shared" si="7"/>
        <v>77996411.999999985</v>
      </c>
      <c r="M13" s="32">
        <f t="shared" si="7"/>
        <v>77996411.999999985</v>
      </c>
      <c r="N13" s="32">
        <f t="shared" si="7"/>
        <v>77996411.999999985</v>
      </c>
      <c r="O13" s="32">
        <f t="shared" si="7"/>
        <v>77996411.999999985</v>
      </c>
      <c r="P13" s="32">
        <f t="shared" si="7"/>
        <v>77996411.999999985</v>
      </c>
      <c r="Q13" s="32">
        <f t="shared" si="7"/>
        <v>77996411.999999985</v>
      </c>
      <c r="R13" s="32">
        <f t="shared" si="7"/>
        <v>77996411.999999985</v>
      </c>
      <c r="S13" s="32">
        <f t="shared" si="7"/>
        <v>77996411.999999985</v>
      </c>
      <c r="T13" s="32">
        <f t="shared" si="7"/>
        <v>77996411.999999985</v>
      </c>
      <c r="U13" s="32">
        <f t="shared" si="7"/>
        <v>77996411.999999985</v>
      </c>
    </row>
    <row r="14" spans="1:21" ht="13.5" customHeight="1">
      <c r="A14" s="2" t="s">
        <v>123</v>
      </c>
      <c r="B14" s="19">
        <f>+B13/1000000</f>
        <v>77.996411999999978</v>
      </c>
      <c r="C14" s="19">
        <f t="shared" ref="C14:U14" si="8">+C13/1000000</f>
        <v>77.996411999999978</v>
      </c>
      <c r="D14" s="19">
        <f t="shared" si="8"/>
        <v>77.996411999999978</v>
      </c>
      <c r="E14" s="19">
        <f t="shared" si="8"/>
        <v>77.996411999999978</v>
      </c>
      <c r="F14" s="19">
        <f t="shared" si="8"/>
        <v>77.996411999999978</v>
      </c>
      <c r="G14" s="19">
        <f t="shared" si="8"/>
        <v>77.996411999999978</v>
      </c>
      <c r="H14" s="19">
        <f t="shared" si="8"/>
        <v>77.996411999999978</v>
      </c>
      <c r="I14" s="19">
        <f t="shared" si="8"/>
        <v>77.996411999999978</v>
      </c>
      <c r="J14" s="19">
        <f t="shared" si="8"/>
        <v>77.996411999999978</v>
      </c>
      <c r="K14" s="19">
        <f t="shared" si="8"/>
        <v>77.996411999999978</v>
      </c>
      <c r="L14" s="19">
        <f t="shared" si="8"/>
        <v>77.996411999999978</v>
      </c>
      <c r="M14" s="19">
        <f t="shared" si="8"/>
        <v>77.996411999999978</v>
      </c>
      <c r="N14" s="19">
        <f t="shared" si="8"/>
        <v>77.996411999999978</v>
      </c>
      <c r="O14" s="19">
        <f t="shared" si="8"/>
        <v>77.996411999999978</v>
      </c>
      <c r="P14" s="19">
        <f t="shared" si="8"/>
        <v>77.996411999999978</v>
      </c>
      <c r="Q14" s="19">
        <f t="shared" si="8"/>
        <v>77.996411999999978</v>
      </c>
      <c r="R14" s="19">
        <f t="shared" si="8"/>
        <v>77.996411999999978</v>
      </c>
      <c r="S14" s="19">
        <f t="shared" si="8"/>
        <v>77.996411999999978</v>
      </c>
      <c r="T14" s="19">
        <f t="shared" si="8"/>
        <v>77.996411999999978</v>
      </c>
      <c r="U14" s="19">
        <f t="shared" si="8"/>
        <v>77.996411999999978</v>
      </c>
    </row>
    <row r="15" spans="1:21">
      <c r="A15" s="8"/>
      <c r="B15" s="8"/>
      <c r="C15" s="33"/>
    </row>
  </sheetData>
  <phoneticPr fontId="0" type="noConversion"/>
  <printOptions horizontalCentered="1"/>
  <pageMargins left="0" right="0" top="0" bottom="0" header="0" footer="0"/>
  <pageSetup scale="57" orientation="landscape" r:id="rId1"/>
  <headerFooter alignWithMargins="0"/>
  <ignoredErrors>
    <ignoredError sqref="E7:U7 D8 E11:U11 C11 C9 B10:U1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J155"/>
  <sheetViews>
    <sheetView zoomScaleNormal="100" workbookViewId="0">
      <selection activeCell="K17" sqref="K17"/>
    </sheetView>
  </sheetViews>
  <sheetFormatPr defaultColWidth="13.140625" defaultRowHeight="12.75"/>
  <cols>
    <col min="1" max="1" width="11.28515625" style="21" customWidth="1"/>
    <col min="2" max="2" width="8.42578125" bestFit="1" customWidth="1"/>
    <col min="3" max="3" width="16" bestFit="1" customWidth="1"/>
    <col min="4" max="4" width="11" bestFit="1" customWidth="1"/>
    <col min="5" max="5" width="10" bestFit="1" customWidth="1"/>
    <col min="6" max="6" width="11" bestFit="1" customWidth="1"/>
    <col min="7" max="7" width="7.85546875" bestFit="1" customWidth="1"/>
    <col min="8" max="8" width="10" bestFit="1" customWidth="1"/>
  </cols>
  <sheetData>
    <row r="1" spans="1:10">
      <c r="G1" s="34"/>
    </row>
    <row r="2" spans="1:10">
      <c r="C2" t="s">
        <v>46</v>
      </c>
      <c r="D2" s="35" t="s">
        <v>47</v>
      </c>
      <c r="E2" s="72"/>
      <c r="F2" s="72"/>
      <c r="G2" s="34"/>
      <c r="H2" s="72"/>
    </row>
    <row r="3" spans="1:10">
      <c r="C3" t="s">
        <v>48</v>
      </c>
      <c r="D3" s="72">
        <f>Assumptions!$B$11*10^6</f>
        <v>1774500000</v>
      </c>
      <c r="E3" s="72" t="s">
        <v>114</v>
      </c>
      <c r="H3" s="72"/>
    </row>
    <row r="4" spans="1:10">
      <c r="C4" t="s">
        <v>49</v>
      </c>
      <c r="D4" s="34">
        <f>Assumptions!$B$32</f>
        <v>0.1285</v>
      </c>
      <c r="E4" s="72"/>
      <c r="F4" s="72"/>
      <c r="G4" s="162" t="s">
        <v>120</v>
      </c>
      <c r="H4" s="162"/>
      <c r="I4" t="s">
        <v>167</v>
      </c>
    </row>
    <row r="5" spans="1:10" ht="13.5" thickBot="1">
      <c r="D5" s="72"/>
      <c r="E5" s="72"/>
      <c r="F5" s="72"/>
      <c r="G5" s="34"/>
      <c r="H5" s="72"/>
    </row>
    <row r="6" spans="1:10">
      <c r="B6" s="73" t="s">
        <v>50</v>
      </c>
      <c r="C6" s="74" t="s">
        <v>51</v>
      </c>
      <c r="D6" s="75" t="s">
        <v>52</v>
      </c>
      <c r="E6" s="75" t="s">
        <v>53</v>
      </c>
      <c r="F6" s="75" t="s">
        <v>54</v>
      </c>
      <c r="G6" s="76"/>
      <c r="H6" s="77" t="s">
        <v>55</v>
      </c>
      <c r="J6" s="92"/>
    </row>
    <row r="7" spans="1:10">
      <c r="B7" s="78"/>
      <c r="C7" s="36" t="s">
        <v>69</v>
      </c>
      <c r="D7" s="79"/>
      <c r="E7" s="79"/>
      <c r="F7" s="79"/>
      <c r="G7" s="80"/>
      <c r="H7" s="81"/>
    </row>
    <row r="8" spans="1:10">
      <c r="B8" s="78" t="s">
        <v>56</v>
      </c>
      <c r="C8" s="36" t="s">
        <v>70</v>
      </c>
      <c r="D8" s="79"/>
      <c r="E8" s="90">
        <f t="shared" ref="E8:E19" si="0">$D$3/10/12</f>
        <v>14787500</v>
      </c>
      <c r="F8" s="79">
        <f>D3</f>
        <v>1774500000</v>
      </c>
      <c r="G8" s="82">
        <f>$D$4</f>
        <v>0.1285</v>
      </c>
      <c r="H8" s="96">
        <f t="shared" ref="H8:H19" si="1">F8*G8/12</f>
        <v>19001937.5</v>
      </c>
    </row>
    <row r="9" spans="1:10">
      <c r="B9" s="78" t="s">
        <v>57</v>
      </c>
      <c r="C9" s="78" t="s">
        <v>70</v>
      </c>
      <c r="D9" s="79"/>
      <c r="E9" s="90">
        <f t="shared" si="0"/>
        <v>14787500</v>
      </c>
      <c r="F9" s="79">
        <f t="shared" ref="F9:F19" si="2">F8-E9</f>
        <v>1759712500</v>
      </c>
      <c r="G9" s="82">
        <f t="shared" ref="G9:G19" si="3">$D$4</f>
        <v>0.1285</v>
      </c>
      <c r="H9" s="96">
        <f t="shared" si="1"/>
        <v>18843588.020833332</v>
      </c>
    </row>
    <row r="10" spans="1:10" s="100" customFormat="1">
      <c r="B10" s="101" t="s">
        <v>58</v>
      </c>
      <c r="C10" s="101" t="s">
        <v>70</v>
      </c>
      <c r="E10" s="90">
        <f t="shared" si="0"/>
        <v>14787500</v>
      </c>
      <c r="F10" s="160">
        <f t="shared" si="2"/>
        <v>1744925000</v>
      </c>
      <c r="G10" s="160">
        <f t="shared" si="3"/>
        <v>0.1285</v>
      </c>
      <c r="H10" s="160">
        <f t="shared" si="1"/>
        <v>18685238.541666668</v>
      </c>
    </row>
    <row r="11" spans="1:10">
      <c r="B11" s="78" t="s">
        <v>59</v>
      </c>
      <c r="C11" s="78" t="s">
        <v>70</v>
      </c>
      <c r="D11" s="79"/>
      <c r="E11" s="90">
        <f t="shared" si="0"/>
        <v>14787500</v>
      </c>
      <c r="F11" s="158">
        <f t="shared" si="2"/>
        <v>1730137500</v>
      </c>
      <c r="G11" s="82">
        <f t="shared" si="3"/>
        <v>0.1285</v>
      </c>
      <c r="H11" s="159">
        <f t="shared" si="1"/>
        <v>18526889.0625</v>
      </c>
    </row>
    <row r="12" spans="1:10" s="23" customFormat="1">
      <c r="A12" s="100"/>
      <c r="B12" s="78" t="s">
        <v>60</v>
      </c>
      <c r="C12" s="78" t="s">
        <v>70</v>
      </c>
      <c r="D12" s="102"/>
      <c r="E12" s="90">
        <f t="shared" si="0"/>
        <v>14787500</v>
      </c>
      <c r="F12" s="102">
        <f t="shared" si="2"/>
        <v>1715350000</v>
      </c>
      <c r="G12" s="103">
        <f t="shared" si="3"/>
        <v>0.1285</v>
      </c>
      <c r="H12" s="96">
        <f t="shared" si="1"/>
        <v>18368539.583333332</v>
      </c>
    </row>
    <row r="13" spans="1:10">
      <c r="B13" s="78" t="s">
        <v>61</v>
      </c>
      <c r="C13" s="78" t="s">
        <v>70</v>
      </c>
      <c r="D13" s="79"/>
      <c r="E13" s="90">
        <f t="shared" si="0"/>
        <v>14787500</v>
      </c>
      <c r="F13" s="79">
        <f t="shared" si="2"/>
        <v>1700562500</v>
      </c>
      <c r="G13" s="82">
        <f t="shared" si="3"/>
        <v>0.1285</v>
      </c>
      <c r="H13" s="81">
        <f t="shared" si="1"/>
        <v>18210190.104166668</v>
      </c>
    </row>
    <row r="14" spans="1:10">
      <c r="B14" s="78" t="s">
        <v>62</v>
      </c>
      <c r="C14" s="36" t="s">
        <v>70</v>
      </c>
      <c r="D14" s="79"/>
      <c r="E14" s="90">
        <f t="shared" si="0"/>
        <v>14787500</v>
      </c>
      <c r="F14" s="79">
        <f t="shared" si="2"/>
        <v>1685775000</v>
      </c>
      <c r="G14" s="82">
        <f t="shared" si="3"/>
        <v>0.1285</v>
      </c>
      <c r="H14" s="81">
        <f t="shared" si="1"/>
        <v>18051840.625</v>
      </c>
    </row>
    <row r="15" spans="1:10">
      <c r="B15" s="78" t="s">
        <v>63</v>
      </c>
      <c r="C15" s="36" t="s">
        <v>70</v>
      </c>
      <c r="D15" s="79"/>
      <c r="E15" s="90">
        <f t="shared" si="0"/>
        <v>14787500</v>
      </c>
      <c r="F15" s="79">
        <f t="shared" si="2"/>
        <v>1670987500</v>
      </c>
      <c r="G15" s="82">
        <f t="shared" si="3"/>
        <v>0.1285</v>
      </c>
      <c r="H15" s="81">
        <f t="shared" si="1"/>
        <v>17893491.145833332</v>
      </c>
    </row>
    <row r="16" spans="1:10">
      <c r="B16" s="78" t="s">
        <v>64</v>
      </c>
      <c r="C16" s="36" t="s">
        <v>70</v>
      </c>
      <c r="D16" s="79"/>
      <c r="E16" s="90">
        <f t="shared" si="0"/>
        <v>14787500</v>
      </c>
      <c r="F16" s="79">
        <f t="shared" si="2"/>
        <v>1656200000</v>
      </c>
      <c r="G16" s="82">
        <f t="shared" si="3"/>
        <v>0.1285</v>
      </c>
      <c r="H16" s="81">
        <f t="shared" si="1"/>
        <v>17735141.666666668</v>
      </c>
    </row>
    <row r="17" spans="2:8">
      <c r="B17" s="78" t="s">
        <v>65</v>
      </c>
      <c r="C17" s="36" t="s">
        <v>70</v>
      </c>
      <c r="D17" s="79"/>
      <c r="E17" s="90">
        <f t="shared" si="0"/>
        <v>14787500</v>
      </c>
      <c r="F17" s="79">
        <f t="shared" si="2"/>
        <v>1641412500</v>
      </c>
      <c r="G17" s="82">
        <f t="shared" si="3"/>
        <v>0.1285</v>
      </c>
      <c r="H17" s="81">
        <f t="shared" si="1"/>
        <v>17576792.1875</v>
      </c>
    </row>
    <row r="18" spans="2:8">
      <c r="B18" s="78" t="s">
        <v>66</v>
      </c>
      <c r="C18" s="36" t="s">
        <v>70</v>
      </c>
      <c r="D18" s="79"/>
      <c r="E18" s="90">
        <f t="shared" si="0"/>
        <v>14787500</v>
      </c>
      <c r="F18" s="79">
        <f t="shared" si="2"/>
        <v>1626625000</v>
      </c>
      <c r="G18" s="82">
        <f t="shared" si="3"/>
        <v>0.1285</v>
      </c>
      <c r="H18" s="81">
        <f t="shared" si="1"/>
        <v>17418442.708333332</v>
      </c>
    </row>
    <row r="19" spans="2:8">
      <c r="B19" s="78" t="s">
        <v>67</v>
      </c>
      <c r="C19" s="36" t="s">
        <v>70</v>
      </c>
      <c r="D19" s="79"/>
      <c r="E19" s="90">
        <f t="shared" si="0"/>
        <v>14787500</v>
      </c>
      <c r="F19" s="79">
        <f t="shared" si="2"/>
        <v>1611837500</v>
      </c>
      <c r="G19" s="82">
        <f t="shared" si="3"/>
        <v>0.1285</v>
      </c>
      <c r="H19" s="81">
        <f t="shared" si="1"/>
        <v>17260093.229166668</v>
      </c>
    </row>
    <row r="20" spans="2:8" ht="13.5" thickBot="1">
      <c r="B20" s="83"/>
      <c r="C20" s="84" t="s">
        <v>68</v>
      </c>
      <c r="D20" s="85">
        <f>SUM(D8:D19)</f>
        <v>0</v>
      </c>
      <c r="E20" s="90">
        <f>SUM(E8:E19)</f>
        <v>177450000</v>
      </c>
      <c r="F20" s="85"/>
      <c r="G20" s="86"/>
      <c r="H20" s="87">
        <f>SUM(H8:H19)</f>
        <v>217572184.375</v>
      </c>
    </row>
    <row r="21" spans="2:8">
      <c r="B21" s="73" t="s">
        <v>50</v>
      </c>
      <c r="C21" s="74" t="s">
        <v>51</v>
      </c>
      <c r="D21" s="75" t="s">
        <v>52</v>
      </c>
      <c r="E21" s="105" t="s">
        <v>53</v>
      </c>
      <c r="F21" s="75" t="s">
        <v>54</v>
      </c>
      <c r="G21" s="76"/>
      <c r="H21" s="77" t="s">
        <v>55</v>
      </c>
    </row>
    <row r="22" spans="2:8">
      <c r="B22" s="78"/>
      <c r="C22" s="36" t="s">
        <v>69</v>
      </c>
      <c r="D22" s="79"/>
      <c r="E22" s="90"/>
      <c r="F22" s="79"/>
      <c r="G22" s="80"/>
      <c r="H22" s="81"/>
    </row>
    <row r="23" spans="2:8">
      <c r="B23" s="78" t="s">
        <v>56</v>
      </c>
      <c r="C23" s="36" t="s">
        <v>70</v>
      </c>
      <c r="D23" s="79"/>
      <c r="E23" s="90">
        <f>$D$3/10/12</f>
        <v>14787500</v>
      </c>
      <c r="F23" s="79">
        <f>F19-E23</f>
        <v>1597050000</v>
      </c>
      <c r="G23" s="82">
        <f>$D$4</f>
        <v>0.1285</v>
      </c>
      <c r="H23" s="81">
        <f t="shared" ref="H23:H34" si="4">F23*G23/12</f>
        <v>17101743.75</v>
      </c>
    </row>
    <row r="24" spans="2:8">
      <c r="B24" s="78" t="s">
        <v>57</v>
      </c>
      <c r="C24" s="36" t="s">
        <v>70</v>
      </c>
      <c r="D24" s="79"/>
      <c r="E24" s="90">
        <f t="shared" ref="E24:E34" si="5">$D$3/10/12</f>
        <v>14787500</v>
      </c>
      <c r="F24" s="79">
        <f t="shared" ref="F24:F34" si="6">F23-E24</f>
        <v>1582262500</v>
      </c>
      <c r="G24" s="82">
        <f t="shared" ref="G24:G34" si="7">$D$4</f>
        <v>0.1285</v>
      </c>
      <c r="H24" s="81">
        <f t="shared" si="4"/>
        <v>16943394.270833332</v>
      </c>
    </row>
    <row r="25" spans="2:8">
      <c r="B25" s="78" t="s">
        <v>58</v>
      </c>
      <c r="C25" s="36" t="s">
        <v>70</v>
      </c>
      <c r="D25" s="79"/>
      <c r="E25" s="90">
        <f t="shared" si="5"/>
        <v>14787500</v>
      </c>
      <c r="F25" s="79">
        <f t="shared" si="6"/>
        <v>1567475000</v>
      </c>
      <c r="G25" s="82">
        <f t="shared" si="7"/>
        <v>0.1285</v>
      </c>
      <c r="H25" s="81">
        <f t="shared" si="4"/>
        <v>16785044.791666668</v>
      </c>
    </row>
    <row r="26" spans="2:8">
      <c r="B26" s="78" t="s">
        <v>59</v>
      </c>
      <c r="C26" s="36" t="s">
        <v>70</v>
      </c>
      <c r="D26" s="79"/>
      <c r="E26" s="90">
        <f t="shared" si="5"/>
        <v>14787500</v>
      </c>
      <c r="F26" s="79">
        <f t="shared" si="6"/>
        <v>1552687500</v>
      </c>
      <c r="G26" s="82">
        <f t="shared" si="7"/>
        <v>0.1285</v>
      </c>
      <c r="H26" s="81">
        <f t="shared" si="4"/>
        <v>16626695.3125</v>
      </c>
    </row>
    <row r="27" spans="2:8">
      <c r="B27" s="78" t="s">
        <v>60</v>
      </c>
      <c r="C27" s="36" t="s">
        <v>70</v>
      </c>
      <c r="D27" s="79"/>
      <c r="E27" s="90">
        <f t="shared" si="5"/>
        <v>14787500</v>
      </c>
      <c r="F27" s="79">
        <f t="shared" si="6"/>
        <v>1537900000</v>
      </c>
      <c r="G27" s="82">
        <f t="shared" si="7"/>
        <v>0.1285</v>
      </c>
      <c r="H27" s="81">
        <f t="shared" si="4"/>
        <v>16468345.833333334</v>
      </c>
    </row>
    <row r="28" spans="2:8">
      <c r="B28" s="78" t="s">
        <v>61</v>
      </c>
      <c r="C28" s="36" t="s">
        <v>70</v>
      </c>
      <c r="D28" s="79"/>
      <c r="E28" s="90">
        <f t="shared" si="5"/>
        <v>14787500</v>
      </c>
      <c r="F28" s="79">
        <f t="shared" si="6"/>
        <v>1523112500</v>
      </c>
      <c r="G28" s="82">
        <f t="shared" si="7"/>
        <v>0.1285</v>
      </c>
      <c r="H28" s="81">
        <f t="shared" si="4"/>
        <v>16309996.354166666</v>
      </c>
    </row>
    <row r="29" spans="2:8">
      <c r="B29" s="78" t="s">
        <v>62</v>
      </c>
      <c r="C29" s="36" t="s">
        <v>70</v>
      </c>
      <c r="D29" s="79"/>
      <c r="E29" s="90">
        <f t="shared" si="5"/>
        <v>14787500</v>
      </c>
      <c r="F29" s="79">
        <f t="shared" si="6"/>
        <v>1508325000</v>
      </c>
      <c r="G29" s="82">
        <f t="shared" si="7"/>
        <v>0.1285</v>
      </c>
      <c r="H29" s="81">
        <f t="shared" si="4"/>
        <v>16151646.875</v>
      </c>
    </row>
    <row r="30" spans="2:8">
      <c r="B30" s="78" t="s">
        <v>63</v>
      </c>
      <c r="C30" s="36" t="s">
        <v>70</v>
      </c>
      <c r="D30" s="79"/>
      <c r="E30" s="90">
        <f t="shared" si="5"/>
        <v>14787500</v>
      </c>
      <c r="F30" s="79">
        <f t="shared" si="6"/>
        <v>1493537500</v>
      </c>
      <c r="G30" s="82">
        <f t="shared" si="7"/>
        <v>0.1285</v>
      </c>
      <c r="H30" s="81">
        <f t="shared" si="4"/>
        <v>15993297.395833334</v>
      </c>
    </row>
    <row r="31" spans="2:8">
      <c r="B31" s="78" t="s">
        <v>64</v>
      </c>
      <c r="C31" s="36" t="s">
        <v>70</v>
      </c>
      <c r="D31" s="79"/>
      <c r="E31" s="90">
        <f t="shared" si="5"/>
        <v>14787500</v>
      </c>
      <c r="F31" s="79">
        <f t="shared" si="6"/>
        <v>1478750000</v>
      </c>
      <c r="G31" s="82">
        <f t="shared" si="7"/>
        <v>0.1285</v>
      </c>
      <c r="H31" s="81">
        <f t="shared" si="4"/>
        <v>15834947.916666666</v>
      </c>
    </row>
    <row r="32" spans="2:8">
      <c r="B32" s="78" t="s">
        <v>65</v>
      </c>
      <c r="C32" s="36" t="s">
        <v>70</v>
      </c>
      <c r="D32" s="79"/>
      <c r="E32" s="90">
        <f t="shared" si="5"/>
        <v>14787500</v>
      </c>
      <c r="F32" s="79">
        <f t="shared" si="6"/>
        <v>1463962500</v>
      </c>
      <c r="G32" s="82">
        <f t="shared" si="7"/>
        <v>0.1285</v>
      </c>
      <c r="H32" s="81">
        <f t="shared" si="4"/>
        <v>15676598.4375</v>
      </c>
    </row>
    <row r="33" spans="2:8">
      <c r="B33" s="78" t="s">
        <v>66</v>
      </c>
      <c r="C33" s="36" t="s">
        <v>70</v>
      </c>
      <c r="D33" s="79"/>
      <c r="E33" s="90">
        <f t="shared" si="5"/>
        <v>14787500</v>
      </c>
      <c r="F33" s="79">
        <f t="shared" si="6"/>
        <v>1449175000</v>
      </c>
      <c r="G33" s="82">
        <f t="shared" si="7"/>
        <v>0.1285</v>
      </c>
      <c r="H33" s="81">
        <f t="shared" si="4"/>
        <v>15518248.958333334</v>
      </c>
    </row>
    <row r="34" spans="2:8">
      <c r="B34" s="78" t="s">
        <v>67</v>
      </c>
      <c r="C34" s="36" t="s">
        <v>70</v>
      </c>
      <c r="D34" s="79"/>
      <c r="E34" s="90">
        <f t="shared" si="5"/>
        <v>14787500</v>
      </c>
      <c r="F34" s="79">
        <f t="shared" si="6"/>
        <v>1434387500</v>
      </c>
      <c r="G34" s="82">
        <f t="shared" si="7"/>
        <v>0.1285</v>
      </c>
      <c r="H34" s="81">
        <f t="shared" si="4"/>
        <v>15359899.479166666</v>
      </c>
    </row>
    <row r="35" spans="2:8" ht="13.5" thickBot="1">
      <c r="B35" s="83"/>
      <c r="C35" s="84" t="s">
        <v>68</v>
      </c>
      <c r="D35" s="85">
        <f>SUM(D23:D34)</f>
        <v>0</v>
      </c>
      <c r="E35" s="90">
        <f>SUM(E23:E34)</f>
        <v>177450000</v>
      </c>
      <c r="F35" s="85"/>
      <c r="G35" s="86"/>
      <c r="H35" s="87">
        <f>SUM(H23:H34)</f>
        <v>194769859.375</v>
      </c>
    </row>
    <row r="36" spans="2:8">
      <c r="B36" s="73" t="s">
        <v>50</v>
      </c>
      <c r="C36" s="74" t="s">
        <v>51</v>
      </c>
      <c r="D36" s="75" t="s">
        <v>52</v>
      </c>
      <c r="E36" s="105" t="s">
        <v>53</v>
      </c>
      <c r="F36" s="75" t="s">
        <v>54</v>
      </c>
      <c r="G36" s="76"/>
      <c r="H36" s="77" t="s">
        <v>55</v>
      </c>
    </row>
    <row r="37" spans="2:8">
      <c r="B37" s="78"/>
      <c r="C37" s="36" t="s">
        <v>69</v>
      </c>
      <c r="D37" s="79"/>
      <c r="E37" s="90"/>
      <c r="F37" s="79"/>
      <c r="G37" s="80"/>
      <c r="H37" s="81"/>
    </row>
    <row r="38" spans="2:8">
      <c r="B38" s="78" t="s">
        <v>56</v>
      </c>
      <c r="C38" s="36" t="s">
        <v>70</v>
      </c>
      <c r="D38" s="79"/>
      <c r="E38" s="90">
        <f>$D$3/10/12</f>
        <v>14787500</v>
      </c>
      <c r="F38" s="79">
        <f>F34-E38</f>
        <v>1419600000</v>
      </c>
      <c r="G38" s="82">
        <f>$D$4</f>
        <v>0.1285</v>
      </c>
      <c r="H38" s="81">
        <f t="shared" ref="H38:H49" si="8">F38*G38/12</f>
        <v>15201550</v>
      </c>
    </row>
    <row r="39" spans="2:8">
      <c r="B39" s="78" t="s">
        <v>57</v>
      </c>
      <c r="C39" s="36" t="s">
        <v>70</v>
      </c>
      <c r="D39" s="79"/>
      <c r="E39" s="90">
        <f t="shared" ref="E39:E49" si="9">$D$3/10/12</f>
        <v>14787500</v>
      </c>
      <c r="F39" s="79">
        <f t="shared" ref="F39:F49" si="10">F38-E39</f>
        <v>1404812500</v>
      </c>
      <c r="G39" s="82">
        <f t="shared" ref="G39:G49" si="11">$D$4</f>
        <v>0.1285</v>
      </c>
      <c r="H39" s="81">
        <f t="shared" si="8"/>
        <v>15043200.520833334</v>
      </c>
    </row>
    <row r="40" spans="2:8">
      <c r="B40" s="78" t="s">
        <v>58</v>
      </c>
      <c r="C40" s="36" t="s">
        <v>70</v>
      </c>
      <c r="D40" s="79"/>
      <c r="E40" s="90">
        <f t="shared" si="9"/>
        <v>14787500</v>
      </c>
      <c r="F40" s="79">
        <f t="shared" si="10"/>
        <v>1390025000</v>
      </c>
      <c r="G40" s="82">
        <f t="shared" si="11"/>
        <v>0.1285</v>
      </c>
      <c r="H40" s="81">
        <f t="shared" si="8"/>
        <v>14884851.041666666</v>
      </c>
    </row>
    <row r="41" spans="2:8">
      <c r="B41" s="78" t="s">
        <v>59</v>
      </c>
      <c r="C41" s="36" t="s">
        <v>70</v>
      </c>
      <c r="D41" s="79"/>
      <c r="E41" s="90">
        <f t="shared" si="9"/>
        <v>14787500</v>
      </c>
      <c r="F41" s="79">
        <f t="shared" si="10"/>
        <v>1375237500</v>
      </c>
      <c r="G41" s="82">
        <f t="shared" si="11"/>
        <v>0.1285</v>
      </c>
      <c r="H41" s="81">
        <f t="shared" si="8"/>
        <v>14726501.5625</v>
      </c>
    </row>
    <row r="42" spans="2:8">
      <c r="B42" s="78" t="s">
        <v>60</v>
      </c>
      <c r="C42" s="36" t="s">
        <v>70</v>
      </c>
      <c r="D42" s="79"/>
      <c r="E42" s="90">
        <f t="shared" si="9"/>
        <v>14787500</v>
      </c>
      <c r="F42" s="79">
        <f t="shared" si="10"/>
        <v>1360450000</v>
      </c>
      <c r="G42" s="82">
        <f t="shared" si="11"/>
        <v>0.1285</v>
      </c>
      <c r="H42" s="81">
        <f t="shared" si="8"/>
        <v>14568152.083333334</v>
      </c>
    </row>
    <row r="43" spans="2:8">
      <c r="B43" s="78" t="s">
        <v>61</v>
      </c>
      <c r="C43" s="36" t="s">
        <v>70</v>
      </c>
      <c r="D43" s="79"/>
      <c r="E43" s="90">
        <f t="shared" si="9"/>
        <v>14787500</v>
      </c>
      <c r="F43" s="79">
        <f t="shared" si="10"/>
        <v>1345662500</v>
      </c>
      <c r="G43" s="82">
        <f t="shared" si="11"/>
        <v>0.1285</v>
      </c>
      <c r="H43" s="81">
        <f t="shared" si="8"/>
        <v>14409802.604166666</v>
      </c>
    </row>
    <row r="44" spans="2:8">
      <c r="B44" s="78" t="s">
        <v>62</v>
      </c>
      <c r="C44" s="36" t="s">
        <v>70</v>
      </c>
      <c r="D44" s="79"/>
      <c r="E44" s="90">
        <f t="shared" si="9"/>
        <v>14787500</v>
      </c>
      <c r="F44" s="79">
        <f t="shared" si="10"/>
        <v>1330875000</v>
      </c>
      <c r="G44" s="82">
        <f t="shared" si="11"/>
        <v>0.1285</v>
      </c>
      <c r="H44" s="81">
        <f t="shared" si="8"/>
        <v>14251453.125</v>
      </c>
    </row>
    <row r="45" spans="2:8">
      <c r="B45" s="78" t="s">
        <v>63</v>
      </c>
      <c r="C45" s="36" t="s">
        <v>70</v>
      </c>
      <c r="D45" s="79"/>
      <c r="E45" s="90">
        <f t="shared" si="9"/>
        <v>14787500</v>
      </c>
      <c r="F45" s="79">
        <f t="shared" si="10"/>
        <v>1316087500</v>
      </c>
      <c r="G45" s="82">
        <f t="shared" si="11"/>
        <v>0.1285</v>
      </c>
      <c r="H45" s="81">
        <f t="shared" si="8"/>
        <v>14093103.645833334</v>
      </c>
    </row>
    <row r="46" spans="2:8">
      <c r="B46" s="78" t="s">
        <v>64</v>
      </c>
      <c r="C46" s="36" t="s">
        <v>70</v>
      </c>
      <c r="D46" s="79"/>
      <c r="E46" s="90">
        <f t="shared" si="9"/>
        <v>14787500</v>
      </c>
      <c r="F46" s="79">
        <f t="shared" si="10"/>
        <v>1301300000</v>
      </c>
      <c r="G46" s="82">
        <f t="shared" si="11"/>
        <v>0.1285</v>
      </c>
      <c r="H46" s="81">
        <f t="shared" si="8"/>
        <v>13934754.166666666</v>
      </c>
    </row>
    <row r="47" spans="2:8">
      <c r="B47" s="78" t="s">
        <v>65</v>
      </c>
      <c r="C47" s="36" t="s">
        <v>70</v>
      </c>
      <c r="D47" s="79"/>
      <c r="E47" s="90">
        <f t="shared" si="9"/>
        <v>14787500</v>
      </c>
      <c r="F47" s="79">
        <f t="shared" si="10"/>
        <v>1286512500</v>
      </c>
      <c r="G47" s="82">
        <f t="shared" si="11"/>
        <v>0.1285</v>
      </c>
      <c r="H47" s="81">
        <f t="shared" si="8"/>
        <v>13776404.6875</v>
      </c>
    </row>
    <row r="48" spans="2:8">
      <c r="B48" s="78" t="s">
        <v>66</v>
      </c>
      <c r="C48" s="36" t="s">
        <v>70</v>
      </c>
      <c r="D48" s="79"/>
      <c r="E48" s="90">
        <f t="shared" si="9"/>
        <v>14787500</v>
      </c>
      <c r="F48" s="79">
        <f t="shared" si="10"/>
        <v>1271725000</v>
      </c>
      <c r="G48" s="82">
        <f t="shared" si="11"/>
        <v>0.1285</v>
      </c>
      <c r="H48" s="81">
        <f t="shared" si="8"/>
        <v>13618055.208333334</v>
      </c>
    </row>
    <row r="49" spans="2:8">
      <c r="B49" s="78" t="s">
        <v>67</v>
      </c>
      <c r="C49" s="36" t="s">
        <v>70</v>
      </c>
      <c r="D49" s="79"/>
      <c r="E49" s="90">
        <f t="shared" si="9"/>
        <v>14787500</v>
      </c>
      <c r="F49" s="79">
        <f t="shared" si="10"/>
        <v>1256937500</v>
      </c>
      <c r="G49" s="82">
        <f t="shared" si="11"/>
        <v>0.1285</v>
      </c>
      <c r="H49" s="81">
        <f t="shared" si="8"/>
        <v>13459705.729166666</v>
      </c>
    </row>
    <row r="50" spans="2:8" ht="13.5" thickBot="1">
      <c r="B50" s="83"/>
      <c r="C50" s="84" t="s">
        <v>68</v>
      </c>
      <c r="D50" s="85">
        <f>SUM(D38:D49)</f>
        <v>0</v>
      </c>
      <c r="E50" s="91">
        <f>SUM(E38:E49)</f>
        <v>177450000</v>
      </c>
      <c r="F50" s="85"/>
      <c r="G50" s="86"/>
      <c r="H50" s="87">
        <f>SUM(H38:H49)</f>
        <v>171967534.375</v>
      </c>
    </row>
    <row r="51" spans="2:8">
      <c r="B51" s="73" t="s">
        <v>50</v>
      </c>
      <c r="C51" s="74" t="s">
        <v>51</v>
      </c>
      <c r="D51" s="75" t="s">
        <v>52</v>
      </c>
      <c r="E51" s="104" t="s">
        <v>53</v>
      </c>
      <c r="F51" s="75" t="s">
        <v>54</v>
      </c>
      <c r="G51" s="76"/>
      <c r="H51" s="77" t="s">
        <v>55</v>
      </c>
    </row>
    <row r="52" spans="2:8">
      <c r="B52" s="78"/>
      <c r="C52" s="36" t="s">
        <v>69</v>
      </c>
      <c r="D52" s="79"/>
      <c r="E52" s="90"/>
      <c r="F52" s="79"/>
      <c r="G52" s="80"/>
      <c r="H52" s="81"/>
    </row>
    <row r="53" spans="2:8">
      <c r="B53" s="78" t="s">
        <v>56</v>
      </c>
      <c r="C53" s="36" t="s">
        <v>70</v>
      </c>
      <c r="D53" s="79"/>
      <c r="E53" s="90">
        <f>$D$3/10/12</f>
        <v>14787500</v>
      </c>
      <c r="F53" s="79">
        <f>F49-E53</f>
        <v>1242150000</v>
      </c>
      <c r="G53" s="82">
        <f>$D$4</f>
        <v>0.1285</v>
      </c>
      <c r="H53" s="81">
        <f t="shared" ref="H53:H64" si="12">F53*G53/12</f>
        <v>13301356.25</v>
      </c>
    </row>
    <row r="54" spans="2:8">
      <c r="B54" s="78" t="s">
        <v>57</v>
      </c>
      <c r="C54" s="36" t="s">
        <v>70</v>
      </c>
      <c r="D54" s="79"/>
      <c r="E54" s="90">
        <f t="shared" ref="E54:E64" si="13">$D$3/10/12</f>
        <v>14787500</v>
      </c>
      <c r="F54" s="79">
        <f t="shared" ref="F54:F64" si="14">F53-E54</f>
        <v>1227362500</v>
      </c>
      <c r="G54" s="82">
        <f t="shared" ref="G54:G64" si="15">$D$4</f>
        <v>0.1285</v>
      </c>
      <c r="H54" s="81">
        <f t="shared" si="12"/>
        <v>13143006.770833334</v>
      </c>
    </row>
    <row r="55" spans="2:8">
      <c r="B55" s="78" t="s">
        <v>58</v>
      </c>
      <c r="C55" s="36" t="s">
        <v>70</v>
      </c>
      <c r="D55" s="79"/>
      <c r="E55" s="90">
        <f t="shared" si="13"/>
        <v>14787500</v>
      </c>
      <c r="F55" s="79">
        <f t="shared" si="14"/>
        <v>1212575000</v>
      </c>
      <c r="G55" s="82">
        <f t="shared" si="15"/>
        <v>0.1285</v>
      </c>
      <c r="H55" s="81">
        <f t="shared" si="12"/>
        <v>12984657.291666666</v>
      </c>
    </row>
    <row r="56" spans="2:8">
      <c r="B56" s="78" t="s">
        <v>59</v>
      </c>
      <c r="C56" s="36" t="s">
        <v>70</v>
      </c>
      <c r="D56" s="79"/>
      <c r="E56" s="90">
        <f t="shared" si="13"/>
        <v>14787500</v>
      </c>
      <c r="F56" s="79">
        <f t="shared" si="14"/>
        <v>1197787500</v>
      </c>
      <c r="G56" s="82">
        <f t="shared" si="15"/>
        <v>0.1285</v>
      </c>
      <c r="H56" s="81">
        <f t="shared" si="12"/>
        <v>12826307.8125</v>
      </c>
    </row>
    <row r="57" spans="2:8">
      <c r="B57" s="78" t="s">
        <v>60</v>
      </c>
      <c r="C57" s="36" t="s">
        <v>70</v>
      </c>
      <c r="D57" s="79"/>
      <c r="E57" s="90">
        <f t="shared" si="13"/>
        <v>14787500</v>
      </c>
      <c r="F57" s="79">
        <f t="shared" si="14"/>
        <v>1183000000</v>
      </c>
      <c r="G57" s="82">
        <f t="shared" si="15"/>
        <v>0.1285</v>
      </c>
      <c r="H57" s="81">
        <f t="shared" si="12"/>
        <v>12667958.333333334</v>
      </c>
    </row>
    <row r="58" spans="2:8">
      <c r="B58" s="78" t="s">
        <v>61</v>
      </c>
      <c r="C58" s="36" t="s">
        <v>70</v>
      </c>
      <c r="D58" s="79"/>
      <c r="E58" s="90">
        <f t="shared" si="13"/>
        <v>14787500</v>
      </c>
      <c r="F58" s="79">
        <f t="shared" si="14"/>
        <v>1168212500</v>
      </c>
      <c r="G58" s="82">
        <f t="shared" si="15"/>
        <v>0.1285</v>
      </c>
      <c r="H58" s="81">
        <f t="shared" si="12"/>
        <v>12509608.854166666</v>
      </c>
    </row>
    <row r="59" spans="2:8">
      <c r="B59" s="78" t="s">
        <v>62</v>
      </c>
      <c r="C59" s="36" t="s">
        <v>70</v>
      </c>
      <c r="D59" s="79"/>
      <c r="E59" s="90">
        <f t="shared" si="13"/>
        <v>14787500</v>
      </c>
      <c r="F59" s="79">
        <f t="shared" si="14"/>
        <v>1153425000</v>
      </c>
      <c r="G59" s="82">
        <f t="shared" si="15"/>
        <v>0.1285</v>
      </c>
      <c r="H59" s="81">
        <f t="shared" si="12"/>
        <v>12351259.375</v>
      </c>
    </row>
    <row r="60" spans="2:8">
      <c r="B60" s="78" t="s">
        <v>63</v>
      </c>
      <c r="C60" s="36" t="s">
        <v>70</v>
      </c>
      <c r="D60" s="79"/>
      <c r="E60" s="90">
        <f t="shared" si="13"/>
        <v>14787500</v>
      </c>
      <c r="F60" s="79">
        <f t="shared" si="14"/>
        <v>1138637500</v>
      </c>
      <c r="G60" s="82">
        <f t="shared" si="15"/>
        <v>0.1285</v>
      </c>
      <c r="H60" s="81">
        <f t="shared" si="12"/>
        <v>12192909.895833334</v>
      </c>
    </row>
    <row r="61" spans="2:8">
      <c r="B61" s="78" t="s">
        <v>64</v>
      </c>
      <c r="C61" s="36" t="s">
        <v>70</v>
      </c>
      <c r="D61" s="79"/>
      <c r="E61" s="90">
        <f t="shared" si="13"/>
        <v>14787500</v>
      </c>
      <c r="F61" s="79">
        <f t="shared" si="14"/>
        <v>1123850000</v>
      </c>
      <c r="G61" s="82">
        <f t="shared" si="15"/>
        <v>0.1285</v>
      </c>
      <c r="H61" s="81">
        <f t="shared" si="12"/>
        <v>12034560.416666666</v>
      </c>
    </row>
    <row r="62" spans="2:8">
      <c r="B62" s="78" t="s">
        <v>65</v>
      </c>
      <c r="C62" s="36" t="s">
        <v>70</v>
      </c>
      <c r="D62" s="79"/>
      <c r="E62" s="90">
        <f t="shared" si="13"/>
        <v>14787500</v>
      </c>
      <c r="F62" s="79">
        <f t="shared" si="14"/>
        <v>1109062500</v>
      </c>
      <c r="G62" s="82">
        <f t="shared" si="15"/>
        <v>0.1285</v>
      </c>
      <c r="H62" s="81">
        <f t="shared" si="12"/>
        <v>11876210.9375</v>
      </c>
    </row>
    <row r="63" spans="2:8">
      <c r="B63" s="78" t="s">
        <v>66</v>
      </c>
      <c r="C63" s="36" t="s">
        <v>70</v>
      </c>
      <c r="D63" s="79"/>
      <c r="E63" s="90">
        <f t="shared" si="13"/>
        <v>14787500</v>
      </c>
      <c r="F63" s="79">
        <f t="shared" si="14"/>
        <v>1094275000</v>
      </c>
      <c r="G63" s="82">
        <f t="shared" si="15"/>
        <v>0.1285</v>
      </c>
      <c r="H63" s="81">
        <f t="shared" si="12"/>
        <v>11717861.458333334</v>
      </c>
    </row>
    <row r="64" spans="2:8">
      <c r="B64" s="78" t="s">
        <v>67</v>
      </c>
      <c r="C64" s="36" t="s">
        <v>70</v>
      </c>
      <c r="D64" s="79"/>
      <c r="E64" s="90">
        <f t="shared" si="13"/>
        <v>14787500</v>
      </c>
      <c r="F64" s="79">
        <f t="shared" si="14"/>
        <v>1079487500</v>
      </c>
      <c r="G64" s="82">
        <f t="shared" si="15"/>
        <v>0.1285</v>
      </c>
      <c r="H64" s="81">
        <f t="shared" si="12"/>
        <v>11559511.979166666</v>
      </c>
    </row>
    <row r="65" spans="2:8" ht="13.5" thickBot="1">
      <c r="B65" s="83"/>
      <c r="C65" s="84" t="s">
        <v>68</v>
      </c>
      <c r="D65" s="85">
        <f>SUM(D53:D64)</f>
        <v>0</v>
      </c>
      <c r="E65" s="91">
        <f>SUM(E53:E64)</f>
        <v>177450000</v>
      </c>
      <c r="F65" s="85"/>
      <c r="G65" s="86"/>
      <c r="H65" s="87">
        <f>SUM(H53:H64)</f>
        <v>149165209.375</v>
      </c>
    </row>
    <row r="66" spans="2:8">
      <c r="B66" s="73" t="s">
        <v>50</v>
      </c>
      <c r="C66" s="74" t="s">
        <v>51</v>
      </c>
      <c r="D66" s="75" t="s">
        <v>52</v>
      </c>
      <c r="E66" s="104" t="s">
        <v>53</v>
      </c>
      <c r="F66" s="75" t="s">
        <v>54</v>
      </c>
      <c r="G66" s="76"/>
      <c r="H66" s="77" t="s">
        <v>55</v>
      </c>
    </row>
    <row r="67" spans="2:8">
      <c r="B67" s="78"/>
      <c r="C67" s="36" t="s">
        <v>69</v>
      </c>
      <c r="D67" s="79"/>
      <c r="E67" s="90"/>
      <c r="F67" s="79"/>
      <c r="G67" s="80"/>
      <c r="H67" s="81"/>
    </row>
    <row r="68" spans="2:8">
      <c r="B68" s="78" t="s">
        <v>56</v>
      </c>
      <c r="C68" s="36" t="s">
        <v>70</v>
      </c>
      <c r="D68" s="79"/>
      <c r="E68" s="90">
        <f>$D$3/10/12</f>
        <v>14787500</v>
      </c>
      <c r="F68" s="79">
        <f>F64-E68</f>
        <v>1064700000</v>
      </c>
      <c r="G68" s="82">
        <f>$D$4</f>
        <v>0.1285</v>
      </c>
      <c r="H68" s="81">
        <f t="shared" ref="H68:H79" si="16">F68*G68/12</f>
        <v>11401162.5</v>
      </c>
    </row>
    <row r="69" spans="2:8">
      <c r="B69" s="78" t="s">
        <v>57</v>
      </c>
      <c r="C69" s="36" t="s">
        <v>70</v>
      </c>
      <c r="D69" s="79"/>
      <c r="E69" s="90">
        <f t="shared" ref="E69:E79" si="17">$D$3/10/12</f>
        <v>14787500</v>
      </c>
      <c r="F69" s="79">
        <f t="shared" ref="F69:F79" si="18">F68-E69</f>
        <v>1049912500</v>
      </c>
      <c r="G69" s="82">
        <f t="shared" ref="G69:G79" si="19">$D$4</f>
        <v>0.1285</v>
      </c>
      <c r="H69" s="81">
        <f t="shared" si="16"/>
        <v>11242813.020833334</v>
      </c>
    </row>
    <row r="70" spans="2:8">
      <c r="B70" s="78" t="s">
        <v>58</v>
      </c>
      <c r="C70" s="36" t="s">
        <v>70</v>
      </c>
      <c r="D70" s="79"/>
      <c r="E70" s="90">
        <f t="shared" si="17"/>
        <v>14787500</v>
      </c>
      <c r="F70" s="79">
        <f t="shared" si="18"/>
        <v>1035125000</v>
      </c>
      <c r="G70" s="82">
        <f t="shared" si="19"/>
        <v>0.1285</v>
      </c>
      <c r="H70" s="81">
        <f t="shared" si="16"/>
        <v>11084463.541666666</v>
      </c>
    </row>
    <row r="71" spans="2:8">
      <c r="B71" s="78" t="s">
        <v>59</v>
      </c>
      <c r="C71" s="36" t="s">
        <v>70</v>
      </c>
      <c r="D71" s="79"/>
      <c r="E71" s="90">
        <f t="shared" si="17"/>
        <v>14787500</v>
      </c>
      <c r="F71" s="79">
        <f t="shared" si="18"/>
        <v>1020337500</v>
      </c>
      <c r="G71" s="82">
        <f t="shared" si="19"/>
        <v>0.1285</v>
      </c>
      <c r="H71" s="81">
        <f t="shared" si="16"/>
        <v>10926114.0625</v>
      </c>
    </row>
    <row r="72" spans="2:8">
      <c r="B72" s="78" t="s">
        <v>60</v>
      </c>
      <c r="C72" s="36" t="s">
        <v>70</v>
      </c>
      <c r="D72" s="79"/>
      <c r="E72" s="90">
        <f t="shared" si="17"/>
        <v>14787500</v>
      </c>
      <c r="F72" s="79">
        <f t="shared" si="18"/>
        <v>1005550000</v>
      </c>
      <c r="G72" s="82">
        <f t="shared" si="19"/>
        <v>0.1285</v>
      </c>
      <c r="H72" s="81">
        <f t="shared" si="16"/>
        <v>10767764.583333334</v>
      </c>
    </row>
    <row r="73" spans="2:8">
      <c r="B73" s="78" t="s">
        <v>61</v>
      </c>
      <c r="C73" s="36" t="s">
        <v>70</v>
      </c>
      <c r="D73" s="79"/>
      <c r="E73" s="90">
        <f t="shared" si="17"/>
        <v>14787500</v>
      </c>
      <c r="F73" s="79">
        <f t="shared" si="18"/>
        <v>990762500</v>
      </c>
      <c r="G73" s="82">
        <f t="shared" si="19"/>
        <v>0.1285</v>
      </c>
      <c r="H73" s="81">
        <f t="shared" si="16"/>
        <v>10609415.104166666</v>
      </c>
    </row>
    <row r="74" spans="2:8">
      <c r="B74" s="78" t="s">
        <v>62</v>
      </c>
      <c r="C74" s="36" t="s">
        <v>70</v>
      </c>
      <c r="D74" s="79"/>
      <c r="E74" s="90">
        <f t="shared" si="17"/>
        <v>14787500</v>
      </c>
      <c r="F74" s="79">
        <f t="shared" si="18"/>
        <v>975975000</v>
      </c>
      <c r="G74" s="82">
        <f t="shared" si="19"/>
        <v>0.1285</v>
      </c>
      <c r="H74" s="81">
        <f t="shared" si="16"/>
        <v>10451065.625</v>
      </c>
    </row>
    <row r="75" spans="2:8">
      <c r="B75" s="78" t="s">
        <v>63</v>
      </c>
      <c r="C75" s="36" t="s">
        <v>70</v>
      </c>
      <c r="D75" s="79"/>
      <c r="E75" s="90">
        <f t="shared" si="17"/>
        <v>14787500</v>
      </c>
      <c r="F75" s="79">
        <f t="shared" si="18"/>
        <v>961187500</v>
      </c>
      <c r="G75" s="82">
        <f t="shared" si="19"/>
        <v>0.1285</v>
      </c>
      <c r="H75" s="81">
        <f t="shared" si="16"/>
        <v>10292716.145833334</v>
      </c>
    </row>
    <row r="76" spans="2:8">
      <c r="B76" s="78" t="s">
        <v>64</v>
      </c>
      <c r="C76" s="36" t="s">
        <v>70</v>
      </c>
      <c r="D76" s="79"/>
      <c r="E76" s="90">
        <f t="shared" si="17"/>
        <v>14787500</v>
      </c>
      <c r="F76" s="79">
        <f t="shared" si="18"/>
        <v>946400000</v>
      </c>
      <c r="G76" s="82">
        <f t="shared" si="19"/>
        <v>0.1285</v>
      </c>
      <c r="H76" s="81">
        <f t="shared" si="16"/>
        <v>10134366.666666666</v>
      </c>
    </row>
    <row r="77" spans="2:8">
      <c r="B77" s="78" t="s">
        <v>65</v>
      </c>
      <c r="C77" s="36" t="s">
        <v>70</v>
      </c>
      <c r="D77" s="79"/>
      <c r="E77" s="90">
        <f t="shared" si="17"/>
        <v>14787500</v>
      </c>
      <c r="F77" s="79">
        <f t="shared" si="18"/>
        <v>931612500</v>
      </c>
      <c r="G77" s="82">
        <f t="shared" si="19"/>
        <v>0.1285</v>
      </c>
      <c r="H77" s="81">
        <f t="shared" si="16"/>
        <v>9976017.1875</v>
      </c>
    </row>
    <row r="78" spans="2:8">
      <c r="B78" s="78" t="s">
        <v>66</v>
      </c>
      <c r="C78" s="36" t="s">
        <v>70</v>
      </c>
      <c r="D78" s="79"/>
      <c r="E78" s="90">
        <f t="shared" si="17"/>
        <v>14787500</v>
      </c>
      <c r="F78" s="79">
        <f t="shared" si="18"/>
        <v>916825000</v>
      </c>
      <c r="G78" s="82">
        <f t="shared" si="19"/>
        <v>0.1285</v>
      </c>
      <c r="H78" s="81">
        <f t="shared" si="16"/>
        <v>9817667.708333334</v>
      </c>
    </row>
    <row r="79" spans="2:8">
      <c r="B79" s="78" t="s">
        <v>67</v>
      </c>
      <c r="C79" s="36" t="s">
        <v>70</v>
      </c>
      <c r="D79" s="79"/>
      <c r="E79" s="90">
        <f t="shared" si="17"/>
        <v>14787500</v>
      </c>
      <c r="F79" s="79">
        <f t="shared" si="18"/>
        <v>902037500</v>
      </c>
      <c r="G79" s="82">
        <f t="shared" si="19"/>
        <v>0.1285</v>
      </c>
      <c r="H79" s="81">
        <f t="shared" si="16"/>
        <v>9659318.229166666</v>
      </c>
    </row>
    <row r="80" spans="2:8" ht="13.5" thickBot="1">
      <c r="B80" s="83"/>
      <c r="C80" s="84" t="s">
        <v>68</v>
      </c>
      <c r="D80" s="85">
        <f>SUM(D68:D79)</f>
        <v>0</v>
      </c>
      <c r="E80" s="91">
        <f>SUM(E68:E79)</f>
        <v>177450000</v>
      </c>
      <c r="F80" s="85"/>
      <c r="G80" s="86"/>
      <c r="H80" s="87">
        <f>SUM(H68:H79)</f>
        <v>126362884.375</v>
      </c>
    </row>
    <row r="81" spans="2:8">
      <c r="B81" s="73" t="s">
        <v>50</v>
      </c>
      <c r="C81" s="74" t="s">
        <v>51</v>
      </c>
      <c r="D81" s="75" t="s">
        <v>52</v>
      </c>
      <c r="E81" s="104" t="s">
        <v>53</v>
      </c>
      <c r="F81" s="75" t="s">
        <v>54</v>
      </c>
      <c r="G81" s="76"/>
      <c r="H81" s="77" t="s">
        <v>55</v>
      </c>
    </row>
    <row r="82" spans="2:8">
      <c r="B82" s="78"/>
      <c r="C82" s="36" t="s">
        <v>69</v>
      </c>
      <c r="D82" s="79"/>
      <c r="E82" s="90"/>
      <c r="F82" s="79"/>
      <c r="G82" s="80"/>
      <c r="H82" s="81"/>
    </row>
    <row r="83" spans="2:8">
      <c r="B83" s="78" t="s">
        <v>56</v>
      </c>
      <c r="C83" s="36" t="s">
        <v>70</v>
      </c>
      <c r="D83" s="79"/>
      <c r="E83" s="90">
        <f>$D$3/10/12</f>
        <v>14787500</v>
      </c>
      <c r="F83" s="79">
        <f>F79-E83</f>
        <v>887250000</v>
      </c>
      <c r="G83" s="82">
        <f>$D$4</f>
        <v>0.1285</v>
      </c>
      <c r="H83" s="81">
        <f t="shared" ref="H83:H94" si="20">F83*G83/12</f>
        <v>9500968.75</v>
      </c>
    </row>
    <row r="84" spans="2:8">
      <c r="B84" s="78" t="s">
        <v>57</v>
      </c>
      <c r="C84" s="36" t="s">
        <v>70</v>
      </c>
      <c r="D84" s="79"/>
      <c r="E84" s="90">
        <f t="shared" ref="E84:E94" si="21">$D$3/10/12</f>
        <v>14787500</v>
      </c>
      <c r="F84" s="79">
        <f t="shared" ref="F84:F94" si="22">F83-E84</f>
        <v>872462500</v>
      </c>
      <c r="G84" s="82">
        <f t="shared" ref="G84:G94" si="23">$D$4</f>
        <v>0.1285</v>
      </c>
      <c r="H84" s="81">
        <f t="shared" si="20"/>
        <v>9342619.270833334</v>
      </c>
    </row>
    <row r="85" spans="2:8">
      <c r="B85" s="78" t="s">
        <v>58</v>
      </c>
      <c r="C85" s="36" t="s">
        <v>70</v>
      </c>
      <c r="D85" s="79"/>
      <c r="E85" s="90">
        <f t="shared" si="21"/>
        <v>14787500</v>
      </c>
      <c r="F85" s="79">
        <f t="shared" si="22"/>
        <v>857675000</v>
      </c>
      <c r="G85" s="82">
        <f t="shared" si="23"/>
        <v>0.1285</v>
      </c>
      <c r="H85" s="81">
        <f t="shared" si="20"/>
        <v>9184269.791666666</v>
      </c>
    </row>
    <row r="86" spans="2:8">
      <c r="B86" s="78" t="s">
        <v>59</v>
      </c>
      <c r="C86" s="36" t="s">
        <v>70</v>
      </c>
      <c r="D86" s="79"/>
      <c r="E86" s="90">
        <f t="shared" si="21"/>
        <v>14787500</v>
      </c>
      <c r="F86" s="79">
        <f t="shared" si="22"/>
        <v>842887500</v>
      </c>
      <c r="G86" s="82">
        <f t="shared" si="23"/>
        <v>0.1285</v>
      </c>
      <c r="H86" s="81">
        <f t="shared" si="20"/>
        <v>9025920.3125</v>
      </c>
    </row>
    <row r="87" spans="2:8">
      <c r="B87" s="78" t="s">
        <v>60</v>
      </c>
      <c r="C87" s="36" t="s">
        <v>70</v>
      </c>
      <c r="D87" s="79"/>
      <c r="E87" s="90">
        <f t="shared" si="21"/>
        <v>14787500</v>
      </c>
      <c r="F87" s="79">
        <f t="shared" si="22"/>
        <v>828100000</v>
      </c>
      <c r="G87" s="82">
        <f t="shared" si="23"/>
        <v>0.1285</v>
      </c>
      <c r="H87" s="81">
        <f t="shared" si="20"/>
        <v>8867570.833333334</v>
      </c>
    </row>
    <row r="88" spans="2:8">
      <c r="B88" s="78" t="s">
        <v>61</v>
      </c>
      <c r="C88" s="36" t="s">
        <v>70</v>
      </c>
      <c r="D88" s="79"/>
      <c r="E88" s="90">
        <f t="shared" si="21"/>
        <v>14787500</v>
      </c>
      <c r="F88" s="79">
        <f t="shared" si="22"/>
        <v>813312500</v>
      </c>
      <c r="G88" s="82">
        <f t="shared" si="23"/>
        <v>0.1285</v>
      </c>
      <c r="H88" s="81">
        <f t="shared" si="20"/>
        <v>8709221.354166666</v>
      </c>
    </row>
    <row r="89" spans="2:8">
      <c r="B89" s="78" t="s">
        <v>62</v>
      </c>
      <c r="C89" s="36" t="s">
        <v>70</v>
      </c>
      <c r="D89" s="79"/>
      <c r="E89" s="90">
        <f t="shared" si="21"/>
        <v>14787500</v>
      </c>
      <c r="F89" s="79">
        <f t="shared" si="22"/>
        <v>798525000</v>
      </c>
      <c r="G89" s="82">
        <f t="shared" si="23"/>
        <v>0.1285</v>
      </c>
      <c r="H89" s="81">
        <f t="shared" si="20"/>
        <v>8550871.875</v>
      </c>
    </row>
    <row r="90" spans="2:8">
      <c r="B90" s="78" t="s">
        <v>63</v>
      </c>
      <c r="C90" s="36" t="s">
        <v>70</v>
      </c>
      <c r="D90" s="79"/>
      <c r="E90" s="90">
        <f t="shared" si="21"/>
        <v>14787500</v>
      </c>
      <c r="F90" s="79">
        <f t="shared" si="22"/>
        <v>783737500</v>
      </c>
      <c r="G90" s="82">
        <f t="shared" si="23"/>
        <v>0.1285</v>
      </c>
      <c r="H90" s="81">
        <f t="shared" si="20"/>
        <v>8392522.395833334</v>
      </c>
    </row>
    <row r="91" spans="2:8">
      <c r="B91" s="78" t="s">
        <v>64</v>
      </c>
      <c r="C91" s="36" t="s">
        <v>70</v>
      </c>
      <c r="D91" s="79"/>
      <c r="E91" s="90">
        <f t="shared" si="21"/>
        <v>14787500</v>
      </c>
      <c r="F91" s="79">
        <f t="shared" si="22"/>
        <v>768950000</v>
      </c>
      <c r="G91" s="82">
        <f t="shared" si="23"/>
        <v>0.1285</v>
      </c>
      <c r="H91" s="81">
        <f t="shared" si="20"/>
        <v>8234172.916666667</v>
      </c>
    </row>
    <row r="92" spans="2:8">
      <c r="B92" s="78" t="s">
        <v>65</v>
      </c>
      <c r="C92" s="36" t="s">
        <v>70</v>
      </c>
      <c r="D92" s="79"/>
      <c r="E92" s="90">
        <f t="shared" si="21"/>
        <v>14787500</v>
      </c>
      <c r="F92" s="79">
        <f t="shared" si="22"/>
        <v>754162500</v>
      </c>
      <c r="G92" s="82">
        <f t="shared" si="23"/>
        <v>0.1285</v>
      </c>
      <c r="H92" s="81">
        <f t="shared" si="20"/>
        <v>8075823.4375</v>
      </c>
    </row>
    <row r="93" spans="2:8">
      <c r="B93" s="78" t="s">
        <v>66</v>
      </c>
      <c r="C93" s="36" t="s">
        <v>70</v>
      </c>
      <c r="D93" s="79"/>
      <c r="E93" s="90">
        <f t="shared" si="21"/>
        <v>14787500</v>
      </c>
      <c r="F93" s="79">
        <f t="shared" si="22"/>
        <v>739375000</v>
      </c>
      <c r="G93" s="82">
        <f t="shared" si="23"/>
        <v>0.1285</v>
      </c>
      <c r="H93" s="81">
        <f t="shared" si="20"/>
        <v>7917473.958333333</v>
      </c>
    </row>
    <row r="94" spans="2:8">
      <c r="B94" s="78" t="s">
        <v>67</v>
      </c>
      <c r="C94" s="36" t="s">
        <v>70</v>
      </c>
      <c r="D94" s="79"/>
      <c r="E94" s="90">
        <f t="shared" si="21"/>
        <v>14787500</v>
      </c>
      <c r="F94" s="79">
        <f t="shared" si="22"/>
        <v>724587500</v>
      </c>
      <c r="G94" s="82">
        <f t="shared" si="23"/>
        <v>0.1285</v>
      </c>
      <c r="H94" s="81">
        <f t="shared" si="20"/>
        <v>7759124.479166667</v>
      </c>
    </row>
    <row r="95" spans="2:8" ht="13.5" thickBot="1">
      <c r="B95" s="83"/>
      <c r="C95" s="84" t="s">
        <v>68</v>
      </c>
      <c r="D95" s="85">
        <f>SUM(D83:D94)</f>
        <v>0</v>
      </c>
      <c r="E95" s="91">
        <f>SUM(E83:E94)</f>
        <v>177450000</v>
      </c>
      <c r="F95" s="85"/>
      <c r="G95" s="86"/>
      <c r="H95" s="87">
        <f>SUM(H83:H94)</f>
        <v>103560559.375</v>
      </c>
    </row>
    <row r="96" spans="2:8">
      <c r="B96" s="73" t="s">
        <v>50</v>
      </c>
      <c r="C96" s="74" t="s">
        <v>51</v>
      </c>
      <c r="D96" s="75" t="s">
        <v>52</v>
      </c>
      <c r="E96" s="104" t="s">
        <v>53</v>
      </c>
      <c r="F96" s="75" t="s">
        <v>54</v>
      </c>
      <c r="G96" s="76"/>
      <c r="H96" s="77" t="s">
        <v>55</v>
      </c>
    </row>
    <row r="97" spans="2:8">
      <c r="B97" s="78"/>
      <c r="C97" s="36" t="s">
        <v>69</v>
      </c>
      <c r="D97" s="79"/>
      <c r="E97" s="90"/>
      <c r="F97" s="79"/>
      <c r="G97" s="80"/>
      <c r="H97" s="81"/>
    </row>
    <row r="98" spans="2:8">
      <c r="B98" s="78" t="s">
        <v>56</v>
      </c>
      <c r="C98" s="36" t="s">
        <v>70</v>
      </c>
      <c r="D98" s="79"/>
      <c r="E98" s="90">
        <f>$D$3/10/12</f>
        <v>14787500</v>
      </c>
      <c r="F98" s="79">
        <f>F94-E98</f>
        <v>709800000</v>
      </c>
      <c r="G98" s="82">
        <f>$D$4</f>
        <v>0.1285</v>
      </c>
      <c r="H98" s="81">
        <f t="shared" ref="H98:H109" si="24">F98*G98/12</f>
        <v>7600775</v>
      </c>
    </row>
    <row r="99" spans="2:8">
      <c r="B99" s="78" t="s">
        <v>57</v>
      </c>
      <c r="C99" s="36" t="s">
        <v>70</v>
      </c>
      <c r="D99" s="79"/>
      <c r="E99" s="90">
        <f t="shared" ref="E99:E109" si="25">$D$3/10/12</f>
        <v>14787500</v>
      </c>
      <c r="F99" s="79">
        <f t="shared" ref="F99:F109" si="26">F98-E99</f>
        <v>695012500</v>
      </c>
      <c r="G99" s="82">
        <f t="shared" ref="G99:G109" si="27">$D$4</f>
        <v>0.1285</v>
      </c>
      <c r="H99" s="81">
        <f t="shared" si="24"/>
        <v>7442425.520833333</v>
      </c>
    </row>
    <row r="100" spans="2:8">
      <c r="B100" s="78" t="s">
        <v>58</v>
      </c>
      <c r="C100" s="36" t="s">
        <v>70</v>
      </c>
      <c r="D100" s="79"/>
      <c r="E100" s="90">
        <f t="shared" si="25"/>
        <v>14787500</v>
      </c>
      <c r="F100" s="79">
        <f t="shared" si="26"/>
        <v>680225000</v>
      </c>
      <c r="G100" s="82">
        <f t="shared" si="27"/>
        <v>0.1285</v>
      </c>
      <c r="H100" s="81">
        <f t="shared" si="24"/>
        <v>7284076.041666667</v>
      </c>
    </row>
    <row r="101" spans="2:8">
      <c r="B101" s="78" t="s">
        <v>59</v>
      </c>
      <c r="C101" s="36" t="s">
        <v>70</v>
      </c>
      <c r="D101" s="79"/>
      <c r="E101" s="90">
        <f t="shared" si="25"/>
        <v>14787500</v>
      </c>
      <c r="F101" s="79">
        <f t="shared" si="26"/>
        <v>665437500</v>
      </c>
      <c r="G101" s="82">
        <f t="shared" si="27"/>
        <v>0.1285</v>
      </c>
      <c r="H101" s="81">
        <f t="shared" si="24"/>
        <v>7125726.5625</v>
      </c>
    </row>
    <row r="102" spans="2:8">
      <c r="B102" s="78" t="s">
        <v>60</v>
      </c>
      <c r="C102" s="36" t="s">
        <v>70</v>
      </c>
      <c r="D102" s="79"/>
      <c r="E102" s="90">
        <f t="shared" si="25"/>
        <v>14787500</v>
      </c>
      <c r="F102" s="79">
        <f t="shared" si="26"/>
        <v>650650000</v>
      </c>
      <c r="G102" s="82">
        <f t="shared" si="27"/>
        <v>0.1285</v>
      </c>
      <c r="H102" s="81">
        <f t="shared" si="24"/>
        <v>6967377.083333333</v>
      </c>
    </row>
    <row r="103" spans="2:8">
      <c r="B103" s="78" t="s">
        <v>61</v>
      </c>
      <c r="C103" s="36" t="s">
        <v>70</v>
      </c>
      <c r="D103" s="79"/>
      <c r="E103" s="90">
        <f t="shared" si="25"/>
        <v>14787500</v>
      </c>
      <c r="F103" s="79">
        <f t="shared" si="26"/>
        <v>635862500</v>
      </c>
      <c r="G103" s="82">
        <f t="shared" si="27"/>
        <v>0.1285</v>
      </c>
      <c r="H103" s="81">
        <f t="shared" si="24"/>
        <v>6809027.604166667</v>
      </c>
    </row>
    <row r="104" spans="2:8">
      <c r="B104" s="78" t="s">
        <v>62</v>
      </c>
      <c r="C104" s="36" t="s">
        <v>70</v>
      </c>
      <c r="D104" s="79"/>
      <c r="E104" s="90">
        <f t="shared" si="25"/>
        <v>14787500</v>
      </c>
      <c r="F104" s="79">
        <f t="shared" si="26"/>
        <v>621075000</v>
      </c>
      <c r="G104" s="82">
        <f t="shared" si="27"/>
        <v>0.1285</v>
      </c>
      <c r="H104" s="81">
        <f t="shared" si="24"/>
        <v>6650678.125</v>
      </c>
    </row>
    <row r="105" spans="2:8">
      <c r="B105" s="78" t="s">
        <v>63</v>
      </c>
      <c r="C105" s="36" t="s">
        <v>70</v>
      </c>
      <c r="D105" s="79"/>
      <c r="E105" s="90">
        <f t="shared" si="25"/>
        <v>14787500</v>
      </c>
      <c r="F105" s="79">
        <f t="shared" si="26"/>
        <v>606287500</v>
      </c>
      <c r="G105" s="82">
        <f t="shared" si="27"/>
        <v>0.1285</v>
      </c>
      <c r="H105" s="81">
        <f t="shared" si="24"/>
        <v>6492328.645833333</v>
      </c>
    </row>
    <row r="106" spans="2:8">
      <c r="B106" s="78" t="s">
        <v>64</v>
      </c>
      <c r="C106" s="36" t="s">
        <v>70</v>
      </c>
      <c r="D106" s="79"/>
      <c r="E106" s="90">
        <f t="shared" si="25"/>
        <v>14787500</v>
      </c>
      <c r="F106" s="79">
        <f t="shared" si="26"/>
        <v>591500000</v>
      </c>
      <c r="G106" s="82">
        <f t="shared" si="27"/>
        <v>0.1285</v>
      </c>
      <c r="H106" s="81">
        <f t="shared" si="24"/>
        <v>6333979.166666667</v>
      </c>
    </row>
    <row r="107" spans="2:8">
      <c r="B107" s="78" t="s">
        <v>65</v>
      </c>
      <c r="C107" s="36" t="s">
        <v>70</v>
      </c>
      <c r="D107" s="79"/>
      <c r="E107" s="90">
        <f t="shared" si="25"/>
        <v>14787500</v>
      </c>
      <c r="F107" s="79">
        <f t="shared" si="26"/>
        <v>576712500</v>
      </c>
      <c r="G107" s="82">
        <f t="shared" si="27"/>
        <v>0.1285</v>
      </c>
      <c r="H107" s="81">
        <f t="shared" si="24"/>
        <v>6175629.6875</v>
      </c>
    </row>
    <row r="108" spans="2:8">
      <c r="B108" s="78" t="s">
        <v>66</v>
      </c>
      <c r="C108" s="36" t="s">
        <v>70</v>
      </c>
      <c r="D108" s="79"/>
      <c r="E108" s="90">
        <f t="shared" si="25"/>
        <v>14787500</v>
      </c>
      <c r="F108" s="79">
        <f t="shared" si="26"/>
        <v>561925000</v>
      </c>
      <c r="G108" s="82">
        <f t="shared" si="27"/>
        <v>0.1285</v>
      </c>
      <c r="H108" s="81">
        <f t="shared" si="24"/>
        <v>6017280.208333333</v>
      </c>
    </row>
    <row r="109" spans="2:8">
      <c r="B109" s="78" t="s">
        <v>67</v>
      </c>
      <c r="C109" s="36" t="s">
        <v>70</v>
      </c>
      <c r="D109" s="79"/>
      <c r="E109" s="90">
        <f t="shared" si="25"/>
        <v>14787500</v>
      </c>
      <c r="F109" s="79">
        <f t="shared" si="26"/>
        <v>547137500</v>
      </c>
      <c r="G109" s="82">
        <f t="shared" si="27"/>
        <v>0.1285</v>
      </c>
      <c r="H109" s="81">
        <f t="shared" si="24"/>
        <v>5858930.729166667</v>
      </c>
    </row>
    <row r="110" spans="2:8" ht="13.5" thickBot="1">
      <c r="B110" s="83"/>
      <c r="C110" s="84" t="s">
        <v>68</v>
      </c>
      <c r="D110" s="85">
        <f>SUM(D98:D109)</f>
        <v>0</v>
      </c>
      <c r="E110" s="91">
        <f>SUM(E98:E109)</f>
        <v>177450000</v>
      </c>
      <c r="F110" s="85"/>
      <c r="G110" s="86"/>
      <c r="H110" s="87">
        <f>SUM(H98:H109)</f>
        <v>80758234.375</v>
      </c>
    </row>
    <row r="111" spans="2:8">
      <c r="B111" s="73" t="s">
        <v>50</v>
      </c>
      <c r="C111" s="74" t="s">
        <v>51</v>
      </c>
      <c r="D111" s="75" t="s">
        <v>52</v>
      </c>
      <c r="E111" s="104" t="s">
        <v>53</v>
      </c>
      <c r="F111" s="75" t="s">
        <v>54</v>
      </c>
      <c r="G111" s="76"/>
      <c r="H111" s="77" t="s">
        <v>55</v>
      </c>
    </row>
    <row r="112" spans="2:8">
      <c r="B112" s="78"/>
      <c r="C112" s="36" t="s">
        <v>69</v>
      </c>
      <c r="D112" s="79"/>
      <c r="E112" s="90"/>
      <c r="F112" s="79"/>
      <c r="G112" s="80"/>
      <c r="H112" s="81"/>
    </row>
    <row r="113" spans="2:8">
      <c r="B113" s="78" t="s">
        <v>56</v>
      </c>
      <c r="C113" s="36" t="s">
        <v>70</v>
      </c>
      <c r="D113" s="79"/>
      <c r="E113" s="90">
        <f>$D$3/10/12</f>
        <v>14787500</v>
      </c>
      <c r="F113" s="79">
        <f>F109-E113</f>
        <v>532350000</v>
      </c>
      <c r="G113" s="82">
        <f>$D$4</f>
        <v>0.1285</v>
      </c>
      <c r="H113" s="81">
        <f t="shared" ref="H113:H124" si="28">F113*G113/12</f>
        <v>5700581.25</v>
      </c>
    </row>
    <row r="114" spans="2:8">
      <c r="B114" s="78" t="s">
        <v>57</v>
      </c>
      <c r="C114" s="36" t="s">
        <v>70</v>
      </c>
      <c r="D114" s="79"/>
      <c r="E114" s="90">
        <f t="shared" ref="E114:E124" si="29">$D$3/10/12</f>
        <v>14787500</v>
      </c>
      <c r="F114" s="79">
        <f t="shared" ref="F114:F124" si="30">F113-E114</f>
        <v>517562500</v>
      </c>
      <c r="G114" s="82">
        <f t="shared" ref="G114:G124" si="31">$D$4</f>
        <v>0.1285</v>
      </c>
      <c r="H114" s="81">
        <f t="shared" si="28"/>
        <v>5542231.770833333</v>
      </c>
    </row>
    <row r="115" spans="2:8">
      <c r="B115" s="78" t="s">
        <v>58</v>
      </c>
      <c r="C115" s="36" t="s">
        <v>70</v>
      </c>
      <c r="D115" s="79"/>
      <c r="E115" s="90">
        <f t="shared" si="29"/>
        <v>14787500</v>
      </c>
      <c r="F115" s="79">
        <f t="shared" si="30"/>
        <v>502775000</v>
      </c>
      <c r="G115" s="82">
        <f t="shared" si="31"/>
        <v>0.1285</v>
      </c>
      <c r="H115" s="81">
        <f t="shared" si="28"/>
        <v>5383882.291666667</v>
      </c>
    </row>
    <row r="116" spans="2:8">
      <c r="B116" s="78" t="s">
        <v>59</v>
      </c>
      <c r="C116" s="36" t="s">
        <v>70</v>
      </c>
      <c r="D116" s="79"/>
      <c r="E116" s="90">
        <f t="shared" si="29"/>
        <v>14787500</v>
      </c>
      <c r="F116" s="79">
        <f t="shared" si="30"/>
        <v>487987500</v>
      </c>
      <c r="G116" s="82">
        <f t="shared" si="31"/>
        <v>0.1285</v>
      </c>
      <c r="H116" s="81">
        <f t="shared" si="28"/>
        <v>5225532.8125</v>
      </c>
    </row>
    <row r="117" spans="2:8">
      <c r="B117" s="78" t="s">
        <v>60</v>
      </c>
      <c r="C117" s="36" t="s">
        <v>70</v>
      </c>
      <c r="D117" s="79"/>
      <c r="E117" s="90">
        <f t="shared" si="29"/>
        <v>14787500</v>
      </c>
      <c r="F117" s="79">
        <f t="shared" si="30"/>
        <v>473200000</v>
      </c>
      <c r="G117" s="82">
        <f t="shared" si="31"/>
        <v>0.1285</v>
      </c>
      <c r="H117" s="81">
        <f t="shared" si="28"/>
        <v>5067183.333333333</v>
      </c>
    </row>
    <row r="118" spans="2:8">
      <c r="B118" s="78" t="s">
        <v>61</v>
      </c>
      <c r="C118" s="36" t="s">
        <v>70</v>
      </c>
      <c r="D118" s="79"/>
      <c r="E118" s="90">
        <f t="shared" si="29"/>
        <v>14787500</v>
      </c>
      <c r="F118" s="79">
        <f t="shared" si="30"/>
        <v>458412500</v>
      </c>
      <c r="G118" s="82">
        <f t="shared" si="31"/>
        <v>0.1285</v>
      </c>
      <c r="H118" s="81">
        <f t="shared" si="28"/>
        <v>4908833.854166667</v>
      </c>
    </row>
    <row r="119" spans="2:8">
      <c r="B119" s="78" t="s">
        <v>62</v>
      </c>
      <c r="C119" s="36" t="s">
        <v>70</v>
      </c>
      <c r="D119" s="79"/>
      <c r="E119" s="90">
        <f t="shared" si="29"/>
        <v>14787500</v>
      </c>
      <c r="F119" s="79">
        <f t="shared" si="30"/>
        <v>443625000</v>
      </c>
      <c r="G119" s="82">
        <f t="shared" si="31"/>
        <v>0.1285</v>
      </c>
      <c r="H119" s="81">
        <f t="shared" si="28"/>
        <v>4750484.375</v>
      </c>
    </row>
    <row r="120" spans="2:8">
      <c r="B120" s="78" t="s">
        <v>63</v>
      </c>
      <c r="C120" s="36" t="s">
        <v>70</v>
      </c>
      <c r="D120" s="79"/>
      <c r="E120" s="90">
        <f t="shared" si="29"/>
        <v>14787500</v>
      </c>
      <c r="F120" s="79">
        <f t="shared" si="30"/>
        <v>428837500</v>
      </c>
      <c r="G120" s="82">
        <f t="shared" si="31"/>
        <v>0.1285</v>
      </c>
      <c r="H120" s="81">
        <f t="shared" si="28"/>
        <v>4592134.895833333</v>
      </c>
    </row>
    <row r="121" spans="2:8">
      <c r="B121" s="78" t="s">
        <v>64</v>
      </c>
      <c r="C121" s="36" t="s">
        <v>70</v>
      </c>
      <c r="D121" s="79"/>
      <c r="E121" s="90">
        <f t="shared" si="29"/>
        <v>14787500</v>
      </c>
      <c r="F121" s="79">
        <f t="shared" si="30"/>
        <v>414050000</v>
      </c>
      <c r="G121" s="82">
        <f t="shared" si="31"/>
        <v>0.1285</v>
      </c>
      <c r="H121" s="81">
        <f t="shared" si="28"/>
        <v>4433785.416666667</v>
      </c>
    </row>
    <row r="122" spans="2:8">
      <c r="B122" s="78" t="s">
        <v>65</v>
      </c>
      <c r="C122" s="36" t="s">
        <v>70</v>
      </c>
      <c r="D122" s="79"/>
      <c r="E122" s="90">
        <f t="shared" si="29"/>
        <v>14787500</v>
      </c>
      <c r="F122" s="79">
        <f t="shared" si="30"/>
        <v>399262500</v>
      </c>
      <c r="G122" s="82">
        <f t="shared" si="31"/>
        <v>0.1285</v>
      </c>
      <c r="H122" s="81">
        <f t="shared" si="28"/>
        <v>4275435.9375</v>
      </c>
    </row>
    <row r="123" spans="2:8">
      <c r="B123" s="78" t="s">
        <v>66</v>
      </c>
      <c r="C123" s="36" t="s">
        <v>70</v>
      </c>
      <c r="D123" s="79"/>
      <c r="E123" s="90">
        <f t="shared" si="29"/>
        <v>14787500</v>
      </c>
      <c r="F123" s="79">
        <f t="shared" si="30"/>
        <v>384475000</v>
      </c>
      <c r="G123" s="82">
        <f t="shared" si="31"/>
        <v>0.1285</v>
      </c>
      <c r="H123" s="81">
        <f t="shared" si="28"/>
        <v>4117086.4583333335</v>
      </c>
    </row>
    <row r="124" spans="2:8">
      <c r="B124" s="78" t="s">
        <v>67</v>
      </c>
      <c r="C124" s="36" t="s">
        <v>70</v>
      </c>
      <c r="D124" s="79"/>
      <c r="E124" s="90">
        <f t="shared" si="29"/>
        <v>14787500</v>
      </c>
      <c r="F124" s="79">
        <f t="shared" si="30"/>
        <v>369687500</v>
      </c>
      <c r="G124" s="82">
        <f t="shared" si="31"/>
        <v>0.1285</v>
      </c>
      <c r="H124" s="81">
        <f t="shared" si="28"/>
        <v>3958736.9791666665</v>
      </c>
    </row>
    <row r="125" spans="2:8" ht="13.5" thickBot="1">
      <c r="B125" s="83"/>
      <c r="C125" s="84" t="s">
        <v>68</v>
      </c>
      <c r="D125" s="85">
        <f>SUM(D113:D124)</f>
        <v>0</v>
      </c>
      <c r="E125" s="91">
        <f>SUM(E113:E124)</f>
        <v>177450000</v>
      </c>
      <c r="F125" s="85"/>
      <c r="G125" s="86"/>
      <c r="H125" s="87">
        <f>SUM(H113:H124)</f>
        <v>57955909.375</v>
      </c>
    </row>
    <row r="126" spans="2:8">
      <c r="B126" s="73" t="s">
        <v>50</v>
      </c>
      <c r="C126" s="74" t="s">
        <v>51</v>
      </c>
      <c r="D126" s="75" t="s">
        <v>52</v>
      </c>
      <c r="E126" s="104" t="s">
        <v>53</v>
      </c>
      <c r="F126" s="75" t="s">
        <v>54</v>
      </c>
      <c r="G126" s="76"/>
      <c r="H126" s="77" t="s">
        <v>55</v>
      </c>
    </row>
    <row r="127" spans="2:8">
      <c r="B127" s="78"/>
      <c r="C127" s="36" t="s">
        <v>69</v>
      </c>
      <c r="D127" s="79"/>
      <c r="E127" s="90"/>
      <c r="F127" s="79"/>
      <c r="G127" s="80"/>
      <c r="H127" s="81"/>
    </row>
    <row r="128" spans="2:8">
      <c r="B128" s="78" t="s">
        <v>56</v>
      </c>
      <c r="C128" s="36" t="s">
        <v>70</v>
      </c>
      <c r="D128" s="79"/>
      <c r="E128" s="90">
        <f>$D$3/10/12</f>
        <v>14787500</v>
      </c>
      <c r="F128" s="79">
        <f>F124-E128</f>
        <v>354900000</v>
      </c>
      <c r="G128" s="82">
        <f>$D$4</f>
        <v>0.1285</v>
      </c>
      <c r="H128" s="81">
        <f t="shared" ref="H128:H139" si="32">F128*G128/12</f>
        <v>3800387.5</v>
      </c>
    </row>
    <row r="129" spans="2:8">
      <c r="B129" s="78" t="s">
        <v>57</v>
      </c>
      <c r="C129" s="36" t="s">
        <v>70</v>
      </c>
      <c r="D129" s="79"/>
      <c r="E129" s="90">
        <f t="shared" ref="E129:E139" si="33">$D$3/10/12</f>
        <v>14787500</v>
      </c>
      <c r="F129" s="79">
        <f t="shared" ref="F129:F139" si="34">F128-E129</f>
        <v>340112500</v>
      </c>
      <c r="G129" s="82">
        <f t="shared" ref="G129:G139" si="35">$D$4</f>
        <v>0.1285</v>
      </c>
      <c r="H129" s="81">
        <f t="shared" si="32"/>
        <v>3642038.0208333335</v>
      </c>
    </row>
    <row r="130" spans="2:8">
      <c r="B130" s="78" t="s">
        <v>58</v>
      </c>
      <c r="C130" s="36" t="s">
        <v>70</v>
      </c>
      <c r="D130" s="79"/>
      <c r="E130" s="90">
        <f t="shared" si="33"/>
        <v>14787500</v>
      </c>
      <c r="F130" s="79">
        <f t="shared" si="34"/>
        <v>325325000</v>
      </c>
      <c r="G130" s="82">
        <f t="shared" si="35"/>
        <v>0.1285</v>
      </c>
      <c r="H130" s="81">
        <f t="shared" si="32"/>
        <v>3483688.5416666665</v>
      </c>
    </row>
    <row r="131" spans="2:8">
      <c r="B131" s="78" t="s">
        <v>59</v>
      </c>
      <c r="C131" s="36" t="s">
        <v>70</v>
      </c>
      <c r="D131" s="79"/>
      <c r="E131" s="90">
        <f t="shared" si="33"/>
        <v>14787500</v>
      </c>
      <c r="F131" s="79">
        <f t="shared" si="34"/>
        <v>310537500</v>
      </c>
      <c r="G131" s="82">
        <f t="shared" si="35"/>
        <v>0.1285</v>
      </c>
      <c r="H131" s="81">
        <f t="shared" si="32"/>
        <v>3325339.0625</v>
      </c>
    </row>
    <row r="132" spans="2:8">
      <c r="B132" s="78" t="s">
        <v>60</v>
      </c>
      <c r="C132" s="36" t="s">
        <v>70</v>
      </c>
      <c r="D132" s="79"/>
      <c r="E132" s="90">
        <f t="shared" si="33"/>
        <v>14787500</v>
      </c>
      <c r="F132" s="79">
        <f t="shared" si="34"/>
        <v>295750000</v>
      </c>
      <c r="G132" s="82">
        <f t="shared" si="35"/>
        <v>0.1285</v>
      </c>
      <c r="H132" s="81">
        <f t="shared" si="32"/>
        <v>3166989.5833333335</v>
      </c>
    </row>
    <row r="133" spans="2:8">
      <c r="B133" s="78" t="s">
        <v>61</v>
      </c>
      <c r="C133" s="36" t="s">
        <v>70</v>
      </c>
      <c r="D133" s="79"/>
      <c r="E133" s="90">
        <f t="shared" si="33"/>
        <v>14787500</v>
      </c>
      <c r="F133" s="79">
        <f t="shared" si="34"/>
        <v>280962500</v>
      </c>
      <c r="G133" s="82">
        <f t="shared" si="35"/>
        <v>0.1285</v>
      </c>
      <c r="H133" s="81">
        <f t="shared" si="32"/>
        <v>3008640.1041666665</v>
      </c>
    </row>
    <row r="134" spans="2:8">
      <c r="B134" s="78" t="s">
        <v>62</v>
      </c>
      <c r="C134" s="36" t="s">
        <v>70</v>
      </c>
      <c r="D134" s="79"/>
      <c r="E134" s="90">
        <f t="shared" si="33"/>
        <v>14787500</v>
      </c>
      <c r="F134" s="79">
        <f t="shared" si="34"/>
        <v>266175000</v>
      </c>
      <c r="G134" s="82">
        <f t="shared" si="35"/>
        <v>0.1285</v>
      </c>
      <c r="H134" s="81">
        <f t="shared" si="32"/>
        <v>2850290.625</v>
      </c>
    </row>
    <row r="135" spans="2:8">
      <c r="B135" s="78" t="s">
        <v>63</v>
      </c>
      <c r="C135" s="36" t="s">
        <v>70</v>
      </c>
      <c r="D135" s="79"/>
      <c r="E135" s="90">
        <f t="shared" si="33"/>
        <v>14787500</v>
      </c>
      <c r="F135" s="79">
        <f t="shared" si="34"/>
        <v>251387500</v>
      </c>
      <c r="G135" s="82">
        <f t="shared" si="35"/>
        <v>0.1285</v>
      </c>
      <c r="H135" s="81">
        <f t="shared" si="32"/>
        <v>2691941.1458333335</v>
      </c>
    </row>
    <row r="136" spans="2:8">
      <c r="B136" s="78" t="s">
        <v>64</v>
      </c>
      <c r="C136" s="36" t="s">
        <v>70</v>
      </c>
      <c r="D136" s="79"/>
      <c r="E136" s="90">
        <f t="shared" si="33"/>
        <v>14787500</v>
      </c>
      <c r="F136" s="79">
        <f t="shared" si="34"/>
        <v>236600000</v>
      </c>
      <c r="G136" s="82">
        <f t="shared" si="35"/>
        <v>0.1285</v>
      </c>
      <c r="H136" s="81">
        <f t="shared" si="32"/>
        <v>2533591.6666666665</v>
      </c>
    </row>
    <row r="137" spans="2:8">
      <c r="B137" s="78" t="s">
        <v>65</v>
      </c>
      <c r="C137" s="36" t="s">
        <v>70</v>
      </c>
      <c r="D137" s="79"/>
      <c r="E137" s="90">
        <f t="shared" si="33"/>
        <v>14787500</v>
      </c>
      <c r="F137" s="79">
        <f t="shared" si="34"/>
        <v>221812500</v>
      </c>
      <c r="G137" s="82">
        <f t="shared" si="35"/>
        <v>0.1285</v>
      </c>
      <c r="H137" s="81">
        <f t="shared" si="32"/>
        <v>2375242.1875</v>
      </c>
    </row>
    <row r="138" spans="2:8">
      <c r="B138" s="78" t="s">
        <v>66</v>
      </c>
      <c r="C138" s="36" t="s">
        <v>70</v>
      </c>
      <c r="D138" s="79"/>
      <c r="E138" s="90">
        <f t="shared" si="33"/>
        <v>14787500</v>
      </c>
      <c r="F138" s="79">
        <f t="shared" si="34"/>
        <v>207025000</v>
      </c>
      <c r="G138" s="82">
        <f t="shared" si="35"/>
        <v>0.1285</v>
      </c>
      <c r="H138" s="81">
        <f t="shared" si="32"/>
        <v>2216892.7083333335</v>
      </c>
    </row>
    <row r="139" spans="2:8">
      <c r="B139" s="78" t="s">
        <v>67</v>
      </c>
      <c r="C139" s="36" t="s">
        <v>70</v>
      </c>
      <c r="D139" s="79"/>
      <c r="E139" s="90">
        <f t="shared" si="33"/>
        <v>14787500</v>
      </c>
      <c r="F139" s="79">
        <f t="shared" si="34"/>
        <v>192237500</v>
      </c>
      <c r="G139" s="82">
        <f t="shared" si="35"/>
        <v>0.1285</v>
      </c>
      <c r="H139" s="81">
        <f t="shared" si="32"/>
        <v>2058543.2291666667</v>
      </c>
    </row>
    <row r="140" spans="2:8" ht="13.5" thickBot="1">
      <c r="B140" s="83"/>
      <c r="C140" s="84" t="s">
        <v>68</v>
      </c>
      <c r="D140" s="85">
        <f>SUM(D128:D139)</f>
        <v>0</v>
      </c>
      <c r="E140" s="91">
        <f>SUM(E128:E139)</f>
        <v>177450000</v>
      </c>
      <c r="F140" s="85"/>
      <c r="G140" s="86"/>
      <c r="H140" s="87">
        <f>SUM(H128:H139)</f>
        <v>35153584.375</v>
      </c>
    </row>
    <row r="141" spans="2:8">
      <c r="B141" s="73" t="s">
        <v>50</v>
      </c>
      <c r="C141" s="74" t="s">
        <v>51</v>
      </c>
      <c r="D141" s="75" t="s">
        <v>52</v>
      </c>
      <c r="E141" s="104" t="s">
        <v>53</v>
      </c>
      <c r="F141" s="75" t="s">
        <v>54</v>
      </c>
      <c r="G141" s="76"/>
      <c r="H141" s="77" t="s">
        <v>55</v>
      </c>
    </row>
    <row r="142" spans="2:8">
      <c r="B142" s="78"/>
      <c r="C142" s="36" t="s">
        <v>69</v>
      </c>
      <c r="D142" s="79"/>
      <c r="E142" s="90"/>
      <c r="F142" s="79"/>
      <c r="G142" s="80"/>
      <c r="H142" s="81"/>
    </row>
    <row r="143" spans="2:8">
      <c r="B143" s="78" t="s">
        <v>56</v>
      </c>
      <c r="C143" s="36" t="s">
        <v>70</v>
      </c>
      <c r="D143" s="79"/>
      <c r="E143" s="90">
        <f>$D$3/10/12</f>
        <v>14787500</v>
      </c>
      <c r="F143" s="79">
        <f>F139-E143</f>
        <v>177450000</v>
      </c>
      <c r="G143" s="82">
        <f>$D$4</f>
        <v>0.1285</v>
      </c>
      <c r="H143" s="81">
        <f t="shared" ref="H143:H154" si="36">F143*G143/12</f>
        <v>1900193.75</v>
      </c>
    </row>
    <row r="144" spans="2:8">
      <c r="B144" s="78" t="s">
        <v>57</v>
      </c>
      <c r="C144" s="36" t="s">
        <v>70</v>
      </c>
      <c r="D144" s="79"/>
      <c r="E144" s="90">
        <f t="shared" ref="E144:E154" si="37">$D$3/10/12</f>
        <v>14787500</v>
      </c>
      <c r="F144" s="79">
        <f t="shared" ref="F144:F154" si="38">F143-E144</f>
        <v>162662500</v>
      </c>
      <c r="G144" s="82">
        <f t="shared" ref="G144:G154" si="39">$D$4</f>
        <v>0.1285</v>
      </c>
      <c r="H144" s="81">
        <f t="shared" si="36"/>
        <v>1741844.2708333333</v>
      </c>
    </row>
    <row r="145" spans="2:8">
      <c r="B145" s="78" t="s">
        <v>58</v>
      </c>
      <c r="C145" s="36" t="s">
        <v>70</v>
      </c>
      <c r="D145" s="79"/>
      <c r="E145" s="90">
        <f t="shared" si="37"/>
        <v>14787500</v>
      </c>
      <c r="F145" s="79">
        <f t="shared" si="38"/>
        <v>147875000</v>
      </c>
      <c r="G145" s="82">
        <f t="shared" si="39"/>
        <v>0.1285</v>
      </c>
      <c r="H145" s="81">
        <f t="shared" si="36"/>
        <v>1583494.7916666667</v>
      </c>
    </row>
    <row r="146" spans="2:8">
      <c r="B146" s="78" t="s">
        <v>59</v>
      </c>
      <c r="C146" s="36" t="s">
        <v>70</v>
      </c>
      <c r="D146" s="79"/>
      <c r="E146" s="90">
        <f t="shared" si="37"/>
        <v>14787500</v>
      </c>
      <c r="F146" s="79">
        <f t="shared" si="38"/>
        <v>133087500</v>
      </c>
      <c r="G146" s="82">
        <f t="shared" si="39"/>
        <v>0.1285</v>
      </c>
      <c r="H146" s="81">
        <f t="shared" si="36"/>
        <v>1425145.3125</v>
      </c>
    </row>
    <row r="147" spans="2:8">
      <c r="B147" s="78" t="s">
        <v>60</v>
      </c>
      <c r="C147" s="36" t="s">
        <v>70</v>
      </c>
      <c r="D147" s="79"/>
      <c r="E147" s="90">
        <f t="shared" si="37"/>
        <v>14787500</v>
      </c>
      <c r="F147" s="79">
        <f t="shared" si="38"/>
        <v>118300000</v>
      </c>
      <c r="G147" s="82">
        <f t="shared" si="39"/>
        <v>0.1285</v>
      </c>
      <c r="H147" s="81">
        <f t="shared" si="36"/>
        <v>1266795.8333333333</v>
      </c>
    </row>
    <row r="148" spans="2:8">
      <c r="B148" s="78" t="s">
        <v>61</v>
      </c>
      <c r="C148" s="36" t="s">
        <v>70</v>
      </c>
      <c r="D148" s="79"/>
      <c r="E148" s="90">
        <f t="shared" si="37"/>
        <v>14787500</v>
      </c>
      <c r="F148" s="79">
        <f t="shared" si="38"/>
        <v>103512500</v>
      </c>
      <c r="G148" s="82">
        <f t="shared" si="39"/>
        <v>0.1285</v>
      </c>
      <c r="H148" s="81">
        <f t="shared" si="36"/>
        <v>1108446.3541666667</v>
      </c>
    </row>
    <row r="149" spans="2:8">
      <c r="B149" s="78" t="s">
        <v>62</v>
      </c>
      <c r="C149" s="36" t="s">
        <v>70</v>
      </c>
      <c r="D149" s="79"/>
      <c r="E149" s="90">
        <f t="shared" si="37"/>
        <v>14787500</v>
      </c>
      <c r="F149" s="79">
        <f t="shared" si="38"/>
        <v>88725000</v>
      </c>
      <c r="G149" s="82">
        <f t="shared" si="39"/>
        <v>0.1285</v>
      </c>
      <c r="H149" s="81">
        <f t="shared" si="36"/>
        <v>950096.875</v>
      </c>
    </row>
    <row r="150" spans="2:8">
      <c r="B150" s="78" t="s">
        <v>63</v>
      </c>
      <c r="C150" s="36" t="s">
        <v>70</v>
      </c>
      <c r="D150" s="79"/>
      <c r="E150" s="90">
        <f t="shared" si="37"/>
        <v>14787500</v>
      </c>
      <c r="F150" s="79">
        <f t="shared" si="38"/>
        <v>73937500</v>
      </c>
      <c r="G150" s="82">
        <f t="shared" si="39"/>
        <v>0.1285</v>
      </c>
      <c r="H150" s="81">
        <f t="shared" si="36"/>
        <v>791747.39583333337</v>
      </c>
    </row>
    <row r="151" spans="2:8">
      <c r="B151" s="78" t="s">
        <v>64</v>
      </c>
      <c r="C151" s="36" t="s">
        <v>70</v>
      </c>
      <c r="D151" s="79"/>
      <c r="E151" s="90">
        <f t="shared" si="37"/>
        <v>14787500</v>
      </c>
      <c r="F151" s="79">
        <f t="shared" si="38"/>
        <v>59150000</v>
      </c>
      <c r="G151" s="82">
        <f t="shared" si="39"/>
        <v>0.1285</v>
      </c>
      <c r="H151" s="81">
        <f t="shared" si="36"/>
        <v>633397.91666666663</v>
      </c>
    </row>
    <row r="152" spans="2:8">
      <c r="B152" s="78" t="s">
        <v>65</v>
      </c>
      <c r="C152" s="36" t="s">
        <v>70</v>
      </c>
      <c r="D152" s="79"/>
      <c r="E152" s="90">
        <f t="shared" si="37"/>
        <v>14787500</v>
      </c>
      <c r="F152" s="79">
        <f t="shared" si="38"/>
        <v>44362500</v>
      </c>
      <c r="G152" s="82">
        <f t="shared" si="39"/>
        <v>0.1285</v>
      </c>
      <c r="H152" s="81">
        <f t="shared" si="36"/>
        <v>475048.4375</v>
      </c>
    </row>
    <row r="153" spans="2:8">
      <c r="B153" s="78" t="s">
        <v>66</v>
      </c>
      <c r="C153" s="36" t="s">
        <v>70</v>
      </c>
      <c r="D153" s="79"/>
      <c r="E153" s="90">
        <f t="shared" si="37"/>
        <v>14787500</v>
      </c>
      <c r="F153" s="79">
        <f t="shared" si="38"/>
        <v>29575000</v>
      </c>
      <c r="G153" s="82">
        <f t="shared" si="39"/>
        <v>0.1285</v>
      </c>
      <c r="H153" s="81">
        <f t="shared" si="36"/>
        <v>316698.95833333331</v>
      </c>
    </row>
    <row r="154" spans="2:8">
      <c r="B154" s="78" t="s">
        <v>67</v>
      </c>
      <c r="C154" s="36" t="s">
        <v>70</v>
      </c>
      <c r="D154" s="79"/>
      <c r="E154" s="90">
        <f t="shared" si="37"/>
        <v>14787500</v>
      </c>
      <c r="F154" s="79">
        <f t="shared" si="38"/>
        <v>14787500</v>
      </c>
      <c r="G154" s="82">
        <f t="shared" si="39"/>
        <v>0.1285</v>
      </c>
      <c r="H154" s="81">
        <f t="shared" si="36"/>
        <v>158349.47916666666</v>
      </c>
    </row>
    <row r="155" spans="2:8" ht="13.5" thickBot="1">
      <c r="B155" s="83"/>
      <c r="C155" s="84" t="s">
        <v>68</v>
      </c>
      <c r="D155" s="85">
        <f>SUM(D143:D154)</f>
        <v>0</v>
      </c>
      <c r="E155" s="91">
        <f>SUM(E143:E154)</f>
        <v>177450000</v>
      </c>
      <c r="F155" s="85"/>
      <c r="G155" s="86"/>
      <c r="H155" s="87">
        <f>SUM(H143:H154)</f>
        <v>12351259.375</v>
      </c>
    </row>
  </sheetData>
  <mergeCells count="1">
    <mergeCell ref="G4:H4"/>
  </mergeCells>
  <pageMargins left="0.75" right="0.75" top="0.61" bottom="0.63" header="0.5" footer="0.5"/>
  <pageSetup scale="86" orientation="portrait" r:id="rId1"/>
  <headerFooter alignWithMargins="0"/>
  <rowBreaks count="1" manualBreakCount="1">
    <brk id="64" max="16383" man="1"/>
  </rowBreaks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U29"/>
  <sheetViews>
    <sheetView zoomScaleNormal="100" workbookViewId="0">
      <pane ySplit="1" topLeftCell="A2" activePane="bottomLeft" state="frozen"/>
      <selection activeCell="H34" sqref="H34"/>
      <selection pane="bottomLeft" activeCell="A19" sqref="A19"/>
    </sheetView>
  </sheetViews>
  <sheetFormatPr defaultRowHeight="12.75"/>
  <cols>
    <col min="1" max="1" width="48.42578125" bestFit="1" customWidth="1"/>
    <col min="2" max="2" width="9" bestFit="1" customWidth="1"/>
    <col min="3" max="21" width="8.7109375" bestFit="1" customWidth="1"/>
  </cols>
  <sheetData>
    <row r="1" spans="1:21" s="21" customFormat="1">
      <c r="B1" s="21">
        <v>1</v>
      </c>
      <c r="C1" s="21">
        <v>2</v>
      </c>
      <c r="D1" s="21">
        <v>3</v>
      </c>
      <c r="E1" s="21">
        <v>4</v>
      </c>
      <c r="F1" s="21">
        <v>5</v>
      </c>
      <c r="G1" s="21">
        <v>6</v>
      </c>
      <c r="H1" s="21">
        <v>7</v>
      </c>
      <c r="I1" s="21">
        <v>8</v>
      </c>
      <c r="J1" s="21">
        <v>9</v>
      </c>
      <c r="K1" s="21">
        <v>10</v>
      </c>
      <c r="L1" s="21">
        <v>11</v>
      </c>
      <c r="M1" s="21">
        <v>12</v>
      </c>
      <c r="N1" s="21">
        <v>13</v>
      </c>
      <c r="O1" s="21">
        <v>14</v>
      </c>
      <c r="P1" s="21">
        <v>15</v>
      </c>
      <c r="Q1" s="21">
        <v>16</v>
      </c>
      <c r="R1" s="21">
        <v>17</v>
      </c>
      <c r="S1" s="21">
        <v>18</v>
      </c>
      <c r="T1" s="21">
        <v>19</v>
      </c>
      <c r="U1" s="21">
        <v>20</v>
      </c>
    </row>
    <row r="2" spans="1:21">
      <c r="A2" s="1" t="s">
        <v>72</v>
      </c>
      <c r="B2" s="1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</row>
    <row r="3" spans="1:21">
      <c r="A3" s="36" t="s">
        <v>73</v>
      </c>
      <c r="B3" s="38">
        <f>'Project Cost'!F7</f>
        <v>2535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</row>
    <row r="4" spans="1:21">
      <c r="A4" s="36" t="s">
        <v>74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</row>
    <row r="5" spans="1:21">
      <c r="A5" s="36" t="s">
        <v>37</v>
      </c>
      <c r="B5" s="58">
        <f>1.5%*$B$3</f>
        <v>38.024999999999999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</row>
    <row r="6" spans="1:21">
      <c r="A6" s="36"/>
      <c r="B6" s="38">
        <f>B3-B5</f>
        <v>2496.9749999999999</v>
      </c>
      <c r="C6" s="36"/>
      <c r="D6" s="36"/>
      <c r="E6" s="36"/>
      <c r="F6" s="36"/>
      <c r="G6" s="36"/>
      <c r="H6" s="36"/>
      <c r="I6" s="36"/>
      <c r="J6" s="37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</row>
    <row r="7" spans="1:21">
      <c r="A7" s="2" t="s">
        <v>117</v>
      </c>
      <c r="B7" s="37">
        <v>1</v>
      </c>
      <c r="C7" s="36"/>
      <c r="D7" s="36"/>
      <c r="E7" s="36"/>
      <c r="F7" s="36"/>
      <c r="G7" s="36"/>
      <c r="H7" s="36"/>
      <c r="I7" s="36"/>
      <c r="J7" s="37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</row>
    <row r="8" spans="1:21">
      <c r="A8" s="36"/>
      <c r="B8" s="38">
        <f>B6*B7</f>
        <v>2496.9749999999999</v>
      </c>
      <c r="C8" s="36"/>
      <c r="D8" s="36"/>
      <c r="E8" s="36"/>
      <c r="F8" s="36"/>
      <c r="G8" s="36"/>
      <c r="H8" s="36"/>
      <c r="I8" s="36"/>
      <c r="J8" s="37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</row>
    <row r="9" spans="1:21">
      <c r="A9" s="1" t="s">
        <v>128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</row>
    <row r="10" spans="1:21">
      <c r="A10" s="36" t="s">
        <v>75</v>
      </c>
      <c r="B10" s="38">
        <f>B8</f>
        <v>2496.9749999999999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</row>
    <row r="11" spans="1:21">
      <c r="A11" s="36" t="s">
        <v>76</v>
      </c>
      <c r="B11" s="38">
        <f>Assumptions!B20</f>
        <v>20</v>
      </c>
      <c r="C11" s="36" t="s">
        <v>19</v>
      </c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</row>
    <row r="12" spans="1:21">
      <c r="A12" s="36" t="s">
        <v>77</v>
      </c>
      <c r="B12" s="40">
        <f>Assumptions!$B$38</f>
        <v>5.28E-2</v>
      </c>
      <c r="C12" s="36"/>
      <c r="D12" s="37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</row>
    <row r="13" spans="1:21">
      <c r="A13" s="36" t="s">
        <v>78</v>
      </c>
      <c r="B13" s="38">
        <f>+B10*B12</f>
        <v>131.84028000000001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</row>
    <row r="14" spans="1:21" s="35" customFormat="1">
      <c r="A14" s="31" t="s">
        <v>128</v>
      </c>
      <c r="B14" s="107" t="s">
        <v>147</v>
      </c>
      <c r="C14" s="107" t="s">
        <v>148</v>
      </c>
      <c r="D14" s="107" t="s">
        <v>149</v>
      </c>
      <c r="E14" s="107" t="s">
        <v>150</v>
      </c>
      <c r="F14" s="107" t="s">
        <v>151</v>
      </c>
      <c r="G14" s="107" t="s">
        <v>152</v>
      </c>
      <c r="H14" s="107" t="s">
        <v>153</v>
      </c>
      <c r="I14" s="107" t="s">
        <v>154</v>
      </c>
      <c r="J14" s="107" t="s">
        <v>155</v>
      </c>
      <c r="K14" s="107" t="s">
        <v>156</v>
      </c>
      <c r="L14" s="107" t="s">
        <v>158</v>
      </c>
      <c r="M14" s="107" t="s">
        <v>159</v>
      </c>
      <c r="N14" s="107" t="s">
        <v>160</v>
      </c>
      <c r="O14" s="107" t="s">
        <v>161</v>
      </c>
      <c r="P14" s="107" t="s">
        <v>162</v>
      </c>
      <c r="Q14" s="107" t="s">
        <v>163</v>
      </c>
      <c r="R14" s="107" t="s">
        <v>164</v>
      </c>
      <c r="S14" s="107" t="s">
        <v>165</v>
      </c>
      <c r="T14" s="107" t="s">
        <v>166</v>
      </c>
      <c r="U14" s="107" t="s">
        <v>168</v>
      </c>
    </row>
    <row r="15" spans="1:21">
      <c r="A15" s="36" t="s">
        <v>79</v>
      </c>
      <c r="B15" s="38">
        <f>B8</f>
        <v>2496.9749999999999</v>
      </c>
      <c r="C15" s="38">
        <f t="shared" ref="C15:U15" si="0">+B18</f>
        <v>2365.13472</v>
      </c>
      <c r="D15" s="38">
        <f t="shared" si="0"/>
        <v>2233.2944400000001</v>
      </c>
      <c r="E15" s="38">
        <f t="shared" si="0"/>
        <v>2101.4541600000002</v>
      </c>
      <c r="F15" s="38">
        <f t="shared" si="0"/>
        <v>1969.6138800000003</v>
      </c>
      <c r="G15" s="38">
        <f t="shared" si="0"/>
        <v>1837.7736000000004</v>
      </c>
      <c r="H15" s="38">
        <f t="shared" si="0"/>
        <v>1705.9333200000005</v>
      </c>
      <c r="I15" s="38">
        <f t="shared" si="0"/>
        <v>1574.0930400000007</v>
      </c>
      <c r="J15" s="38">
        <f t="shared" si="0"/>
        <v>1442.2527600000008</v>
      </c>
      <c r="K15" s="38">
        <f t="shared" si="0"/>
        <v>1310.4124800000009</v>
      </c>
      <c r="L15" s="38">
        <f t="shared" si="0"/>
        <v>1178.572200000001</v>
      </c>
      <c r="M15" s="38">
        <f t="shared" si="0"/>
        <v>1046.7319200000011</v>
      </c>
      <c r="N15" s="38">
        <f t="shared" si="0"/>
        <v>914.89164000000108</v>
      </c>
      <c r="O15" s="38">
        <f t="shared" si="0"/>
        <v>783.05136000000107</v>
      </c>
      <c r="P15" s="38">
        <f t="shared" si="0"/>
        <v>651.21108000000106</v>
      </c>
      <c r="Q15" s="38">
        <f t="shared" si="0"/>
        <v>519.37080000000105</v>
      </c>
      <c r="R15" s="38">
        <f t="shared" si="0"/>
        <v>387.53052000000105</v>
      </c>
      <c r="S15" s="38">
        <f t="shared" si="0"/>
        <v>255.69024000000104</v>
      </c>
      <c r="T15" s="38">
        <f t="shared" si="0"/>
        <v>123.84996000000103</v>
      </c>
      <c r="U15" s="38">
        <f t="shared" si="0"/>
        <v>0</v>
      </c>
    </row>
    <row r="16" spans="1:21">
      <c r="A16" s="36" t="s">
        <v>80</v>
      </c>
      <c r="B16" s="38">
        <f>+B13*Operations!B5/365</f>
        <v>131.84028000000001</v>
      </c>
      <c r="C16" s="38">
        <f t="shared" ref="C16:S16" si="1">IF($B$13&lt;B18,$B$13,B18)</f>
        <v>131.84028000000001</v>
      </c>
      <c r="D16" s="38">
        <f t="shared" si="1"/>
        <v>131.84028000000001</v>
      </c>
      <c r="E16" s="38">
        <f t="shared" si="1"/>
        <v>131.84028000000001</v>
      </c>
      <c r="F16" s="38">
        <f t="shared" si="1"/>
        <v>131.84028000000001</v>
      </c>
      <c r="G16" s="38">
        <f t="shared" si="1"/>
        <v>131.84028000000001</v>
      </c>
      <c r="H16" s="38">
        <f t="shared" si="1"/>
        <v>131.84028000000001</v>
      </c>
      <c r="I16" s="38">
        <f t="shared" si="1"/>
        <v>131.84028000000001</v>
      </c>
      <c r="J16" s="38">
        <f t="shared" si="1"/>
        <v>131.84028000000001</v>
      </c>
      <c r="K16" s="38">
        <f t="shared" si="1"/>
        <v>131.84028000000001</v>
      </c>
      <c r="L16" s="38">
        <f t="shared" si="1"/>
        <v>131.84028000000001</v>
      </c>
      <c r="M16" s="38">
        <f t="shared" si="1"/>
        <v>131.84028000000001</v>
      </c>
      <c r="N16" s="38">
        <f t="shared" si="1"/>
        <v>131.84028000000001</v>
      </c>
      <c r="O16" s="38">
        <f t="shared" si="1"/>
        <v>131.84028000000001</v>
      </c>
      <c r="P16" s="38">
        <f t="shared" si="1"/>
        <v>131.84028000000001</v>
      </c>
      <c r="Q16" s="38">
        <f t="shared" si="1"/>
        <v>131.84028000000001</v>
      </c>
      <c r="R16" s="38">
        <f t="shared" si="1"/>
        <v>131.84028000000001</v>
      </c>
      <c r="S16" s="38">
        <f t="shared" si="1"/>
        <v>131.84028000000001</v>
      </c>
      <c r="T16" s="38">
        <f>IF($B$13&lt;S18,$B$13,S18)</f>
        <v>123.84996000000103</v>
      </c>
      <c r="U16" s="38">
        <f>IF($B$13&lt;T18,$B$13,T18)</f>
        <v>0</v>
      </c>
    </row>
    <row r="17" spans="1:21">
      <c r="A17" s="36" t="s">
        <v>81</v>
      </c>
      <c r="B17" s="38">
        <f>+B16</f>
        <v>131.84028000000001</v>
      </c>
      <c r="C17" s="38">
        <f>+C16+B17</f>
        <v>263.68056000000001</v>
      </c>
      <c r="D17" s="38">
        <f>+D16+C17</f>
        <v>395.52084000000002</v>
      </c>
      <c r="E17" s="38">
        <f t="shared" ref="E17:R17" si="2">+D17+E16</f>
        <v>527.36112000000003</v>
      </c>
      <c r="F17" s="38">
        <f t="shared" si="2"/>
        <v>659.20140000000004</v>
      </c>
      <c r="G17" s="38">
        <f t="shared" si="2"/>
        <v>791.04168000000004</v>
      </c>
      <c r="H17" s="38">
        <f t="shared" si="2"/>
        <v>922.88196000000005</v>
      </c>
      <c r="I17" s="38">
        <f t="shared" si="2"/>
        <v>1054.7222400000001</v>
      </c>
      <c r="J17" s="38">
        <f t="shared" si="2"/>
        <v>1186.5625199999999</v>
      </c>
      <c r="K17" s="38">
        <f t="shared" si="2"/>
        <v>1318.4027999999998</v>
      </c>
      <c r="L17" s="38">
        <f t="shared" si="2"/>
        <v>1450.2430799999997</v>
      </c>
      <c r="M17" s="38">
        <f t="shared" si="2"/>
        <v>1582.0833599999996</v>
      </c>
      <c r="N17" s="38">
        <f t="shared" si="2"/>
        <v>1713.9236399999995</v>
      </c>
      <c r="O17" s="38">
        <f t="shared" si="2"/>
        <v>1845.7639199999994</v>
      </c>
      <c r="P17" s="38">
        <f t="shared" si="2"/>
        <v>1977.6041999999993</v>
      </c>
      <c r="Q17" s="38">
        <f t="shared" si="2"/>
        <v>2109.4444799999992</v>
      </c>
      <c r="R17" s="38">
        <f t="shared" si="2"/>
        <v>2241.2847599999991</v>
      </c>
      <c r="S17" s="38">
        <f>+R17+S16</f>
        <v>2373.125039999999</v>
      </c>
      <c r="T17" s="38">
        <f>+S17+T16</f>
        <v>2496.9749999999999</v>
      </c>
      <c r="U17" s="38">
        <f>+T17+U16</f>
        <v>2496.9749999999999</v>
      </c>
    </row>
    <row r="18" spans="1:21">
      <c r="A18" s="36" t="s">
        <v>82</v>
      </c>
      <c r="B18" s="38">
        <f>+B15-B16</f>
        <v>2365.13472</v>
      </c>
      <c r="C18" s="38">
        <f t="shared" ref="C18:U18" si="3">IF((C15-C16)&gt;0,(C15-C16),0)</f>
        <v>2233.2944400000001</v>
      </c>
      <c r="D18" s="38">
        <f t="shared" si="3"/>
        <v>2101.4541600000002</v>
      </c>
      <c r="E18" s="38">
        <f t="shared" si="3"/>
        <v>1969.6138800000003</v>
      </c>
      <c r="F18" s="38">
        <f t="shared" si="3"/>
        <v>1837.7736000000004</v>
      </c>
      <c r="G18" s="38">
        <f t="shared" si="3"/>
        <v>1705.9333200000005</v>
      </c>
      <c r="H18" s="38">
        <f t="shared" si="3"/>
        <v>1574.0930400000007</v>
      </c>
      <c r="I18" s="38">
        <f t="shared" si="3"/>
        <v>1442.2527600000008</v>
      </c>
      <c r="J18" s="38">
        <f t="shared" si="3"/>
        <v>1310.4124800000009</v>
      </c>
      <c r="K18" s="38">
        <f t="shared" si="3"/>
        <v>1178.572200000001</v>
      </c>
      <c r="L18" s="38">
        <f t="shared" si="3"/>
        <v>1046.7319200000011</v>
      </c>
      <c r="M18" s="38">
        <f t="shared" si="3"/>
        <v>914.89164000000108</v>
      </c>
      <c r="N18" s="38">
        <f t="shared" si="3"/>
        <v>783.05136000000107</v>
      </c>
      <c r="O18" s="38">
        <f t="shared" si="3"/>
        <v>651.21108000000106</v>
      </c>
      <c r="P18" s="38">
        <f t="shared" si="3"/>
        <v>519.37080000000105</v>
      </c>
      <c r="Q18" s="38">
        <f t="shared" si="3"/>
        <v>387.53052000000105</v>
      </c>
      <c r="R18" s="38">
        <f t="shared" si="3"/>
        <v>255.69024000000104</v>
      </c>
      <c r="S18" s="38">
        <f>IF((S15-S16)&gt;0,(S15-S16),0)</f>
        <v>123.84996000000103</v>
      </c>
      <c r="T18" s="38">
        <f>IF((T15-T16)&gt;0,(T15-T16),0)</f>
        <v>0</v>
      </c>
      <c r="U18" s="38">
        <f t="shared" si="3"/>
        <v>0</v>
      </c>
    </row>
    <row r="19" spans="1:21" s="35" customFormat="1">
      <c r="A19" s="1" t="s">
        <v>83</v>
      </c>
      <c r="B19" s="107" t="s">
        <v>147</v>
      </c>
      <c r="C19" s="107" t="s">
        <v>148</v>
      </c>
      <c r="D19" s="107" t="s">
        <v>149</v>
      </c>
      <c r="E19" s="107" t="s">
        <v>150</v>
      </c>
      <c r="F19" s="107" t="s">
        <v>151</v>
      </c>
      <c r="G19" s="107" t="s">
        <v>152</v>
      </c>
      <c r="H19" s="107" t="s">
        <v>153</v>
      </c>
      <c r="I19" s="107" t="s">
        <v>154</v>
      </c>
      <c r="J19" s="107" t="s">
        <v>155</v>
      </c>
      <c r="K19" s="107" t="s">
        <v>156</v>
      </c>
      <c r="L19" s="107" t="s">
        <v>158</v>
      </c>
      <c r="M19" s="107" t="s">
        <v>159</v>
      </c>
      <c r="N19" s="107" t="s">
        <v>160</v>
      </c>
      <c r="O19" s="107" t="s">
        <v>161</v>
      </c>
      <c r="P19" s="107" t="s">
        <v>162</v>
      </c>
      <c r="Q19" s="107" t="s">
        <v>163</v>
      </c>
      <c r="R19" s="107" t="s">
        <v>164</v>
      </c>
      <c r="S19" s="107" t="s">
        <v>165</v>
      </c>
      <c r="T19" s="107" t="s">
        <v>166</v>
      </c>
      <c r="U19" s="107" t="s">
        <v>168</v>
      </c>
    </row>
    <row r="20" spans="1:21">
      <c r="A20" s="36" t="s">
        <v>84</v>
      </c>
      <c r="B20" s="59">
        <f>Assumptions!$B$40</f>
        <v>0.15</v>
      </c>
      <c r="C20" s="39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</row>
    <row r="21" spans="1:21">
      <c r="A21" s="36" t="s">
        <v>85</v>
      </c>
      <c r="B21" s="58">
        <f>B8</f>
        <v>2496.9749999999999</v>
      </c>
      <c r="C21" s="38">
        <f t="shared" ref="C21:L21" si="4">+B23</f>
        <v>2122.42875</v>
      </c>
      <c r="D21" s="38">
        <f t="shared" si="4"/>
        <v>1804.0644375000002</v>
      </c>
      <c r="E21" s="38">
        <f t="shared" si="4"/>
        <v>1533.4547718750002</v>
      </c>
      <c r="F21" s="38">
        <f t="shared" si="4"/>
        <v>1303.4365560937501</v>
      </c>
      <c r="G21" s="38">
        <f t="shared" si="4"/>
        <v>1107.9210726796875</v>
      </c>
      <c r="H21" s="38">
        <f t="shared" si="4"/>
        <v>941.73291177773444</v>
      </c>
      <c r="I21" s="38">
        <f t="shared" si="4"/>
        <v>800.47297501107425</v>
      </c>
      <c r="J21" s="38">
        <f t="shared" si="4"/>
        <v>680.40202875941316</v>
      </c>
      <c r="K21" s="38">
        <f t="shared" si="4"/>
        <v>578.3417244455012</v>
      </c>
      <c r="L21" s="38">
        <f t="shared" si="4"/>
        <v>491.59046577867605</v>
      </c>
      <c r="M21" s="38">
        <f t="shared" ref="M21:U21" si="5">+L23</f>
        <v>417.85189591187464</v>
      </c>
      <c r="N21" s="38">
        <f t="shared" si="5"/>
        <v>355.17411152509345</v>
      </c>
      <c r="O21" s="38">
        <f t="shared" si="5"/>
        <v>301.89799479632944</v>
      </c>
      <c r="P21" s="38">
        <f t="shared" si="5"/>
        <v>256.61329557688003</v>
      </c>
      <c r="Q21" s="38">
        <f t="shared" si="5"/>
        <v>218.12130124034803</v>
      </c>
      <c r="R21" s="38">
        <f t="shared" si="5"/>
        <v>185.40310605429582</v>
      </c>
      <c r="S21" s="38">
        <f t="shared" si="5"/>
        <v>157.59264014615144</v>
      </c>
      <c r="T21" s="38">
        <f t="shared" si="5"/>
        <v>133.95374412422873</v>
      </c>
      <c r="U21" s="38">
        <f t="shared" si="5"/>
        <v>113.86068250559443</v>
      </c>
    </row>
    <row r="22" spans="1:21">
      <c r="A22" s="36" t="s">
        <v>86</v>
      </c>
      <c r="B22" s="58">
        <f>+B21*$B$20</f>
        <v>374.54624999999999</v>
      </c>
      <c r="C22" s="58">
        <f t="shared" ref="C22:L22" si="6">+C21*$B$20</f>
        <v>318.36431249999998</v>
      </c>
      <c r="D22" s="58">
        <f t="shared" si="6"/>
        <v>270.60966562499999</v>
      </c>
      <c r="E22" s="58">
        <f t="shared" si="6"/>
        <v>230.01821578125003</v>
      </c>
      <c r="F22" s="58">
        <f t="shared" si="6"/>
        <v>195.51548341406252</v>
      </c>
      <c r="G22" s="58">
        <f t="shared" si="6"/>
        <v>166.18816090195313</v>
      </c>
      <c r="H22" s="58">
        <f t="shared" si="6"/>
        <v>141.25993676666016</v>
      </c>
      <c r="I22" s="58">
        <f t="shared" si="6"/>
        <v>120.07094625166113</v>
      </c>
      <c r="J22" s="58">
        <f t="shared" si="6"/>
        <v>102.06030431391197</v>
      </c>
      <c r="K22" s="58">
        <f t="shared" si="6"/>
        <v>86.75125866682518</v>
      </c>
      <c r="L22" s="58">
        <f t="shared" si="6"/>
        <v>73.738569866801399</v>
      </c>
      <c r="M22" s="58">
        <f t="shared" ref="M22:U22" si="7">+M21*$B$20</f>
        <v>62.677784386781191</v>
      </c>
      <c r="N22" s="58">
        <f t="shared" si="7"/>
        <v>53.276116728764016</v>
      </c>
      <c r="O22" s="58">
        <f t="shared" si="7"/>
        <v>45.284699219449415</v>
      </c>
      <c r="P22" s="58">
        <f t="shared" si="7"/>
        <v>38.491994336532002</v>
      </c>
      <c r="Q22" s="58">
        <f t="shared" si="7"/>
        <v>32.718195186052206</v>
      </c>
      <c r="R22" s="58">
        <f t="shared" si="7"/>
        <v>27.810465908144373</v>
      </c>
      <c r="S22" s="58">
        <f t="shared" si="7"/>
        <v>23.638896021922715</v>
      </c>
      <c r="T22" s="58">
        <f t="shared" si="7"/>
        <v>20.093061618634309</v>
      </c>
      <c r="U22" s="58">
        <f t="shared" si="7"/>
        <v>17.079102375839163</v>
      </c>
    </row>
    <row r="23" spans="1:21">
      <c r="A23" s="41" t="s">
        <v>87</v>
      </c>
      <c r="B23" s="58">
        <f>+B21-B22</f>
        <v>2122.42875</v>
      </c>
      <c r="C23" s="38">
        <f>C21-C22</f>
        <v>1804.0644375000002</v>
      </c>
      <c r="D23" s="38">
        <f t="shared" ref="D23:L23" si="8">+C23-D22</f>
        <v>1533.4547718750002</v>
      </c>
      <c r="E23" s="38">
        <f t="shared" si="8"/>
        <v>1303.4365560937501</v>
      </c>
      <c r="F23" s="38">
        <f t="shared" si="8"/>
        <v>1107.9210726796875</v>
      </c>
      <c r="G23" s="38">
        <f t="shared" si="8"/>
        <v>941.73291177773444</v>
      </c>
      <c r="H23" s="38">
        <f t="shared" si="8"/>
        <v>800.47297501107425</v>
      </c>
      <c r="I23" s="38">
        <f t="shared" si="8"/>
        <v>680.40202875941316</v>
      </c>
      <c r="J23" s="38">
        <f t="shared" si="8"/>
        <v>578.3417244455012</v>
      </c>
      <c r="K23" s="38">
        <f t="shared" si="8"/>
        <v>491.59046577867605</v>
      </c>
      <c r="L23" s="38">
        <f t="shared" si="8"/>
        <v>417.85189591187464</v>
      </c>
      <c r="M23" s="38">
        <f t="shared" ref="M23:U23" si="9">+L23-M22</f>
        <v>355.17411152509345</v>
      </c>
      <c r="N23" s="38">
        <f t="shared" si="9"/>
        <v>301.89799479632944</v>
      </c>
      <c r="O23" s="38">
        <f t="shared" si="9"/>
        <v>256.61329557688003</v>
      </c>
      <c r="P23" s="38">
        <f t="shared" si="9"/>
        <v>218.12130124034803</v>
      </c>
      <c r="Q23" s="38">
        <f t="shared" si="9"/>
        <v>185.40310605429582</v>
      </c>
      <c r="R23" s="38">
        <f t="shared" si="9"/>
        <v>157.59264014615144</v>
      </c>
      <c r="S23" s="38">
        <f t="shared" si="9"/>
        <v>133.95374412422873</v>
      </c>
      <c r="T23" s="38">
        <f t="shared" si="9"/>
        <v>113.86068250559443</v>
      </c>
      <c r="U23" s="38">
        <f t="shared" si="9"/>
        <v>96.78158012975527</v>
      </c>
    </row>
    <row r="24" spans="1:21">
      <c r="A24" s="22"/>
      <c r="B24" s="69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20"/>
      <c r="N24" s="20"/>
      <c r="O24" s="20"/>
      <c r="P24" s="20"/>
      <c r="Q24" s="20"/>
      <c r="R24" s="20"/>
      <c r="S24" s="20"/>
      <c r="T24" s="20"/>
      <c r="U24" s="20"/>
    </row>
    <row r="25" spans="1:21">
      <c r="A25" s="35" t="s">
        <v>88</v>
      </c>
      <c r="B25" s="34">
        <f>+Assumptions!B43</f>
        <v>0.32450000000000001</v>
      </c>
      <c r="D25" s="44"/>
    </row>
    <row r="29" spans="1:21">
      <c r="D29" s="34"/>
    </row>
  </sheetData>
  <phoneticPr fontId="0" type="noConversion"/>
  <pageMargins left="0.75" right="0.75" top="1" bottom="1" header="0.5" footer="0.5"/>
  <pageSetup scale="53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U19"/>
  <sheetViews>
    <sheetView zoomScaleNormal="100" workbookViewId="0">
      <pane ySplit="3" topLeftCell="A4" activePane="bottomLeft" state="frozen"/>
      <selection activeCell="H34" sqref="H34"/>
      <selection pane="bottomLeft" activeCell="B23" sqref="B23"/>
    </sheetView>
  </sheetViews>
  <sheetFormatPr defaultRowHeight="12.75"/>
  <cols>
    <col min="1" max="1" width="22.7109375" bestFit="1" customWidth="1"/>
    <col min="2" max="2" width="9.42578125" customWidth="1"/>
    <col min="3" max="7" width="8.140625" bestFit="1" customWidth="1"/>
    <col min="8" max="21" width="9.140625" bestFit="1" customWidth="1"/>
  </cols>
  <sheetData>
    <row r="1" spans="1:21">
      <c r="A1" s="42" t="s">
        <v>89</v>
      </c>
      <c r="B1" s="25" t="s">
        <v>147</v>
      </c>
      <c r="C1" s="25" t="s">
        <v>148</v>
      </c>
      <c r="D1" s="25" t="s">
        <v>149</v>
      </c>
      <c r="E1" s="25" t="s">
        <v>150</v>
      </c>
      <c r="F1" s="25" t="s">
        <v>151</v>
      </c>
      <c r="G1" s="25" t="s">
        <v>152</v>
      </c>
      <c r="H1" s="25" t="s">
        <v>153</v>
      </c>
      <c r="I1" s="25" t="s">
        <v>154</v>
      </c>
      <c r="J1" s="25" t="s">
        <v>155</v>
      </c>
      <c r="K1" s="25" t="s">
        <v>156</v>
      </c>
      <c r="L1" s="25" t="s">
        <v>158</v>
      </c>
      <c r="M1" s="25" t="s">
        <v>159</v>
      </c>
      <c r="N1" s="25" t="s">
        <v>160</v>
      </c>
      <c r="O1" s="25" t="s">
        <v>161</v>
      </c>
      <c r="P1" s="25" t="s">
        <v>162</v>
      </c>
      <c r="Q1" s="25" t="s">
        <v>163</v>
      </c>
      <c r="R1" s="25" t="s">
        <v>164</v>
      </c>
      <c r="S1" s="25" t="s">
        <v>165</v>
      </c>
      <c r="T1" s="25" t="s">
        <v>166</v>
      </c>
      <c r="U1" s="25" t="s">
        <v>168</v>
      </c>
    </row>
    <row r="2" spans="1:21">
      <c r="A2" s="43" t="s">
        <v>71</v>
      </c>
      <c r="B2" s="43">
        <v>1</v>
      </c>
      <c r="C2" s="43">
        <f t="shared" ref="C2:U2" si="0">B2+1</f>
        <v>2</v>
      </c>
      <c r="D2" s="43">
        <f t="shared" si="0"/>
        <v>3</v>
      </c>
      <c r="E2" s="43">
        <f t="shared" si="0"/>
        <v>4</v>
      </c>
      <c r="F2" s="43">
        <f t="shared" si="0"/>
        <v>5</v>
      </c>
      <c r="G2" s="43">
        <f t="shared" si="0"/>
        <v>6</v>
      </c>
      <c r="H2" s="43">
        <f t="shared" si="0"/>
        <v>7</v>
      </c>
      <c r="I2" s="43">
        <f t="shared" si="0"/>
        <v>8</v>
      </c>
      <c r="J2" s="43">
        <f t="shared" si="0"/>
        <v>9</v>
      </c>
      <c r="K2" s="43">
        <f t="shared" si="0"/>
        <v>10</v>
      </c>
      <c r="L2" s="43">
        <f t="shared" si="0"/>
        <v>11</v>
      </c>
      <c r="M2" s="43">
        <f t="shared" si="0"/>
        <v>12</v>
      </c>
      <c r="N2" s="43">
        <f t="shared" si="0"/>
        <v>13</v>
      </c>
      <c r="O2" s="43">
        <f t="shared" si="0"/>
        <v>14</v>
      </c>
      <c r="P2" s="43">
        <f t="shared" si="0"/>
        <v>15</v>
      </c>
      <c r="Q2" s="43">
        <f t="shared" si="0"/>
        <v>16</v>
      </c>
      <c r="R2" s="43">
        <f t="shared" si="0"/>
        <v>17</v>
      </c>
      <c r="S2" s="43">
        <f t="shared" si="0"/>
        <v>18</v>
      </c>
      <c r="T2" s="43">
        <f t="shared" si="0"/>
        <v>19</v>
      </c>
      <c r="U2" s="43">
        <f t="shared" si="0"/>
        <v>20</v>
      </c>
    </row>
    <row r="3" spans="1:21">
      <c r="A3" s="11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>
      <c r="A4" s="36" t="s">
        <v>90</v>
      </c>
      <c r="B4" s="62">
        <f>'P&amp;L'!E26</f>
        <v>14.830779664999852</v>
      </c>
      <c r="C4" s="62">
        <f>'P&amp;L'!F26</f>
        <v>37.633104664999848</v>
      </c>
      <c r="D4" s="62">
        <f>'P&amp;L'!G26</f>
        <v>17.561429664999821</v>
      </c>
      <c r="E4" s="62">
        <f>'P&amp;L'!H26</f>
        <v>38.220054664999878</v>
      </c>
      <c r="F4" s="62">
        <f>'P&amp;L'!I26</f>
        <v>58.771494664999835</v>
      </c>
      <c r="G4" s="62">
        <f>'P&amp;L'!J26</f>
        <v>79.210390414999864</v>
      </c>
      <c r="H4" s="62">
        <f>'P&amp;L'!K26</f>
        <v>99.531114702499821</v>
      </c>
      <c r="I4" s="62">
        <f>'P&amp;L'!L26</f>
        <v>119.72775895437482</v>
      </c>
      <c r="J4" s="62">
        <f>'P&amp;L'!M26</f>
        <v>139.79411916884362</v>
      </c>
      <c r="K4" s="62">
        <f>'P&amp;L'!N26</f>
        <v>159.72368114403577</v>
      </c>
      <c r="L4" s="62">
        <f>'P&amp;L'!O26</f>
        <v>169.05853934298756</v>
      </c>
      <c r="M4" s="62">
        <f>'P&amp;L'!P26</f>
        <v>165.89131810813694</v>
      </c>
      <c r="N4" s="62">
        <f>'P&amp;L'!Q26</f>
        <v>162.56573581154379</v>
      </c>
      <c r="O4" s="62">
        <f>'P&amp;L'!R26</f>
        <v>159.07387440012099</v>
      </c>
      <c r="P4" s="62">
        <f>'P&amp;L'!S26</f>
        <v>155.40741991812706</v>
      </c>
      <c r="Q4" s="62">
        <f>'P&amp;L'!T26</f>
        <v>151.55764271203338</v>
      </c>
      <c r="R4" s="62">
        <f>'P&amp;L'!U26</f>
        <v>147.51537664563506</v>
      </c>
      <c r="S4" s="62">
        <f>'P&amp;L'!V26</f>
        <v>143.27099727591678</v>
      </c>
      <c r="T4" s="62">
        <f>'P&amp;L'!W26</f>
        <v>146.80471893771164</v>
      </c>
      <c r="U4" s="62">
        <f>'P&amp;L'!X26</f>
        <v>265.9752506825983</v>
      </c>
    </row>
    <row r="5" spans="1:21">
      <c r="A5" s="11" t="s">
        <v>91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>
      <c r="A6" s="36" t="s">
        <v>92</v>
      </c>
      <c r="B6" s="62">
        <f>'P&amp;L'!E25</f>
        <v>131.84028000000001</v>
      </c>
      <c r="C6" s="62">
        <f>'P&amp;L'!F25</f>
        <v>131.84028000000001</v>
      </c>
      <c r="D6" s="62">
        <f>'P&amp;L'!G25</f>
        <v>131.84028000000001</v>
      </c>
      <c r="E6" s="62">
        <f>'P&amp;L'!H25</f>
        <v>131.84028000000001</v>
      </c>
      <c r="F6" s="62">
        <f>'P&amp;L'!I25</f>
        <v>131.84028000000001</v>
      </c>
      <c r="G6" s="62">
        <f>'P&amp;L'!J25</f>
        <v>131.84028000000001</v>
      </c>
      <c r="H6" s="62">
        <f>'P&amp;L'!K25</f>
        <v>131.84028000000001</v>
      </c>
      <c r="I6" s="62">
        <f>'P&amp;L'!L25</f>
        <v>131.84028000000001</v>
      </c>
      <c r="J6" s="62">
        <f>'P&amp;L'!M25</f>
        <v>131.84028000000001</v>
      </c>
      <c r="K6" s="62">
        <f>'P&amp;L'!N25</f>
        <v>131.84028000000001</v>
      </c>
      <c r="L6" s="62">
        <f>'P&amp;L'!O25</f>
        <v>131.84028000000001</v>
      </c>
      <c r="M6" s="62">
        <f>'P&amp;L'!P25</f>
        <v>131.84028000000001</v>
      </c>
      <c r="N6" s="62">
        <f>'P&amp;L'!Q25</f>
        <v>131.84028000000001</v>
      </c>
      <c r="O6" s="62">
        <f>'P&amp;L'!R25</f>
        <v>131.84028000000001</v>
      </c>
      <c r="P6" s="62">
        <f>'P&amp;L'!S25</f>
        <v>131.84028000000001</v>
      </c>
      <c r="Q6" s="62">
        <f>'P&amp;L'!T25</f>
        <v>131.84028000000001</v>
      </c>
      <c r="R6" s="62">
        <f>'P&amp;L'!U25</f>
        <v>131.84028000000001</v>
      </c>
      <c r="S6" s="62">
        <f>'P&amp;L'!V25</f>
        <v>131.84028000000001</v>
      </c>
      <c r="T6" s="62">
        <f>'P&amp;L'!W25</f>
        <v>123.84996000000103</v>
      </c>
      <c r="U6" s="62">
        <f>'P&amp;L'!X25</f>
        <v>0</v>
      </c>
    </row>
    <row r="7" spans="1:21">
      <c r="A7" s="36" t="s">
        <v>93</v>
      </c>
      <c r="B7" s="62">
        <f t="shared" ref="B7:U7" si="1">+B4+B6</f>
        <v>146.67105966499986</v>
      </c>
      <c r="C7" s="62">
        <f t="shared" si="1"/>
        <v>169.47338466499986</v>
      </c>
      <c r="D7" s="62">
        <f t="shared" si="1"/>
        <v>149.40170966499983</v>
      </c>
      <c r="E7" s="62">
        <f t="shared" si="1"/>
        <v>170.06033466499989</v>
      </c>
      <c r="F7" s="62">
        <f t="shared" si="1"/>
        <v>190.61177466499984</v>
      </c>
      <c r="G7" s="62">
        <f t="shared" si="1"/>
        <v>211.05067041499987</v>
      </c>
      <c r="H7" s="62">
        <f t="shared" si="1"/>
        <v>231.37139470249983</v>
      </c>
      <c r="I7" s="62">
        <f t="shared" si="1"/>
        <v>251.56803895437483</v>
      </c>
      <c r="J7" s="62">
        <f t="shared" si="1"/>
        <v>271.63439916884363</v>
      </c>
      <c r="K7" s="62">
        <f t="shared" si="1"/>
        <v>291.56396114403577</v>
      </c>
      <c r="L7" s="62">
        <f t="shared" si="1"/>
        <v>300.89881934298757</v>
      </c>
      <c r="M7" s="62">
        <f t="shared" si="1"/>
        <v>297.73159810813695</v>
      </c>
      <c r="N7" s="62">
        <f t="shared" si="1"/>
        <v>294.4060158115438</v>
      </c>
      <c r="O7" s="62">
        <f t="shared" si="1"/>
        <v>290.91415440012099</v>
      </c>
      <c r="P7" s="62">
        <f t="shared" si="1"/>
        <v>287.24769991812707</v>
      </c>
      <c r="Q7" s="62">
        <f t="shared" si="1"/>
        <v>283.39792271203339</v>
      </c>
      <c r="R7" s="62">
        <f t="shared" si="1"/>
        <v>279.35565664563507</v>
      </c>
      <c r="S7" s="62">
        <f t="shared" si="1"/>
        <v>275.11127727591679</v>
      </c>
      <c r="T7" s="62">
        <f t="shared" si="1"/>
        <v>270.65467893771267</v>
      </c>
      <c r="U7" s="62">
        <f t="shared" si="1"/>
        <v>265.9752506825983</v>
      </c>
    </row>
    <row r="8" spans="1:21">
      <c r="A8" s="11" t="s">
        <v>74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</row>
    <row r="9" spans="1:21">
      <c r="A9" s="36" t="s">
        <v>94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</row>
    <row r="10" spans="1:21">
      <c r="A10" s="36" t="s">
        <v>95</v>
      </c>
      <c r="B10" s="62">
        <f>Depreciation!B22</f>
        <v>374.54624999999999</v>
      </c>
      <c r="C10" s="62">
        <f>Depreciation!C22</f>
        <v>318.36431249999998</v>
      </c>
      <c r="D10" s="62">
        <f>Depreciation!D22</f>
        <v>270.60966562499999</v>
      </c>
      <c r="E10" s="62">
        <f>Depreciation!E22</f>
        <v>230.01821578125003</v>
      </c>
      <c r="F10" s="62">
        <f>Depreciation!F22</f>
        <v>195.51548341406252</v>
      </c>
      <c r="G10" s="62">
        <f>Depreciation!G22</f>
        <v>166.18816090195313</v>
      </c>
      <c r="H10" s="62">
        <f>Depreciation!H22</f>
        <v>141.25993676666016</v>
      </c>
      <c r="I10" s="62">
        <f>Depreciation!I22</f>
        <v>120.07094625166113</v>
      </c>
      <c r="J10" s="62">
        <f>Depreciation!J22</f>
        <v>102.06030431391197</v>
      </c>
      <c r="K10" s="62">
        <f>Depreciation!K22</f>
        <v>86.75125866682518</v>
      </c>
      <c r="L10" s="62">
        <f>Depreciation!L22</f>
        <v>73.738569866801399</v>
      </c>
      <c r="M10" s="62">
        <f>Depreciation!M22</f>
        <v>62.677784386781191</v>
      </c>
      <c r="N10" s="62">
        <f>Depreciation!N22</f>
        <v>53.276116728764016</v>
      </c>
      <c r="O10" s="62">
        <f>Depreciation!O22</f>
        <v>45.284699219449415</v>
      </c>
      <c r="P10" s="62">
        <f>Depreciation!P22</f>
        <v>38.491994336532002</v>
      </c>
      <c r="Q10" s="62">
        <f>Depreciation!Q22</f>
        <v>32.718195186052206</v>
      </c>
      <c r="R10" s="62">
        <f>Depreciation!R22</f>
        <v>27.810465908144373</v>
      </c>
      <c r="S10" s="62">
        <f>Depreciation!S22</f>
        <v>23.638896021922715</v>
      </c>
      <c r="T10" s="62">
        <f>Depreciation!T22</f>
        <v>20.093061618634309</v>
      </c>
      <c r="U10" s="62">
        <f>Depreciation!U22</f>
        <v>17.079102375839163</v>
      </c>
    </row>
    <row r="11" spans="1:21">
      <c r="A11" s="41" t="s">
        <v>96</v>
      </c>
      <c r="B11" s="62">
        <f t="shared" ref="B11:U11" si="2">+B7-B10</f>
        <v>-227.87519033500013</v>
      </c>
      <c r="C11" s="62">
        <f t="shared" si="2"/>
        <v>-148.89092783500013</v>
      </c>
      <c r="D11" s="62">
        <f t="shared" si="2"/>
        <v>-121.20795596000016</v>
      </c>
      <c r="E11" s="62">
        <f t="shared" si="2"/>
        <v>-59.957881116250149</v>
      </c>
      <c r="F11" s="62">
        <f t="shared" si="2"/>
        <v>-4.9037087490626732</v>
      </c>
      <c r="G11" s="62">
        <f t="shared" si="2"/>
        <v>44.862509513046746</v>
      </c>
      <c r="H11" s="62">
        <f t="shared" si="2"/>
        <v>90.111457935839667</v>
      </c>
      <c r="I11" s="62">
        <f t="shared" si="2"/>
        <v>131.4970927027137</v>
      </c>
      <c r="J11" s="62">
        <f t="shared" si="2"/>
        <v>169.57409485493167</v>
      </c>
      <c r="K11" s="62">
        <f t="shared" si="2"/>
        <v>204.81270247721059</v>
      </c>
      <c r="L11" s="62">
        <f t="shared" si="2"/>
        <v>227.16024947618615</v>
      </c>
      <c r="M11" s="62">
        <f t="shared" si="2"/>
        <v>235.05381372135577</v>
      </c>
      <c r="N11" s="62">
        <f t="shared" si="2"/>
        <v>241.12989908277979</v>
      </c>
      <c r="O11" s="62">
        <f t="shared" si="2"/>
        <v>245.62945518067158</v>
      </c>
      <c r="P11" s="62">
        <f t="shared" si="2"/>
        <v>248.75570558159507</v>
      </c>
      <c r="Q11" s="62">
        <f t="shared" si="2"/>
        <v>250.67972752598118</v>
      </c>
      <c r="R11" s="62">
        <f t="shared" si="2"/>
        <v>251.54519073749069</v>
      </c>
      <c r="S11" s="62">
        <f t="shared" si="2"/>
        <v>251.47238125399409</v>
      </c>
      <c r="T11" s="62">
        <f t="shared" si="2"/>
        <v>250.56161731907838</v>
      </c>
      <c r="U11" s="62">
        <f t="shared" si="2"/>
        <v>248.89614830675913</v>
      </c>
    </row>
    <row r="12" spans="1:21">
      <c r="A12" s="36" t="s">
        <v>97</v>
      </c>
      <c r="B12" s="62">
        <f>B11</f>
        <v>-227.87519033500013</v>
      </c>
      <c r="C12" s="62">
        <f t="shared" ref="C12:U12" si="3">B12+C11</f>
        <v>-376.76611817000025</v>
      </c>
      <c r="D12" s="62">
        <f t="shared" si="3"/>
        <v>-497.97407413000042</v>
      </c>
      <c r="E12" s="62">
        <f t="shared" si="3"/>
        <v>-557.9319552462506</v>
      </c>
      <c r="F12" s="62">
        <f t="shared" si="3"/>
        <v>-562.83566399531333</v>
      </c>
      <c r="G12" s="62">
        <f t="shared" si="3"/>
        <v>-517.97315448226664</v>
      </c>
      <c r="H12" s="62">
        <f t="shared" si="3"/>
        <v>-427.86169654642697</v>
      </c>
      <c r="I12" s="62">
        <f t="shared" si="3"/>
        <v>-296.36460384371327</v>
      </c>
      <c r="J12" s="62">
        <f t="shared" si="3"/>
        <v>-126.7905089887816</v>
      </c>
      <c r="K12" s="62">
        <f t="shared" si="3"/>
        <v>78.022193488428996</v>
      </c>
      <c r="L12" s="62">
        <f t="shared" si="3"/>
        <v>305.18244296461512</v>
      </c>
      <c r="M12" s="62">
        <f t="shared" si="3"/>
        <v>540.23625668597083</v>
      </c>
      <c r="N12" s="62">
        <f t="shared" si="3"/>
        <v>781.36615576875056</v>
      </c>
      <c r="O12" s="62">
        <f t="shared" si="3"/>
        <v>1026.9956109494221</v>
      </c>
      <c r="P12" s="62">
        <f t="shared" si="3"/>
        <v>1275.7513165310172</v>
      </c>
      <c r="Q12" s="62">
        <f t="shared" si="3"/>
        <v>1526.4310440569984</v>
      </c>
      <c r="R12" s="62">
        <f t="shared" si="3"/>
        <v>1777.9762347944891</v>
      </c>
      <c r="S12" s="62">
        <f t="shared" si="3"/>
        <v>2029.4486160484832</v>
      </c>
      <c r="T12" s="62">
        <f t="shared" si="3"/>
        <v>2280.0102333675618</v>
      </c>
      <c r="U12" s="62">
        <f t="shared" si="3"/>
        <v>2528.906381674321</v>
      </c>
    </row>
    <row r="13" spans="1:21" ht="25.5">
      <c r="A13" s="70" t="s">
        <v>98</v>
      </c>
      <c r="B13" s="62">
        <f>IF(B2&lt;=15,0,IF(B12&lt;=0,0,(B11*Depreciation!$B$25)))</f>
        <v>0</v>
      </c>
      <c r="C13" s="62">
        <f>IF(C2&lt;=15,0,IF(C12&lt;=0,0,(C11*Depreciation!$B$25)))</f>
        <v>0</v>
      </c>
      <c r="D13" s="62">
        <f>IF(D2&lt;=15,0,IF(D12&lt;=0,0,(D11*Depreciation!$B$25)))</f>
        <v>0</v>
      </c>
      <c r="E13" s="62">
        <f>IF(E2&lt;=15,0,IF(E12&lt;=0,0,(E11*Depreciation!$B$25)))</f>
        <v>0</v>
      </c>
      <c r="F13" s="62">
        <f>IF(F2&lt;=15,0,IF(F12&lt;=0,0,(F11*Depreciation!$B$25)))</f>
        <v>0</v>
      </c>
      <c r="G13" s="62">
        <f>IF(G2&lt;=15,0,IF(G12&lt;=0,0,(G11*Depreciation!$B$25)))</f>
        <v>0</v>
      </c>
      <c r="H13" s="62">
        <f>IF(H2&lt;=15,0,IF(H12&lt;=0,0,(H11*Depreciation!$B$25)))</f>
        <v>0</v>
      </c>
      <c r="I13" s="62">
        <f>IF(I2&lt;=15,0,IF(I12&lt;=0,0,(I11*Depreciation!$B$25)))</f>
        <v>0</v>
      </c>
      <c r="J13" s="62">
        <f>IF(J2&lt;=15,0,IF(J12&lt;=0,0,(J11*Depreciation!$B$25)))</f>
        <v>0</v>
      </c>
      <c r="K13" s="62">
        <f>IF(K2&lt;=15,0,IF(K12&lt;=0,0,(K11*Depreciation!$B$25)))</f>
        <v>0</v>
      </c>
      <c r="L13" s="62">
        <f>IF(L2&lt;=15,0,IF(L12&lt;=0,0,(L11*Depreciation!$B$25)))</f>
        <v>0</v>
      </c>
      <c r="M13" s="62">
        <f>IF(M2&lt;=15,0,IF(M12&lt;=0,0,(M11*Depreciation!$B$25)))</f>
        <v>0</v>
      </c>
      <c r="N13" s="62">
        <f>IF(N2&lt;=15,0,IF(N12&lt;=0,0,(N11*Depreciation!$B$25)))</f>
        <v>0</v>
      </c>
      <c r="O13" s="62">
        <f>IF(O2&lt;=15,0,IF(O12&lt;=0,0,(O11*Depreciation!$B$25)))</f>
        <v>0</v>
      </c>
      <c r="P13" s="62">
        <f>IF(P2&lt;=15,0,IF(P12&lt;=0,0,(P11*Depreciation!$B$25)))</f>
        <v>0</v>
      </c>
      <c r="Q13" s="62">
        <f>IF(Q2&lt;=15,0,IF(Q12&lt;=0,0,(Q11*Depreciation!$B$25)))</f>
        <v>81.345571582180895</v>
      </c>
      <c r="R13" s="62">
        <f>IF(R2&lt;=15,0,IF(R12&lt;=0,0,(R11*Depreciation!$B$25)))</f>
        <v>81.626414394315731</v>
      </c>
      <c r="S13" s="62">
        <f>IF(S2&lt;=15,0,IF(S12&lt;=0,0,(S11*Depreciation!$B$25)))</f>
        <v>81.602787716921085</v>
      </c>
      <c r="T13" s="62">
        <f>IF(T2&lt;=15,0,IF(T12&lt;=0,0,(T11*Depreciation!$B$25)))</f>
        <v>81.307244820040935</v>
      </c>
      <c r="U13" s="62">
        <f>IF(U2&lt;=15,0,IF(U12&lt;=0,0,(U11*Depreciation!$B$25)))</f>
        <v>80.766800125543341</v>
      </c>
    </row>
    <row r="14" spans="1:21">
      <c r="A14" s="70" t="s">
        <v>142</v>
      </c>
      <c r="B14" s="62">
        <f>IF(B4&gt;0,Assumptions!$B$44*B4,0)</f>
        <v>2.9676390109664705</v>
      </c>
      <c r="C14" s="62">
        <f>IF(C4&gt;0,Assumptions!$B$44*C4,0)</f>
        <v>7.5303842434664698</v>
      </c>
      <c r="D14" s="62">
        <f>IF(D4&gt;0,Assumptions!$B$44*D4,0)</f>
        <v>3.5140420759664641</v>
      </c>
      <c r="E14" s="62">
        <f>IF(E4&gt;0,Assumptions!$B$44*E4,0)</f>
        <v>7.6478329384664754</v>
      </c>
      <c r="F14" s="62">
        <f>IF(F4&gt;0,Assumptions!$B$44*F4,0)</f>
        <v>11.760176082466467</v>
      </c>
      <c r="G14" s="62">
        <f>IF(G4&gt;0,Assumptions!$B$44*G4,0)</f>
        <v>15.849999122041472</v>
      </c>
      <c r="H14" s="62">
        <f>IF(H4&gt;0,Assumptions!$B$44*H4,0)</f>
        <v>19.916176051970215</v>
      </c>
      <c r="I14" s="62">
        <f>IF(I4&gt;0,Assumptions!$B$44*I4,0)</f>
        <v>23.957524566770402</v>
      </c>
      <c r="J14" s="62">
        <f>IF(J4&gt;0,Assumptions!$B$44*J4,0)</f>
        <v>27.972803245685608</v>
      </c>
      <c r="K14" s="62">
        <f>IF(K4&gt;0,Assumptions!$B$44*K4,0)</f>
        <v>31.960708596921556</v>
      </c>
      <c r="L14" s="62">
        <f>IF(L4&gt;0,Assumptions!$B$44*L4,0)</f>
        <v>33.828613722531813</v>
      </c>
      <c r="M14" s="62">
        <f>IF(M4&gt;0,Assumptions!$B$44*M4,0)</f>
        <v>33.194852753438205</v>
      </c>
      <c r="N14" s="62">
        <f>IF(N4&gt;0,Assumptions!$B$44*N4,0)</f>
        <v>32.529403735889915</v>
      </c>
      <c r="O14" s="62">
        <f>IF(O4&gt;0,Assumptions!$B$44*O4,0)</f>
        <v>31.830682267464208</v>
      </c>
      <c r="P14" s="62">
        <f>IF(P4&gt;0,Assumptions!$B$44*P4,0)</f>
        <v>31.097024725617224</v>
      </c>
      <c r="Q14" s="62">
        <f>IF(Q4&gt;0,Assumptions!$B$44*Q4,0)</f>
        <v>30.32668430667788</v>
      </c>
      <c r="R14" s="62">
        <f>IF(R4&gt;0,Assumptions!$B$44*R4,0)</f>
        <v>29.517826866791577</v>
      </c>
      <c r="S14" s="62">
        <f>IF(S4&gt;0,Assumptions!$B$44*S4,0)</f>
        <v>28.668526554910947</v>
      </c>
      <c r="T14" s="62">
        <f>IF(T4&gt;0,Assumptions!$B$44*T4,0)</f>
        <v>29.375624259436098</v>
      </c>
      <c r="U14" s="62">
        <f>IF(U4&gt;0,Assumptions!$B$44*U4,0)</f>
        <v>53.221647661587923</v>
      </c>
    </row>
    <row r="15" spans="1:21">
      <c r="A15" s="70" t="s">
        <v>225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M15" s="62"/>
      <c r="N15" s="62"/>
      <c r="O15" s="62"/>
      <c r="P15" s="62"/>
      <c r="Q15" s="62">
        <f>SUM(G14:P14)</f>
        <v>282.13778878833062</v>
      </c>
      <c r="R15" s="62">
        <f>Q15-Q16</f>
        <v>231.11890151282762</v>
      </c>
      <c r="S15" s="62">
        <f t="shared" ref="S15:U15" si="4">R15-R16</f>
        <v>179.01031398530347</v>
      </c>
      <c r="T15" s="62">
        <f t="shared" si="4"/>
        <v>126.07605282329334</v>
      </c>
      <c r="U15" s="62">
        <f t="shared" si="4"/>
        <v>74.144432262688497</v>
      </c>
    </row>
    <row r="16" spans="1:21">
      <c r="A16" s="70" t="s">
        <v>226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>
        <f>MIN((Q13-Q14),Q15)</f>
        <v>51.018887275503019</v>
      </c>
      <c r="R16" s="62">
        <f t="shared" ref="R16:U16" si="5">MIN((R13-R14),R15)</f>
        <v>52.108587527524151</v>
      </c>
      <c r="S16" s="62">
        <f t="shared" si="5"/>
        <v>52.934261162010138</v>
      </c>
      <c r="T16" s="62">
        <f t="shared" si="5"/>
        <v>51.931620560604841</v>
      </c>
      <c r="U16" s="62">
        <f t="shared" si="5"/>
        <v>27.545152463955418</v>
      </c>
    </row>
    <row r="17" spans="1:21">
      <c r="A17" s="70" t="s">
        <v>224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f>L13-L16</f>
        <v>0</v>
      </c>
      <c r="M17" s="62">
        <f t="shared" ref="M17:P17" si="6">M13-M16</f>
        <v>0</v>
      </c>
      <c r="N17" s="62">
        <f t="shared" si="6"/>
        <v>0</v>
      </c>
      <c r="O17" s="62">
        <f t="shared" si="6"/>
        <v>0</v>
      </c>
      <c r="P17" s="62">
        <f t="shared" si="6"/>
        <v>0</v>
      </c>
      <c r="Q17" s="62">
        <f t="shared" ref="Q17" si="7">Q13-Q16</f>
        <v>30.326684306677876</v>
      </c>
      <c r="R17" s="62">
        <f t="shared" ref="R17" si="8">R13-R16</f>
        <v>29.51782686679158</v>
      </c>
      <c r="S17" s="62">
        <f t="shared" ref="S17" si="9">S13-S16</f>
        <v>28.668526554910947</v>
      </c>
      <c r="T17" s="62">
        <f t="shared" ref="T17" si="10">T13-T16</f>
        <v>29.375624259436094</v>
      </c>
      <c r="U17" s="62">
        <f t="shared" ref="U17" si="11">U13-U16</f>
        <v>53.221647661587923</v>
      </c>
    </row>
    <row r="18" spans="1:21" s="35" customFormat="1">
      <c r="A18" s="31" t="s">
        <v>99</v>
      </c>
      <c r="B18" s="63">
        <f>MAX(B14,B17)</f>
        <v>2.9676390109664705</v>
      </c>
      <c r="C18" s="63">
        <f t="shared" ref="C18:U18" si="12">MAX(C14,C17)</f>
        <v>7.5303842434664698</v>
      </c>
      <c r="D18" s="63">
        <f t="shared" si="12"/>
        <v>3.5140420759664641</v>
      </c>
      <c r="E18" s="63">
        <f t="shared" si="12"/>
        <v>7.6478329384664754</v>
      </c>
      <c r="F18" s="63">
        <f t="shared" si="12"/>
        <v>11.760176082466467</v>
      </c>
      <c r="G18" s="63">
        <f t="shared" si="12"/>
        <v>15.849999122041472</v>
      </c>
      <c r="H18" s="63">
        <f t="shared" si="12"/>
        <v>19.916176051970215</v>
      </c>
      <c r="I18" s="63">
        <f t="shared" si="12"/>
        <v>23.957524566770402</v>
      </c>
      <c r="J18" s="63">
        <f t="shared" si="12"/>
        <v>27.972803245685608</v>
      </c>
      <c r="K18" s="63">
        <f t="shared" si="12"/>
        <v>31.960708596921556</v>
      </c>
      <c r="L18" s="63">
        <f t="shared" si="12"/>
        <v>33.828613722531813</v>
      </c>
      <c r="M18" s="63">
        <f t="shared" si="12"/>
        <v>33.194852753438205</v>
      </c>
      <c r="N18" s="63">
        <f t="shared" si="12"/>
        <v>32.529403735889915</v>
      </c>
      <c r="O18" s="63">
        <f t="shared" si="12"/>
        <v>31.830682267464208</v>
      </c>
      <c r="P18" s="63">
        <f t="shared" si="12"/>
        <v>31.097024725617224</v>
      </c>
      <c r="Q18" s="63">
        <f t="shared" si="12"/>
        <v>30.32668430667788</v>
      </c>
      <c r="R18" s="63">
        <f t="shared" si="12"/>
        <v>29.51782686679158</v>
      </c>
      <c r="S18" s="63">
        <f t="shared" si="12"/>
        <v>28.668526554910947</v>
      </c>
      <c r="T18" s="63">
        <f t="shared" si="12"/>
        <v>29.375624259436098</v>
      </c>
      <c r="U18" s="63">
        <f t="shared" si="12"/>
        <v>53.221647661587923</v>
      </c>
    </row>
    <row r="19" spans="1:21"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</sheetData>
  <phoneticPr fontId="0" type="noConversion"/>
  <pageMargins left="0.75" right="0.75" top="1" bottom="1" header="0.5" footer="0.5"/>
  <pageSetup scale="57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1"/>
  <sheetViews>
    <sheetView topLeftCell="A13" zoomScaleNormal="100" workbookViewId="0">
      <pane xSplit="2" topLeftCell="C1" activePane="topRight" state="frozen"/>
      <selection activeCell="H34" sqref="H34"/>
      <selection pane="topRight" activeCell="F37" sqref="F37"/>
    </sheetView>
  </sheetViews>
  <sheetFormatPr defaultRowHeight="12.75"/>
  <cols>
    <col min="1" max="1" width="14.85546875" style="108" customWidth="1"/>
    <col min="2" max="2" width="42.28515625" style="4" bestFit="1" customWidth="1"/>
    <col min="3" max="3" width="8.7109375" style="4" bestFit="1" customWidth="1"/>
    <col min="4" max="4" width="7.7109375" style="4" bestFit="1" customWidth="1"/>
    <col min="5" max="5" width="7.5703125" style="4" bestFit="1" customWidth="1"/>
    <col min="6" max="15" width="10.140625" style="4" bestFit="1" customWidth="1"/>
    <col min="16" max="23" width="7.5703125" style="4" bestFit="1" customWidth="1"/>
    <col min="24" max="24" width="8.140625" style="4" bestFit="1" customWidth="1"/>
    <col min="25" max="16384" width="9.140625" style="4"/>
  </cols>
  <sheetData>
    <row r="1" spans="1:24" s="35" customFormat="1">
      <c r="A1" s="93"/>
      <c r="B1" s="61" t="s">
        <v>100</v>
      </c>
    </row>
    <row r="2" spans="1:24" s="35" customFormat="1">
      <c r="A2" s="93"/>
      <c r="B2" s="45" t="s">
        <v>101</v>
      </c>
      <c r="C2" s="45"/>
      <c r="D2" s="106">
        <v>0</v>
      </c>
      <c r="E2" s="46">
        <v>1</v>
      </c>
      <c r="F2" s="46">
        <v>2</v>
      </c>
      <c r="G2" s="46">
        <v>3</v>
      </c>
      <c r="H2" s="46">
        <v>4</v>
      </c>
      <c r="I2" s="46">
        <v>5</v>
      </c>
      <c r="J2" s="46">
        <v>6</v>
      </c>
      <c r="K2" s="46">
        <v>7</v>
      </c>
      <c r="L2" s="46">
        <v>8</v>
      </c>
      <c r="M2" s="46">
        <v>9</v>
      </c>
      <c r="N2" s="46">
        <v>10</v>
      </c>
      <c r="O2" s="46">
        <v>11</v>
      </c>
      <c r="P2" s="46">
        <v>12</v>
      </c>
      <c r="Q2" s="46">
        <v>13</v>
      </c>
      <c r="R2" s="46">
        <v>14</v>
      </c>
      <c r="S2" s="46">
        <v>15</v>
      </c>
      <c r="T2" s="46">
        <v>16</v>
      </c>
      <c r="U2" s="46">
        <v>17</v>
      </c>
      <c r="V2" s="46">
        <v>18</v>
      </c>
      <c r="W2" s="46">
        <v>19</v>
      </c>
      <c r="X2" s="46">
        <v>20</v>
      </c>
    </row>
    <row r="3" spans="1:24" s="35" customFormat="1">
      <c r="A3" s="93"/>
      <c r="B3" s="11"/>
      <c r="C3" s="11"/>
      <c r="D3" s="25" t="s">
        <v>157</v>
      </c>
      <c r="E3" s="25" t="s">
        <v>147</v>
      </c>
      <c r="F3" s="25" t="s">
        <v>148</v>
      </c>
      <c r="G3" s="25" t="s">
        <v>149</v>
      </c>
      <c r="H3" s="25" t="s">
        <v>150</v>
      </c>
      <c r="I3" s="25" t="s">
        <v>151</v>
      </c>
      <c r="J3" s="25" t="s">
        <v>152</v>
      </c>
      <c r="K3" s="25" t="s">
        <v>153</v>
      </c>
      <c r="L3" s="25" t="s">
        <v>154</v>
      </c>
      <c r="M3" s="25" t="s">
        <v>155</v>
      </c>
      <c r="N3" s="25" t="s">
        <v>156</v>
      </c>
      <c r="O3" s="25" t="s">
        <v>158</v>
      </c>
      <c r="P3" s="25" t="s">
        <v>159</v>
      </c>
      <c r="Q3" s="25" t="s">
        <v>160</v>
      </c>
      <c r="R3" s="25" t="s">
        <v>161</v>
      </c>
      <c r="S3" s="25" t="s">
        <v>162</v>
      </c>
      <c r="T3" s="25" t="s">
        <v>163</v>
      </c>
      <c r="U3" s="25" t="s">
        <v>164</v>
      </c>
      <c r="V3" s="25" t="s">
        <v>165</v>
      </c>
      <c r="W3" s="25" t="s">
        <v>166</v>
      </c>
      <c r="X3" s="4" t="s">
        <v>169</v>
      </c>
    </row>
    <row r="4" spans="1:24" s="35" customFormat="1">
      <c r="A4" s="93"/>
      <c r="B4" s="47" t="s">
        <v>102</v>
      </c>
      <c r="C4" s="48"/>
      <c r="D4" s="48"/>
      <c r="E4" s="49"/>
      <c r="F4" s="4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s="35" customFormat="1">
      <c r="A5" s="93"/>
      <c r="B5" s="48" t="s">
        <v>124</v>
      </c>
      <c r="C5" s="48"/>
      <c r="D5" s="48"/>
      <c r="E5" s="49">
        <f>Operations!B14</f>
        <v>77.996411999999978</v>
      </c>
      <c r="F5" s="49">
        <f>Operations!C14</f>
        <v>77.996411999999978</v>
      </c>
      <c r="G5" s="49">
        <f>Operations!D14</f>
        <v>77.996411999999978</v>
      </c>
      <c r="H5" s="49">
        <f>Operations!E14</f>
        <v>77.996411999999978</v>
      </c>
      <c r="I5" s="49">
        <f>Operations!F14</f>
        <v>77.996411999999978</v>
      </c>
      <c r="J5" s="49">
        <f>Operations!G14</f>
        <v>77.996411999999978</v>
      </c>
      <c r="K5" s="49">
        <f>Operations!H14</f>
        <v>77.996411999999978</v>
      </c>
      <c r="L5" s="49">
        <f>Operations!I14</f>
        <v>77.996411999999978</v>
      </c>
      <c r="M5" s="49">
        <f>Operations!J14</f>
        <v>77.996411999999978</v>
      </c>
      <c r="N5" s="49">
        <f>Operations!K14</f>
        <v>77.996411999999978</v>
      </c>
      <c r="O5" s="49">
        <f>Operations!L14</f>
        <v>77.996411999999978</v>
      </c>
      <c r="P5" s="49">
        <f>Operations!M14</f>
        <v>77.996411999999978</v>
      </c>
      <c r="Q5" s="49">
        <f>Operations!N14</f>
        <v>77.996411999999978</v>
      </c>
      <c r="R5" s="49">
        <f>Operations!O14</f>
        <v>77.996411999999978</v>
      </c>
      <c r="S5" s="49">
        <f>Operations!P14</f>
        <v>77.996411999999978</v>
      </c>
      <c r="T5" s="49">
        <f>Operations!Q14</f>
        <v>77.996411999999978</v>
      </c>
      <c r="U5" s="49">
        <f>Operations!R14</f>
        <v>77.996411999999978</v>
      </c>
      <c r="V5" s="49">
        <f>Operations!S14</f>
        <v>77.996411999999978</v>
      </c>
      <c r="W5" s="49">
        <f>Operations!T14</f>
        <v>77.996411999999978</v>
      </c>
      <c r="X5" s="49">
        <f>Operations!U14</f>
        <v>77.996411999999978</v>
      </c>
    </row>
    <row r="6" spans="1:24" s="35" customFormat="1">
      <c r="A6" s="93"/>
      <c r="B6" s="48" t="s">
        <v>125</v>
      </c>
      <c r="C6" s="48"/>
      <c r="D6" s="48"/>
      <c r="E6" s="49">
        <f>Assumptions!B33</f>
        <v>4.67</v>
      </c>
      <c r="F6" s="49">
        <f>E6*(1+Assumptions!$B$34)</f>
        <v>4.67</v>
      </c>
      <c r="G6" s="49">
        <f>F6*(1+Assumptions!$B$34)</f>
        <v>4.67</v>
      </c>
      <c r="H6" s="49">
        <f>G6*(1+Assumptions!$B$34)</f>
        <v>4.67</v>
      </c>
      <c r="I6" s="49">
        <f>H6*(1+Assumptions!$B$34)</f>
        <v>4.67</v>
      </c>
      <c r="J6" s="49">
        <f>I6*(1+Assumptions!$B$34)</f>
        <v>4.67</v>
      </c>
      <c r="K6" s="49">
        <f>J6*(1+Assumptions!$B$34)</f>
        <v>4.67</v>
      </c>
      <c r="L6" s="49">
        <f>K6*(1+Assumptions!$B$34)</f>
        <v>4.67</v>
      </c>
      <c r="M6" s="49">
        <f>L6*(1+Assumptions!$B$34)</f>
        <v>4.67</v>
      </c>
      <c r="N6" s="49">
        <f>M6*(1+Assumptions!$B$34)</f>
        <v>4.67</v>
      </c>
      <c r="O6" s="49">
        <f>N6*(1+Assumptions!$B$34)*(1+'Sensitivity Analysis'!$C$10)</f>
        <v>4.67</v>
      </c>
      <c r="P6" s="49">
        <f>O6*(1+Assumptions!$B$34)</f>
        <v>4.67</v>
      </c>
      <c r="Q6" s="49">
        <f>P6*(1+Assumptions!$B$34)</f>
        <v>4.67</v>
      </c>
      <c r="R6" s="49">
        <f>Q6*(1+Assumptions!$B$34)</f>
        <v>4.67</v>
      </c>
      <c r="S6" s="49">
        <f>R6*(1+Assumptions!$B$34)</f>
        <v>4.67</v>
      </c>
      <c r="T6" s="49">
        <f>S6*(1+Assumptions!$B$34)</f>
        <v>4.67</v>
      </c>
      <c r="U6" s="49">
        <f>T6*(1+Assumptions!$B$34)</f>
        <v>4.67</v>
      </c>
      <c r="V6" s="49">
        <f>U6*(1+Assumptions!$B$34)</f>
        <v>4.67</v>
      </c>
      <c r="W6" s="49">
        <f>V6*(1+Assumptions!$B$34)</f>
        <v>4.67</v>
      </c>
      <c r="X6" s="49">
        <f>W6*(1+Assumptions!$B$34)</f>
        <v>4.67</v>
      </c>
    </row>
    <row r="7" spans="1:24" s="35" customFormat="1">
      <c r="A7" s="93"/>
      <c r="B7" s="48" t="s">
        <v>135</v>
      </c>
      <c r="C7" s="48"/>
      <c r="D7" s="48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</row>
    <row r="8" spans="1:24" s="35" customFormat="1">
      <c r="A8" s="93"/>
      <c r="C8" s="48"/>
      <c r="D8" s="48"/>
      <c r="E8" s="49">
        <f>IF((E5*0.5)&gt;(1.55*Assumptions!$B$6),(1.55*Assumptions!$B$6),(E5*0.5))</f>
        <v>38.998205999999989</v>
      </c>
      <c r="F8" s="49">
        <f>IF((F5*0.5)&gt;(1.55*Assumptions!$B$6),(1.55*Assumptions!$B$6),(F5*0.5))</f>
        <v>38.998205999999989</v>
      </c>
      <c r="G8" s="49">
        <f>IF((G5*0.5)&gt;(1.55*Assumptions!$B$6),(1.55*Assumptions!$B$6),(G5*0.5))</f>
        <v>38.998205999999989</v>
      </c>
      <c r="H8" s="49">
        <f>IF((H5*0.5)&gt;(1.55*Assumptions!$B$6),(1.55*Assumptions!$B$6),(H5*0.5))</f>
        <v>38.998205999999989</v>
      </c>
      <c r="I8" s="49">
        <f>IF((I5*0.5)&gt;(1.55*Assumptions!$B$6),(1.55*Assumptions!$B$6),(I5*0.5))</f>
        <v>38.998205999999989</v>
      </c>
      <c r="J8" s="49">
        <f>IF((J5*0.5)&gt;(1.55*Assumptions!$B$6),(1.55*Assumptions!$B$6),(J5*0.5))</f>
        <v>38.998205999999989</v>
      </c>
      <c r="K8" s="49">
        <f>IF((K5*0.5)&gt;(1.55*Assumptions!$B$6),(1.55*Assumptions!$B$6),(K5*0.5))</f>
        <v>38.998205999999989</v>
      </c>
      <c r="L8" s="49">
        <f>IF((L5*0.5)&gt;(1.55*Assumptions!$B$6),(1.55*Assumptions!$B$6),(L5*0.5))</f>
        <v>38.998205999999989</v>
      </c>
      <c r="M8" s="49">
        <f>IF((M5*0.5)&gt;(1.55*Assumptions!$B$6),(1.55*Assumptions!$B$6),(M5*0.5))</f>
        <v>38.998205999999989</v>
      </c>
      <c r="N8" s="49">
        <f>IF((N5*0.5)&gt;(1.55*Assumptions!$B$6),(1.55*Assumptions!$B$6),(N5*0.5))</f>
        <v>38.998205999999989</v>
      </c>
      <c r="O8" s="49">
        <f>IF((O5*0.5)&gt;(1.55*Assumptions!$B$6),(1.55*Assumptions!$B$6),(O5*0.5))</f>
        <v>38.998205999999989</v>
      </c>
      <c r="P8" s="49">
        <f>IF((P5*0.5)&gt;(1.55*Assumptions!$B$6),(1.55*Assumptions!$B$6),(P5*0.5))</f>
        <v>38.998205999999989</v>
      </c>
      <c r="Q8" s="49">
        <f>IF((Q5*0.5)&gt;(1.55*Assumptions!$B$6),(1.55*Assumptions!$B$6),(Q5*0.5))</f>
        <v>38.998205999999989</v>
      </c>
      <c r="R8" s="49">
        <f>IF((R5*0.5)&gt;(1.55*Assumptions!$B$6),(1.55*Assumptions!$B$6),(R5*0.5))</f>
        <v>38.998205999999989</v>
      </c>
      <c r="S8" s="49">
        <f>IF((S5*0.5)&gt;(1.55*Assumptions!$B$6),(1.55*Assumptions!$B$6),(S5*0.5))</f>
        <v>38.998205999999989</v>
      </c>
      <c r="T8" s="49">
        <f>IF((T5*0.5)&gt;(1.55*Assumptions!$B$6),(1.55*Assumptions!$B$6),(T5*0.5))</f>
        <v>38.998205999999989</v>
      </c>
      <c r="U8" s="49">
        <f>IF((U5*0.5)&gt;(1.55*Assumptions!$B$6),(1.55*Assumptions!$B$6),(U5*0.5))</f>
        <v>38.998205999999989</v>
      </c>
      <c r="V8" s="49">
        <f>IF((V5*0.5)&gt;(1.55*Assumptions!$B$6),(1.55*Assumptions!$B$6),(V5*0.5))</f>
        <v>38.998205999999989</v>
      </c>
      <c r="W8" s="49">
        <f>IF((W5*0.5)&gt;(1.55*Assumptions!$B$6),(1.55*Assumptions!$B$6),(W5*0.5))</f>
        <v>38.998205999999989</v>
      </c>
      <c r="X8" s="49">
        <f>IF((X5*0.5)&gt;(1.55*Assumptions!$B$6),(1.55*Assumptions!$B$6),(X5*0.5))</f>
        <v>38.998205999999989</v>
      </c>
    </row>
    <row r="9" spans="1:24" s="35" customFormat="1">
      <c r="A9" s="93"/>
      <c r="B9" s="48"/>
      <c r="C9" s="48"/>
      <c r="D9" s="48"/>
      <c r="E9" s="49">
        <f>E8</f>
        <v>38.998205999999989</v>
      </c>
      <c r="F9" s="49">
        <f t="shared" ref="F9:X9" si="0">E9+F8</f>
        <v>77.996411999999978</v>
      </c>
      <c r="G9" s="49">
        <f t="shared" si="0"/>
        <v>116.99461799999997</v>
      </c>
      <c r="H9" s="49">
        <f t="shared" si="0"/>
        <v>155.99282399999996</v>
      </c>
      <c r="I9" s="49">
        <f t="shared" si="0"/>
        <v>194.99102999999994</v>
      </c>
      <c r="J9" s="49">
        <f t="shared" si="0"/>
        <v>233.98923599999992</v>
      </c>
      <c r="K9" s="49">
        <f t="shared" si="0"/>
        <v>272.98744199999993</v>
      </c>
      <c r="L9" s="49">
        <f t="shared" si="0"/>
        <v>311.98564799999991</v>
      </c>
      <c r="M9" s="49">
        <f t="shared" si="0"/>
        <v>350.98385399999989</v>
      </c>
      <c r="N9" s="49">
        <f t="shared" si="0"/>
        <v>389.98205999999988</v>
      </c>
      <c r="O9" s="49">
        <f t="shared" si="0"/>
        <v>428.98026599999986</v>
      </c>
      <c r="P9" s="49">
        <f t="shared" si="0"/>
        <v>467.97847199999984</v>
      </c>
      <c r="Q9" s="49">
        <f t="shared" si="0"/>
        <v>506.97667799999982</v>
      </c>
      <c r="R9" s="49">
        <f t="shared" si="0"/>
        <v>545.97488399999986</v>
      </c>
      <c r="S9" s="49">
        <f t="shared" si="0"/>
        <v>584.97308999999984</v>
      </c>
      <c r="T9" s="49">
        <f t="shared" si="0"/>
        <v>623.97129599999982</v>
      </c>
      <c r="U9" s="49">
        <f t="shared" si="0"/>
        <v>662.96950199999981</v>
      </c>
      <c r="V9" s="49">
        <f t="shared" si="0"/>
        <v>701.96770799999979</v>
      </c>
      <c r="W9" s="49">
        <f t="shared" si="0"/>
        <v>740.96591399999977</v>
      </c>
      <c r="X9" s="49">
        <f t="shared" si="0"/>
        <v>779.96411999999975</v>
      </c>
    </row>
    <row r="10" spans="1:24" s="35" customFormat="1">
      <c r="A10" s="93"/>
      <c r="B10" s="48"/>
      <c r="C10" s="48"/>
      <c r="D10" s="48"/>
      <c r="E10" s="49">
        <f>IF((6.2*Assumptions!$B$6)&gt;E9,E8,(6.2*Assumptions!$B$6)-C9)</f>
        <v>38.998205999999989</v>
      </c>
      <c r="F10" s="49">
        <f>IF((6.2*Assumptions!$B$6)&gt;F9,F8,(6.2*Assumptions!$B$6)-E9)</f>
        <v>38.998205999999989</v>
      </c>
      <c r="G10" s="49">
        <f>IF((6.2*Assumptions!$B$6)&gt;G9,G8,(6.2*Assumptions!$B$6)-F9)</f>
        <v>38.998205999999989</v>
      </c>
      <c r="H10" s="49">
        <f>IF((6.2*Assumptions!$B$6)&gt;H9,H8,(6.2*Assumptions!$B$6)-G9)</f>
        <v>38.998205999999989</v>
      </c>
      <c r="I10" s="49">
        <f>IF((6.2*Assumptions!$B$6)&gt;I9,I8,(6.2*Assumptions!$B$6)-H9)</f>
        <v>38.998205999999989</v>
      </c>
      <c r="J10" s="49">
        <f>IF((6.2*Assumptions!$B$6)&gt;J9,J8,(6.2*Assumptions!$B$6)-I9)</f>
        <v>38.998205999999989</v>
      </c>
      <c r="K10" s="49">
        <f>IF((6.2*Assumptions!$B$6)&gt;K9,K8,(6.2*Assumptions!$B$6)-J9)</f>
        <v>7.8107640000000913</v>
      </c>
      <c r="L10" s="49">
        <f>IF((6.2*Assumptions!$B$6)&gt;L9,L8,(6.2*Assumptions!$B$6)-K9)</f>
        <v>-31.187441999999919</v>
      </c>
      <c r="M10" s="49">
        <f>IF((6.2*Assumptions!$B$6)&gt;M9,M8,(6.2*Assumptions!$B$6)-L9)</f>
        <v>-70.185647999999901</v>
      </c>
      <c r="N10" s="49">
        <f>IF((6.2*Assumptions!$B$6)&gt;N9,N8,(6.2*Assumptions!$B$6)-M9)</f>
        <v>-109.18385399999988</v>
      </c>
      <c r="O10" s="49">
        <f>IF((6.2*Assumptions!$B$6)&gt;O9,O8,(6.2*Assumptions!$B$6)-N9)</f>
        <v>-148.18205999999986</v>
      </c>
      <c r="P10" s="49">
        <f>IF((6.2*Assumptions!$B$6)&gt;P9,P8,(6.2*Assumptions!$B$6)-O9)</f>
        <v>-187.18026599999985</v>
      </c>
      <c r="Q10" s="49">
        <f>IF((6.2*Assumptions!$B$6)&gt;Q9,Q8,(6.2*Assumptions!$B$6)-P9)</f>
        <v>-226.17847199999983</v>
      </c>
      <c r="R10" s="49">
        <f>IF((6.2*Assumptions!$B$6)&gt;R9,R8,(6.2*Assumptions!$B$6)-Q9)</f>
        <v>-265.17667799999981</v>
      </c>
      <c r="S10" s="49">
        <f>IF((6.2*Assumptions!$B$6)&gt;S9,S8,(6.2*Assumptions!$B$6)-R9)</f>
        <v>-304.17488399999985</v>
      </c>
      <c r="T10" s="49">
        <f>IF((6.2*Assumptions!$B$6)&gt;T9,T8,(6.2*Assumptions!$B$6)-S9)</f>
        <v>-343.17308999999983</v>
      </c>
      <c r="U10" s="49">
        <f>IF((6.2*Assumptions!$B$6)&gt;U9,U8,(6.2*Assumptions!$B$6)-T9)</f>
        <v>-382.17129599999981</v>
      </c>
      <c r="V10" s="49">
        <f>IF((6.2*Assumptions!$B$6)&gt;V9,V8,(6.2*Assumptions!$B$6)-U9)</f>
        <v>-421.1695019999998</v>
      </c>
      <c r="W10" s="49">
        <f>IF((6.2*Assumptions!$B$6)&gt;W9,W8,(6.2*Assumptions!$B$6)-V9)</f>
        <v>-460.16770799999978</v>
      </c>
      <c r="X10" s="49">
        <f>IF((6.2*Assumptions!$B$6)&gt;X9,X8,(6.2*Assumptions!$B$6)-W9)</f>
        <v>-499.16591399999976</v>
      </c>
    </row>
    <row r="11" spans="1:24" s="35" customFormat="1">
      <c r="A11" s="93"/>
      <c r="B11" s="88" t="s">
        <v>136</v>
      </c>
      <c r="C11" s="89"/>
      <c r="D11" s="89"/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49">
        <f t="shared" ref="L11:X11" si="1">IF(L10&gt;0,L10,0)</f>
        <v>0</v>
      </c>
      <c r="M11" s="49">
        <f t="shared" si="1"/>
        <v>0</v>
      </c>
      <c r="N11" s="49">
        <f t="shared" si="1"/>
        <v>0</v>
      </c>
      <c r="O11" s="49">
        <f t="shared" si="1"/>
        <v>0</v>
      </c>
      <c r="P11" s="49">
        <f t="shared" si="1"/>
        <v>0</v>
      </c>
      <c r="Q11" s="49">
        <f t="shared" si="1"/>
        <v>0</v>
      </c>
      <c r="R11" s="49">
        <f t="shared" si="1"/>
        <v>0</v>
      </c>
      <c r="S11" s="49">
        <f t="shared" si="1"/>
        <v>0</v>
      </c>
      <c r="T11" s="49">
        <f t="shared" si="1"/>
        <v>0</v>
      </c>
      <c r="U11" s="49">
        <f t="shared" si="1"/>
        <v>0</v>
      </c>
      <c r="V11" s="49">
        <f t="shared" si="1"/>
        <v>0</v>
      </c>
      <c r="W11" s="49">
        <f t="shared" si="1"/>
        <v>0</v>
      </c>
      <c r="X11" s="49">
        <f t="shared" si="1"/>
        <v>0</v>
      </c>
    </row>
    <row r="12" spans="1:24" s="35" customFormat="1">
      <c r="A12" s="93"/>
      <c r="B12" s="55" t="s">
        <v>137</v>
      </c>
      <c r="C12" s="89"/>
      <c r="D12" s="8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</row>
    <row r="13" spans="1:24" s="35" customFormat="1">
      <c r="A13" s="93"/>
      <c r="B13" s="88" t="s">
        <v>138</v>
      </c>
      <c r="C13" s="89"/>
      <c r="D13" s="89"/>
      <c r="E13" s="49"/>
      <c r="F13" s="49">
        <f>ROUND(F5*1000*Assumptions!$B$46,0)</f>
        <v>74307</v>
      </c>
      <c r="G13" s="49">
        <f>ROUND(G5*1000*Assumptions!$B$46,0)</f>
        <v>74307</v>
      </c>
      <c r="H13" s="49">
        <f>ROUND(H5*1000*Assumptions!$B$46,0)</f>
        <v>74307</v>
      </c>
      <c r="I13" s="49">
        <f>ROUND(I5*1000*Assumptions!$B$46,0)</f>
        <v>74307</v>
      </c>
      <c r="J13" s="49">
        <f>ROUND(J5*1000*Assumptions!$B$46,0)</f>
        <v>74307</v>
      </c>
      <c r="K13" s="49">
        <f>ROUND(K5*1000*Assumptions!$B$46,0)</f>
        <v>74307</v>
      </c>
      <c r="L13" s="49">
        <f>ROUND(L5*1000*Assumptions!$B$46,0)</f>
        <v>74307</v>
      </c>
      <c r="M13" s="49">
        <f>ROUND(M5*1000*Assumptions!$B$46,0)</f>
        <v>74307</v>
      </c>
      <c r="N13" s="49">
        <f>ROUND(N5*1000*Assumptions!$B$46,0)</f>
        <v>74307</v>
      </c>
      <c r="O13" s="49">
        <f>ROUND(O5*1000*Assumptions!$B$46,0)</f>
        <v>74307</v>
      </c>
      <c r="P13" s="49"/>
      <c r="Q13" s="49"/>
      <c r="R13" s="49"/>
      <c r="S13" s="49"/>
      <c r="T13" s="49"/>
      <c r="U13" s="49"/>
      <c r="V13" s="49"/>
      <c r="W13" s="49"/>
      <c r="X13" s="49"/>
    </row>
    <row r="14" spans="1:24" s="35" customFormat="1">
      <c r="A14" s="93"/>
      <c r="B14" s="88" t="s">
        <v>144</v>
      </c>
      <c r="C14" s="89"/>
      <c r="D14" s="89"/>
      <c r="E14" s="49"/>
      <c r="F14" s="49">
        <f>F13*Assumptions!$B$47*Assumptions!$B$48/10^6</f>
        <v>0</v>
      </c>
      <c r="G14" s="49">
        <f>G13*Assumptions!$B$47*Assumptions!$B$48/10^6</f>
        <v>0</v>
      </c>
      <c r="H14" s="49">
        <f>H13*Assumptions!$B$47*Assumptions!$B$48/10^6</f>
        <v>0</v>
      </c>
      <c r="I14" s="49">
        <f>I13*Assumptions!$B$47*Assumptions!$B$48/10^6</f>
        <v>0</v>
      </c>
      <c r="J14" s="49">
        <f>J13*Assumptions!$B$47*Assumptions!$B$48/10^6</f>
        <v>0</v>
      </c>
      <c r="K14" s="49">
        <f>K13*Assumptions!$B$47*Assumptions!$B$48/10^6</f>
        <v>0</v>
      </c>
      <c r="L14" s="49">
        <f>L13*Assumptions!$B$47*Assumptions!$B$48/10^6</f>
        <v>0</v>
      </c>
      <c r="M14" s="49">
        <f>M13*Assumptions!$B$47*Assumptions!$B$48/10^6</f>
        <v>0</v>
      </c>
      <c r="N14" s="49">
        <f>N13*Assumptions!$B$47*Assumptions!$B$48/10^6</f>
        <v>0</v>
      </c>
      <c r="O14" s="49">
        <f>O13*Assumptions!$B$47*Assumptions!$B$48/10^6</f>
        <v>0</v>
      </c>
      <c r="P14" s="49"/>
      <c r="Q14" s="49"/>
      <c r="R14" s="49"/>
      <c r="S14" s="49"/>
      <c r="T14" s="49"/>
      <c r="U14" s="49"/>
      <c r="V14" s="49"/>
      <c r="W14" s="49"/>
      <c r="X14" s="49"/>
    </row>
    <row r="15" spans="1:24" s="35" customFormat="1">
      <c r="A15" s="93"/>
      <c r="B15" s="48" t="s">
        <v>126</v>
      </c>
      <c r="C15" s="48"/>
      <c r="D15" s="48"/>
      <c r="E15" s="49">
        <f>E5*E6+E11+E14</f>
        <v>364.24324403999987</v>
      </c>
      <c r="F15" s="49">
        <f>F5*F6+F11+F14</f>
        <v>364.24324403999987</v>
      </c>
      <c r="G15" s="49">
        <f t="shared" ref="G15:X15" si="2">G5*G6+G11+G14</f>
        <v>364.24324403999987</v>
      </c>
      <c r="H15" s="49">
        <f t="shared" si="2"/>
        <v>364.24324403999987</v>
      </c>
      <c r="I15" s="49">
        <f t="shared" si="2"/>
        <v>364.24324403999987</v>
      </c>
      <c r="J15" s="49">
        <f t="shared" si="2"/>
        <v>364.24324403999987</v>
      </c>
      <c r="K15" s="49">
        <f t="shared" si="2"/>
        <v>364.24324403999987</v>
      </c>
      <c r="L15" s="49">
        <f t="shared" si="2"/>
        <v>364.24324403999987</v>
      </c>
      <c r="M15" s="49">
        <f t="shared" si="2"/>
        <v>364.24324403999987</v>
      </c>
      <c r="N15" s="49">
        <f t="shared" si="2"/>
        <v>364.24324403999987</v>
      </c>
      <c r="O15" s="49">
        <f t="shared" si="2"/>
        <v>364.24324403999987</v>
      </c>
      <c r="P15" s="49">
        <f t="shared" si="2"/>
        <v>364.24324403999987</v>
      </c>
      <c r="Q15" s="49">
        <f t="shared" si="2"/>
        <v>364.24324403999987</v>
      </c>
      <c r="R15" s="49">
        <f t="shared" si="2"/>
        <v>364.24324403999987</v>
      </c>
      <c r="S15" s="49">
        <f t="shared" si="2"/>
        <v>364.24324403999987</v>
      </c>
      <c r="T15" s="49">
        <f t="shared" si="2"/>
        <v>364.24324403999987</v>
      </c>
      <c r="U15" s="49">
        <f t="shared" si="2"/>
        <v>364.24324403999987</v>
      </c>
      <c r="V15" s="49">
        <f t="shared" si="2"/>
        <v>364.24324403999987</v>
      </c>
      <c r="W15" s="49">
        <f t="shared" si="2"/>
        <v>364.24324403999987</v>
      </c>
      <c r="X15" s="49">
        <f t="shared" si="2"/>
        <v>364.24324403999987</v>
      </c>
    </row>
    <row r="16" spans="1:24" s="35" customFormat="1">
      <c r="A16" s="93"/>
      <c r="B16" s="47" t="s">
        <v>127</v>
      </c>
      <c r="C16" s="48"/>
      <c r="D16" s="48"/>
      <c r="E16" s="49"/>
      <c r="F16" s="49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5" s="52" customFormat="1">
      <c r="A17" s="94"/>
      <c r="B17" s="50" t="s">
        <v>103</v>
      </c>
      <c r="C17" s="50"/>
      <c r="D17" s="50"/>
      <c r="E17" s="50">
        <v>0</v>
      </c>
      <c r="F17" s="50">
        <v>0</v>
      </c>
      <c r="G17" s="50">
        <f>Assumptions!$B$22</f>
        <v>42.874000000000002</v>
      </c>
      <c r="H17" s="50">
        <f>G17*(1+Assumptions!$B$23)</f>
        <v>45.017700000000005</v>
      </c>
      <c r="I17" s="50">
        <f>H17*(1+Assumptions!$B$23)</f>
        <v>47.268585000000009</v>
      </c>
      <c r="J17" s="50">
        <f>I17*(1+Assumptions!$B$23)</f>
        <v>49.632014250000012</v>
      </c>
      <c r="K17" s="50">
        <f>J17*(1+Assumptions!$B$23)</f>
        <v>52.113614962500016</v>
      </c>
      <c r="L17" s="50">
        <f>K17*(1+Assumptions!$B$23)</f>
        <v>54.719295710625019</v>
      </c>
      <c r="M17" s="50">
        <f>L17*(1+Assumptions!$B$23)</f>
        <v>57.455260496156271</v>
      </c>
      <c r="N17" s="50">
        <f>M17*(1+Assumptions!$B$23)</f>
        <v>60.328023520964088</v>
      </c>
      <c r="O17" s="50">
        <f>N17*(1+Assumptions!$B$23)</f>
        <v>63.344424697012293</v>
      </c>
      <c r="P17" s="50">
        <f>O17*(1+Assumptions!$B$23)</f>
        <v>66.511645931862915</v>
      </c>
      <c r="Q17" s="50">
        <f>P17*(1+Assumptions!$B$23)</f>
        <v>69.83722822845607</v>
      </c>
      <c r="R17" s="50">
        <f>Q17*(1+Assumptions!$B$23)</f>
        <v>73.329089639878873</v>
      </c>
      <c r="S17" s="50">
        <f>R17*(1+Assumptions!$B$23)</f>
        <v>76.995544121872825</v>
      </c>
      <c r="T17" s="50">
        <f>S17*(1+Assumptions!$B$23)</f>
        <v>80.845321327966474</v>
      </c>
      <c r="U17" s="50">
        <f>T17*(1+Assumptions!$B$23)</f>
        <v>84.8875873943648</v>
      </c>
      <c r="V17" s="50">
        <f>U17*(1+Assumptions!$B$23)</f>
        <v>89.131966764083046</v>
      </c>
      <c r="W17" s="50">
        <f>V17*(1+Assumptions!$B$23)</f>
        <v>93.588565102287205</v>
      </c>
      <c r="X17" s="50">
        <f>W17*(1+Assumptions!$B$23)</f>
        <v>98.267993357401565</v>
      </c>
      <c r="Y17" s="51"/>
    </row>
    <row r="18" spans="1:25" s="52" customFormat="1">
      <c r="A18" s="94"/>
      <c r="B18" s="50" t="s">
        <v>133</v>
      </c>
      <c r="C18" s="50"/>
      <c r="D18" s="50"/>
      <c r="E18" s="50">
        <f>C18*1.05</f>
        <v>0</v>
      </c>
      <c r="F18" s="50">
        <f>E18*1.05</f>
        <v>0</v>
      </c>
      <c r="G18" s="50">
        <f>F18*1.05</f>
        <v>0</v>
      </c>
      <c r="H18" s="50">
        <f t="shared" ref="H18:X18" si="3">G18*1.05</f>
        <v>0</v>
      </c>
      <c r="I18" s="50">
        <f t="shared" si="3"/>
        <v>0</v>
      </c>
      <c r="J18" s="50">
        <f t="shared" si="3"/>
        <v>0</v>
      </c>
      <c r="K18" s="50">
        <f t="shared" si="3"/>
        <v>0</v>
      </c>
      <c r="L18" s="50">
        <f t="shared" si="3"/>
        <v>0</v>
      </c>
      <c r="M18" s="50">
        <f t="shared" si="3"/>
        <v>0</v>
      </c>
      <c r="N18" s="50">
        <f t="shared" si="3"/>
        <v>0</v>
      </c>
      <c r="O18" s="50">
        <f t="shared" si="3"/>
        <v>0</v>
      </c>
      <c r="P18" s="50">
        <f t="shared" si="3"/>
        <v>0</v>
      </c>
      <c r="Q18" s="50">
        <f t="shared" si="3"/>
        <v>0</v>
      </c>
      <c r="R18" s="50">
        <f t="shared" si="3"/>
        <v>0</v>
      </c>
      <c r="S18" s="50">
        <f t="shared" si="3"/>
        <v>0</v>
      </c>
      <c r="T18" s="50">
        <f t="shared" si="3"/>
        <v>0</v>
      </c>
      <c r="U18" s="50">
        <f t="shared" si="3"/>
        <v>0</v>
      </c>
      <c r="V18" s="50">
        <f t="shared" si="3"/>
        <v>0</v>
      </c>
      <c r="W18" s="50">
        <f t="shared" si="3"/>
        <v>0</v>
      </c>
      <c r="X18" s="50">
        <f t="shared" si="3"/>
        <v>0</v>
      </c>
      <c r="Y18" s="51"/>
    </row>
    <row r="19" spans="1:25" s="52" customFormat="1">
      <c r="A19" s="94"/>
      <c r="B19" s="50" t="s">
        <v>104</v>
      </c>
      <c r="C19" s="50"/>
      <c r="D19" s="50"/>
      <c r="E19" s="50">
        <v>0</v>
      </c>
      <c r="F19" s="50">
        <f>Assumptions!$B$27</f>
        <v>0</v>
      </c>
      <c r="G19" s="50">
        <f>+F19</f>
        <v>0</v>
      </c>
      <c r="H19" s="50">
        <f t="shared" ref="H19:X19" si="4">+G19</f>
        <v>0</v>
      </c>
      <c r="I19" s="50">
        <f t="shared" si="4"/>
        <v>0</v>
      </c>
      <c r="J19" s="50">
        <f t="shared" si="4"/>
        <v>0</v>
      </c>
      <c r="K19" s="50">
        <f t="shared" si="4"/>
        <v>0</v>
      </c>
      <c r="L19" s="50">
        <f t="shared" si="4"/>
        <v>0</v>
      </c>
      <c r="M19" s="50">
        <f t="shared" si="4"/>
        <v>0</v>
      </c>
      <c r="N19" s="50">
        <f t="shared" si="4"/>
        <v>0</v>
      </c>
      <c r="O19" s="50">
        <f t="shared" si="4"/>
        <v>0</v>
      </c>
      <c r="P19" s="50">
        <f t="shared" si="4"/>
        <v>0</v>
      </c>
      <c r="Q19" s="50">
        <f t="shared" si="4"/>
        <v>0</v>
      </c>
      <c r="R19" s="50">
        <f t="shared" si="4"/>
        <v>0</v>
      </c>
      <c r="S19" s="50">
        <f t="shared" si="4"/>
        <v>0</v>
      </c>
      <c r="T19" s="50">
        <f t="shared" si="4"/>
        <v>0</v>
      </c>
      <c r="U19" s="50">
        <f t="shared" si="4"/>
        <v>0</v>
      </c>
      <c r="V19" s="50">
        <f t="shared" si="4"/>
        <v>0</v>
      </c>
      <c r="W19" s="50">
        <f t="shared" si="4"/>
        <v>0</v>
      </c>
      <c r="X19" s="50">
        <f t="shared" si="4"/>
        <v>0</v>
      </c>
    </row>
    <row r="20" spans="1:25" s="52" customFormat="1">
      <c r="A20" s="94"/>
      <c r="B20" s="50" t="s">
        <v>131</v>
      </c>
      <c r="C20" s="50"/>
      <c r="D20" s="50"/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0">
        <v>0</v>
      </c>
      <c r="R20" s="50">
        <v>0</v>
      </c>
      <c r="S20" s="50">
        <v>0</v>
      </c>
      <c r="T20" s="50">
        <v>0</v>
      </c>
      <c r="U20" s="50">
        <v>0</v>
      </c>
      <c r="V20" s="50">
        <v>0</v>
      </c>
      <c r="W20" s="50">
        <v>0</v>
      </c>
      <c r="X20" s="50">
        <v>0</v>
      </c>
    </row>
    <row r="21" spans="1:25" s="35" customFormat="1">
      <c r="A21" s="93"/>
      <c r="B21" s="53" t="s">
        <v>105</v>
      </c>
      <c r="C21" s="48"/>
      <c r="D21" s="48"/>
      <c r="E21" s="49">
        <f>SUM(E17:E20)</f>
        <v>0</v>
      </c>
      <c r="F21" s="49">
        <f t="shared" ref="F21:X21" si="5">SUM(F17:F20)</f>
        <v>0</v>
      </c>
      <c r="G21" s="49">
        <f>SUM(G17:G20)</f>
        <v>42.874000000000002</v>
      </c>
      <c r="H21" s="49">
        <f t="shared" si="5"/>
        <v>45.017700000000005</v>
      </c>
      <c r="I21" s="49">
        <f t="shared" si="5"/>
        <v>47.268585000000009</v>
      </c>
      <c r="J21" s="49">
        <f t="shared" si="5"/>
        <v>49.632014250000012</v>
      </c>
      <c r="K21" s="49">
        <f t="shared" si="5"/>
        <v>52.113614962500016</v>
      </c>
      <c r="L21" s="49">
        <f t="shared" si="5"/>
        <v>54.719295710625019</v>
      </c>
      <c r="M21" s="49">
        <f t="shared" si="5"/>
        <v>57.455260496156271</v>
      </c>
      <c r="N21" s="49">
        <f t="shared" si="5"/>
        <v>60.328023520964088</v>
      </c>
      <c r="O21" s="49">
        <f t="shared" si="5"/>
        <v>63.344424697012293</v>
      </c>
      <c r="P21" s="49">
        <f t="shared" si="5"/>
        <v>66.511645931862915</v>
      </c>
      <c r="Q21" s="49">
        <f t="shared" si="5"/>
        <v>69.83722822845607</v>
      </c>
      <c r="R21" s="49">
        <f t="shared" si="5"/>
        <v>73.329089639878873</v>
      </c>
      <c r="S21" s="49">
        <f t="shared" si="5"/>
        <v>76.995544121872825</v>
      </c>
      <c r="T21" s="49">
        <f t="shared" si="5"/>
        <v>80.845321327966474</v>
      </c>
      <c r="U21" s="49">
        <f t="shared" si="5"/>
        <v>84.8875873943648</v>
      </c>
      <c r="V21" s="49">
        <f t="shared" si="5"/>
        <v>89.131966764083046</v>
      </c>
      <c r="W21" s="49">
        <f t="shared" si="5"/>
        <v>93.588565102287205</v>
      </c>
      <c r="X21" s="49">
        <f t="shared" si="5"/>
        <v>98.267993357401565</v>
      </c>
    </row>
    <row r="22" spans="1:25" s="52" customFormat="1">
      <c r="A22" s="94"/>
      <c r="B22" s="53" t="s">
        <v>106</v>
      </c>
      <c r="C22" s="53"/>
      <c r="D22" s="53"/>
      <c r="E22" s="50">
        <f>'Term Loan'!H20/10^6</f>
        <v>217.57218437500001</v>
      </c>
      <c r="F22" s="50">
        <f>'Term Loan'!H35/10^6</f>
        <v>194.76985937500001</v>
      </c>
      <c r="G22" s="50">
        <f>'Term Loan'!H50/10^6</f>
        <v>171.96753437500001</v>
      </c>
      <c r="H22" s="50">
        <f>'Term Loan'!H65/10^6</f>
        <v>149.16520937499999</v>
      </c>
      <c r="I22" s="50">
        <f>'Term Loan'!H80/10^6</f>
        <v>126.36288437499999</v>
      </c>
      <c r="J22" s="50">
        <f>'Term Loan'!H95/10^6</f>
        <v>103.560559375</v>
      </c>
      <c r="K22" s="50">
        <f>'Term Loan'!H110/10^6</f>
        <v>80.758234375000001</v>
      </c>
      <c r="L22" s="50">
        <f>'Term Loan'!H125/10^6</f>
        <v>57.955909374999997</v>
      </c>
      <c r="M22" s="50">
        <f>'Term Loan'!H140/10^6</f>
        <v>35.153584375000001</v>
      </c>
      <c r="N22" s="50">
        <f>'Term Loan'!H155/10^6</f>
        <v>12.351259375</v>
      </c>
      <c r="Q22" s="50">
        <v>0</v>
      </c>
      <c r="R22" s="50">
        <v>0</v>
      </c>
      <c r="S22" s="50">
        <f t="shared" ref="S22:X22" si="6">R22</f>
        <v>0</v>
      </c>
      <c r="T22" s="50">
        <f t="shared" si="6"/>
        <v>0</v>
      </c>
      <c r="U22" s="50">
        <f t="shared" si="6"/>
        <v>0</v>
      </c>
      <c r="V22" s="50">
        <f t="shared" si="6"/>
        <v>0</v>
      </c>
      <c r="W22" s="50">
        <f t="shared" si="6"/>
        <v>0</v>
      </c>
      <c r="X22" s="50">
        <f t="shared" si="6"/>
        <v>0</v>
      </c>
    </row>
    <row r="23" spans="1:25" s="35" customFormat="1">
      <c r="A23" s="93"/>
      <c r="B23" s="48" t="s">
        <v>132</v>
      </c>
      <c r="C23" s="48"/>
      <c r="D23" s="48"/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49">
        <v>0</v>
      </c>
      <c r="V23" s="49">
        <v>0</v>
      </c>
      <c r="W23" s="49">
        <v>0</v>
      </c>
      <c r="X23" s="49">
        <v>0</v>
      </c>
      <c r="Y23" s="35">
        <v>0</v>
      </c>
    </row>
    <row r="24" spans="1:25" s="35" customFormat="1">
      <c r="A24" s="93"/>
      <c r="B24" s="53" t="s">
        <v>107</v>
      </c>
      <c r="C24" s="48"/>
      <c r="D24" s="48"/>
      <c r="E24" s="49">
        <f>+E15-E21-E22</f>
        <v>146.67105966499986</v>
      </c>
      <c r="F24" s="49">
        <f t="shared" ref="F24:X24" si="7">+F15-F21-F22</f>
        <v>169.47338466499986</v>
      </c>
      <c r="G24" s="49">
        <f t="shared" si="7"/>
        <v>149.40170966499983</v>
      </c>
      <c r="H24" s="49">
        <f t="shared" si="7"/>
        <v>170.06033466499989</v>
      </c>
      <c r="I24" s="49">
        <f t="shared" si="7"/>
        <v>190.61177466499984</v>
      </c>
      <c r="J24" s="49">
        <f t="shared" si="7"/>
        <v>211.05067041499987</v>
      </c>
      <c r="K24" s="49">
        <f t="shared" si="7"/>
        <v>231.37139470249983</v>
      </c>
      <c r="L24" s="49">
        <f t="shared" si="7"/>
        <v>251.56803895437483</v>
      </c>
      <c r="M24" s="49">
        <f t="shared" si="7"/>
        <v>271.63439916884363</v>
      </c>
      <c r="N24" s="49">
        <f t="shared" si="7"/>
        <v>291.56396114403577</v>
      </c>
      <c r="O24" s="49">
        <f t="shared" si="7"/>
        <v>300.89881934298757</v>
      </c>
      <c r="P24" s="49">
        <f t="shared" si="7"/>
        <v>297.73159810813695</v>
      </c>
      <c r="Q24" s="49">
        <f t="shared" si="7"/>
        <v>294.4060158115438</v>
      </c>
      <c r="R24" s="49">
        <f t="shared" si="7"/>
        <v>290.91415440012099</v>
      </c>
      <c r="S24" s="49">
        <f t="shared" si="7"/>
        <v>287.24769991812707</v>
      </c>
      <c r="T24" s="49">
        <f t="shared" si="7"/>
        <v>283.39792271203339</v>
      </c>
      <c r="U24" s="49">
        <f t="shared" si="7"/>
        <v>279.35565664563507</v>
      </c>
      <c r="V24" s="49">
        <f t="shared" si="7"/>
        <v>275.11127727591679</v>
      </c>
      <c r="W24" s="49">
        <f t="shared" si="7"/>
        <v>270.65467893771267</v>
      </c>
      <c r="X24" s="49">
        <f t="shared" si="7"/>
        <v>265.9752506825983</v>
      </c>
      <c r="Y24" s="54"/>
    </row>
    <row r="25" spans="1:25" s="35" customFormat="1">
      <c r="A25" s="93"/>
      <c r="B25" s="53" t="s">
        <v>108</v>
      </c>
      <c r="C25" s="48"/>
      <c r="D25" s="48"/>
      <c r="E25" s="49">
        <f>Depreciation!B16</f>
        <v>131.84028000000001</v>
      </c>
      <c r="F25" s="49">
        <f>Depreciation!C16</f>
        <v>131.84028000000001</v>
      </c>
      <c r="G25" s="49">
        <f>Depreciation!D16</f>
        <v>131.84028000000001</v>
      </c>
      <c r="H25" s="49">
        <f>Depreciation!E16</f>
        <v>131.84028000000001</v>
      </c>
      <c r="I25" s="49">
        <f>Depreciation!F16</f>
        <v>131.84028000000001</v>
      </c>
      <c r="J25" s="49">
        <f>Depreciation!G16</f>
        <v>131.84028000000001</v>
      </c>
      <c r="K25" s="49">
        <f>Depreciation!H16</f>
        <v>131.84028000000001</v>
      </c>
      <c r="L25" s="49">
        <f>Depreciation!I16</f>
        <v>131.84028000000001</v>
      </c>
      <c r="M25" s="49">
        <f>Depreciation!J16</f>
        <v>131.84028000000001</v>
      </c>
      <c r="N25" s="49">
        <f>Depreciation!K16</f>
        <v>131.84028000000001</v>
      </c>
      <c r="O25" s="49">
        <f>Depreciation!L16</f>
        <v>131.84028000000001</v>
      </c>
      <c r="P25" s="49">
        <f>Depreciation!M16</f>
        <v>131.84028000000001</v>
      </c>
      <c r="Q25" s="49">
        <f>Depreciation!N16</f>
        <v>131.84028000000001</v>
      </c>
      <c r="R25" s="49">
        <f>Depreciation!O16</f>
        <v>131.84028000000001</v>
      </c>
      <c r="S25" s="49">
        <f>Depreciation!P16</f>
        <v>131.84028000000001</v>
      </c>
      <c r="T25" s="49">
        <f>Depreciation!Q16</f>
        <v>131.84028000000001</v>
      </c>
      <c r="U25" s="49">
        <f>Depreciation!R16</f>
        <v>131.84028000000001</v>
      </c>
      <c r="V25" s="49">
        <f>Depreciation!S16</f>
        <v>131.84028000000001</v>
      </c>
      <c r="W25" s="49">
        <f>Depreciation!T16</f>
        <v>123.84996000000103</v>
      </c>
      <c r="X25" s="49">
        <f>Depreciation!U16</f>
        <v>0</v>
      </c>
    </row>
    <row r="26" spans="1:25" s="35" customFormat="1">
      <c r="A26" s="93"/>
      <c r="B26" s="53" t="s">
        <v>109</v>
      </c>
      <c r="C26" s="48"/>
      <c r="D26" s="48"/>
      <c r="E26" s="49">
        <f>+E24-E25-E23</f>
        <v>14.830779664999852</v>
      </c>
      <c r="F26" s="49">
        <f t="shared" ref="F26:W26" si="8">+F24-F25-F23</f>
        <v>37.633104664999848</v>
      </c>
      <c r="G26" s="49">
        <f t="shared" si="8"/>
        <v>17.561429664999821</v>
      </c>
      <c r="H26" s="49">
        <f t="shared" si="8"/>
        <v>38.220054664999878</v>
      </c>
      <c r="I26" s="49">
        <f t="shared" si="8"/>
        <v>58.771494664999835</v>
      </c>
      <c r="J26" s="49">
        <f t="shared" si="8"/>
        <v>79.210390414999864</v>
      </c>
      <c r="K26" s="49">
        <f t="shared" si="8"/>
        <v>99.531114702499821</v>
      </c>
      <c r="L26" s="49">
        <f t="shared" si="8"/>
        <v>119.72775895437482</v>
      </c>
      <c r="M26" s="49">
        <f t="shared" si="8"/>
        <v>139.79411916884362</v>
      </c>
      <c r="N26" s="49">
        <f t="shared" si="8"/>
        <v>159.72368114403577</v>
      </c>
      <c r="O26" s="49">
        <f t="shared" si="8"/>
        <v>169.05853934298756</v>
      </c>
      <c r="P26" s="49">
        <f t="shared" si="8"/>
        <v>165.89131810813694</v>
      </c>
      <c r="Q26" s="49">
        <f t="shared" si="8"/>
        <v>162.56573581154379</v>
      </c>
      <c r="R26" s="49">
        <f t="shared" si="8"/>
        <v>159.07387440012099</v>
      </c>
      <c r="S26" s="49">
        <f t="shared" si="8"/>
        <v>155.40741991812706</v>
      </c>
      <c r="T26" s="49">
        <f t="shared" si="8"/>
        <v>151.55764271203338</v>
      </c>
      <c r="U26" s="49">
        <f t="shared" si="8"/>
        <v>147.51537664563506</v>
      </c>
      <c r="V26" s="49">
        <f t="shared" si="8"/>
        <v>143.27099727591678</v>
      </c>
      <c r="W26" s="49">
        <f t="shared" si="8"/>
        <v>146.80471893771164</v>
      </c>
      <c r="X26" s="49">
        <f>+X24-X25-X23</f>
        <v>265.9752506825983</v>
      </c>
    </row>
    <row r="27" spans="1:25" s="35" customFormat="1">
      <c r="A27" s="93"/>
      <c r="B27" s="71" t="s">
        <v>110</v>
      </c>
      <c r="C27" s="56"/>
      <c r="D27" s="56"/>
      <c r="E27" s="49">
        <f>'Tax calculations'!B18</f>
        <v>2.9676390109664705</v>
      </c>
      <c r="F27" s="49">
        <f>'Tax calculations'!C18</f>
        <v>7.5303842434664698</v>
      </c>
      <c r="G27" s="49">
        <f>'Tax calculations'!D18</f>
        <v>3.5140420759664641</v>
      </c>
      <c r="H27" s="49">
        <f>'Tax calculations'!E18</f>
        <v>7.6478329384664754</v>
      </c>
      <c r="I27" s="49">
        <f>'Tax calculations'!F18</f>
        <v>11.760176082466467</v>
      </c>
      <c r="J27" s="49">
        <f>'Tax calculations'!G18</f>
        <v>15.849999122041472</v>
      </c>
      <c r="K27" s="49">
        <f>'Tax calculations'!H18</f>
        <v>19.916176051970215</v>
      </c>
      <c r="L27" s="49">
        <f>'Tax calculations'!I18</f>
        <v>23.957524566770402</v>
      </c>
      <c r="M27" s="49">
        <f>'Tax calculations'!J18</f>
        <v>27.972803245685608</v>
      </c>
      <c r="N27" s="49">
        <f>'Tax calculations'!K18</f>
        <v>31.960708596921556</v>
      </c>
      <c r="O27" s="49">
        <f>'Tax calculations'!L18</f>
        <v>33.828613722531813</v>
      </c>
      <c r="P27" s="49">
        <f>'Tax calculations'!M18</f>
        <v>33.194852753438205</v>
      </c>
      <c r="Q27" s="49">
        <f>'Tax calculations'!N18</f>
        <v>32.529403735889915</v>
      </c>
      <c r="R27" s="49">
        <f>'Tax calculations'!O18</f>
        <v>31.830682267464208</v>
      </c>
      <c r="S27" s="49">
        <f>'Tax calculations'!P18</f>
        <v>31.097024725617224</v>
      </c>
      <c r="T27" s="49">
        <f>'Tax calculations'!Q18</f>
        <v>30.32668430667788</v>
      </c>
      <c r="U27" s="49">
        <f>'Tax calculations'!R18</f>
        <v>29.51782686679158</v>
      </c>
      <c r="V27" s="49">
        <f>'Tax calculations'!S18</f>
        <v>28.668526554910947</v>
      </c>
      <c r="W27" s="49">
        <f>'Tax calculations'!T18</f>
        <v>29.375624259436098</v>
      </c>
      <c r="X27" s="49">
        <f>'Tax calculations'!U18</f>
        <v>53.221647661587923</v>
      </c>
    </row>
    <row r="28" spans="1:25" s="35" customFormat="1">
      <c r="A28" s="93"/>
      <c r="B28" s="71" t="s">
        <v>111</v>
      </c>
      <c r="C28" s="55"/>
      <c r="D28" s="55"/>
      <c r="E28" s="49">
        <f>E26-E27</f>
        <v>11.863140654033382</v>
      </c>
      <c r="F28" s="49">
        <f t="shared" ref="F28:W28" si="9">F26-F27</f>
        <v>30.102720421533377</v>
      </c>
      <c r="G28" s="49">
        <f t="shared" si="9"/>
        <v>14.047387589033356</v>
      </c>
      <c r="H28" s="49">
        <f t="shared" si="9"/>
        <v>30.572221726533403</v>
      </c>
      <c r="I28" s="49">
        <f t="shared" si="9"/>
        <v>47.01131858253337</v>
      </c>
      <c r="J28" s="49">
        <f t="shared" si="9"/>
        <v>63.36039129295839</v>
      </c>
      <c r="K28" s="49">
        <f t="shared" si="9"/>
        <v>79.614938650529609</v>
      </c>
      <c r="L28" s="49">
        <f t="shared" si="9"/>
        <v>95.770234387604418</v>
      </c>
      <c r="M28" s="49">
        <f t="shared" si="9"/>
        <v>111.82131592315801</v>
      </c>
      <c r="N28" s="49">
        <f t="shared" si="9"/>
        <v>127.7629725471142</v>
      </c>
      <c r="O28" s="49">
        <f t="shared" si="9"/>
        <v>135.22992562045573</v>
      </c>
      <c r="P28" s="49">
        <f t="shared" si="9"/>
        <v>132.69646535469874</v>
      </c>
      <c r="Q28" s="49">
        <f t="shared" si="9"/>
        <v>130.03633207565389</v>
      </c>
      <c r="R28" s="49">
        <f t="shared" si="9"/>
        <v>127.24319213265677</v>
      </c>
      <c r="S28" s="49">
        <f t="shared" si="9"/>
        <v>124.31039519250984</v>
      </c>
      <c r="T28" s="49">
        <f t="shared" si="9"/>
        <v>121.23095840535551</v>
      </c>
      <c r="U28" s="49">
        <f t="shared" si="9"/>
        <v>117.99754977884348</v>
      </c>
      <c r="V28" s="49">
        <f t="shared" si="9"/>
        <v>114.60247072100583</v>
      </c>
      <c r="W28" s="49">
        <f t="shared" si="9"/>
        <v>117.42909467827555</v>
      </c>
      <c r="X28" s="49">
        <f>X26-X27</f>
        <v>212.75360302101038</v>
      </c>
    </row>
    <row r="29" spans="1:25" s="35" customFormat="1">
      <c r="A29" s="93"/>
      <c r="B29" s="71" t="s">
        <v>112</v>
      </c>
      <c r="C29" s="55"/>
      <c r="D29" s="55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>
        <f>('Project Cost'!D2*10%)+Depreciation!B5</f>
        <v>291.52499999999998</v>
      </c>
    </row>
    <row r="30" spans="1:25" s="35" customFormat="1">
      <c r="A30" s="93"/>
      <c r="B30" s="71"/>
      <c r="C30" s="55"/>
      <c r="D30" s="55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</row>
    <row r="31" spans="1:25" s="35" customFormat="1">
      <c r="A31" s="93"/>
      <c r="B31" s="31" t="s">
        <v>113</v>
      </c>
      <c r="C31" s="57"/>
      <c r="D31" s="57">
        <f>-Assumptions!$B$8</f>
        <v>-2535</v>
      </c>
      <c r="E31" s="19">
        <f>E22+E23+E25+E28+E29</f>
        <v>361.27560502903339</v>
      </c>
      <c r="F31" s="19">
        <f t="shared" ref="F31:X31" si="10">F22+F23+F25+F28+F29</f>
        <v>356.71285979653339</v>
      </c>
      <c r="G31" s="19">
        <f t="shared" si="10"/>
        <v>317.85520196403337</v>
      </c>
      <c r="H31" s="19">
        <f t="shared" si="10"/>
        <v>311.57771110153345</v>
      </c>
      <c r="I31" s="19">
        <f t="shared" si="10"/>
        <v>305.21448295753339</v>
      </c>
      <c r="J31" s="19">
        <f t="shared" si="10"/>
        <v>298.76123066795839</v>
      </c>
      <c r="K31" s="19">
        <f t="shared" si="10"/>
        <v>292.21345302552959</v>
      </c>
      <c r="L31" s="19">
        <f t="shared" si="10"/>
        <v>285.56642376260442</v>
      </c>
      <c r="M31" s="19">
        <f t="shared" si="10"/>
        <v>278.815180298158</v>
      </c>
      <c r="N31" s="19">
        <f t="shared" si="10"/>
        <v>271.95451192211419</v>
      </c>
      <c r="O31" s="19">
        <f t="shared" si="10"/>
        <v>267.07020562045574</v>
      </c>
      <c r="P31" s="19">
        <f t="shared" si="10"/>
        <v>264.53674535469872</v>
      </c>
      <c r="Q31" s="19">
        <f t="shared" si="10"/>
        <v>261.8766120756539</v>
      </c>
      <c r="R31" s="19">
        <f t="shared" si="10"/>
        <v>259.08347213265677</v>
      </c>
      <c r="S31" s="19">
        <f t="shared" si="10"/>
        <v>256.15067519250988</v>
      </c>
      <c r="T31" s="19">
        <f t="shared" si="10"/>
        <v>253.07123840535553</v>
      </c>
      <c r="U31" s="19">
        <f t="shared" si="10"/>
        <v>249.83782977884348</v>
      </c>
      <c r="V31" s="19">
        <f t="shared" si="10"/>
        <v>246.44275072100584</v>
      </c>
      <c r="W31" s="19">
        <f t="shared" si="10"/>
        <v>241.27905467827657</v>
      </c>
      <c r="X31" s="19">
        <f t="shared" si="10"/>
        <v>504.27860302101033</v>
      </c>
    </row>
    <row r="32" spans="1:25" s="35" customFormat="1">
      <c r="A32" s="93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</row>
    <row r="33" spans="1:24" s="35" customFormat="1">
      <c r="A33" s="93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</row>
    <row r="34" spans="1:24" s="35" customFormat="1">
      <c r="A34" s="93"/>
      <c r="B34" s="11" t="s">
        <v>179</v>
      </c>
      <c r="C34" s="11"/>
      <c r="D34" s="11"/>
      <c r="E34" s="49">
        <f>E22</f>
        <v>217.57218437500001</v>
      </c>
      <c r="F34" s="49">
        <f t="shared" ref="F34:X34" si="11">F22</f>
        <v>194.76985937500001</v>
      </c>
      <c r="G34" s="49">
        <f t="shared" si="11"/>
        <v>171.96753437500001</v>
      </c>
      <c r="H34" s="49">
        <f t="shared" si="11"/>
        <v>149.16520937499999</v>
      </c>
      <c r="I34" s="49">
        <f t="shared" si="11"/>
        <v>126.36288437499999</v>
      </c>
      <c r="J34" s="49">
        <f t="shared" si="11"/>
        <v>103.560559375</v>
      </c>
      <c r="K34" s="49">
        <f t="shared" si="11"/>
        <v>80.758234375000001</v>
      </c>
      <c r="L34" s="49">
        <f t="shared" si="11"/>
        <v>57.955909374999997</v>
      </c>
      <c r="M34" s="49">
        <f t="shared" si="11"/>
        <v>35.153584375000001</v>
      </c>
      <c r="N34" s="49">
        <f t="shared" si="11"/>
        <v>12.351259375</v>
      </c>
      <c r="O34" s="49">
        <f t="shared" si="11"/>
        <v>0</v>
      </c>
      <c r="P34" s="49">
        <f t="shared" si="11"/>
        <v>0</v>
      </c>
      <c r="Q34" s="49">
        <f t="shared" si="11"/>
        <v>0</v>
      </c>
      <c r="R34" s="49">
        <f t="shared" si="11"/>
        <v>0</v>
      </c>
      <c r="S34" s="49">
        <f t="shared" si="11"/>
        <v>0</v>
      </c>
      <c r="T34" s="49">
        <f t="shared" si="11"/>
        <v>0</v>
      </c>
      <c r="U34" s="49">
        <f t="shared" si="11"/>
        <v>0</v>
      </c>
      <c r="V34" s="49">
        <f t="shared" si="11"/>
        <v>0</v>
      </c>
      <c r="W34" s="49">
        <f t="shared" si="11"/>
        <v>0</v>
      </c>
      <c r="X34" s="49">
        <f t="shared" si="11"/>
        <v>0</v>
      </c>
    </row>
    <row r="35" spans="1:24" s="35" customFormat="1">
      <c r="A35" s="93"/>
      <c r="B35" s="11" t="s">
        <v>181</v>
      </c>
      <c r="C35" s="11"/>
      <c r="D35" s="11"/>
      <c r="E35" s="19">
        <f>'Term Loan'!E20/10^6</f>
        <v>177.45</v>
      </c>
      <c r="F35" s="19">
        <f>'Term Loan'!E35/10^6</f>
        <v>177.45</v>
      </c>
      <c r="G35" s="19">
        <f>'Term Loan'!E50/10^6</f>
        <v>177.45</v>
      </c>
      <c r="H35" s="19">
        <f>'Term Loan'!E65/10^6</f>
        <v>177.45</v>
      </c>
      <c r="I35" s="19">
        <f>'Term Loan'!E80/10^6</f>
        <v>177.45</v>
      </c>
      <c r="J35" s="19">
        <f>'Term Loan'!E95/10^6</f>
        <v>177.45</v>
      </c>
      <c r="K35" s="19">
        <f>'Term Loan'!E110/10^6</f>
        <v>177.45</v>
      </c>
      <c r="L35" s="19">
        <f>'Term Loan'!E125/10^6</f>
        <v>177.45</v>
      </c>
      <c r="M35" s="19">
        <f>'Term Loan'!E140/10^6</f>
        <v>177.45</v>
      </c>
      <c r="N35" s="2">
        <f>'Term Loan'!E155/10^6</f>
        <v>177.45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</row>
    <row r="36" spans="1:24" s="35" customFormat="1">
      <c r="A36" s="93"/>
      <c r="B36" s="11" t="s">
        <v>182</v>
      </c>
      <c r="C36" s="11"/>
      <c r="D36" s="11">
        <f>-Assumptions!B12</f>
        <v>-760.5</v>
      </c>
      <c r="E36" s="117">
        <f>E31-E34-E35</f>
        <v>-33.746579345966609</v>
      </c>
      <c r="F36" s="117">
        <f t="shared" ref="F36:X36" si="12">F31-F34-F35</f>
        <v>-15.506999578466605</v>
      </c>
      <c r="G36" s="117">
        <f t="shared" si="12"/>
        <v>-31.562332410966633</v>
      </c>
      <c r="H36" s="117">
        <f t="shared" si="12"/>
        <v>-15.037498273466525</v>
      </c>
      <c r="I36" s="117">
        <f t="shared" si="12"/>
        <v>1.4015985825334099</v>
      </c>
      <c r="J36" s="117">
        <f t="shared" si="12"/>
        <v>17.750671292958401</v>
      </c>
      <c r="K36" s="117">
        <f t="shared" si="12"/>
        <v>34.005218650529599</v>
      </c>
      <c r="L36" s="117">
        <f t="shared" si="12"/>
        <v>50.160514387604422</v>
      </c>
      <c r="M36" s="117">
        <f t="shared" si="12"/>
        <v>66.211595923158001</v>
      </c>
      <c r="N36" s="117">
        <f t="shared" si="12"/>
        <v>82.153252547114221</v>
      </c>
      <c r="O36" s="117">
        <f t="shared" si="12"/>
        <v>267.07020562045574</v>
      </c>
      <c r="P36" s="117">
        <f t="shared" si="12"/>
        <v>264.53674535469872</v>
      </c>
      <c r="Q36" s="117">
        <f t="shared" si="12"/>
        <v>261.8766120756539</v>
      </c>
      <c r="R36" s="117">
        <f t="shared" si="12"/>
        <v>259.08347213265677</v>
      </c>
      <c r="S36" s="117">
        <f t="shared" si="12"/>
        <v>256.15067519250988</v>
      </c>
      <c r="T36" s="117">
        <f t="shared" si="12"/>
        <v>253.07123840535553</v>
      </c>
      <c r="U36" s="117">
        <f t="shared" si="12"/>
        <v>249.83782977884348</v>
      </c>
      <c r="V36" s="117">
        <f t="shared" si="12"/>
        <v>246.44275072100584</v>
      </c>
      <c r="W36" s="117">
        <f t="shared" si="12"/>
        <v>241.27905467827657</v>
      </c>
      <c r="X36" s="117">
        <f t="shared" si="12"/>
        <v>504.27860302101033</v>
      </c>
    </row>
    <row r="37" spans="1:24" s="35" customFormat="1">
      <c r="A37" s="93"/>
      <c r="B37" s="118" t="s">
        <v>180</v>
      </c>
      <c r="C37" s="119">
        <f>IRR(D36:X36)</f>
        <v>9.2063038313143442E-2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 s="35" customFormat="1">
      <c r="A38" s="93"/>
      <c r="B38" s="115"/>
      <c r="C38" s="115"/>
      <c r="D38" s="115"/>
      <c r="E38" s="115"/>
      <c r="F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</row>
    <row r="39" spans="1:24" s="35" customFormat="1">
      <c r="A39" s="93"/>
      <c r="B39" s="115"/>
      <c r="C39" s="115"/>
      <c r="D39" s="115"/>
      <c r="E39" s="115"/>
      <c r="F39" s="115"/>
      <c r="I39" s="115"/>
      <c r="J39" s="115"/>
      <c r="K39" s="115"/>
      <c r="L39" s="115"/>
      <c r="M39" s="115"/>
      <c r="N39" s="115"/>
      <c r="O39" s="115"/>
      <c r="P39" s="115"/>
      <c r="R39" s="115"/>
      <c r="S39" s="115"/>
      <c r="T39" s="115"/>
      <c r="U39" s="115"/>
      <c r="V39" s="115"/>
      <c r="W39" s="115"/>
      <c r="X39" s="115"/>
    </row>
    <row r="40" spans="1:24" s="35" customFormat="1">
      <c r="A40" s="93"/>
      <c r="F40" s="163"/>
      <c r="R40" s="115"/>
    </row>
    <row r="41" spans="1:24" s="35" customFormat="1">
      <c r="A41" s="93"/>
    </row>
  </sheetData>
  <dataConsolidate/>
  <phoneticPr fontId="0" type="noConversion"/>
  <pageMargins left="0" right="0" top="0" bottom="0" header="0" footer="0"/>
  <pageSetup scale="5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2:E28"/>
  <sheetViews>
    <sheetView tabSelected="1" workbookViewId="0">
      <selection activeCell="H21" sqref="H21"/>
    </sheetView>
  </sheetViews>
  <sheetFormatPr defaultRowHeight="12.75"/>
  <cols>
    <col min="2" max="2" width="18.42578125" bestFit="1" customWidth="1"/>
    <col min="3" max="3" width="11.85546875" bestFit="1" customWidth="1"/>
    <col min="4" max="4" width="13" customWidth="1"/>
    <col min="5" max="5" width="16.28515625" bestFit="1" customWidth="1"/>
  </cols>
  <sheetData>
    <row r="2" spans="2:5">
      <c r="B2" s="35" t="s">
        <v>129</v>
      </c>
    </row>
    <row r="5" spans="2:5">
      <c r="E5" s="68" t="s">
        <v>130</v>
      </c>
    </row>
    <row r="6" spans="2:5">
      <c r="B6" s="65" t="s">
        <v>118</v>
      </c>
      <c r="C6" s="37">
        <v>0</v>
      </c>
      <c r="E6" s="64"/>
    </row>
    <row r="7" spans="2:5">
      <c r="B7" s="66"/>
      <c r="C7" s="37"/>
      <c r="E7" s="67">
        <f>'P&amp;L'!C37</f>
        <v>9.2063038313143442E-2</v>
      </c>
    </row>
    <row r="8" spans="2:5">
      <c r="B8" s="65" t="s">
        <v>119</v>
      </c>
      <c r="C8" s="37">
        <v>0</v>
      </c>
    </row>
    <row r="9" spans="2:5">
      <c r="B9" s="66"/>
      <c r="C9" s="37"/>
    </row>
    <row r="10" spans="2:5">
      <c r="B10" s="65" t="s">
        <v>134</v>
      </c>
      <c r="C10" s="37">
        <v>0</v>
      </c>
    </row>
    <row r="11" spans="2:5">
      <c r="B11" s="65"/>
      <c r="C11" s="37"/>
    </row>
    <row r="12" spans="2:5">
      <c r="B12" s="65" t="s">
        <v>183</v>
      </c>
      <c r="C12" s="37">
        <v>0</v>
      </c>
    </row>
    <row r="15" spans="2:5">
      <c r="B15" s="144" t="s">
        <v>210</v>
      </c>
    </row>
    <row r="17" spans="2:5">
      <c r="B17" s="144" t="s">
        <v>209</v>
      </c>
      <c r="C17" s="145">
        <v>0.1</v>
      </c>
      <c r="D17" s="145" t="s">
        <v>208</v>
      </c>
      <c r="E17" s="146">
        <v>-0.1</v>
      </c>
    </row>
    <row r="18" spans="2:5">
      <c r="B18" s="66" t="s">
        <v>118</v>
      </c>
      <c r="C18" s="147">
        <v>0.1169</v>
      </c>
      <c r="D18" s="147">
        <f>$E$7</f>
        <v>9.2063038313143442E-2</v>
      </c>
      <c r="E18" s="147">
        <v>6.7100000000000007E-2</v>
      </c>
    </row>
    <row r="19" spans="2:5">
      <c r="B19" s="66" t="s">
        <v>119</v>
      </c>
      <c r="C19" s="147">
        <v>8.8800000000000004E-2</v>
      </c>
      <c r="D19" s="147">
        <f>D18</f>
        <v>9.2063038313143442E-2</v>
      </c>
      <c r="E19" s="147">
        <v>9.5299999999999996E-2</v>
      </c>
    </row>
    <row r="20" spans="2:5">
      <c r="B20" s="66" t="s">
        <v>134</v>
      </c>
      <c r="C20" s="148">
        <v>0.1235</v>
      </c>
      <c r="D20" s="147">
        <f t="shared" ref="D20:D21" si="0">D19</f>
        <v>9.2063038313143442E-2</v>
      </c>
      <c r="E20" s="147">
        <v>5.8900000000000001E-2</v>
      </c>
    </row>
    <row r="21" spans="2:5">
      <c r="B21" s="66" t="s">
        <v>183</v>
      </c>
      <c r="C21" s="147">
        <v>7.0400000000000004E-2</v>
      </c>
      <c r="D21" s="147">
        <f t="shared" si="0"/>
        <v>9.2063038313143442E-2</v>
      </c>
      <c r="E21" s="147">
        <v>0.1191</v>
      </c>
    </row>
    <row r="28" spans="2:5">
      <c r="E28" s="156"/>
    </row>
  </sheetData>
  <phoneticPr fontId="4" type="noConversion"/>
  <pageMargins left="0.7" right="0.7" top="0.75" bottom="0.75" header="0.3" footer="0.3"/>
  <pageSetup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Assumptions</vt:lpstr>
      <vt:lpstr>Project Cost</vt:lpstr>
      <vt:lpstr>Operations</vt:lpstr>
      <vt:lpstr>Term Loan</vt:lpstr>
      <vt:lpstr>Depreciation</vt:lpstr>
      <vt:lpstr>Tax calculations</vt:lpstr>
      <vt:lpstr>P&amp;L</vt:lpstr>
      <vt:lpstr>Sensitivity Analysis</vt:lpstr>
      <vt:lpstr>Assumptions!Print_Area</vt:lpstr>
      <vt:lpstr>Depreciation!Print_Area</vt:lpstr>
      <vt:lpstr>Operations!Print_Area</vt:lpstr>
      <vt:lpstr>'P&amp;L'!Print_Area</vt:lpstr>
      <vt:lpstr>'Tax calculations'!Print_Area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SS</cp:lastModifiedBy>
  <dcterms:created xsi:type="dcterms:W3CDTF">1996-10-14T23:33:28Z</dcterms:created>
  <dcterms:modified xsi:type="dcterms:W3CDTF">2012-12-10T09:04:23Z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_AdHocReviewCycleID">
    <vt:i4>-982923814</vt:i4>
  </property>
  <property fmtid="{D5CDD505-2E9C-101B-9397-08002B2CF9AE}" pid="4" name="_NewReviewCycle">
    <vt:lpwstr/>
  </property>
  <property fmtid="{D5CDD505-2E9C-101B-9397-08002B2CF9AE}" pid="5" name="_EmailSubject">
    <vt:lpwstr>Responses to CAR / CL issues evaluated </vt:lpwstr>
  </property>
  <property fmtid="{D5CDD505-2E9C-101B-9397-08002B2CF9AE}" pid="6" name="_AuthorEmail">
    <vt:lpwstr>kvsudarshan@tuv-nord.com</vt:lpwstr>
  </property>
  <property fmtid="{D5CDD505-2E9C-101B-9397-08002B2CF9AE}" pid="7" name="_AuthorEmailDisplayName">
    <vt:lpwstr>Sudarshan, K.V.</vt:lpwstr>
  </property>
  <property fmtid="{D5CDD505-2E9C-101B-9397-08002B2CF9AE}" pid="8" name="_PreviousAdHocReviewCycleID">
    <vt:i4>-2018803163</vt:i4>
  </property>
  <property fmtid="{D5CDD505-2E9C-101B-9397-08002B2CF9AE}" pid="9" name="_ReviewingToolsShownOnce">
    <vt:lpwstr/>
  </property>
</Properties>
</file>