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75" yWindow="135" windowWidth="9405" windowHeight="6405" activeTab="1"/>
  </bookViews>
  <sheets>
    <sheet name="NG prices" sheetId="5" r:id="rId1"/>
    <sheet name="Input" sheetId="1" r:id="rId2"/>
    <sheet name="Tariff" sheetId="3" r:id="rId3"/>
    <sheet name="pool cost" sheetId="4" state="hidden" r:id="rId4"/>
    <sheet name="P&amp;L" sheetId="6" r:id="rId5"/>
    <sheet name="Term Loan" sheetId="8" r:id="rId6"/>
    <sheet name="Cash Flow" sheetId="7" r:id="rId7"/>
  </sheets>
  <externalReferences>
    <externalReference r:id="rId8"/>
    <externalReference r:id="rId9"/>
  </externalReferences>
  <definedNames>
    <definedName name="GasPRice">[1]Assumptions!$D$5</definedName>
    <definedName name="_xlnm.Print_Area" localSheetId="1">Input!$B$13:$E$95</definedName>
  </definedNames>
  <calcPr calcId="125725" iterate="1"/>
</workbook>
</file>

<file path=xl/calcChain.xml><?xml version="1.0" encoding="utf-8"?>
<calcChain xmlns="http://schemas.openxmlformats.org/spreadsheetml/2006/main">
  <c r="D104" i="1"/>
  <c r="F57" i="3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E57"/>
  <c r="D46" i="6"/>
  <c r="E32" i="3"/>
  <c r="D55" i="1"/>
  <c r="D43" l="1"/>
  <c r="D90" s="1"/>
  <c r="D20"/>
  <c r="D89" s="1"/>
  <c r="D92"/>
  <c r="D95" i="6" l="1"/>
  <c r="D11" i="7" l="1"/>
  <c r="E11" s="1"/>
  <c r="D65" i="1" l="1"/>
  <c r="D72" i="3"/>
  <c r="D73" s="1"/>
  <c r="C24"/>
  <c r="X74" l="1"/>
  <c r="W64" i="6" s="1"/>
  <c r="W33" s="1"/>
  <c r="P74" i="3"/>
  <c r="O64" i="6" s="1"/>
  <c r="O33" s="1"/>
  <c r="T74" i="3"/>
  <c r="S64" i="6" s="1"/>
  <c r="S33" s="1"/>
  <c r="H74" i="3"/>
  <c r="G64" i="6" s="1"/>
  <c r="G33" s="1"/>
  <c r="L74" i="3"/>
  <c r="K64" i="6" s="1"/>
  <c r="K33" s="1"/>
  <c r="O74" i="3"/>
  <c r="N64" i="6" s="1"/>
  <c r="N33" s="1"/>
  <c r="K74" i="3"/>
  <c r="J64" i="6" s="1"/>
  <c r="J33" s="1"/>
  <c r="G74" i="3"/>
  <c r="F64" i="6" s="1"/>
  <c r="F33" s="1"/>
  <c r="W74" i="3"/>
  <c r="V64" i="6" s="1"/>
  <c r="V33" s="1"/>
  <c r="S74" i="3"/>
  <c r="R64" i="6" s="1"/>
  <c r="R33" s="1"/>
  <c r="I74" i="3"/>
  <c r="H64" i="6" s="1"/>
  <c r="H33" s="1"/>
  <c r="E74" i="3"/>
  <c r="D64" i="6" s="1"/>
  <c r="M74" i="3"/>
  <c r="L64" i="6" s="1"/>
  <c r="L33" s="1"/>
  <c r="Q74" i="3"/>
  <c r="P64" i="6" s="1"/>
  <c r="P33" s="1"/>
  <c r="U74" i="3"/>
  <c r="T64" i="6" s="1"/>
  <c r="T33" s="1"/>
  <c r="N74" i="3"/>
  <c r="M64" i="6" s="1"/>
  <c r="M33" s="1"/>
  <c r="J74" i="3"/>
  <c r="I64" i="6" s="1"/>
  <c r="I33" s="1"/>
  <c r="F74" i="3"/>
  <c r="E64" i="6" s="1"/>
  <c r="E33" s="1"/>
  <c r="V74" i="3"/>
  <c r="U64" i="6" s="1"/>
  <c r="U33" s="1"/>
  <c r="R74" i="3"/>
  <c r="Q64" i="6" s="1"/>
  <c r="Q33" s="1"/>
  <c r="D34" i="1"/>
  <c r="E22" i="5"/>
  <c r="E18"/>
  <c r="E19" s="1"/>
  <c r="D14"/>
  <c r="E9"/>
  <c r="E10" s="1"/>
  <c r="E12" s="1"/>
  <c r="E15" s="1"/>
  <c r="B3" i="1"/>
  <c r="E75" i="3" l="1"/>
  <c r="F75" s="1"/>
  <c r="G75" s="1"/>
  <c r="H75" s="1"/>
  <c r="I75" s="1"/>
  <c r="J75" s="1"/>
  <c r="K75" s="1"/>
  <c r="L75" s="1"/>
  <c r="M75" s="1"/>
  <c r="N75" s="1"/>
  <c r="O75" s="1"/>
  <c r="P75" s="1"/>
  <c r="Q75" s="1"/>
  <c r="R75" s="1"/>
  <c r="S75" s="1"/>
  <c r="T75" s="1"/>
  <c r="U75" s="1"/>
  <c r="V75" s="1"/>
  <c r="W75" s="1"/>
  <c r="X75" s="1"/>
  <c r="D44" i="6"/>
  <c r="E30" i="3"/>
  <c r="E20" i="5"/>
  <c r="E21" s="1"/>
  <c r="E23" s="1"/>
  <c r="E24" s="1"/>
  <c r="E44" i="6" l="1"/>
  <c r="E46" s="1"/>
  <c r="E25" i="5"/>
  <c r="D45" i="6"/>
  <c r="E45" s="1"/>
  <c r="F45" s="1"/>
  <c r="G45" s="1"/>
  <c r="H45" s="1"/>
  <c r="I45" s="1"/>
  <c r="J45" s="1"/>
  <c r="K45" s="1"/>
  <c r="L45" s="1"/>
  <c r="M45" s="1"/>
  <c r="N45" s="1"/>
  <c r="O45" s="1"/>
  <c r="P45" s="1"/>
  <c r="Q45" s="1"/>
  <c r="R45" s="1"/>
  <c r="S45" s="1"/>
  <c r="T45" s="1"/>
  <c r="U45" s="1"/>
  <c r="V45" s="1"/>
  <c r="W45" s="1"/>
  <c r="E31" i="3"/>
  <c r="F31" s="1"/>
  <c r="G31" s="1"/>
  <c r="H31" s="1"/>
  <c r="I31" s="1"/>
  <c r="F44" i="6" l="1"/>
  <c r="F46" s="1"/>
  <c r="J31" i="3"/>
  <c r="B3" i="6"/>
  <c r="G44" l="1"/>
  <c r="G46" s="1"/>
  <c r="K31" i="3"/>
  <c r="E65"/>
  <c r="F65" s="1"/>
  <c r="G65" l="1"/>
  <c r="H44" i="6"/>
  <c r="H46" s="1"/>
  <c r="L31" i="3"/>
  <c r="E3"/>
  <c r="E4" s="1"/>
  <c r="B6" i="8"/>
  <c r="B4"/>
  <c r="D10"/>
  <c r="H65" i="3" l="1"/>
  <c r="I44" i="6"/>
  <c r="I46" s="1"/>
  <c r="M31" i="3"/>
  <c r="F3"/>
  <c r="F4" s="1"/>
  <c r="G3" s="1"/>
  <c r="G4" s="1"/>
  <c r="E5"/>
  <c r="E10" i="6"/>
  <c r="B69"/>
  <c r="I65" i="3" l="1"/>
  <c r="E7"/>
  <c r="E8" s="1"/>
  <c r="J44" i="6"/>
  <c r="J46" s="1"/>
  <c r="N31" i="3"/>
  <c r="F5"/>
  <c r="F10" i="6"/>
  <c r="E10" i="8"/>
  <c r="H3" i="3"/>
  <c r="H4" s="1"/>
  <c r="G5"/>
  <c r="B10" i="7"/>
  <c r="B9"/>
  <c r="B8"/>
  <c r="B7"/>
  <c r="F24" i="3" l="1"/>
  <c r="J65"/>
  <c r="K44" i="6"/>
  <c r="K46" s="1"/>
  <c r="O31" i="3"/>
  <c r="G10" i="6"/>
  <c r="F10" i="8"/>
  <c r="H5" i="3"/>
  <c r="I3"/>
  <c r="I4" s="1"/>
  <c r="G7"/>
  <c r="G24"/>
  <c r="D11" i="6"/>
  <c r="F8" i="7" s="1"/>
  <c r="D32" i="1"/>
  <c r="D54"/>
  <c r="K65" i="3" l="1"/>
  <c r="L44" i="6"/>
  <c r="L46" s="1"/>
  <c r="P31" i="3"/>
  <c r="D33" i="1"/>
  <c r="D15" i="7"/>
  <c r="H10" i="6"/>
  <c r="G10" i="8"/>
  <c r="F7" i="3"/>
  <c r="D35" i="1"/>
  <c r="D39" i="3" s="1"/>
  <c r="E40" s="1"/>
  <c r="D26" i="1"/>
  <c r="J3" i="3"/>
  <c r="J4" s="1"/>
  <c r="I5"/>
  <c r="G8"/>
  <c r="G9" s="1"/>
  <c r="G28"/>
  <c r="G29" s="1"/>
  <c r="H7"/>
  <c r="H24"/>
  <c r="D11" i="8"/>
  <c r="D12" i="6"/>
  <c r="F9" i="7" s="1"/>
  <c r="A45" i="3"/>
  <c r="A43" s="1"/>
  <c r="A41" s="1"/>
  <c r="G18" l="1"/>
  <c r="G17"/>
  <c r="G59" s="1"/>
  <c r="G19"/>
  <c r="G20" s="1"/>
  <c r="G14" s="1"/>
  <c r="L65"/>
  <c r="C14" i="8"/>
  <c r="D15" s="1"/>
  <c r="M44" i="6"/>
  <c r="M46" s="1"/>
  <c r="Q31" i="3"/>
  <c r="F30"/>
  <c r="F32" s="1"/>
  <c r="E15" i="7"/>
  <c r="E41" i="3"/>
  <c r="E42" s="1"/>
  <c r="I10" i="6"/>
  <c r="H10" i="8"/>
  <c r="E28" i="3"/>
  <c r="E29" s="1"/>
  <c r="E33" s="1"/>
  <c r="E9"/>
  <c r="F8"/>
  <c r="F9" s="1"/>
  <c r="F28"/>
  <c r="F29" s="1"/>
  <c r="J5"/>
  <c r="K3"/>
  <c r="K4" s="1"/>
  <c r="H8"/>
  <c r="H9" s="1"/>
  <c r="H28"/>
  <c r="H29" s="1"/>
  <c r="I7"/>
  <c r="I24"/>
  <c r="D12" i="8"/>
  <c r="D63" i="6"/>
  <c r="D69"/>
  <c r="D97" s="1"/>
  <c r="E11"/>
  <c r="D13"/>
  <c r="D31" s="1"/>
  <c r="E31" s="1"/>
  <c r="F31" s="1"/>
  <c r="G31" s="1"/>
  <c r="H31" s="1"/>
  <c r="I31" s="1"/>
  <c r="J31" s="1"/>
  <c r="K31" s="1"/>
  <c r="L31" s="1"/>
  <c r="M31" s="1"/>
  <c r="N31" s="1"/>
  <c r="O31" s="1"/>
  <c r="P31" s="1"/>
  <c r="Q31" s="1"/>
  <c r="R31" s="1"/>
  <c r="S31" s="1"/>
  <c r="T31" s="1"/>
  <c r="U31" s="1"/>
  <c r="V31" s="1"/>
  <c r="W31" s="1"/>
  <c r="E12" i="3" l="1"/>
  <c r="E18"/>
  <c r="E19"/>
  <c r="H18"/>
  <c r="H17"/>
  <c r="H59" s="1"/>
  <c r="H19"/>
  <c r="H20" s="1"/>
  <c r="H14" s="1"/>
  <c r="F18"/>
  <c r="F17"/>
  <c r="F59" s="1"/>
  <c r="F19"/>
  <c r="F20" s="1"/>
  <c r="F14" s="1"/>
  <c r="M65"/>
  <c r="N44" i="6"/>
  <c r="N46" s="1"/>
  <c r="G30" i="3"/>
  <c r="G32" s="1"/>
  <c r="F33"/>
  <c r="F12" s="1"/>
  <c r="R31"/>
  <c r="E43"/>
  <c r="E44" s="1"/>
  <c r="E45" s="1"/>
  <c r="E46" s="1"/>
  <c r="J10" i="6"/>
  <c r="I10" i="8"/>
  <c r="E11"/>
  <c r="G8" i="7"/>
  <c r="E17" i="3"/>
  <c r="E59" s="1"/>
  <c r="J7"/>
  <c r="J24"/>
  <c r="I8"/>
  <c r="I9" s="1"/>
  <c r="I28"/>
  <c r="I29" s="1"/>
  <c r="L3"/>
  <c r="L4" s="1"/>
  <c r="K5"/>
  <c r="D16" i="8"/>
  <c r="D17" s="1"/>
  <c r="D98" i="6"/>
  <c r="D54"/>
  <c r="E12"/>
  <c r="D16"/>
  <c r="I18" i="3" l="1"/>
  <c r="I17"/>
  <c r="I59" s="1"/>
  <c r="I19"/>
  <c r="I20" s="1"/>
  <c r="I14" s="1"/>
  <c r="N65"/>
  <c r="D53" i="6"/>
  <c r="E53" s="1"/>
  <c r="F53" s="1"/>
  <c r="G53" s="1"/>
  <c r="H53" s="1"/>
  <c r="I53" s="1"/>
  <c r="J53" s="1"/>
  <c r="K53" s="1"/>
  <c r="L53" s="1"/>
  <c r="M53" s="1"/>
  <c r="N53" s="1"/>
  <c r="O53" s="1"/>
  <c r="P53" s="1"/>
  <c r="Q53" s="1"/>
  <c r="R53" s="1"/>
  <c r="S53" s="1"/>
  <c r="T53" s="1"/>
  <c r="U53" s="1"/>
  <c r="V53" s="1"/>
  <c r="W53" s="1"/>
  <c r="F58" i="3"/>
  <c r="O44" i="6"/>
  <c r="O46" s="1"/>
  <c r="H30" i="3"/>
  <c r="H32" s="1"/>
  <c r="G33"/>
  <c r="G12" s="1"/>
  <c r="S31"/>
  <c r="E47"/>
  <c r="E50" s="1"/>
  <c r="E49"/>
  <c r="E15" s="1"/>
  <c r="K10" i="6"/>
  <c r="J10" i="8"/>
  <c r="E13" i="6"/>
  <c r="E16" s="1"/>
  <c r="G9" i="7"/>
  <c r="D73" i="6"/>
  <c r="D43"/>
  <c r="D47" s="1"/>
  <c r="D32" s="1"/>
  <c r="E58" i="3"/>
  <c r="E20"/>
  <c r="K7"/>
  <c r="K24"/>
  <c r="J8"/>
  <c r="J9" s="1"/>
  <c r="J28"/>
  <c r="J29" s="1"/>
  <c r="L5"/>
  <c r="M3"/>
  <c r="M4" s="1"/>
  <c r="D18" i="8"/>
  <c r="D19" s="1"/>
  <c r="E63" i="6"/>
  <c r="E12" i="8"/>
  <c r="E98" i="6"/>
  <c r="E69"/>
  <c r="E97" s="1"/>
  <c r="F11"/>
  <c r="H8" i="7" s="1"/>
  <c r="D17" i="6"/>
  <c r="D18" s="1"/>
  <c r="K11" i="4"/>
  <c r="L11" s="1"/>
  <c r="E54" i="6" l="1"/>
  <c r="J18" i="3"/>
  <c r="J17"/>
  <c r="J59" s="1"/>
  <c r="J19"/>
  <c r="J20" s="1"/>
  <c r="J14" s="1"/>
  <c r="O65"/>
  <c r="P44" i="6"/>
  <c r="P46" s="1"/>
  <c r="D55"/>
  <c r="G58" i="3"/>
  <c r="I30"/>
  <c r="I32" s="1"/>
  <c r="H33"/>
  <c r="H12" s="1"/>
  <c r="T31"/>
  <c r="E51"/>
  <c r="E48"/>
  <c r="F40" s="1"/>
  <c r="F41" s="1"/>
  <c r="F42" s="1"/>
  <c r="F43" s="1"/>
  <c r="F44" s="1"/>
  <c r="F45" s="1"/>
  <c r="F46" s="1"/>
  <c r="F47" s="1"/>
  <c r="F50" s="1"/>
  <c r="E14"/>
  <c r="L10" i="6"/>
  <c r="K10" i="8"/>
  <c r="N3" i="3"/>
  <c r="N4" s="1"/>
  <c r="M5"/>
  <c r="K8"/>
  <c r="K9" s="1"/>
  <c r="K28"/>
  <c r="K29" s="1"/>
  <c r="L7"/>
  <c r="L24"/>
  <c r="E43" i="6"/>
  <c r="F11" i="8"/>
  <c r="D20"/>
  <c r="D21" s="1"/>
  <c r="D24" s="1"/>
  <c r="D29" i="6" s="1"/>
  <c r="F98"/>
  <c r="E73"/>
  <c r="E17"/>
  <c r="E18" s="1"/>
  <c r="F12"/>
  <c r="H9" i="7" s="1"/>
  <c r="P65" i="3" l="1"/>
  <c r="K18"/>
  <c r="K17"/>
  <c r="K59" s="1"/>
  <c r="K19"/>
  <c r="K20" s="1"/>
  <c r="K14" s="1"/>
  <c r="Q44" i="6"/>
  <c r="Q46" s="1"/>
  <c r="H58" i="3"/>
  <c r="J30"/>
  <c r="J32" s="1"/>
  <c r="I33"/>
  <c r="I12" s="1"/>
  <c r="U31"/>
  <c r="F49"/>
  <c r="F15" s="1"/>
  <c r="M10" i="6"/>
  <c r="L10" i="8"/>
  <c r="F48" i="3"/>
  <c r="G40" s="1"/>
  <c r="G41" s="1"/>
  <c r="G42" s="1"/>
  <c r="L8"/>
  <c r="L9" s="1"/>
  <c r="L28"/>
  <c r="L29" s="1"/>
  <c r="F51"/>
  <c r="N5"/>
  <c r="O3"/>
  <c r="O4" s="1"/>
  <c r="M7"/>
  <c r="M24"/>
  <c r="D22" i="8"/>
  <c r="D25" s="1"/>
  <c r="F12"/>
  <c r="G98" i="6"/>
  <c r="F73"/>
  <c r="F63"/>
  <c r="F13"/>
  <c r="G11"/>
  <c r="F69"/>
  <c r="F97" s="1"/>
  <c r="L18" i="3" l="1"/>
  <c r="L17"/>
  <c r="L59" s="1"/>
  <c r="L19"/>
  <c r="L20" s="1"/>
  <c r="L14" s="1"/>
  <c r="Q65"/>
  <c r="R44" i="6"/>
  <c r="R46" s="1"/>
  <c r="K30" i="3"/>
  <c r="K32" s="1"/>
  <c r="J33"/>
  <c r="J12" s="1"/>
  <c r="I58"/>
  <c r="V31"/>
  <c r="G11" i="8"/>
  <c r="I8" i="7"/>
  <c r="N10" i="6"/>
  <c r="M10" i="8"/>
  <c r="G43" i="3"/>
  <c r="G44" s="1"/>
  <c r="M8"/>
  <c r="M9" s="1"/>
  <c r="M28"/>
  <c r="M29" s="1"/>
  <c r="P3"/>
  <c r="P4" s="1"/>
  <c r="O5"/>
  <c r="N7"/>
  <c r="N24"/>
  <c r="F13" i="7"/>
  <c r="D23" i="8"/>
  <c r="E15" s="1"/>
  <c r="D26"/>
  <c r="H98" i="6"/>
  <c r="G73"/>
  <c r="G12"/>
  <c r="I9" i="7" s="1"/>
  <c r="F16" i="6"/>
  <c r="F43" s="1"/>
  <c r="F54"/>
  <c r="M18" i="3" l="1"/>
  <c r="M17"/>
  <c r="M59" s="1"/>
  <c r="M19"/>
  <c r="M20" s="1"/>
  <c r="M14" s="1"/>
  <c r="R65"/>
  <c r="S44" i="6"/>
  <c r="S46" s="1"/>
  <c r="L30" i="3"/>
  <c r="L32" s="1"/>
  <c r="K33"/>
  <c r="K12" s="1"/>
  <c r="J58"/>
  <c r="W31"/>
  <c r="O10" i="6"/>
  <c r="N10" i="8"/>
  <c r="G45" i="3"/>
  <c r="G46" s="1"/>
  <c r="P5"/>
  <c r="Q3"/>
  <c r="Q4" s="1"/>
  <c r="N8"/>
  <c r="N9" s="1"/>
  <c r="N28"/>
  <c r="N29" s="1"/>
  <c r="O7"/>
  <c r="O24"/>
  <c r="G12" i="8"/>
  <c r="E16"/>
  <c r="I98" i="6"/>
  <c r="I73" s="1"/>
  <c r="H73"/>
  <c r="F17"/>
  <c r="F18" s="1"/>
  <c r="G63"/>
  <c r="G13"/>
  <c r="H11"/>
  <c r="G69"/>
  <c r="G97" s="1"/>
  <c r="S65" i="3" l="1"/>
  <c r="N18"/>
  <c r="N17"/>
  <c r="N59" s="1"/>
  <c r="N19"/>
  <c r="N20" s="1"/>
  <c r="N14" s="1"/>
  <c r="T44" i="6"/>
  <c r="T46" s="1"/>
  <c r="M30" i="3"/>
  <c r="M32" s="1"/>
  <c r="L33"/>
  <c r="L12" s="1"/>
  <c r="K58"/>
  <c r="X31"/>
  <c r="P10" i="6"/>
  <c r="O10" i="8"/>
  <c r="H11"/>
  <c r="J8" i="7"/>
  <c r="G47" i="3"/>
  <c r="G50" s="1"/>
  <c r="G49"/>
  <c r="G15" s="1"/>
  <c r="R3"/>
  <c r="R4" s="1"/>
  <c r="Q5"/>
  <c r="P7"/>
  <c r="P24"/>
  <c r="O8"/>
  <c r="O9" s="1"/>
  <c r="O28"/>
  <c r="O29" s="1"/>
  <c r="E17" i="8"/>
  <c r="J98" i="6"/>
  <c r="J73" s="1"/>
  <c r="F10" i="7"/>
  <c r="H12" i="6"/>
  <c r="J9" i="7" s="1"/>
  <c r="G54" i="6"/>
  <c r="G16"/>
  <c r="G43" s="1"/>
  <c r="O18" i="3" l="1"/>
  <c r="O17"/>
  <c r="O59" s="1"/>
  <c r="O19"/>
  <c r="O20" s="1"/>
  <c r="O14" s="1"/>
  <c r="T65"/>
  <c r="U44" i="6"/>
  <c r="U46" s="1"/>
  <c r="N30" i="3"/>
  <c r="N32" s="1"/>
  <c r="M33"/>
  <c r="M12" s="1"/>
  <c r="L58"/>
  <c r="Q10" i="6"/>
  <c r="P10" i="8"/>
  <c r="Q7" i="3"/>
  <c r="Q24"/>
  <c r="G48"/>
  <c r="H40" s="1"/>
  <c r="P8"/>
  <c r="P9" s="1"/>
  <c r="P28"/>
  <c r="P29" s="1"/>
  <c r="R5"/>
  <c r="S3"/>
  <c r="S4" s="1"/>
  <c r="G51"/>
  <c r="K98" i="6"/>
  <c r="L98" s="1"/>
  <c r="L73" s="1"/>
  <c r="H12" i="8"/>
  <c r="E18"/>
  <c r="E19" s="1"/>
  <c r="D33" i="6"/>
  <c r="G17"/>
  <c r="G18" s="1"/>
  <c r="I11"/>
  <c r="H13"/>
  <c r="H63"/>
  <c r="H69"/>
  <c r="H97" s="1"/>
  <c r="P18" i="3" l="1"/>
  <c r="P17"/>
  <c r="P59" s="1"/>
  <c r="P19"/>
  <c r="P20" s="1"/>
  <c r="P14" s="1"/>
  <c r="U65"/>
  <c r="V44" i="6"/>
  <c r="V46" s="1"/>
  <c r="M58" i="3"/>
  <c r="O30"/>
  <c r="O32" s="1"/>
  <c r="N33"/>
  <c r="N12" s="1"/>
  <c r="R10" i="6"/>
  <c r="Q10" i="8"/>
  <c r="I11"/>
  <c r="K8" i="7"/>
  <c r="K73" i="6"/>
  <c r="T3" i="3"/>
  <c r="T4" s="1"/>
  <c r="S5"/>
  <c r="R7"/>
  <c r="R24"/>
  <c r="H41"/>
  <c r="H42" s="1"/>
  <c r="Q8"/>
  <c r="Q9" s="1"/>
  <c r="Q28"/>
  <c r="Q29" s="1"/>
  <c r="M98" i="6"/>
  <c r="M73" s="1"/>
  <c r="E20" i="8"/>
  <c r="E21" s="1"/>
  <c r="D71" i="6"/>
  <c r="F14" i="7"/>
  <c r="G10"/>
  <c r="H16" i="6"/>
  <c r="H43" s="1"/>
  <c r="H54"/>
  <c r="I12"/>
  <c r="K9" i="7" s="1"/>
  <c r="V65" i="3" l="1"/>
  <c r="Q18"/>
  <c r="Q17"/>
  <c r="Q59" s="1"/>
  <c r="Q19"/>
  <c r="Q20" s="1"/>
  <c r="Q14" s="1"/>
  <c r="W44" i="6"/>
  <c r="W46" s="1"/>
  <c r="P30" i="3"/>
  <c r="P32" s="1"/>
  <c r="O33"/>
  <c r="O12" s="1"/>
  <c r="N58"/>
  <c r="N98" i="6"/>
  <c r="O98" s="1"/>
  <c r="P98" s="1"/>
  <c r="Q98" s="1"/>
  <c r="R98" s="1"/>
  <c r="S98" s="1"/>
  <c r="T98" s="1"/>
  <c r="U98" s="1"/>
  <c r="V98" s="1"/>
  <c r="W98" s="1"/>
  <c r="S10"/>
  <c r="R10" i="8"/>
  <c r="R8" i="3"/>
  <c r="R9" s="1"/>
  <c r="R28"/>
  <c r="R29" s="1"/>
  <c r="T5"/>
  <c r="U3"/>
  <c r="U4" s="1"/>
  <c r="H43"/>
  <c r="H44" s="1"/>
  <c r="S7"/>
  <c r="S24"/>
  <c r="E22" i="8"/>
  <c r="E23" s="1"/>
  <c r="F15" s="1"/>
  <c r="E24"/>
  <c r="I12"/>
  <c r="I63" i="6"/>
  <c r="J11"/>
  <c r="I13"/>
  <c r="I69"/>
  <c r="I97" s="1"/>
  <c r="H17"/>
  <c r="H18" s="1"/>
  <c r="E29" l="1"/>
  <c r="G13" i="7" s="1"/>
  <c r="R18" i="3"/>
  <c r="R19"/>
  <c r="R20" s="1"/>
  <c r="R14" s="1"/>
  <c r="R17"/>
  <c r="R59" s="1"/>
  <c r="W65"/>
  <c r="O58"/>
  <c r="Q30"/>
  <c r="Q32" s="1"/>
  <c r="P33"/>
  <c r="P12" s="1"/>
  <c r="O73" i="6"/>
  <c r="N73"/>
  <c r="J11" i="8"/>
  <c r="L8" i="7"/>
  <c r="T10" i="6"/>
  <c r="S10" i="8"/>
  <c r="H45" i="3"/>
  <c r="H46" s="1"/>
  <c r="S8"/>
  <c r="S9" s="1"/>
  <c r="S28"/>
  <c r="S29" s="1"/>
  <c r="T7"/>
  <c r="T24"/>
  <c r="V3"/>
  <c r="V4" s="1"/>
  <c r="U5"/>
  <c r="F16" i="8"/>
  <c r="F17" s="1"/>
  <c r="E25"/>
  <c r="H10" i="7"/>
  <c r="Q73" i="6"/>
  <c r="P73"/>
  <c r="I54"/>
  <c r="I16"/>
  <c r="I43" s="1"/>
  <c r="J12"/>
  <c r="L9" i="7" s="1"/>
  <c r="R73" i="6"/>
  <c r="S18" i="3" l="1"/>
  <c r="S17"/>
  <c r="S59" s="1"/>
  <c r="S19"/>
  <c r="S20" s="1"/>
  <c r="S14" s="1"/>
  <c r="X65"/>
  <c r="R30"/>
  <c r="R32" s="1"/>
  <c r="Q33"/>
  <c r="Q12" s="1"/>
  <c r="P58"/>
  <c r="U10" i="6"/>
  <c r="T10" i="8"/>
  <c r="H47" i="3"/>
  <c r="H50" s="1"/>
  <c r="H49"/>
  <c r="H15" s="1"/>
  <c r="U7"/>
  <c r="U24"/>
  <c r="V5"/>
  <c r="W3"/>
  <c r="W4" s="1"/>
  <c r="T8"/>
  <c r="T9" s="1"/>
  <c r="T28"/>
  <c r="T29" s="1"/>
  <c r="F18" i="8"/>
  <c r="F19" s="1"/>
  <c r="J12"/>
  <c r="E26"/>
  <c r="J63" i="6"/>
  <c r="K11"/>
  <c r="J13"/>
  <c r="J69"/>
  <c r="J97" s="1"/>
  <c r="I17"/>
  <c r="I18" s="1"/>
  <c r="S73"/>
  <c r="T18" i="3" l="1"/>
  <c r="T17"/>
  <c r="T59" s="1"/>
  <c r="T19"/>
  <c r="T20" s="1"/>
  <c r="T14" s="1"/>
  <c r="S30"/>
  <c r="S32" s="1"/>
  <c r="R33"/>
  <c r="R12" s="1"/>
  <c r="Q58"/>
  <c r="K11" i="8"/>
  <c r="M8" i="7"/>
  <c r="V10" i="6"/>
  <c r="U10" i="8"/>
  <c r="H48" i="3"/>
  <c r="I40" s="1"/>
  <c r="I41" s="1"/>
  <c r="I42" s="1"/>
  <c r="V7"/>
  <c r="V24"/>
  <c r="U8"/>
  <c r="U9" s="1"/>
  <c r="U28"/>
  <c r="U29" s="1"/>
  <c r="H51"/>
  <c r="X3"/>
  <c r="X4" s="1"/>
  <c r="W5"/>
  <c r="F20" i="8"/>
  <c r="F21" s="1"/>
  <c r="I10" i="7"/>
  <c r="K12" i="6"/>
  <c r="M9" i="7" s="1"/>
  <c r="J54" i="6"/>
  <c r="J16"/>
  <c r="J43" s="1"/>
  <c r="T73"/>
  <c r="U18" i="3" l="1"/>
  <c r="U19"/>
  <c r="U20" s="1"/>
  <c r="U14" s="1"/>
  <c r="U17"/>
  <c r="U59" s="1"/>
  <c r="T30"/>
  <c r="T32" s="1"/>
  <c r="S33"/>
  <c r="S12" s="1"/>
  <c r="R58"/>
  <c r="W10" i="6"/>
  <c r="V10" i="8"/>
  <c r="I43" i="3"/>
  <c r="I44" s="1"/>
  <c r="X5"/>
  <c r="W7"/>
  <c r="W24"/>
  <c r="V8"/>
  <c r="V9" s="1"/>
  <c r="V28"/>
  <c r="V29" s="1"/>
  <c r="F24" i="8"/>
  <c r="F22"/>
  <c r="F25" s="1"/>
  <c r="K12"/>
  <c r="J17" i="6"/>
  <c r="J18" s="1"/>
  <c r="K63"/>
  <c r="L11"/>
  <c r="K13"/>
  <c r="K69"/>
  <c r="K97" s="1"/>
  <c r="U73"/>
  <c r="F29" l="1"/>
  <c r="H13" i="7" s="1"/>
  <c r="V18" i="3"/>
  <c r="V17"/>
  <c r="V59" s="1"/>
  <c r="V19"/>
  <c r="V20" s="1"/>
  <c r="V14" s="1"/>
  <c r="S58"/>
  <c r="U30"/>
  <c r="U32" s="1"/>
  <c r="T33"/>
  <c r="T12" s="1"/>
  <c r="L11" i="8"/>
  <c r="N8" i="7"/>
  <c r="W10" i="8"/>
  <c r="I45" i="3"/>
  <c r="I46" s="1"/>
  <c r="W8"/>
  <c r="W9" s="1"/>
  <c r="W28"/>
  <c r="W29" s="1"/>
  <c r="X7"/>
  <c r="X24"/>
  <c r="F26" i="8"/>
  <c r="F23"/>
  <c r="G15" s="1"/>
  <c r="J10" i="7"/>
  <c r="L12" i="6"/>
  <c r="N9" i="7" s="1"/>
  <c r="K16" i="6"/>
  <c r="K43" s="1"/>
  <c r="K54"/>
  <c r="W73"/>
  <c r="V73"/>
  <c r="W18" i="3" l="1"/>
  <c r="W17"/>
  <c r="W59" s="1"/>
  <c r="W19"/>
  <c r="W20" s="1"/>
  <c r="W14" s="1"/>
  <c r="V30"/>
  <c r="V32" s="1"/>
  <c r="U33"/>
  <c r="U12" s="1"/>
  <c r="T58"/>
  <c r="I47"/>
  <c r="I50" s="1"/>
  <c r="I49"/>
  <c r="I15" s="1"/>
  <c r="X8"/>
  <c r="X9" s="1"/>
  <c r="X28"/>
  <c r="X29" s="1"/>
  <c r="G16" i="8"/>
  <c r="G17" s="1"/>
  <c r="L12"/>
  <c r="L63" i="6"/>
  <c r="M11"/>
  <c r="L13"/>
  <c r="L69"/>
  <c r="L97" s="1"/>
  <c r="K17"/>
  <c r="K18" s="1"/>
  <c r="X18" i="3" l="1"/>
  <c r="X17"/>
  <c r="X59" s="1"/>
  <c r="X19"/>
  <c r="X20" s="1"/>
  <c r="X14" s="1"/>
  <c r="W30"/>
  <c r="W32" s="1"/>
  <c r="V33"/>
  <c r="V12" s="1"/>
  <c r="U58"/>
  <c r="M11" i="8"/>
  <c r="O8" i="7"/>
  <c r="I48" i="3"/>
  <c r="J40" s="1"/>
  <c r="J41" s="1"/>
  <c r="J42" s="1"/>
  <c r="I51"/>
  <c r="G18" i="8"/>
  <c r="G19" s="1"/>
  <c r="K10" i="7"/>
  <c r="M12" i="6"/>
  <c r="O9" i="7" s="1"/>
  <c r="L16" i="6"/>
  <c r="L43" s="1"/>
  <c r="L54"/>
  <c r="D62"/>
  <c r="X30" i="3" l="1"/>
  <c r="X32" s="1"/>
  <c r="W33"/>
  <c r="W12" s="1"/>
  <c r="V58"/>
  <c r="J43"/>
  <c r="J44" s="1"/>
  <c r="G20" i="8"/>
  <c r="G21" s="1"/>
  <c r="M12"/>
  <c r="L17" i="6"/>
  <c r="L18" s="1"/>
  <c r="M63"/>
  <c r="M13"/>
  <c r="M69"/>
  <c r="M97" s="1"/>
  <c r="N11"/>
  <c r="F7" i="7"/>
  <c r="E62" i="6"/>
  <c r="D68"/>
  <c r="X33" i="3" l="1"/>
  <c r="X12" s="1"/>
  <c r="W58"/>
  <c r="N11" i="8"/>
  <c r="P8" i="7"/>
  <c r="J45" i="3"/>
  <c r="J46" s="1"/>
  <c r="G24" i="8"/>
  <c r="G22"/>
  <c r="G25" s="1"/>
  <c r="L10" i="7"/>
  <c r="N12" i="6"/>
  <c r="P9" i="7" s="1"/>
  <c r="M16" i="6"/>
  <c r="M43" s="1"/>
  <c r="M54"/>
  <c r="G7" i="7"/>
  <c r="F62" i="6"/>
  <c r="E68"/>
  <c r="G29" l="1"/>
  <c r="I13" i="7" s="1"/>
  <c r="X58" i="3"/>
  <c r="J47"/>
  <c r="J50" s="1"/>
  <c r="J49"/>
  <c r="J15" s="1"/>
  <c r="G26" i="8"/>
  <c r="N12"/>
  <c r="G23"/>
  <c r="H15" s="1"/>
  <c r="M17" i="6"/>
  <c r="M18" s="1"/>
  <c r="N63"/>
  <c r="N13"/>
  <c r="O11"/>
  <c r="N69"/>
  <c r="N97" s="1"/>
  <c r="H7" i="7"/>
  <c r="G62" i="6"/>
  <c r="F68"/>
  <c r="O11" i="8" l="1"/>
  <c r="Q8" i="7"/>
  <c r="J48" i="3"/>
  <c r="K40" s="1"/>
  <c r="K41" s="1"/>
  <c r="K42" s="1"/>
  <c r="D19"/>
  <c r="J51"/>
  <c r="H16" i="8"/>
  <c r="H17" s="1"/>
  <c r="M10" i="7"/>
  <c r="O12" i="6"/>
  <c r="Q9" i="7" s="1"/>
  <c r="N16" i="6"/>
  <c r="N43" s="1"/>
  <c r="N54"/>
  <c r="I7" i="7"/>
  <c r="H62" i="6"/>
  <c r="G68"/>
  <c r="K43" i="3" l="1"/>
  <c r="K44" s="1"/>
  <c r="H18" i="8"/>
  <c r="H19" s="1"/>
  <c r="O12"/>
  <c r="N17" i="6"/>
  <c r="N18" s="1"/>
  <c r="O63"/>
  <c r="O13"/>
  <c r="P11"/>
  <c r="O69"/>
  <c r="O97" s="1"/>
  <c r="J7" i="7"/>
  <c r="I62" i="6"/>
  <c r="H68"/>
  <c r="P11" i="8" l="1"/>
  <c r="R8" i="7"/>
  <c r="D12" i="3"/>
  <c r="K45"/>
  <c r="K46" s="1"/>
  <c r="D20"/>
  <c r="H20" i="8"/>
  <c r="H21" s="1"/>
  <c r="N10" i="7"/>
  <c r="O16" i="6"/>
  <c r="O43" s="1"/>
  <c r="O54"/>
  <c r="P12"/>
  <c r="R9" i="7" s="1"/>
  <c r="K7"/>
  <c r="J62" i="6"/>
  <c r="I68"/>
  <c r="D17" i="3" l="1"/>
  <c r="K47"/>
  <c r="K50" s="1"/>
  <c r="K49"/>
  <c r="K15" s="1"/>
  <c r="H22" i="8"/>
  <c r="H25" s="1"/>
  <c r="H24"/>
  <c r="P12"/>
  <c r="P63" i="6"/>
  <c r="Q11"/>
  <c r="P13"/>
  <c r="O10" i="7" s="1"/>
  <c r="P69" i="6"/>
  <c r="P97" s="1"/>
  <c r="O17"/>
  <c r="O18" s="1"/>
  <c r="L7" i="7"/>
  <c r="K62" i="6"/>
  <c r="J68"/>
  <c r="H29" l="1"/>
  <c r="J13" i="7" s="1"/>
  <c r="Q11" i="8"/>
  <c r="S8" i="7"/>
  <c r="K51" i="3"/>
  <c r="K48"/>
  <c r="L40" s="1"/>
  <c r="H23" i="8"/>
  <c r="I15" s="1"/>
  <c r="H26"/>
  <c r="Q12" i="6"/>
  <c r="S9" i="7" s="1"/>
  <c r="P54" i="6"/>
  <c r="P16"/>
  <c r="P43" s="1"/>
  <c r="M7" i="7"/>
  <c r="L62" i="6"/>
  <c r="K68"/>
  <c r="L41" i="3" l="1"/>
  <c r="L42" s="1"/>
  <c r="Q12" i="8"/>
  <c r="I16"/>
  <c r="I17" s="1"/>
  <c r="Q63" i="6"/>
  <c r="R11"/>
  <c r="Q13"/>
  <c r="P10" i="7" s="1"/>
  <c r="Q69" i="6"/>
  <c r="Q97" s="1"/>
  <c r="P17"/>
  <c r="P18" s="1"/>
  <c r="N7" i="7"/>
  <c r="M62" i="6"/>
  <c r="L68"/>
  <c r="R11" i="8" l="1"/>
  <c r="T8" i="7"/>
  <c r="L43" i="3"/>
  <c r="L44" s="1"/>
  <c r="I18" i="8"/>
  <c r="I19" s="1"/>
  <c r="R12" i="6"/>
  <c r="T9" i="7" s="1"/>
  <c r="Q16" i="6"/>
  <c r="Q43" s="1"/>
  <c r="Q54"/>
  <c r="O7" i="7"/>
  <c r="N62" i="6"/>
  <c r="M68"/>
  <c r="L45" i="3" l="1"/>
  <c r="L46" s="1"/>
  <c r="I20" i="8"/>
  <c r="I21" s="1"/>
  <c r="R12"/>
  <c r="R63" i="6"/>
  <c r="R13"/>
  <c r="Q10" i="7" s="1"/>
  <c r="S11" i="6"/>
  <c r="R69"/>
  <c r="R97" s="1"/>
  <c r="Q17"/>
  <c r="Q18" s="1"/>
  <c r="P7" i="7"/>
  <c r="O62" i="6"/>
  <c r="N68"/>
  <c r="S11" i="8" l="1"/>
  <c r="U8" i="7"/>
  <c r="L47" i="3"/>
  <c r="L50" s="1"/>
  <c r="L49"/>
  <c r="L15" s="1"/>
  <c r="I22" i="8"/>
  <c r="I25" s="1"/>
  <c r="I24"/>
  <c r="R16" i="6"/>
  <c r="R43" s="1"/>
  <c r="R54"/>
  <c r="S12"/>
  <c r="U9" i="7" s="1"/>
  <c r="Q7"/>
  <c r="P62" i="6"/>
  <c r="O68"/>
  <c r="I29" l="1"/>
  <c r="K13" i="7" s="1"/>
  <c r="L51" i="3"/>
  <c r="L48"/>
  <c r="M40" s="1"/>
  <c r="S12" i="8"/>
  <c r="I23"/>
  <c r="J15" s="1"/>
  <c r="I26"/>
  <c r="R17" i="6"/>
  <c r="R18" s="1"/>
  <c r="S63"/>
  <c r="S13"/>
  <c r="R10" i="7" s="1"/>
  <c r="S69" i="6"/>
  <c r="S97" s="1"/>
  <c r="T11"/>
  <c r="R7" i="7"/>
  <c r="Q62" i="6"/>
  <c r="P68"/>
  <c r="T11" i="8" l="1"/>
  <c r="V8" i="7"/>
  <c r="M41" i="3"/>
  <c r="M42" s="1"/>
  <c r="J16" i="8"/>
  <c r="J17" s="1"/>
  <c r="T12" i="6"/>
  <c r="V9" i="7" s="1"/>
  <c r="S16" i="6"/>
  <c r="S43" s="1"/>
  <c r="S54"/>
  <c r="S7" i="7"/>
  <c r="R62" i="6"/>
  <c r="Q68"/>
  <c r="M43" i="3" l="1"/>
  <c r="M44" s="1"/>
  <c r="J18" i="8"/>
  <c r="J19" s="1"/>
  <c r="T12"/>
  <c r="S17" i="6"/>
  <c r="S18" s="1"/>
  <c r="T63"/>
  <c r="T13"/>
  <c r="S10" i="7" s="1"/>
  <c r="U11" i="6"/>
  <c r="T69"/>
  <c r="T97" s="1"/>
  <c r="T7" i="7"/>
  <c r="S62" i="6"/>
  <c r="R68"/>
  <c r="U11" i="8" l="1"/>
  <c r="W8" i="7"/>
  <c r="M45" i="3"/>
  <c r="M46" s="1"/>
  <c r="J20" i="8"/>
  <c r="J21" s="1"/>
  <c r="T54" i="6"/>
  <c r="T16"/>
  <c r="T43" s="1"/>
  <c r="U12"/>
  <c r="W9" i="7" s="1"/>
  <c r="U7"/>
  <c r="T62" i="6"/>
  <c r="S68"/>
  <c r="M47" i="3" l="1"/>
  <c r="M50" s="1"/>
  <c r="M49"/>
  <c r="M15" s="1"/>
  <c r="J22" i="8"/>
  <c r="J25" s="1"/>
  <c r="J24"/>
  <c r="U12"/>
  <c r="U63" i="6"/>
  <c r="V11"/>
  <c r="U13"/>
  <c r="T10" i="7" s="1"/>
  <c r="U69" i="6"/>
  <c r="U97" s="1"/>
  <c r="T17"/>
  <c r="T18" s="1"/>
  <c r="V7" i="7"/>
  <c r="U62" i="6"/>
  <c r="T68"/>
  <c r="J29" l="1"/>
  <c r="L13" i="7" s="1"/>
  <c r="V11" i="8"/>
  <c r="X8" i="7"/>
  <c r="M51" i="3"/>
  <c r="M48"/>
  <c r="N40" s="1"/>
  <c r="J23" i="8"/>
  <c r="K15" s="1"/>
  <c r="J26"/>
  <c r="V12" i="6"/>
  <c r="X9" i="7" s="1"/>
  <c r="U54" i="6"/>
  <c r="U16"/>
  <c r="U43" s="1"/>
  <c r="W7" i="7"/>
  <c r="V62" i="6"/>
  <c r="U68"/>
  <c r="N41" i="3" l="1"/>
  <c r="N42" s="1"/>
  <c r="V12" i="8"/>
  <c r="K16"/>
  <c r="K17" s="1"/>
  <c r="V63" i="6"/>
  <c r="V69"/>
  <c r="V97" s="1"/>
  <c r="W11"/>
  <c r="V13"/>
  <c r="U10" i="7" s="1"/>
  <c r="U17" i="6"/>
  <c r="U18" s="1"/>
  <c r="X7" i="7"/>
  <c r="W62" i="6"/>
  <c r="V68"/>
  <c r="W11" i="8" l="1"/>
  <c r="Y8" i="7"/>
  <c r="N43" i="3"/>
  <c r="N44" s="1"/>
  <c r="K18" i="8"/>
  <c r="K19" s="1"/>
  <c r="V54" i="6"/>
  <c r="V16"/>
  <c r="V43" s="1"/>
  <c r="W12"/>
  <c r="W68"/>
  <c r="Y7" i="7"/>
  <c r="Y9" l="1"/>
  <c r="N45" i="3"/>
  <c r="N46" s="1"/>
  <c r="K20" i="8"/>
  <c r="K21" s="1"/>
  <c r="W12"/>
  <c r="V17" i="6"/>
  <c r="V18" s="1"/>
  <c r="W69"/>
  <c r="W97" s="1"/>
  <c r="W63"/>
  <c r="W13"/>
  <c r="X10" i="7" l="1"/>
  <c r="N47" i="3"/>
  <c r="N50" s="1"/>
  <c r="N49"/>
  <c r="N15" s="1"/>
  <c r="K24" i="8"/>
  <c r="K22"/>
  <c r="K25" s="1"/>
  <c r="V10" i="7"/>
  <c r="W10"/>
  <c r="Y10"/>
  <c r="W16" i="6"/>
  <c r="W43" s="1"/>
  <c r="W54"/>
  <c r="K29" l="1"/>
  <c r="M13" i="7" s="1"/>
  <c r="N51" i="3"/>
  <c r="N48"/>
  <c r="O40" s="1"/>
  <c r="K26" i="8"/>
  <c r="K23"/>
  <c r="L15" s="1"/>
  <c r="W17" i="6"/>
  <c r="W18" s="1"/>
  <c r="O41" i="3" l="1"/>
  <c r="O42" s="1"/>
  <c r="L16" i="8"/>
  <c r="L17" s="1"/>
  <c r="O43" i="3" l="1"/>
  <c r="O44" s="1"/>
  <c r="L18" i="8"/>
  <c r="L19" s="1"/>
  <c r="O45" i="3" l="1"/>
  <c r="O46" s="1"/>
  <c r="L20" i="8"/>
  <c r="L21" s="1"/>
  <c r="O47" i="3" l="1"/>
  <c r="O50" s="1"/>
  <c r="O49"/>
  <c r="O15" s="1"/>
  <c r="L24" i="8"/>
  <c r="L22"/>
  <c r="L25" s="1"/>
  <c r="L29" i="6" l="1"/>
  <c r="N13" i="7" s="1"/>
  <c r="O51" i="3"/>
  <c r="O48"/>
  <c r="P40" s="1"/>
  <c r="L26" i="8"/>
  <c r="L23"/>
  <c r="M15" s="1"/>
  <c r="P41" i="3" l="1"/>
  <c r="P42" s="1"/>
  <c r="M16" i="8"/>
  <c r="M17" s="1"/>
  <c r="P43" i="3" l="1"/>
  <c r="P44" s="1"/>
  <c r="M18" i="8"/>
  <c r="M19" s="1"/>
  <c r="P45" i="3" l="1"/>
  <c r="P46" s="1"/>
  <c r="M20" i="8"/>
  <c r="M21" s="1"/>
  <c r="P47" i="3" l="1"/>
  <c r="P50" s="1"/>
  <c r="P49"/>
  <c r="P15" s="1"/>
  <c r="M22" i="8"/>
  <c r="M25" s="1"/>
  <c r="M24"/>
  <c r="M29" i="6" l="1"/>
  <c r="O13" i="7" s="1"/>
  <c r="P51" i="3"/>
  <c r="P48"/>
  <c r="Q40" s="1"/>
  <c r="M26" i="8"/>
  <c r="M23"/>
  <c r="N15" s="1"/>
  <c r="Q41" i="3" l="1"/>
  <c r="Q42" s="1"/>
  <c r="N16" i="8"/>
  <c r="Q43" i="3" l="1"/>
  <c r="Q44" s="1"/>
  <c r="N17" i="8"/>
  <c r="Q45" i="3" l="1"/>
  <c r="Q46" s="1"/>
  <c r="N18" i="8"/>
  <c r="Q47" i="3" l="1"/>
  <c r="Q50" s="1"/>
  <c r="Q49"/>
  <c r="Q15" s="1"/>
  <c r="N19" i="8"/>
  <c r="Q51" i="3" l="1"/>
  <c r="R51" s="1"/>
  <c r="S51" s="1"/>
  <c r="T51" s="1"/>
  <c r="U51" s="1"/>
  <c r="V51" s="1"/>
  <c r="W51" s="1"/>
  <c r="X51" s="1"/>
  <c r="Q48"/>
  <c r="R40" s="1"/>
  <c r="N20" i="8"/>
  <c r="R41" i="3" l="1"/>
  <c r="R42" s="1"/>
  <c r="N21" i="8"/>
  <c r="R43" i="3" l="1"/>
  <c r="R44" s="1"/>
  <c r="N22" i="8"/>
  <c r="N25" s="1"/>
  <c r="N24"/>
  <c r="N29" i="6" l="1"/>
  <c r="P13" i="7" s="1"/>
  <c r="R45" i="3"/>
  <c r="R46" s="1"/>
  <c r="N26" i="8"/>
  <c r="N23"/>
  <c r="O15" s="1"/>
  <c r="R47" i="3" l="1"/>
  <c r="R50" s="1"/>
  <c r="R49"/>
  <c r="R15" s="1"/>
  <c r="O16" i="8"/>
  <c r="O17" s="1"/>
  <c r="R48" i="3" l="1"/>
  <c r="S40" s="1"/>
  <c r="O18" i="8"/>
  <c r="O19" s="1"/>
  <c r="S41" i="3" l="1"/>
  <c r="S42" s="1"/>
  <c r="O20" i="8"/>
  <c r="O21" s="1"/>
  <c r="S43" i="3" l="1"/>
  <c r="S44" s="1"/>
  <c r="O22" i="8"/>
  <c r="O25" s="1"/>
  <c r="O24"/>
  <c r="O29" i="6" l="1"/>
  <c r="Q13" i="7" s="1"/>
  <c r="S45" i="3"/>
  <c r="S46" s="1"/>
  <c r="O26" i="8"/>
  <c r="O23"/>
  <c r="P15" s="1"/>
  <c r="S47" i="3" l="1"/>
  <c r="S50" s="1"/>
  <c r="S49"/>
  <c r="S15" s="1"/>
  <c r="P16" i="8"/>
  <c r="S48" i="3" l="1"/>
  <c r="T40" s="1"/>
  <c r="P17" i="8"/>
  <c r="T41" i="3" l="1"/>
  <c r="T42" s="1"/>
  <c r="P18" i="8"/>
  <c r="T43" i="3" l="1"/>
  <c r="T44" s="1"/>
  <c r="P19" i="8"/>
  <c r="T45" i="3" l="1"/>
  <c r="T46" s="1"/>
  <c r="P20" i="8"/>
  <c r="T47" i="3" l="1"/>
  <c r="T50" s="1"/>
  <c r="T49"/>
  <c r="T15" s="1"/>
  <c r="P21" i="8"/>
  <c r="T48" i="3" l="1"/>
  <c r="U40" s="1"/>
  <c r="P22" i="8"/>
  <c r="P24"/>
  <c r="P29" i="6" l="1"/>
  <c r="R13" i="7" s="1"/>
  <c r="U41" i="3"/>
  <c r="U42" s="1"/>
  <c r="P23" i="8"/>
  <c r="Q15" s="1"/>
  <c r="P25"/>
  <c r="P26" l="1"/>
  <c r="Q26" s="1"/>
  <c r="R26" s="1"/>
  <c r="S26" s="1"/>
  <c r="T26" s="1"/>
  <c r="U26" s="1"/>
  <c r="V26" s="1"/>
  <c r="W26" s="1"/>
  <c r="U43" i="3"/>
  <c r="U44" s="1"/>
  <c r="Q16" i="8"/>
  <c r="U45" i="3" l="1"/>
  <c r="U46" s="1"/>
  <c r="Q17" i="8"/>
  <c r="U47" i="3" l="1"/>
  <c r="U50" s="1"/>
  <c r="U49"/>
  <c r="U15" s="1"/>
  <c r="Q18" i="8"/>
  <c r="U48" i="3" l="1"/>
  <c r="V40" s="1"/>
  <c r="Q19" i="8"/>
  <c r="V41" i="3" l="1"/>
  <c r="V42" s="1"/>
  <c r="Q20" i="8"/>
  <c r="V43" i="3" l="1"/>
  <c r="V44" s="1"/>
  <c r="Q21" i="8"/>
  <c r="V45" i="3" l="1"/>
  <c r="V46" s="1"/>
  <c r="Q22" i="8"/>
  <c r="Q24"/>
  <c r="Q29" i="6" l="1"/>
  <c r="S13" i="7" s="1"/>
  <c r="V47" i="3"/>
  <c r="V50" s="1"/>
  <c r="V49"/>
  <c r="V15" s="1"/>
  <c r="Q23" i="8"/>
  <c r="R15" s="1"/>
  <c r="Q25"/>
  <c r="V48" i="3" l="1"/>
  <c r="W40" s="1"/>
  <c r="R16" i="8"/>
  <c r="W41" i="3" l="1"/>
  <c r="W42" s="1"/>
  <c r="R17" i="8"/>
  <c r="W43" i="3" l="1"/>
  <c r="W44" s="1"/>
  <c r="R18" i="8"/>
  <c r="W45" i="3" l="1"/>
  <c r="W46" s="1"/>
  <c r="R19" i="8"/>
  <c r="W47" i="3" l="1"/>
  <c r="W50" s="1"/>
  <c r="W49"/>
  <c r="W15" s="1"/>
  <c r="R20" i="8"/>
  <c r="W48" i="3" l="1"/>
  <c r="X40" s="1"/>
  <c r="R21" i="8"/>
  <c r="X41" i="3" l="1"/>
  <c r="X42" s="1"/>
  <c r="R22" i="8"/>
  <c r="R24"/>
  <c r="R29" i="6" l="1"/>
  <c r="T13" i="7" s="1"/>
  <c r="X43" i="3"/>
  <c r="X44" s="1"/>
  <c r="R23" i="8"/>
  <c r="S15" s="1"/>
  <c r="R25"/>
  <c r="X45" i="3" l="1"/>
  <c r="X46" s="1"/>
  <c r="S16" i="8"/>
  <c r="X47" i="3" l="1"/>
  <c r="X50" s="1"/>
  <c r="X49"/>
  <c r="X15" s="1"/>
  <c r="S17" i="8"/>
  <c r="X48" i="3" l="1"/>
  <c r="S18" i="8"/>
  <c r="S19" l="1"/>
  <c r="S20" l="1"/>
  <c r="S21" l="1"/>
  <c r="S22" l="1"/>
  <c r="S25" s="1"/>
  <c r="S24"/>
  <c r="S29" i="6" l="1"/>
  <c r="U13" i="7" s="1"/>
  <c r="S23" i="8"/>
  <c r="T15" s="1"/>
  <c r="T16" l="1"/>
  <c r="T17" s="1"/>
  <c r="T18" l="1"/>
  <c r="T19" s="1"/>
  <c r="T20" s="1"/>
  <c r="T21" s="1"/>
  <c r="T22" l="1"/>
  <c r="T25" s="1"/>
  <c r="T24"/>
  <c r="T29" i="6" l="1"/>
  <c r="V13" i="7" s="1"/>
  <c r="T23" i="8"/>
  <c r="U15" s="1"/>
  <c r="U16" l="1"/>
  <c r="U17" s="1"/>
  <c r="U18" l="1"/>
  <c r="U19" s="1"/>
  <c r="U20" s="1"/>
  <c r="U21" s="1"/>
  <c r="U22" l="1"/>
  <c r="U25" s="1"/>
  <c r="U24"/>
  <c r="U29" i="6" l="1"/>
  <c r="W13" i="7" s="1"/>
  <c r="U23" i="8"/>
  <c r="V15" s="1"/>
  <c r="V16" l="1"/>
  <c r="V17" s="1"/>
  <c r="V18" l="1"/>
  <c r="V19" s="1"/>
  <c r="V20" s="1"/>
  <c r="V21" s="1"/>
  <c r="V22" l="1"/>
  <c r="V25" s="1"/>
  <c r="V24"/>
  <c r="V29" i="6" l="1"/>
  <c r="X13" i="7" s="1"/>
  <c r="V23" i="8"/>
  <c r="W15" s="1"/>
  <c r="W16" l="1"/>
  <c r="W17" l="1"/>
  <c r="W18" l="1"/>
  <c r="W19" l="1"/>
  <c r="W20" l="1"/>
  <c r="W21" l="1"/>
  <c r="W22" l="1"/>
  <c r="W24"/>
  <c r="W29" i="6" l="1"/>
  <c r="Y13" i="7" s="1"/>
  <c r="D15" i="3"/>
  <c r="W23" i="8"/>
  <c r="W25"/>
  <c r="S14" i="7" l="1"/>
  <c r="Q71" i="6" l="1"/>
  <c r="Y14" i="7" l="1"/>
  <c r="W71" i="6" l="1"/>
  <c r="R14" i="7" l="1"/>
  <c r="P71" i="6"/>
  <c r="B5" i="8"/>
  <c r="T14" i="7" l="1"/>
  <c r="R71" i="6"/>
  <c r="V14" i="7"/>
  <c r="T71" i="6"/>
  <c r="U14" i="7"/>
  <c r="S71" i="6"/>
  <c r="W14" i="7"/>
  <c r="U71" i="6"/>
  <c r="X14" i="7"/>
  <c r="V71" i="6"/>
  <c r="E47"/>
  <c r="E32" s="1"/>
  <c r="E55" l="1"/>
  <c r="G47"/>
  <c r="G32" s="1"/>
  <c r="F47"/>
  <c r="F32" s="1"/>
  <c r="G55" l="1"/>
  <c r="F55"/>
  <c r="H47"/>
  <c r="H32" s="1"/>
  <c r="H55" l="1"/>
  <c r="I47"/>
  <c r="I32" s="1"/>
  <c r="I55" l="1"/>
  <c r="J47"/>
  <c r="J32" s="1"/>
  <c r="J55" l="1"/>
  <c r="K47"/>
  <c r="K32" s="1"/>
  <c r="K55" l="1"/>
  <c r="L47"/>
  <c r="L32" s="1"/>
  <c r="L55" l="1"/>
  <c r="M47"/>
  <c r="M32" s="1"/>
  <c r="M55" l="1"/>
  <c r="N47"/>
  <c r="N32" s="1"/>
  <c r="N55" l="1"/>
  <c r="O47"/>
  <c r="O32" s="1"/>
  <c r="O55" l="1"/>
  <c r="P47"/>
  <c r="P32" s="1"/>
  <c r="P55" l="1"/>
  <c r="Q47"/>
  <c r="Q32" s="1"/>
  <c r="Q55" l="1"/>
  <c r="R47"/>
  <c r="R32" s="1"/>
  <c r="R55" l="1"/>
  <c r="S47"/>
  <c r="S32" s="1"/>
  <c r="S55" l="1"/>
  <c r="T47"/>
  <c r="T32" s="1"/>
  <c r="T55" l="1"/>
  <c r="U47"/>
  <c r="U32" s="1"/>
  <c r="U55" l="1"/>
  <c r="W47"/>
  <c r="W32" s="1"/>
  <c r="V47"/>
  <c r="V32" s="1"/>
  <c r="W55" l="1"/>
  <c r="V55"/>
  <c r="D18" i="3"/>
  <c r="G14" i="7"/>
  <c r="H14"/>
  <c r="I14"/>
  <c r="J14"/>
  <c r="K14"/>
  <c r="L14"/>
  <c r="M14"/>
  <c r="N14"/>
  <c r="O14"/>
  <c r="P14"/>
  <c r="Q14"/>
  <c r="E71" i="6"/>
  <c r="F71"/>
  <c r="J71"/>
  <c r="M71"/>
  <c r="N71"/>
  <c r="I71" l="1"/>
  <c r="H71"/>
  <c r="L71"/>
  <c r="O71"/>
  <c r="K71"/>
  <c r="G71"/>
  <c r="F12" i="7" l="1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D16"/>
  <c r="D22" i="6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K90"/>
  <c r="L90"/>
  <c r="M90"/>
  <c r="N90"/>
  <c r="O90"/>
  <c r="P90"/>
  <c r="Q90"/>
  <c r="R90"/>
  <c r="S90"/>
  <c r="T90"/>
  <c r="U90"/>
  <c r="V90"/>
  <c r="W90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K10" i="4"/>
  <c r="L10"/>
  <c r="K12"/>
  <c r="L12"/>
  <c r="L15"/>
  <c r="D16" i="3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E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D24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</calcChain>
</file>

<file path=xl/sharedStrings.xml><?xml version="1.0" encoding="utf-8"?>
<sst xmlns="http://schemas.openxmlformats.org/spreadsheetml/2006/main" count="485" uniqueCount="276">
  <si>
    <t>Project capacity</t>
  </si>
  <si>
    <t>MW</t>
  </si>
  <si>
    <t>Project cost including IDC</t>
  </si>
  <si>
    <t>Project Financing</t>
  </si>
  <si>
    <t>Project Debt</t>
  </si>
  <si>
    <t>%</t>
  </si>
  <si>
    <t>Project Equity</t>
  </si>
  <si>
    <t>Term of Debt</t>
  </si>
  <si>
    <t>Years</t>
  </si>
  <si>
    <t>Interest on Debt</t>
  </si>
  <si>
    <t>Moratium Peirod</t>
  </si>
  <si>
    <t>ROE</t>
  </si>
  <si>
    <t>Operating Norms</t>
  </si>
  <si>
    <t>PLF</t>
  </si>
  <si>
    <t>Auxiliary Consumption</t>
  </si>
  <si>
    <t>Kcal/Kwh</t>
  </si>
  <si>
    <t>Depreciation</t>
  </si>
  <si>
    <t>Recovery of Depreciation</t>
  </si>
  <si>
    <t>O&amp;M Expenses</t>
  </si>
  <si>
    <t>Escalation Factor</t>
  </si>
  <si>
    <t>O&amp;M</t>
  </si>
  <si>
    <t>Tax</t>
  </si>
  <si>
    <t>Tax Rate</t>
  </si>
  <si>
    <t>MAT Rate</t>
  </si>
  <si>
    <t>80IA Exemption</t>
  </si>
  <si>
    <t>Working Capital norms</t>
  </si>
  <si>
    <t>Receivables</t>
  </si>
  <si>
    <t>Spares</t>
  </si>
  <si>
    <t>Escalation factor for spares</t>
  </si>
  <si>
    <t>Primary Fuel Stock</t>
  </si>
  <si>
    <t>Interest on Working Capital</t>
  </si>
  <si>
    <t>Days</t>
  </si>
  <si>
    <t>Particulars</t>
  </si>
  <si>
    <t>Unit</t>
  </si>
  <si>
    <t>Period Beginning</t>
  </si>
  <si>
    <t>Period Ending</t>
  </si>
  <si>
    <t>Gross Generation</t>
  </si>
  <si>
    <t>Auxillary Generation</t>
  </si>
  <si>
    <t>Net Generation</t>
  </si>
  <si>
    <t>Primary fuel</t>
  </si>
  <si>
    <t>Rs / Kwh</t>
  </si>
  <si>
    <t>Interest on debt</t>
  </si>
  <si>
    <t>Interest on working capital</t>
  </si>
  <si>
    <t>O&amp;M expenses</t>
  </si>
  <si>
    <t>Return on equity</t>
  </si>
  <si>
    <t>Total</t>
  </si>
  <si>
    <t>Calculation for Interest on Debt</t>
  </si>
  <si>
    <t>Total Debt</t>
  </si>
  <si>
    <t>Closing balance</t>
  </si>
  <si>
    <t>Accumulated depreciation</t>
  </si>
  <si>
    <t>Khaperkheda</t>
  </si>
  <si>
    <t>Project cost per MW</t>
  </si>
  <si>
    <t>B'wal</t>
  </si>
  <si>
    <t>Ch'pur</t>
  </si>
  <si>
    <t>Koradi</t>
  </si>
  <si>
    <t>Nasik</t>
  </si>
  <si>
    <t>Paras</t>
  </si>
  <si>
    <t>Panl</t>
  </si>
  <si>
    <t>K'kheda</t>
  </si>
  <si>
    <t>Hydro</t>
  </si>
  <si>
    <t>Uran</t>
  </si>
  <si>
    <t>Total Revenue requirement</t>
  </si>
  <si>
    <t>Net MU</t>
  </si>
  <si>
    <t>Transfer Price Rs. Per KwH</t>
  </si>
  <si>
    <t>Total Revenue requirement (Rs Cr)</t>
  </si>
  <si>
    <t>Pooled cost of Generation as on 2005-06 (Rs/kWh)</t>
  </si>
  <si>
    <t>Plants</t>
  </si>
  <si>
    <t>Transportation cost</t>
  </si>
  <si>
    <t>Discounting factor as Notified by CERC for bid evln</t>
  </si>
  <si>
    <t>Increase/(decrease) in pooled cost due to addition of Chandrapur Exp Project (Rs/kWh)</t>
  </si>
  <si>
    <t>Khaperkheda TPS 1 x 500 MW</t>
  </si>
  <si>
    <t>Levelised Tariff</t>
  </si>
  <si>
    <t>Rs. / scm</t>
  </si>
  <si>
    <t>Landed Cost of NG</t>
  </si>
  <si>
    <t>Natural Gas consumption</t>
  </si>
  <si>
    <t>Interest During Construction</t>
  </si>
  <si>
    <t>Margin Money - Working Capital</t>
  </si>
  <si>
    <t>Financing Charges</t>
  </si>
  <si>
    <t>Plant EPC</t>
  </si>
  <si>
    <t>Other cost</t>
  </si>
  <si>
    <t>As per Detailed Project Report (DPR)</t>
  </si>
  <si>
    <t>As per Detalied Project Report (DPR)</t>
  </si>
  <si>
    <t>Income Tax Act</t>
  </si>
  <si>
    <t xml:space="preserve">As per Detailed Project Report (DPR) </t>
  </si>
  <si>
    <t>Project Cost</t>
  </si>
  <si>
    <t>Project Specifications</t>
  </si>
  <si>
    <t>Rs. Crores</t>
  </si>
  <si>
    <t>CoD - Combined cycle</t>
  </si>
  <si>
    <t>Combined Cycle</t>
  </si>
  <si>
    <t>Heat Rate</t>
  </si>
  <si>
    <t>Fuel Specifications</t>
  </si>
  <si>
    <t>NCV of Natural Gas</t>
  </si>
  <si>
    <t>kCal/SCM</t>
  </si>
  <si>
    <t>Specific Gas consumption - Combined cycle</t>
  </si>
  <si>
    <t>SCM/kWh</t>
  </si>
  <si>
    <t>Annual Gas Price Escalation</t>
  </si>
  <si>
    <t>GWh</t>
  </si>
  <si>
    <t>Primary Fuel - Natural Gas</t>
  </si>
  <si>
    <t>Cost of Primary Fuel</t>
  </si>
  <si>
    <t>Total Heat Required</t>
  </si>
  <si>
    <t>Million kCal</t>
  </si>
  <si>
    <t>Million SCM</t>
  </si>
  <si>
    <t>Natural Gas Price</t>
  </si>
  <si>
    <t>Rs./SCM</t>
  </si>
  <si>
    <t>Energy charge</t>
  </si>
  <si>
    <t>Principal Repayment  - 1</t>
  </si>
  <si>
    <t>Opening balance - 2nd qtr</t>
  </si>
  <si>
    <t>Opening balance - 1st qtr</t>
  </si>
  <si>
    <t>Principal Repayment  - 2</t>
  </si>
  <si>
    <t>Opening balance - 3rd qtr</t>
  </si>
  <si>
    <t>Principal Repayment  - 3</t>
  </si>
  <si>
    <t>Opening balance - 4th qtr</t>
  </si>
  <si>
    <t>Principal Repayment  - 4</t>
  </si>
  <si>
    <t>Working Capital</t>
  </si>
  <si>
    <t>Rs. Million/MW</t>
  </si>
  <si>
    <t>Total Interest payments</t>
  </si>
  <si>
    <t>Total Repayments</t>
  </si>
  <si>
    <t>Project life</t>
  </si>
  <si>
    <t>Loan repayment ends</t>
  </si>
  <si>
    <t>Fixed charge</t>
  </si>
  <si>
    <t>Cost of NG</t>
  </si>
  <si>
    <t>Value</t>
  </si>
  <si>
    <t>Basis</t>
  </si>
  <si>
    <t>US$/mmbtu</t>
  </si>
  <si>
    <t>VAT</t>
  </si>
  <si>
    <t>Service Tax on Transportation</t>
  </si>
  <si>
    <t>Exchange rate</t>
  </si>
  <si>
    <t>INR/US$</t>
  </si>
  <si>
    <t>NCV of Gas</t>
  </si>
  <si>
    <t>kCal/mmbtu</t>
  </si>
  <si>
    <t>INR/SCM</t>
  </si>
  <si>
    <t>Sub total  - Fixed charge</t>
  </si>
  <si>
    <t>Days of Operation</t>
  </si>
  <si>
    <t>Months</t>
  </si>
  <si>
    <t>Calculated</t>
  </si>
  <si>
    <t>Owner:            Lanco Kondapalli Power Private Limited</t>
  </si>
  <si>
    <t>Location :        Andhrapradesh</t>
  </si>
  <si>
    <t>Year Count</t>
  </si>
  <si>
    <t>Profit &amp; Loss Account</t>
  </si>
  <si>
    <t>Days of operation</t>
  </si>
  <si>
    <t>Gross Generation (MUs)</t>
  </si>
  <si>
    <t>Auxiliary Consumption (MUs)</t>
  </si>
  <si>
    <t>Net Generation (MUs)</t>
  </si>
  <si>
    <t>REVENUES</t>
  </si>
  <si>
    <t xml:space="preserve"> EXPENSES</t>
  </si>
  <si>
    <t xml:space="preserve">    Interest on term loan</t>
  </si>
  <si>
    <t xml:space="preserve">    O&amp;M Expenses</t>
  </si>
  <si>
    <t xml:space="preserve">    Interest on working capital</t>
  </si>
  <si>
    <t xml:space="preserve">  Receivables</t>
  </si>
  <si>
    <t xml:space="preserve">  Spares</t>
  </si>
  <si>
    <t xml:space="preserve">  Primary fuel stock</t>
  </si>
  <si>
    <t xml:space="preserve">  O&amp;M expenses</t>
  </si>
  <si>
    <t xml:space="preserve">  Interest on working capital</t>
  </si>
  <si>
    <t xml:space="preserve">   Total Expenses</t>
  </si>
  <si>
    <t>Profit Before Tax (PBT)</t>
  </si>
  <si>
    <t>Income Tax Calculation</t>
  </si>
  <si>
    <t>Add: Book depreciation</t>
  </si>
  <si>
    <t>Gross Income</t>
  </si>
  <si>
    <t>Less: Depreciation as per IT ACT</t>
  </si>
  <si>
    <t>Taxable income</t>
  </si>
  <si>
    <t>Carried over losses</t>
  </si>
  <si>
    <t>Income after adjusting carried over losses</t>
  </si>
  <si>
    <t>Depreciation as per IT Act</t>
  </si>
  <si>
    <t>80 IA Applicable</t>
  </si>
  <si>
    <t>Exempted under section 80IA</t>
  </si>
  <si>
    <t xml:space="preserve">Income Tax </t>
  </si>
  <si>
    <t xml:space="preserve">Minimum Alternate Tax </t>
  </si>
  <si>
    <t>Profit After Tax</t>
  </si>
  <si>
    <t>Cash Flow</t>
  </si>
  <si>
    <t xml:space="preserve">  Working capital  loan</t>
  </si>
  <si>
    <t xml:space="preserve">    Fuel cost</t>
  </si>
  <si>
    <t>Total capitalised value</t>
  </si>
  <si>
    <t>Period ending</t>
  </si>
  <si>
    <t xml:space="preserve">  Tariff</t>
  </si>
  <si>
    <t xml:space="preserve">  Energy Sale Revenue</t>
  </si>
  <si>
    <t xml:space="preserve">  Total Revenue</t>
  </si>
  <si>
    <t xml:space="preserve"> Income Tax</t>
  </si>
  <si>
    <t>Depreciation as per IT Act under WDV</t>
  </si>
  <si>
    <t>Project cost</t>
  </si>
  <si>
    <t>PAT</t>
  </si>
  <si>
    <t>Interest</t>
  </si>
  <si>
    <t>Fuel Cost</t>
  </si>
  <si>
    <t xml:space="preserve"> Gas price in Million INR</t>
  </si>
  <si>
    <t xml:space="preserve"> Gas consumption (Million SCM) </t>
  </si>
  <si>
    <t>Depreciation WDV method</t>
  </si>
  <si>
    <t xml:space="preserve">Project XIRR </t>
  </si>
  <si>
    <t>Marketing Cost</t>
  </si>
  <si>
    <t>Educational Cess</t>
  </si>
  <si>
    <t>Land Cost</t>
  </si>
  <si>
    <t>As per Detailed Project report (DPR) page 1-4 of 135</t>
  </si>
  <si>
    <t>INR Million/MW</t>
  </si>
  <si>
    <t>As per Financial DPR</t>
  </si>
  <si>
    <t xml:space="preserve"> 742 MW COMBINED CYCLE CCGT WITHOUT CDM</t>
  </si>
  <si>
    <t>As per DPR</t>
  </si>
  <si>
    <t>As per financial DPR</t>
  </si>
  <si>
    <t>As per Detailed Project Report (DPR), page 4-1 of 135</t>
  </si>
  <si>
    <t>Max of MAT/ Income Tax</t>
  </si>
  <si>
    <t>Available MAT Crecit (Opening)</t>
  </si>
  <si>
    <t>MAT Credit Generated</t>
  </si>
  <si>
    <t>Mat Credit utilsed</t>
  </si>
  <si>
    <t>MAT Credit Lapsed</t>
  </si>
  <si>
    <t>Net Tax liability</t>
  </si>
  <si>
    <t>Landed cost of Natural gas</t>
  </si>
  <si>
    <t>Gas  Cost</t>
  </si>
  <si>
    <t>Supply Cost of gas</t>
  </si>
  <si>
    <t>Gas cost</t>
  </si>
  <si>
    <t>INR/mmBTU</t>
  </si>
  <si>
    <t>Cost of Gas</t>
  </si>
  <si>
    <t>Gas Transportation Cost</t>
  </si>
  <si>
    <t>$</t>
  </si>
  <si>
    <t>Transportation cost inclusive of tax</t>
  </si>
  <si>
    <t>Transportation cost in INR</t>
  </si>
  <si>
    <t>Transportation cost per SCM</t>
  </si>
  <si>
    <t>Landed Cost of Gas</t>
  </si>
  <si>
    <t>Annual escalation of gas transporation cost</t>
  </si>
  <si>
    <t xml:space="preserve">http://www.cercind.gov.in/Escalation-rate/Notification-dated-30-09-09.pdf  </t>
  </si>
  <si>
    <t>Gas cost  (Rs./ SCM)</t>
  </si>
  <si>
    <t>Gas transportation cost  (Rs./ SCM)</t>
  </si>
  <si>
    <t xml:space="preserve"> Landed cost of Gas (Rs./ SCM)</t>
  </si>
  <si>
    <t>http://data.worldbank.org/indicator/PA.NUS.FCRF</t>
  </si>
  <si>
    <t>http://www.engineeringtoolbox.com/heat-units-d_664.html</t>
  </si>
  <si>
    <t>As per financiel DPR; Includes initial spares, Non EPC costs, Reliance gas pipeline, pre-op and 
establishment costs, Training O&amp;M and staff and 6% contingency not including EPC and spares</t>
  </si>
  <si>
    <t>Income Tax Act; budget of 2009-10 states the rate of corporate tax is 33.99% (http://www.madaan.com/taxrates.htm)</t>
  </si>
  <si>
    <t>http://law.incometaxindia.gov.in/dittaxmann/incometaxacts/2008itact/sec_080-ia.htm</t>
  </si>
  <si>
    <t xml:space="preserve">http://cercind.gov.in/2009/February09/SOR-regulations-on-T&amp;C-of-tariff-05022009.pdf </t>
  </si>
  <si>
    <t>Discounting Factor considered as per CERC bid evaluation norm</t>
  </si>
  <si>
    <t>http://www.cercind.gov.in/Escalation-rate/Notification-dated-30-09-09.pdf</t>
  </si>
  <si>
    <t>% of O&amp;M Cost</t>
  </si>
  <si>
    <t>Depreciable Value</t>
  </si>
  <si>
    <t>Applicable depreciation over project lifetime</t>
  </si>
  <si>
    <t>Depreciation for first 12 years</t>
  </si>
  <si>
    <t>Depreciation for the rest of the project lifetime</t>
  </si>
  <si>
    <t>Booked Depreciation</t>
  </si>
  <si>
    <t>Year count</t>
  </si>
  <si>
    <t xml:space="preserve">   Total Depreciation</t>
  </si>
  <si>
    <t>Calculated based on the above</t>
  </si>
  <si>
    <t>ADD Back : Depreciation</t>
  </si>
  <si>
    <t>INR Million</t>
  </si>
  <si>
    <t>Conversion Factors</t>
  </si>
  <si>
    <t>1 Crore = 10 Million</t>
  </si>
  <si>
    <t>1 Million = 10 Lakhs</t>
  </si>
  <si>
    <t>INR/KWh</t>
  </si>
  <si>
    <t>Total Debt (INR Million)</t>
  </si>
  <si>
    <t xml:space="preserve">Opening balance - 1st qtr </t>
  </si>
  <si>
    <t>Reference</t>
  </si>
  <si>
    <t>Weblink (If applicable)</t>
  </si>
  <si>
    <t xml:space="preserve">CERC 2009 Tariff Order (page 31): </t>
  </si>
  <si>
    <t>http://cercind.gov.in/2009/February09/SOR-regulations-on-T&amp;C-of-tariff-05022009.pdf</t>
  </si>
  <si>
    <t>Prime Lending Rate at the time of investment decision making.</t>
  </si>
  <si>
    <t xml:space="preserve"> http://rbidocs.rbi.org.in/rdocs/Wss/PDFs/4Tab_231009.pdf</t>
  </si>
  <si>
    <t>CERC Escalation notification dated 30th September 2009</t>
  </si>
  <si>
    <t>Page 39 of CERC tariff order 2009</t>
  </si>
  <si>
    <t>CERC Tariff order: http://cercind.gov.in/2009/February09/SOR-regulations-on-T&amp;C-of-tariff-05022009.pdf</t>
  </si>
  <si>
    <t>Appendix III: http://cercind.gov.in/2009/Whats-New/tariff-pdf/Appendix-III.pdf</t>
  </si>
  <si>
    <t>Last paragraph of page 44 of the CERC tariff order 2009 and the  Appendix- III referenced there in.</t>
  </si>
  <si>
    <t>Page 68 of the CERC 2009 tariff order</t>
  </si>
  <si>
    <t xml:space="preserve">Income Tax Act </t>
  </si>
  <si>
    <t>http://articles.economictimes.indiatimes.com/2009-07-07/news/27634848_1_mat-rate-zero-tax-companies-minimum-alternate-tax</t>
  </si>
  <si>
    <t>Income tax act</t>
  </si>
  <si>
    <t>Page 48 of CERC tariff order 2009</t>
  </si>
  <si>
    <t>Page 49 of CERC tariff order 2010</t>
  </si>
  <si>
    <t>Section of the CERC tariff order on working capital norms</t>
  </si>
  <si>
    <t>Senstivity Analysis</t>
  </si>
  <si>
    <t>Value considered</t>
  </si>
  <si>
    <t>SHR</t>
  </si>
  <si>
    <t>Fuel Price</t>
  </si>
  <si>
    <t>Change</t>
  </si>
  <si>
    <t>` -10%</t>
  </si>
  <si>
    <t>` -5%</t>
  </si>
  <si>
    <t>Total Project Cost</t>
  </si>
  <si>
    <t>base case</t>
  </si>
  <si>
    <t>` +5%</t>
  </si>
  <si>
    <t>Project IRR (%)</t>
  </si>
  <si>
    <t>Landed cost of gas</t>
  </si>
  <si>
    <t>Please refer Row 32 of sheet 'Tariff' for year-wise landed cost of gas</t>
  </si>
  <si>
    <t>The CERC order states spares to be 30% of O&amp;M cost; no separate escalation rates are being considered for the cost of spares, since the O&amp;M costs are already being escalated.</t>
  </si>
</sst>
</file>

<file path=xl/styles.xml><?xml version="1.0" encoding="utf-8"?>
<styleSheet xmlns="http://schemas.openxmlformats.org/spreadsheetml/2006/main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[$-409]d\-mmm\-yy;@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_(* #,##0.0_);_(* \(#,##0.0\);_(* &quot;-&quot;??_);_(@_)"/>
    <numFmt numFmtId="170" formatCode="_(* #,##0.0_);_(* \(#,##0.0\);_(* &quot;-&quot;?_);_(@_)"/>
    <numFmt numFmtId="171" formatCode="_(* #,##0.00000_);_(* \(#,##0.00000\);_(* &quot;-&quot;??_);_(@_)"/>
    <numFmt numFmtId="172" formatCode="[$-409]mmm\-yy;@"/>
    <numFmt numFmtId="173" formatCode="0.0%"/>
    <numFmt numFmtId="174" formatCode="_(* #,##0.0000_);_(* \(#,##0.0000\);_(* &quot;-&quot;??_);_(@_)"/>
    <numFmt numFmtId="175" formatCode="0.0"/>
  </numFmts>
  <fonts count="3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2"/>
      <name val="Tahoma"/>
      <family val="2"/>
    </font>
    <font>
      <sz val="8"/>
      <color indexed="9"/>
      <name val="Tahoma"/>
      <family val="2"/>
    </font>
    <font>
      <b/>
      <sz val="8"/>
      <color indexed="9"/>
      <name val="Tahoma"/>
      <family val="2"/>
    </font>
    <font>
      <b/>
      <i/>
      <sz val="8"/>
      <name val="Tahoma"/>
      <family val="2"/>
    </font>
    <font>
      <i/>
      <sz val="8"/>
      <name val="Tahoma"/>
      <family val="2"/>
    </font>
    <font>
      <sz val="8"/>
      <color indexed="8"/>
      <name val="Tahoma"/>
      <family val="2"/>
    </font>
    <font>
      <sz val="8"/>
      <color indexed="8"/>
      <name val="Tahoma"/>
      <family val="2"/>
    </font>
    <font>
      <b/>
      <sz val="10"/>
      <color indexed="62"/>
      <name val="Tahoma"/>
      <family val="2"/>
    </font>
    <font>
      <sz val="10"/>
      <color indexed="8"/>
      <name val="Tahoma"/>
      <family val="2"/>
    </font>
    <font>
      <b/>
      <sz val="8"/>
      <color indexed="10"/>
      <name val="Tahoma"/>
      <family val="2"/>
    </font>
    <font>
      <b/>
      <sz val="8"/>
      <color indexed="62"/>
      <name val="Tahoma"/>
      <family val="2"/>
    </font>
    <font>
      <sz val="8"/>
      <color indexed="8"/>
      <name val="Arial"/>
      <family val="2"/>
    </font>
    <font>
      <b/>
      <sz val="8"/>
      <color indexed="8"/>
      <name val="Tahoma"/>
      <family val="2"/>
    </font>
    <font>
      <sz val="8"/>
      <color indexed="8"/>
      <name val="Calibri"/>
      <family val="2"/>
    </font>
    <font>
      <u/>
      <sz val="8"/>
      <color indexed="8"/>
      <name val="Arial"/>
      <family val="2"/>
    </font>
    <font>
      <sz val="11"/>
      <name val="Calibri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u/>
      <sz val="8"/>
      <color indexed="8"/>
      <name val="Tahoma"/>
      <family val="2"/>
    </font>
    <font>
      <u/>
      <sz val="8"/>
      <color indexed="12"/>
      <name val="Tahoma"/>
      <family val="2"/>
    </font>
    <font>
      <b/>
      <sz val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</cellStyleXfs>
  <cellXfs count="435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167" fontId="2" fillId="0" borderId="0" xfId="0" applyNumberFormat="1" applyFo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/>
    <xf numFmtId="167" fontId="3" fillId="0" borderId="5" xfId="0" applyNumberFormat="1" applyFont="1" applyBorder="1"/>
    <xf numFmtId="0" fontId="3" fillId="0" borderId="6" xfId="0" applyFont="1" applyBorder="1"/>
    <xf numFmtId="167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8" fillId="0" borderId="0" xfId="0" applyFont="1" applyFill="1" applyBorder="1"/>
    <xf numFmtId="0" fontId="12" fillId="0" borderId="14" xfId="0" applyFont="1" applyFill="1" applyBorder="1"/>
    <xf numFmtId="0" fontId="12" fillId="0" borderId="14" xfId="0" applyFont="1" applyFill="1" applyBorder="1" applyAlignment="1"/>
    <xf numFmtId="0" fontId="12" fillId="0" borderId="15" xfId="0" applyFont="1" applyFill="1" applyBorder="1" applyAlignment="1">
      <alignment wrapText="1"/>
    </xf>
    <xf numFmtId="0" fontId="12" fillId="0" borderId="19" xfId="0" applyFont="1" applyFill="1" applyBorder="1" applyAlignment="1">
      <alignment wrapText="1"/>
    </xf>
    <xf numFmtId="0" fontId="12" fillId="0" borderId="20" xfId="0" applyFont="1" applyFill="1" applyBorder="1"/>
    <xf numFmtId="0" fontId="12" fillId="0" borderId="20" xfId="0" applyFont="1" applyFill="1" applyBorder="1" applyAlignment="1"/>
    <xf numFmtId="0" fontId="7" fillId="0" borderId="13" xfId="0" applyFont="1" applyFill="1" applyBorder="1"/>
    <xf numFmtId="0" fontId="8" fillId="0" borderId="21" xfId="0" applyFont="1" applyFill="1" applyBorder="1" applyAlignment="1">
      <alignment horizontal="left" indent="1"/>
    </xf>
    <xf numFmtId="0" fontId="8" fillId="0" borderId="21" xfId="0" applyFont="1" applyFill="1" applyBorder="1" applyAlignment="1">
      <alignment horizontal="left" vertical="center" wrapText="1" indent="1"/>
    </xf>
    <xf numFmtId="0" fontId="8" fillId="0" borderId="21" xfId="0" applyFont="1" applyFill="1" applyBorder="1" applyAlignment="1">
      <alignment horizontal="left" wrapText="1" indent="1" shrinkToFit="1"/>
    </xf>
    <xf numFmtId="0" fontId="13" fillId="0" borderId="22" xfId="0" applyFont="1" applyFill="1" applyBorder="1"/>
    <xf numFmtId="0" fontId="8" fillId="0" borderId="23" xfId="0" applyFont="1" applyFill="1" applyBorder="1" applyAlignment="1">
      <alignment wrapText="1"/>
    </xf>
    <xf numFmtId="0" fontId="8" fillId="0" borderId="14" xfId="0" applyFont="1" applyFill="1" applyBorder="1"/>
    <xf numFmtId="0" fontId="7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wrapText="1"/>
    </xf>
    <xf numFmtId="0" fontId="14" fillId="0" borderId="23" xfId="0" applyFont="1" applyFill="1" applyBorder="1" applyAlignment="1">
      <alignment wrapText="1"/>
    </xf>
    <xf numFmtId="0" fontId="7" fillId="0" borderId="13" xfId="0" applyFont="1" applyFill="1" applyBorder="1" applyAlignment="1">
      <alignment horizontal="left"/>
    </xf>
    <xf numFmtId="169" fontId="15" fillId="0" borderId="0" xfId="1" applyNumberFormat="1" applyFont="1" applyFill="1" applyBorder="1"/>
    <xf numFmtId="0" fontId="8" fillId="0" borderId="0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left" wrapText="1"/>
    </xf>
    <xf numFmtId="0" fontId="20" fillId="0" borderId="23" xfId="3" applyFont="1" applyFill="1" applyBorder="1" applyAlignment="1" applyProtection="1">
      <alignment wrapText="1"/>
    </xf>
    <xf numFmtId="166" fontId="15" fillId="0" borderId="0" xfId="1" applyNumberFormat="1" applyFont="1" applyFill="1" applyBorder="1"/>
    <xf numFmtId="9" fontId="15" fillId="0" borderId="0" xfId="0" applyNumberFormat="1" applyFont="1" applyFill="1" applyBorder="1"/>
    <xf numFmtId="0" fontId="21" fillId="0" borderId="13" xfId="0" applyFont="1" applyFill="1" applyBorder="1" applyAlignment="1">
      <alignment horizontal="left" wrapText="1"/>
    </xf>
    <xf numFmtId="0" fontId="14" fillId="0" borderId="14" xfId="0" applyFont="1" applyFill="1" applyBorder="1"/>
    <xf numFmtId="0" fontId="21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wrapText="1"/>
    </xf>
    <xf numFmtId="0" fontId="14" fillId="0" borderId="21" xfId="0" applyFont="1" applyFill="1" applyBorder="1" applyAlignment="1">
      <alignment wrapText="1"/>
    </xf>
    <xf numFmtId="0" fontId="14" fillId="0" borderId="0" xfId="0" applyFont="1" applyFill="1" applyBorder="1"/>
    <xf numFmtId="0" fontId="14" fillId="0" borderId="21" xfId="0" applyFont="1" applyFill="1" applyBorder="1" applyAlignment="1">
      <alignment horizontal="left" wrapText="1" indent="1"/>
    </xf>
    <xf numFmtId="166" fontId="14" fillId="0" borderId="0" xfId="1" applyNumberFormat="1" applyFont="1" applyFill="1" applyBorder="1"/>
    <xf numFmtId="10" fontId="14" fillId="0" borderId="0" xfId="0" applyNumberFormat="1" applyFont="1" applyFill="1" applyBorder="1"/>
    <xf numFmtId="0" fontId="14" fillId="0" borderId="20" xfId="0" applyFont="1" applyFill="1" applyBorder="1"/>
    <xf numFmtId="9" fontId="14" fillId="0" borderId="20" xfId="0" applyNumberFormat="1" applyFont="1" applyFill="1" applyBorder="1"/>
    <xf numFmtId="0" fontId="14" fillId="0" borderId="19" xfId="0" applyFont="1" applyFill="1" applyBorder="1" applyAlignment="1">
      <alignment wrapText="1"/>
    </xf>
    <xf numFmtId="0" fontId="14" fillId="0" borderId="21" xfId="0" applyFont="1" applyFill="1" applyBorder="1" applyAlignment="1">
      <alignment horizontal="left" wrapText="1"/>
    </xf>
    <xf numFmtId="43" fontId="14" fillId="0" borderId="0" xfId="1" applyFont="1" applyFill="1" applyBorder="1"/>
    <xf numFmtId="0" fontId="14" fillId="0" borderId="21" xfId="4" applyFont="1" applyFill="1" applyBorder="1" applyAlignment="1">
      <alignment horizontal="left" indent="1"/>
    </xf>
    <xf numFmtId="0" fontId="14" fillId="0" borderId="0" xfId="4" applyFont="1" applyFill="1" applyBorder="1" applyAlignment="1">
      <alignment horizontal="center"/>
    </xf>
    <xf numFmtId="9" fontId="14" fillId="0" borderId="0" xfId="0" applyNumberFormat="1" applyFont="1" applyFill="1" applyBorder="1"/>
    <xf numFmtId="0" fontId="14" fillId="0" borderId="22" xfId="0" applyFont="1" applyFill="1" applyBorder="1"/>
    <xf numFmtId="0" fontId="14" fillId="0" borderId="2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2" fontId="14" fillId="0" borderId="0" xfId="4" applyNumberFormat="1" applyFont="1" applyFill="1" applyBorder="1"/>
    <xf numFmtId="0" fontId="14" fillId="0" borderId="0" xfId="0" applyFont="1" applyFill="1" applyBorder="1" applyAlignment="1">
      <alignment horizontal="center"/>
    </xf>
    <xf numFmtId="9" fontId="14" fillId="0" borderId="0" xfId="4" applyNumberFormat="1" applyFont="1" applyFill="1" applyBorder="1"/>
    <xf numFmtId="0" fontId="14" fillId="0" borderId="22" xfId="0" applyFont="1" applyFill="1" applyBorder="1" applyAlignment="1">
      <alignment horizontal="left" wrapText="1" indent="1"/>
    </xf>
    <xf numFmtId="0" fontId="14" fillId="0" borderId="20" xfId="0" applyFont="1" applyFill="1" applyBorder="1" applyAlignment="1">
      <alignment horizontal="center"/>
    </xf>
    <xf numFmtId="10" fontId="14" fillId="0" borderId="20" xfId="4" applyNumberFormat="1" applyFont="1" applyFill="1" applyBorder="1"/>
    <xf numFmtId="43" fontId="15" fillId="0" borderId="0" xfId="1" applyNumberFormat="1" applyFont="1" applyFill="1" applyBorder="1"/>
    <xf numFmtId="0" fontId="24" fillId="0" borderId="35" xfId="0" applyFont="1" applyFill="1" applyBorder="1" applyAlignment="1">
      <alignment vertical="center"/>
    </xf>
    <xf numFmtId="0" fontId="24" fillId="0" borderId="36" xfId="0" applyFont="1" applyFill="1" applyBorder="1" applyAlignment="1">
      <alignment vertical="center"/>
    </xf>
    <xf numFmtId="0" fontId="24" fillId="0" borderId="37" xfId="0" applyFont="1" applyFill="1" applyBorder="1" applyAlignment="1">
      <alignment vertical="center"/>
    </xf>
    <xf numFmtId="43" fontId="25" fillId="0" borderId="0" xfId="0" applyNumberFormat="1" applyFont="1" applyFill="1" applyBorder="1" applyAlignment="1">
      <alignment vertical="center"/>
    </xf>
    <xf numFmtId="15" fontId="3" fillId="0" borderId="0" xfId="0" applyNumberFormat="1" applyFont="1" applyBorder="1" applyAlignment="1">
      <alignment horizontal="center" vertical="center" wrapText="1"/>
    </xf>
    <xf numFmtId="15" fontId="3" fillId="0" borderId="42" xfId="0" applyNumberFormat="1" applyFont="1" applyBorder="1" applyAlignment="1">
      <alignment horizontal="center" vertical="center" wrapText="1"/>
    </xf>
    <xf numFmtId="15" fontId="3" fillId="0" borderId="43" xfId="0" applyNumberFormat="1" applyFont="1" applyBorder="1" applyAlignment="1">
      <alignment horizontal="center" vertical="center" wrapText="1"/>
    </xf>
    <xf numFmtId="43" fontId="3" fillId="0" borderId="42" xfId="0" applyNumberFormat="1" applyFont="1" applyBorder="1" applyAlignment="1">
      <alignment horizontal="center" vertical="center" wrapText="1"/>
    </xf>
    <xf numFmtId="43" fontId="3" fillId="0" borderId="11" xfId="0" applyNumberFormat="1" applyFont="1" applyBorder="1" applyAlignment="1">
      <alignment horizontal="center" vertical="center" wrapText="1"/>
    </xf>
    <xf numFmtId="15" fontId="3" fillId="0" borderId="11" xfId="0" applyNumberFormat="1" applyFont="1" applyBorder="1" applyAlignment="1">
      <alignment horizontal="center" vertical="center" wrapText="1"/>
    </xf>
    <xf numFmtId="0" fontId="6" fillId="0" borderId="0" xfId="0" applyFont="1" applyFill="1"/>
    <xf numFmtId="0" fontId="8" fillId="0" borderId="0" xfId="0" applyFont="1" applyFill="1" applyAlignment="1"/>
    <xf numFmtId="0" fontId="16" fillId="0" borderId="0" xfId="0" applyFont="1" applyFill="1"/>
    <xf numFmtId="43" fontId="8" fillId="0" borderId="0" xfId="1" applyFont="1" applyFill="1" applyBorder="1" applyAlignment="1">
      <alignment horizontal="center"/>
    </xf>
    <xf numFmtId="169" fontId="9" fillId="0" borderId="30" xfId="0" applyNumberFormat="1" applyFont="1" applyFill="1" applyBorder="1"/>
    <xf numFmtId="0" fontId="8" fillId="0" borderId="0" xfId="0" applyFont="1" applyFill="1" applyBorder="1" applyAlignment="1">
      <alignment vertical="center" wrapText="1"/>
    </xf>
    <xf numFmtId="164" fontId="6" fillId="0" borderId="0" xfId="0" applyNumberFormat="1" applyFont="1" applyFill="1"/>
    <xf numFmtId="168" fontId="15" fillId="0" borderId="0" xfId="1" applyNumberFormat="1" applyFont="1" applyFill="1" applyBorder="1"/>
    <xf numFmtId="43" fontId="6" fillId="0" borderId="0" xfId="0" applyNumberFormat="1" applyFont="1" applyFill="1"/>
    <xf numFmtId="0" fontId="8" fillId="0" borderId="22" xfId="0" applyFont="1" applyFill="1" applyBorder="1"/>
    <xf numFmtId="0" fontId="8" fillId="0" borderId="20" xfId="0" applyFont="1" applyFill="1" applyBorder="1"/>
    <xf numFmtId="0" fontId="8" fillId="0" borderId="19" xfId="0" applyFont="1" applyFill="1" applyBorder="1" applyAlignment="1">
      <alignment wrapText="1"/>
    </xf>
    <xf numFmtId="10" fontId="15" fillId="0" borderId="0" xfId="0" applyNumberFormat="1" applyFont="1" applyFill="1" applyBorder="1"/>
    <xf numFmtId="0" fontId="6" fillId="0" borderId="22" xfId="0" applyFont="1" applyFill="1" applyBorder="1"/>
    <xf numFmtId="0" fontId="6" fillId="0" borderId="20" xfId="0" applyFont="1" applyFill="1" applyBorder="1"/>
    <xf numFmtId="0" fontId="17" fillId="0" borderId="20" xfId="0" applyFont="1" applyFill="1" applyBorder="1"/>
    <xf numFmtId="0" fontId="6" fillId="0" borderId="19" xfId="0" applyFont="1" applyFill="1" applyBorder="1"/>
    <xf numFmtId="0" fontId="17" fillId="0" borderId="0" xfId="0" applyFont="1" applyFill="1"/>
    <xf numFmtId="0" fontId="8" fillId="0" borderId="0" xfId="0" applyFont="1" applyFill="1"/>
    <xf numFmtId="0" fontId="14" fillId="0" borderId="15" xfId="0" applyFont="1" applyFill="1" applyBorder="1"/>
    <xf numFmtId="0" fontId="14" fillId="0" borderId="23" xfId="0" applyFont="1" applyFill="1" applyBorder="1"/>
    <xf numFmtId="0" fontId="14" fillId="0" borderId="21" xfId="0" applyFont="1" applyFill="1" applyBorder="1" applyAlignment="1">
      <alignment horizontal="left" indent="1"/>
    </xf>
    <xf numFmtId="2" fontId="6" fillId="0" borderId="0" xfId="0" applyNumberFormat="1" applyFont="1" applyFill="1"/>
    <xf numFmtId="10" fontId="14" fillId="0" borderId="0" xfId="5" applyNumberFormat="1" applyFont="1" applyFill="1" applyBorder="1"/>
    <xf numFmtId="0" fontId="8" fillId="0" borderId="0" xfId="0" applyFont="1" applyFill="1" applyBorder="1" applyAlignment="1">
      <alignment wrapText="1"/>
    </xf>
    <xf numFmtId="43" fontId="3" fillId="0" borderId="35" xfId="0" applyNumberFormat="1" applyFont="1" applyFill="1" applyBorder="1" applyAlignment="1">
      <alignment vertical="center"/>
    </xf>
    <xf numFmtId="43" fontId="3" fillId="0" borderId="36" xfId="0" applyNumberFormat="1" applyFont="1" applyFill="1" applyBorder="1" applyAlignment="1">
      <alignment vertical="center"/>
    </xf>
    <xf numFmtId="43" fontId="3" fillId="0" borderId="37" xfId="0" applyNumberFormat="1" applyFont="1" applyFill="1" applyBorder="1" applyAlignment="1">
      <alignment vertical="center"/>
    </xf>
    <xf numFmtId="0" fontId="8" fillId="0" borderId="23" xfId="0" applyFont="1" applyFill="1" applyBorder="1" applyAlignment="1">
      <alignment horizontal="left" vertical="top" wrapText="1"/>
    </xf>
    <xf numFmtId="17" fontId="14" fillId="0" borderId="0" xfId="0" applyNumberFormat="1" applyFont="1" applyFill="1" applyBorder="1"/>
    <xf numFmtId="0" fontId="14" fillId="0" borderId="23" xfId="0" applyFont="1" applyBorder="1" applyAlignment="1">
      <alignment vertical="center" wrapText="1"/>
    </xf>
    <xf numFmtId="0" fontId="14" fillId="0" borderId="23" xfId="0" applyFont="1" applyBorder="1"/>
    <xf numFmtId="0" fontId="14" fillId="0" borderId="0" xfId="0" applyNumberFormat="1" applyFont="1" applyFill="1" applyBorder="1" applyAlignment="1">
      <alignment horizontal="center"/>
    </xf>
    <xf numFmtId="43" fontId="0" fillId="0" borderId="0" xfId="0" applyNumberFormat="1" applyAlignment="1">
      <alignment vertical="center"/>
    </xf>
    <xf numFmtId="43" fontId="1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43" fontId="25" fillId="0" borderId="0" xfId="0" applyNumberFormat="1" applyFont="1" applyAlignment="1">
      <alignment vertical="center"/>
    </xf>
    <xf numFmtId="43" fontId="2" fillId="0" borderId="39" xfId="0" applyNumberFormat="1" applyFont="1" applyFill="1" applyBorder="1" applyAlignment="1">
      <alignment vertical="center"/>
    </xf>
    <xf numFmtId="43" fontId="3" fillId="0" borderId="25" xfId="0" applyNumberFormat="1" applyFont="1" applyFill="1" applyBorder="1" applyAlignment="1">
      <alignment vertical="center"/>
    </xf>
    <xf numFmtId="43" fontId="3" fillId="0" borderId="1" xfId="0" applyNumberFormat="1" applyFont="1" applyFill="1" applyBorder="1" applyAlignment="1">
      <alignment vertical="center"/>
    </xf>
    <xf numFmtId="43" fontId="3" fillId="0" borderId="16" xfId="0" applyNumberFormat="1" applyFont="1" applyFill="1" applyBorder="1" applyAlignment="1">
      <alignment vertical="center"/>
    </xf>
    <xf numFmtId="43" fontId="3" fillId="0" borderId="31" xfId="0" applyNumberFormat="1" applyFont="1" applyBorder="1" applyAlignment="1">
      <alignment horizontal="center" vertical="center"/>
    </xf>
    <xf numFmtId="43" fontId="3" fillId="0" borderId="45" xfId="0" applyNumberFormat="1" applyFont="1" applyBorder="1" applyAlignment="1">
      <alignment horizontal="center" vertical="center"/>
    </xf>
    <xf numFmtId="43" fontId="3" fillId="0" borderId="46" xfId="0" applyNumberFormat="1" applyFont="1" applyFill="1" applyBorder="1" applyAlignment="1">
      <alignment vertical="center"/>
    </xf>
    <xf numFmtId="43" fontId="3" fillId="0" borderId="0" xfId="0" applyNumberFormat="1" applyFont="1" applyBorder="1" applyAlignment="1">
      <alignment horizontal="center" vertical="center"/>
    </xf>
    <xf numFmtId="43" fontId="3" fillId="0" borderId="43" xfId="0" applyNumberFormat="1" applyFont="1" applyBorder="1" applyAlignment="1">
      <alignment horizontal="center" vertical="center"/>
    </xf>
    <xf numFmtId="43" fontId="3" fillId="0" borderId="17" xfId="0" applyNumberFormat="1" applyFont="1" applyFill="1" applyBorder="1" applyAlignment="1">
      <alignment vertical="center"/>
    </xf>
    <xf numFmtId="43" fontId="3" fillId="0" borderId="42" xfId="0" applyNumberFormat="1" applyFont="1" applyBorder="1" applyAlignment="1">
      <alignment horizontal="center" vertical="center"/>
    </xf>
    <xf numFmtId="43" fontId="3" fillId="0" borderId="11" xfId="0" applyNumberFormat="1" applyFont="1" applyBorder="1" applyAlignment="1">
      <alignment horizontal="center" vertical="center"/>
    </xf>
    <xf numFmtId="43" fontId="3" fillId="0" borderId="0" xfId="0" applyNumberFormat="1" applyFont="1" applyFill="1" applyBorder="1" applyAlignment="1">
      <alignment vertical="center"/>
    </xf>
    <xf numFmtId="43" fontId="3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Border="1" applyAlignment="1">
      <alignment vertical="center"/>
    </xf>
    <xf numFmtId="43" fontId="2" fillId="0" borderId="16" xfId="0" applyNumberFormat="1" applyFont="1" applyFill="1" applyBorder="1" applyAlignment="1">
      <alignment vertical="center"/>
    </xf>
    <xf numFmtId="43" fontId="0" fillId="0" borderId="31" xfId="0" applyNumberFormat="1" applyBorder="1" applyAlignment="1">
      <alignment vertical="center"/>
    </xf>
    <xf numFmtId="43" fontId="0" fillId="0" borderId="45" xfId="0" applyNumberFormat="1" applyBorder="1" applyAlignment="1">
      <alignment vertical="center"/>
    </xf>
    <xf numFmtId="43" fontId="2" fillId="0" borderId="0" xfId="0" applyNumberFormat="1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vertical="center"/>
    </xf>
    <xf numFmtId="43" fontId="3" fillId="0" borderId="0" xfId="0" applyNumberFormat="1" applyFont="1" applyAlignment="1">
      <alignment horizontal="center" vertical="center"/>
    </xf>
    <xf numFmtId="43" fontId="26" fillId="0" borderId="16" xfId="0" applyNumberFormat="1" applyFont="1" applyFill="1" applyBorder="1" applyAlignment="1">
      <alignment vertical="center"/>
    </xf>
    <xf numFmtId="43" fontId="26" fillId="0" borderId="17" xfId="0" applyNumberFormat="1" applyFont="1" applyFill="1" applyBorder="1" applyAlignment="1">
      <alignment vertical="center"/>
    </xf>
    <xf numFmtId="43" fontId="26" fillId="0" borderId="0" xfId="0" applyNumberFormat="1" applyFont="1" applyFill="1" applyBorder="1" applyAlignment="1">
      <alignment vertical="center"/>
    </xf>
    <xf numFmtId="43" fontId="3" fillId="0" borderId="17" xfId="0" applyNumberFormat="1" applyFont="1" applyBorder="1" applyAlignment="1">
      <alignment horizontal="center" vertical="center"/>
    </xf>
    <xf numFmtId="43" fontId="3" fillId="0" borderId="46" xfId="0" applyNumberFormat="1" applyFont="1" applyBorder="1" applyAlignment="1">
      <alignment vertical="center"/>
    </xf>
    <xf numFmtId="43" fontId="3" fillId="0" borderId="17" xfId="0" applyNumberFormat="1" applyFont="1" applyBorder="1" applyAlignment="1">
      <alignment vertical="center"/>
    </xf>
    <xf numFmtId="43" fontId="2" fillId="0" borderId="16" xfId="0" applyNumberFormat="1" applyFont="1" applyBorder="1" applyAlignment="1">
      <alignment vertical="center"/>
    </xf>
    <xf numFmtId="43" fontId="3" fillId="0" borderId="31" xfId="0" applyNumberFormat="1" applyFont="1" applyBorder="1" applyAlignment="1">
      <alignment vertical="center"/>
    </xf>
    <xf numFmtId="43" fontId="3" fillId="0" borderId="45" xfId="0" applyNumberFormat="1" applyFont="1" applyBorder="1" applyAlignment="1">
      <alignment vertical="center"/>
    </xf>
    <xf numFmtId="43" fontId="3" fillId="0" borderId="18" xfId="0" applyNumberFormat="1" applyFont="1" applyBorder="1" applyAlignment="1">
      <alignment vertical="center"/>
    </xf>
    <xf numFmtId="43" fontId="3" fillId="0" borderId="25" xfId="0" applyNumberFormat="1" applyFont="1" applyBorder="1" applyAlignment="1">
      <alignment vertical="center"/>
    </xf>
    <xf numFmtId="43" fontId="8" fillId="0" borderId="17" xfId="0" applyNumberFormat="1" applyFont="1" applyFill="1" applyBorder="1" applyAlignment="1">
      <alignment vertical="center"/>
    </xf>
    <xf numFmtId="43" fontId="3" fillId="0" borderId="40" xfId="0" applyNumberFormat="1" applyFont="1" applyBorder="1" applyAlignment="1">
      <alignment vertical="center"/>
    </xf>
    <xf numFmtId="43" fontId="0" fillId="0" borderId="16" xfId="0" applyNumberFormat="1" applyBorder="1" applyAlignment="1">
      <alignment vertical="center"/>
    </xf>
    <xf numFmtId="43" fontId="0" fillId="0" borderId="17" xfId="0" applyNumberFormat="1" applyBorder="1" applyAlignment="1">
      <alignment vertical="center"/>
    </xf>
    <xf numFmtId="43" fontId="3" fillId="0" borderId="1" xfId="0" applyNumberFormat="1" applyFont="1" applyBorder="1" applyAlignment="1">
      <alignment vertical="center"/>
    </xf>
    <xf numFmtId="43" fontId="26" fillId="0" borderId="46" xfId="0" applyNumberFormat="1" applyFont="1" applyFill="1" applyBorder="1" applyAlignment="1">
      <alignment vertical="center"/>
    </xf>
    <xf numFmtId="43" fontId="0" fillId="0" borderId="0" xfId="0" applyNumberFormat="1" applyBorder="1" applyAlignment="1">
      <alignment horizontal="center" vertical="center"/>
    </xf>
    <xf numFmtId="43" fontId="26" fillId="0" borderId="1" xfId="0" applyNumberFormat="1" applyFont="1" applyBorder="1" applyAlignment="1">
      <alignment vertical="center"/>
    </xf>
    <xf numFmtId="43" fontId="26" fillId="0" borderId="39" xfId="0" applyNumberFormat="1" applyFont="1" applyBorder="1" applyAlignment="1">
      <alignment vertical="center"/>
    </xf>
    <xf numFmtId="43" fontId="26" fillId="0" borderId="25" xfId="0" applyNumberFormat="1" applyFont="1" applyBorder="1" applyAlignment="1">
      <alignment vertical="center"/>
    </xf>
    <xf numFmtId="43" fontId="3" fillId="0" borderId="41" xfId="0" applyNumberFormat="1" applyFont="1" applyBorder="1" applyAlignment="1">
      <alignment horizontal="center" vertical="center"/>
    </xf>
    <xf numFmtId="43" fontId="3" fillId="0" borderId="44" xfId="0" applyNumberFormat="1" applyFont="1" applyBorder="1" applyAlignment="1">
      <alignment horizontal="center" vertical="center"/>
    </xf>
    <xf numFmtId="43" fontId="26" fillId="0" borderId="0" xfId="0" applyNumberFormat="1" applyFont="1" applyBorder="1" applyAlignment="1">
      <alignment vertical="center"/>
    </xf>
    <xf numFmtId="43" fontId="2" fillId="0" borderId="17" xfId="0" applyNumberFormat="1" applyFont="1" applyBorder="1" applyAlignment="1">
      <alignment vertical="center"/>
    </xf>
    <xf numFmtId="43" fontId="0" fillId="0" borderId="42" xfId="0" applyNumberFormat="1" applyBorder="1" applyAlignment="1">
      <alignment vertical="center"/>
    </xf>
    <xf numFmtId="43" fontId="0" fillId="0" borderId="11" xfId="0" applyNumberFormat="1" applyBorder="1" applyAlignment="1">
      <alignment vertical="center"/>
    </xf>
    <xf numFmtId="43" fontId="0" fillId="0" borderId="0" xfId="0" applyNumberFormat="1" applyBorder="1" applyAlignment="1">
      <alignment vertical="center"/>
    </xf>
    <xf numFmtId="43" fontId="0" fillId="0" borderId="43" xfId="0" applyNumberFormat="1" applyBorder="1" applyAlignment="1">
      <alignment vertical="center"/>
    </xf>
    <xf numFmtId="43" fontId="0" fillId="0" borderId="18" xfId="0" applyNumberFormat="1" applyBorder="1" applyAlignment="1">
      <alignment vertical="center"/>
    </xf>
    <xf numFmtId="166" fontId="3" fillId="0" borderId="31" xfId="0" applyNumberFormat="1" applyFont="1" applyBorder="1" applyAlignment="1">
      <alignment vertical="center" wrapText="1"/>
    </xf>
    <xf numFmtId="166" fontId="3" fillId="0" borderId="45" xfId="0" applyNumberFormat="1" applyFont="1" applyBorder="1" applyAlignment="1">
      <alignment vertical="center" wrapText="1"/>
    </xf>
    <xf numFmtId="43" fontId="14" fillId="0" borderId="0" xfId="0" applyNumberFormat="1" applyFont="1" applyFill="1" applyBorder="1"/>
    <xf numFmtId="2" fontId="14" fillId="0" borderId="0" xfId="5" applyNumberFormat="1" applyFont="1" applyFill="1" applyBorder="1" applyAlignment="1">
      <alignment vertical="top"/>
    </xf>
    <xf numFmtId="43" fontId="3" fillId="0" borderId="39" xfId="0" applyNumberFormat="1" applyFont="1" applyBorder="1" applyAlignment="1">
      <alignment vertical="center"/>
    </xf>
    <xf numFmtId="43" fontId="3" fillId="0" borderId="41" xfId="0" applyNumberFormat="1" applyFont="1" applyBorder="1" applyAlignment="1">
      <alignment vertical="center"/>
    </xf>
    <xf numFmtId="173" fontId="15" fillId="0" borderId="0" xfId="0" applyNumberFormat="1" applyFont="1" applyFill="1" applyBorder="1"/>
    <xf numFmtId="0" fontId="5" fillId="0" borderId="23" xfId="3" applyFill="1" applyBorder="1" applyAlignment="1" applyProtection="1">
      <alignment wrapText="1"/>
    </xf>
    <xf numFmtId="0" fontId="23" fillId="0" borderId="23" xfId="3" applyFont="1" applyFill="1" applyBorder="1" applyAlignment="1" applyProtection="1">
      <alignment wrapText="1"/>
    </xf>
    <xf numFmtId="10" fontId="14" fillId="0" borderId="0" xfId="4" applyNumberFormat="1" applyFont="1" applyFill="1" applyBorder="1"/>
    <xf numFmtId="0" fontId="22" fillId="0" borderId="19" xfId="0" applyFont="1" applyBorder="1" applyAlignment="1"/>
    <xf numFmtId="166" fontId="3" fillId="0" borderId="42" xfId="0" applyNumberFormat="1" applyFont="1" applyBorder="1" applyAlignment="1">
      <alignment horizontal="center" vertical="center"/>
    </xf>
    <xf numFmtId="166" fontId="3" fillId="0" borderId="11" xfId="0" applyNumberFormat="1" applyFont="1" applyBorder="1" applyAlignment="1">
      <alignment horizontal="center" vertical="center"/>
    </xf>
    <xf numFmtId="43" fontId="27" fillId="0" borderId="0" xfId="0" applyNumberFormat="1" applyFont="1" applyAlignment="1">
      <alignment vertical="center"/>
    </xf>
    <xf numFmtId="43" fontId="3" fillId="0" borderId="39" xfId="0" applyNumberFormat="1" applyFont="1" applyFill="1" applyBorder="1" applyAlignment="1">
      <alignment horizontal="center" vertical="center"/>
    </xf>
    <xf numFmtId="43" fontId="3" fillId="0" borderId="25" xfId="0" applyNumberFormat="1" applyFont="1" applyFill="1" applyBorder="1" applyAlignment="1">
      <alignment horizontal="center" vertical="center"/>
    </xf>
    <xf numFmtId="43" fontId="3" fillId="0" borderId="40" xfId="0" applyNumberFormat="1" applyFont="1" applyFill="1" applyBorder="1" applyAlignment="1">
      <alignment horizontal="center" vertical="center"/>
    </xf>
    <xf numFmtId="0" fontId="19" fillId="4" borderId="0" xfId="0" applyFont="1" applyFill="1" applyBorder="1"/>
    <xf numFmtId="0" fontId="8" fillId="4" borderId="0" xfId="0" applyFont="1" applyFill="1" applyBorder="1"/>
    <xf numFmtId="0" fontId="8" fillId="4" borderId="0" xfId="0" applyFont="1" applyFill="1"/>
    <xf numFmtId="43" fontId="8" fillId="4" borderId="0" xfId="1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44" fontId="8" fillId="4" borderId="0" xfId="2" applyFont="1" applyFill="1" applyBorder="1" applyAlignment="1">
      <alignment vertical="center"/>
    </xf>
    <xf numFmtId="171" fontId="8" fillId="4" borderId="0" xfId="1" applyNumberFormat="1" applyFont="1" applyFill="1" applyBorder="1" applyAlignment="1">
      <alignment vertical="center"/>
    </xf>
    <xf numFmtId="43" fontId="7" fillId="4" borderId="29" xfId="1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44" fontId="8" fillId="4" borderId="1" xfId="2" applyFont="1" applyFill="1" applyBorder="1" applyAlignment="1">
      <alignment vertical="center"/>
    </xf>
    <xf numFmtId="43" fontId="8" fillId="4" borderId="7" xfId="1" applyFont="1" applyFill="1" applyBorder="1" applyAlignment="1">
      <alignment vertical="center"/>
    </xf>
    <xf numFmtId="0" fontId="8" fillId="4" borderId="2" xfId="0" applyFont="1" applyFill="1" applyBorder="1"/>
    <xf numFmtId="0" fontId="8" fillId="4" borderId="1" xfId="0" applyFont="1" applyFill="1" applyBorder="1"/>
    <xf numFmtId="10" fontId="8" fillId="4" borderId="1" xfId="0" applyNumberFormat="1" applyFont="1" applyFill="1" applyBorder="1"/>
    <xf numFmtId="44" fontId="8" fillId="4" borderId="1" xfId="0" applyNumberFormat="1" applyFont="1" applyFill="1" applyBorder="1"/>
    <xf numFmtId="0" fontId="8" fillId="4" borderId="7" xfId="0" applyFont="1" applyFill="1" applyBorder="1"/>
    <xf numFmtId="43" fontId="8" fillId="4" borderId="2" xfId="1" applyFont="1" applyFill="1" applyBorder="1" applyAlignment="1">
      <alignment vertical="center"/>
    </xf>
    <xf numFmtId="43" fontId="8" fillId="4" borderId="1" xfId="1" applyFont="1" applyFill="1" applyBorder="1" applyAlignment="1">
      <alignment vertical="center"/>
    </xf>
    <xf numFmtId="43" fontId="5" fillId="4" borderId="7" xfId="3" applyNumberFormat="1" applyFill="1" applyBorder="1" applyAlignment="1" applyProtection="1">
      <alignment vertical="center"/>
    </xf>
    <xf numFmtId="2" fontId="8" fillId="4" borderId="1" xfId="0" applyNumberFormat="1" applyFont="1" applyFill="1" applyBorder="1"/>
    <xf numFmtId="166" fontId="8" fillId="4" borderId="1" xfId="1" applyNumberFormat="1" applyFont="1" applyFill="1" applyBorder="1" applyAlignment="1">
      <alignment vertical="center"/>
    </xf>
    <xf numFmtId="43" fontId="8" fillId="4" borderId="48" xfId="1" applyFont="1" applyFill="1" applyBorder="1" applyAlignment="1">
      <alignment vertical="center"/>
    </xf>
    <xf numFmtId="0" fontId="8" fillId="4" borderId="39" xfId="0" applyFont="1" applyFill="1" applyBorder="1" applyAlignment="1">
      <alignment vertical="center"/>
    </xf>
    <xf numFmtId="44" fontId="8" fillId="4" borderId="39" xfId="2" applyFont="1" applyFill="1" applyBorder="1" applyAlignment="1">
      <alignment vertical="center"/>
    </xf>
    <xf numFmtId="2" fontId="8" fillId="4" borderId="39" xfId="0" applyNumberFormat="1" applyFont="1" applyFill="1" applyBorder="1"/>
    <xf numFmtId="0" fontId="8" fillId="4" borderId="49" xfId="0" applyFont="1" applyFill="1" applyBorder="1"/>
    <xf numFmtId="0" fontId="7" fillId="4" borderId="4" xfId="0" applyFont="1" applyFill="1" applyBorder="1"/>
    <xf numFmtId="0" fontId="8" fillId="4" borderId="5" xfId="0" applyFont="1" applyFill="1" applyBorder="1"/>
    <xf numFmtId="2" fontId="8" fillId="4" borderId="5" xfId="0" applyNumberFormat="1" applyFont="1" applyFill="1" applyBorder="1"/>
    <xf numFmtId="0" fontId="8" fillId="4" borderId="6" xfId="0" applyFont="1" applyFill="1" applyBorder="1"/>
    <xf numFmtId="9" fontId="8" fillId="4" borderId="1" xfId="0" applyNumberFormat="1" applyFont="1" applyFill="1" applyBorder="1"/>
    <xf numFmtId="43" fontId="8" fillId="4" borderId="1" xfId="0" applyNumberFormat="1" applyFont="1" applyFill="1" applyBorder="1"/>
    <xf numFmtId="166" fontId="8" fillId="4" borderId="39" xfId="1" applyNumberFormat="1" applyFont="1" applyFill="1" applyBorder="1" applyAlignment="1">
      <alignment vertical="center"/>
    </xf>
    <xf numFmtId="43" fontId="8" fillId="4" borderId="32" xfId="1" applyFont="1" applyFill="1" applyBorder="1" applyAlignment="1">
      <alignment vertical="center"/>
    </xf>
    <xf numFmtId="0" fontId="8" fillId="4" borderId="33" xfId="0" applyFont="1" applyFill="1" applyBorder="1" applyAlignment="1">
      <alignment vertical="center"/>
    </xf>
    <xf numFmtId="166" fontId="8" fillId="4" borderId="33" xfId="1" applyNumberFormat="1" applyFont="1" applyFill="1" applyBorder="1" applyAlignment="1">
      <alignment vertical="center"/>
    </xf>
    <xf numFmtId="2" fontId="8" fillId="4" borderId="33" xfId="0" applyNumberFormat="1" applyFont="1" applyFill="1" applyBorder="1"/>
    <xf numFmtId="0" fontId="8" fillId="4" borderId="34" xfId="0" applyFont="1" applyFill="1" applyBorder="1"/>
    <xf numFmtId="0" fontId="8" fillId="4" borderId="0" xfId="0" applyFont="1" applyFill="1" applyAlignment="1">
      <alignment vertical="top"/>
    </xf>
    <xf numFmtId="0" fontId="8" fillId="4" borderId="4" xfId="0" applyFont="1" applyFill="1" applyBorder="1" applyAlignment="1">
      <alignment horizontal="left" vertical="top"/>
    </xf>
    <xf numFmtId="0" fontId="8" fillId="4" borderId="5" xfId="0" applyFont="1" applyFill="1" applyBorder="1" applyAlignment="1">
      <alignment horizontal="center" vertical="top"/>
    </xf>
    <xf numFmtId="0" fontId="8" fillId="4" borderId="6" xfId="0" applyFont="1" applyFill="1" applyBorder="1" applyAlignment="1">
      <alignment horizontal="center" vertical="top"/>
    </xf>
    <xf numFmtId="0" fontId="8" fillId="4" borderId="10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left" vertical="top"/>
    </xf>
    <xf numFmtId="165" fontId="8" fillId="4" borderId="1" xfId="0" applyNumberFormat="1" applyFont="1" applyFill="1" applyBorder="1" applyAlignment="1">
      <alignment horizontal="center" vertical="top"/>
    </xf>
    <xf numFmtId="165" fontId="8" fillId="4" borderId="7" xfId="0" applyNumberFormat="1" applyFont="1" applyFill="1" applyBorder="1" applyAlignment="1">
      <alignment horizontal="center" vertical="top"/>
    </xf>
    <xf numFmtId="165" fontId="8" fillId="4" borderId="11" xfId="0" applyNumberFormat="1" applyFont="1" applyFill="1" applyBorder="1" applyAlignment="1">
      <alignment horizontal="center" vertical="top"/>
    </xf>
    <xf numFmtId="17" fontId="8" fillId="4" borderId="1" xfId="0" applyNumberFormat="1" applyFont="1" applyFill="1" applyBorder="1" applyAlignment="1">
      <alignment horizontal="center" vertical="top"/>
    </xf>
    <xf numFmtId="17" fontId="8" fillId="4" borderId="7" xfId="0" applyNumberFormat="1" applyFont="1" applyFill="1" applyBorder="1" applyAlignment="1">
      <alignment horizontal="center" vertical="top"/>
    </xf>
    <xf numFmtId="17" fontId="8" fillId="4" borderId="11" xfId="0" applyNumberFormat="1" applyFont="1" applyFill="1" applyBorder="1" applyAlignment="1">
      <alignment horizontal="center" vertical="top"/>
    </xf>
    <xf numFmtId="0" fontId="8" fillId="4" borderId="3" xfId="0" applyFont="1" applyFill="1" applyBorder="1" applyAlignment="1">
      <alignment horizontal="left" vertical="top"/>
    </xf>
    <xf numFmtId="2" fontId="8" fillId="4" borderId="8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horizontal="left" vertical="top"/>
    </xf>
    <xf numFmtId="0" fontId="10" fillId="4" borderId="0" xfId="0" applyFont="1" applyFill="1" applyBorder="1" applyAlignment="1">
      <alignment horizontal="center" vertical="top"/>
    </xf>
    <xf numFmtId="0" fontId="10" fillId="4" borderId="0" xfId="0" applyFont="1" applyFill="1" applyBorder="1" applyAlignment="1">
      <alignment horizontal="center" vertical="top" wrapText="1"/>
    </xf>
    <xf numFmtId="2" fontId="8" fillId="4" borderId="0" xfId="0" applyNumberFormat="1" applyFont="1" applyFill="1" applyBorder="1" applyAlignment="1">
      <alignment horizontal="center" vertical="top"/>
    </xf>
    <xf numFmtId="2" fontId="10" fillId="4" borderId="0" xfId="0" applyNumberFormat="1" applyFont="1" applyFill="1" applyBorder="1" applyAlignment="1">
      <alignment horizontal="center" vertical="top"/>
    </xf>
    <xf numFmtId="0" fontId="8" fillId="4" borderId="0" xfId="0" applyFont="1" applyFill="1" applyBorder="1" applyAlignment="1">
      <alignment vertical="top"/>
    </xf>
    <xf numFmtId="0" fontId="8" fillId="4" borderId="29" xfId="0" applyFont="1" applyFill="1" applyBorder="1" applyAlignment="1">
      <alignment vertical="top"/>
    </xf>
    <xf numFmtId="0" fontId="8" fillId="4" borderId="26" xfId="0" applyFont="1" applyFill="1" applyBorder="1" applyAlignment="1">
      <alignment horizontal="center" vertical="top"/>
    </xf>
    <xf numFmtId="169" fontId="8" fillId="4" borderId="26" xfId="1" applyNumberFormat="1" applyFont="1" applyFill="1" applyBorder="1" applyAlignment="1">
      <alignment horizontal="center" vertical="top"/>
    </xf>
    <xf numFmtId="0" fontId="8" fillId="4" borderId="24" xfId="0" applyFont="1" applyFill="1" applyBorder="1" applyAlignment="1">
      <alignment vertical="top"/>
    </xf>
    <xf numFmtId="0" fontId="8" fillId="4" borderId="25" xfId="0" applyFont="1" applyFill="1" applyBorder="1" applyAlignment="1">
      <alignment horizontal="center" vertical="top"/>
    </xf>
    <xf numFmtId="169" fontId="8" fillId="4" borderId="25" xfId="1" applyNumberFormat="1" applyFont="1" applyFill="1" applyBorder="1" applyAlignment="1">
      <alignment horizontal="center" vertical="top"/>
    </xf>
    <xf numFmtId="168" fontId="8" fillId="4" borderId="8" xfId="1" applyNumberFormat="1" applyFont="1" applyFill="1" applyBorder="1" applyAlignment="1">
      <alignment horizontal="center" vertical="top"/>
    </xf>
    <xf numFmtId="169" fontId="8" fillId="4" borderId="8" xfId="1" applyNumberFormat="1" applyFont="1" applyFill="1" applyBorder="1" applyAlignment="1">
      <alignment horizontal="center" vertical="top"/>
    </xf>
    <xf numFmtId="170" fontId="8" fillId="4" borderId="25" xfId="0" applyNumberFormat="1" applyFont="1" applyFill="1" applyBorder="1" applyAlignment="1">
      <alignment horizontal="center" vertical="top"/>
    </xf>
    <xf numFmtId="43" fontId="8" fillId="4" borderId="25" xfId="0" applyNumberFormat="1" applyFont="1" applyFill="1" applyBorder="1" applyAlignment="1">
      <alignment horizontal="center" vertical="top"/>
    </xf>
    <xf numFmtId="43" fontId="8" fillId="4" borderId="0" xfId="0" applyNumberFormat="1" applyFont="1" applyFill="1" applyAlignment="1">
      <alignment vertical="top"/>
    </xf>
    <xf numFmtId="0" fontId="8" fillId="4" borderId="24" xfId="0" applyFont="1" applyFill="1" applyBorder="1" applyAlignment="1">
      <alignment horizontal="left" vertical="top" indent="1"/>
    </xf>
    <xf numFmtId="43" fontId="8" fillId="4" borderId="25" xfId="1" applyFont="1" applyFill="1" applyBorder="1" applyAlignment="1">
      <alignment vertical="top"/>
    </xf>
    <xf numFmtId="43" fontId="8" fillId="4" borderId="25" xfId="1" applyFont="1" applyFill="1" applyBorder="1" applyAlignment="1">
      <alignment horizontal="center" vertical="top"/>
    </xf>
    <xf numFmtId="43" fontId="18" fillId="4" borderId="25" xfId="1" applyNumberFormat="1" applyFont="1" applyFill="1" applyBorder="1" applyAlignment="1">
      <alignment horizontal="center" vertical="top"/>
    </xf>
    <xf numFmtId="0" fontId="8" fillId="4" borderId="24" xfId="0" applyFont="1" applyFill="1" applyBorder="1" applyAlignment="1">
      <alignment horizontal="left" vertical="top" wrapText="1" indent="1"/>
    </xf>
    <xf numFmtId="43" fontId="7" fillId="4" borderId="25" xfId="1" applyFont="1" applyFill="1" applyBorder="1" applyAlignment="1">
      <alignment horizontal="center" vertical="top"/>
    </xf>
    <xf numFmtId="43" fontId="8" fillId="4" borderId="8" xfId="1" applyFont="1" applyFill="1" applyBorder="1" applyAlignment="1">
      <alignment horizontal="center" vertical="top"/>
    </xf>
    <xf numFmtId="43" fontId="11" fillId="4" borderId="25" xfId="1" applyFont="1" applyFill="1" applyBorder="1" applyAlignment="1">
      <alignment horizontal="center" vertical="top"/>
    </xf>
    <xf numFmtId="0" fontId="7" fillId="4" borderId="24" xfId="0" applyFont="1" applyFill="1" applyBorder="1" applyAlignment="1">
      <alignment vertical="top"/>
    </xf>
    <xf numFmtId="174" fontId="7" fillId="4" borderId="25" xfId="1" applyNumberFormat="1" applyFont="1" applyFill="1" applyBorder="1" applyAlignment="1">
      <alignment horizontal="center" vertical="top"/>
    </xf>
    <xf numFmtId="0" fontId="8" fillId="4" borderId="27" xfId="0" quotePrefix="1" applyFont="1" applyFill="1" applyBorder="1" applyAlignment="1">
      <alignment horizontal="left" vertical="top" wrapText="1"/>
    </xf>
    <xf numFmtId="10" fontId="8" fillId="4" borderId="28" xfId="0" applyNumberFormat="1" applyFont="1" applyFill="1" applyBorder="1" applyAlignment="1">
      <alignment horizontal="center" vertical="top"/>
    </xf>
    <xf numFmtId="43" fontId="8" fillId="4" borderId="28" xfId="1" applyFont="1" applyFill="1" applyBorder="1" applyAlignment="1">
      <alignment horizontal="center" vertical="top"/>
    </xf>
    <xf numFmtId="0" fontId="7" fillId="4" borderId="13" xfId="0" applyFont="1" applyFill="1" applyBorder="1" applyAlignment="1">
      <alignment vertical="top"/>
    </xf>
    <xf numFmtId="0" fontId="8" fillId="4" borderId="14" xfId="0" applyFont="1" applyFill="1" applyBorder="1" applyAlignment="1">
      <alignment horizontal="center" vertical="top"/>
    </xf>
    <xf numFmtId="0" fontId="8" fillId="4" borderId="14" xfId="0" applyFont="1" applyFill="1" applyBorder="1" applyAlignment="1">
      <alignment vertical="top"/>
    </xf>
    <xf numFmtId="166" fontId="8" fillId="4" borderId="14" xfId="1" applyNumberFormat="1" applyFont="1" applyFill="1" applyBorder="1" applyAlignment="1">
      <alignment vertical="top"/>
    </xf>
    <xf numFmtId="0" fontId="8" fillId="4" borderId="21" xfId="0" applyFont="1" applyFill="1" applyBorder="1" applyAlignment="1">
      <alignment horizontal="left" vertical="top" indent="1"/>
    </xf>
    <xf numFmtId="0" fontId="8" fillId="4" borderId="0" xfId="0" applyFont="1" applyFill="1" applyBorder="1" applyAlignment="1">
      <alignment horizontal="center" vertical="top"/>
    </xf>
    <xf numFmtId="166" fontId="8" fillId="4" borderId="0" xfId="1" applyNumberFormat="1" applyFont="1" applyFill="1" applyBorder="1" applyAlignment="1">
      <alignment vertical="top"/>
    </xf>
    <xf numFmtId="169" fontId="8" fillId="4" borderId="0" xfId="1" applyNumberFormat="1" applyFont="1" applyFill="1" applyBorder="1" applyAlignment="1">
      <alignment vertical="top"/>
    </xf>
    <xf numFmtId="43" fontId="8" fillId="4" borderId="0" xfId="1" applyNumberFormat="1" applyFont="1" applyFill="1" applyBorder="1" applyAlignment="1">
      <alignment vertical="top"/>
    </xf>
    <xf numFmtId="0" fontId="8" fillId="4" borderId="30" xfId="0" applyFont="1" applyFill="1" applyBorder="1" applyAlignment="1">
      <alignment vertical="top"/>
    </xf>
    <xf numFmtId="0" fontId="8" fillId="4" borderId="22" xfId="0" applyFont="1" applyFill="1" applyBorder="1" applyAlignment="1">
      <alignment vertical="top"/>
    </xf>
    <xf numFmtId="0" fontId="8" fillId="4" borderId="20" xfId="0" applyFont="1" applyFill="1" applyBorder="1" applyAlignment="1">
      <alignment horizontal="center" vertical="top"/>
    </xf>
    <xf numFmtId="0" fontId="8" fillId="4" borderId="20" xfId="0" applyFont="1" applyFill="1" applyBorder="1" applyAlignment="1">
      <alignment vertical="top"/>
    </xf>
    <xf numFmtId="169" fontId="8" fillId="4" borderId="20" xfId="1" applyNumberFormat="1" applyFont="1" applyFill="1" applyBorder="1" applyAlignment="1">
      <alignment vertical="top"/>
    </xf>
    <xf numFmtId="0" fontId="8" fillId="4" borderId="0" xfId="0" applyFont="1" applyFill="1" applyAlignment="1">
      <alignment horizontal="center" vertical="top"/>
    </xf>
    <xf numFmtId="0" fontId="7" fillId="4" borderId="14" xfId="0" applyFont="1" applyFill="1" applyBorder="1" applyAlignment="1">
      <alignment vertical="top"/>
    </xf>
    <xf numFmtId="170" fontId="8" fillId="4" borderId="14" xfId="0" applyNumberFormat="1" applyFont="1" applyFill="1" applyBorder="1" applyAlignment="1">
      <alignment vertical="top"/>
    </xf>
    <xf numFmtId="0" fontId="7" fillId="4" borderId="21" xfId="0" applyFont="1" applyFill="1" applyBorder="1" applyAlignment="1">
      <alignment horizontal="left" vertical="top" indent="1"/>
    </xf>
    <xf numFmtId="0" fontId="7" fillId="4" borderId="0" xfId="0" applyFont="1" applyFill="1" applyBorder="1" applyAlignment="1">
      <alignment horizontal="center" vertical="top"/>
    </xf>
    <xf numFmtId="169" fontId="7" fillId="4" borderId="0" xfId="1" applyNumberFormat="1" applyFont="1" applyFill="1" applyBorder="1" applyAlignment="1">
      <alignment vertical="top"/>
    </xf>
    <xf numFmtId="43" fontId="8" fillId="4" borderId="0" xfId="1" applyFont="1" applyFill="1" applyBorder="1" applyAlignment="1">
      <alignment vertical="top"/>
    </xf>
    <xf numFmtId="2" fontId="8" fillId="4" borderId="0" xfId="0" applyNumberFormat="1" applyFont="1" applyFill="1" applyBorder="1" applyAlignment="1">
      <alignment vertical="top"/>
    </xf>
    <xf numFmtId="172" fontId="3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8" fillId="4" borderId="31" xfId="0" applyFont="1" applyFill="1" applyBorder="1" applyAlignment="1">
      <alignment vertical="top"/>
    </xf>
    <xf numFmtId="169" fontId="8" fillId="4" borderId="31" xfId="1" applyNumberFormat="1" applyFont="1" applyFill="1" applyBorder="1" applyAlignment="1">
      <alignment vertical="top"/>
    </xf>
    <xf numFmtId="43" fontId="8" fillId="4" borderId="20" xfId="1" applyFont="1" applyFill="1" applyBorder="1" applyAlignment="1">
      <alignment vertical="top"/>
    </xf>
    <xf numFmtId="43" fontId="8" fillId="4" borderId="0" xfId="0" applyNumberFormat="1" applyFont="1" applyFill="1" applyBorder="1" applyAlignment="1">
      <alignment vertical="top"/>
    </xf>
    <xf numFmtId="0" fontId="8" fillId="4" borderId="21" xfId="0" applyFont="1" applyFill="1" applyBorder="1" applyAlignment="1">
      <alignment horizontal="left" vertical="top" wrapText="1" indent="1"/>
    </xf>
    <xf numFmtId="0" fontId="8" fillId="4" borderId="21" xfId="0" applyFont="1" applyFill="1" applyBorder="1" applyAlignment="1">
      <alignment vertical="top"/>
    </xf>
    <xf numFmtId="2" fontId="8" fillId="4" borderId="20" xfId="0" applyNumberFormat="1" applyFont="1" applyFill="1" applyBorder="1" applyAlignment="1">
      <alignment vertical="top"/>
    </xf>
    <xf numFmtId="0" fontId="8" fillId="4" borderId="15" xfId="0" applyFont="1" applyFill="1" applyBorder="1" applyAlignment="1">
      <alignment vertical="top"/>
    </xf>
    <xf numFmtId="0" fontId="8" fillId="4" borderId="23" xfId="0" applyFont="1" applyFill="1" applyBorder="1" applyAlignment="1">
      <alignment vertical="top"/>
    </xf>
    <xf numFmtId="43" fontId="8" fillId="4" borderId="23" xfId="0" applyNumberFormat="1" applyFont="1" applyFill="1" applyBorder="1" applyAlignment="1">
      <alignment vertical="top"/>
    </xf>
    <xf numFmtId="43" fontId="8" fillId="4" borderId="20" xfId="0" applyNumberFormat="1" applyFont="1" applyFill="1" applyBorder="1" applyAlignment="1">
      <alignment vertical="top"/>
    </xf>
    <xf numFmtId="43" fontId="8" fillId="4" borderId="19" xfId="0" applyNumberFormat="1" applyFont="1" applyFill="1" applyBorder="1" applyAlignment="1">
      <alignment vertical="top"/>
    </xf>
    <xf numFmtId="0" fontId="0" fillId="4" borderId="39" xfId="0" applyFill="1" applyBorder="1"/>
    <xf numFmtId="0" fontId="0" fillId="4" borderId="0" xfId="0" applyFill="1"/>
    <xf numFmtId="43" fontId="3" fillId="4" borderId="25" xfId="0" applyNumberFormat="1" applyFont="1" applyFill="1" applyBorder="1"/>
    <xf numFmtId="43" fontId="3" fillId="4" borderId="40" xfId="0" applyNumberFormat="1" applyFont="1" applyFill="1" applyBorder="1"/>
    <xf numFmtId="0" fontId="25" fillId="4" borderId="0" xfId="0" applyFont="1" applyFill="1"/>
    <xf numFmtId="0" fontId="3" fillId="4" borderId="39" xfId="0" applyFont="1" applyFill="1" applyBorder="1"/>
    <xf numFmtId="166" fontId="3" fillId="4" borderId="31" xfId="0" applyNumberFormat="1" applyFont="1" applyFill="1" applyBorder="1" applyAlignment="1">
      <alignment horizontal="center" vertical="top"/>
    </xf>
    <xf numFmtId="166" fontId="3" fillId="4" borderId="31" xfId="0" applyNumberFormat="1" applyFont="1" applyFill="1" applyBorder="1" applyAlignment="1">
      <alignment horizontal="left"/>
    </xf>
    <xf numFmtId="166" fontId="3" fillId="4" borderId="45" xfId="0" applyNumberFormat="1" applyFont="1" applyFill="1" applyBorder="1" applyAlignment="1">
      <alignment horizontal="left"/>
    </xf>
    <xf numFmtId="43" fontId="0" fillId="4" borderId="0" xfId="0" applyNumberFormat="1" applyFill="1"/>
    <xf numFmtId="0" fontId="3" fillId="4" borderId="25" xfId="0" applyFont="1" applyFill="1" applyBorder="1"/>
    <xf numFmtId="15" fontId="3" fillId="4" borderId="0" xfId="0" applyNumberFormat="1" applyFont="1" applyFill="1" applyBorder="1"/>
    <xf numFmtId="15" fontId="3" fillId="4" borderId="43" xfId="0" applyNumberFormat="1" applyFont="1" applyFill="1" applyBorder="1"/>
    <xf numFmtId="0" fontId="3" fillId="4" borderId="1" xfId="0" applyFont="1" applyFill="1" applyBorder="1"/>
    <xf numFmtId="0" fontId="3" fillId="4" borderId="40" xfId="0" applyFont="1" applyFill="1" applyBorder="1"/>
    <xf numFmtId="15" fontId="3" fillId="4" borderId="17" xfId="0" applyNumberFormat="1" applyFont="1" applyFill="1" applyBorder="1"/>
    <xf numFmtId="15" fontId="3" fillId="4" borderId="42" xfId="0" applyNumberFormat="1" applyFont="1" applyFill="1" applyBorder="1"/>
    <xf numFmtId="15" fontId="3" fillId="4" borderId="11" xfId="0" applyNumberFormat="1" applyFont="1" applyFill="1" applyBorder="1"/>
    <xf numFmtId="43" fontId="3" fillId="4" borderId="39" xfId="0" applyNumberFormat="1" applyFont="1" applyFill="1" applyBorder="1" applyAlignment="1">
      <alignment horizontal="center"/>
    </xf>
    <xf numFmtId="0" fontId="0" fillId="4" borderId="31" xfId="0" applyFill="1" applyBorder="1"/>
    <xf numFmtId="0" fontId="0" fillId="4" borderId="45" xfId="0" applyFill="1" applyBorder="1"/>
    <xf numFmtId="0" fontId="8" fillId="4" borderId="25" xfId="0" applyFont="1" applyFill="1" applyBorder="1" applyAlignment="1">
      <alignment horizontal="left" vertical="top" indent="1"/>
    </xf>
    <xf numFmtId="2" fontId="3" fillId="4" borderId="0" xfId="0" applyNumberFormat="1" applyFont="1" applyFill="1" applyBorder="1" applyAlignment="1">
      <alignment horizontal="center"/>
    </xf>
    <xf numFmtId="2" fontId="3" fillId="4" borderId="43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left" vertical="top" indent="1"/>
    </xf>
    <xf numFmtId="2" fontId="3" fillId="4" borderId="17" xfId="0" applyNumberFormat="1" applyFont="1" applyFill="1" applyBorder="1" applyAlignment="1">
      <alignment horizontal="center"/>
    </xf>
    <xf numFmtId="2" fontId="3" fillId="4" borderId="42" xfId="0" applyNumberFormat="1" applyFont="1" applyFill="1" applyBorder="1" applyAlignment="1">
      <alignment horizontal="center"/>
    </xf>
    <xf numFmtId="2" fontId="3" fillId="4" borderId="11" xfId="0" applyNumberFormat="1" applyFont="1" applyFill="1" applyBorder="1" applyAlignment="1">
      <alignment horizontal="center"/>
    </xf>
    <xf numFmtId="0" fontId="8" fillId="4" borderId="40" xfId="0" applyFont="1" applyFill="1" applyBorder="1" applyAlignment="1">
      <alignment horizontal="left" vertical="top" indent="1"/>
    </xf>
    <xf numFmtId="0" fontId="0" fillId="4" borderId="40" xfId="0" applyFill="1" applyBorder="1"/>
    <xf numFmtId="0" fontId="3" fillId="4" borderId="41" xfId="0" applyFont="1" applyFill="1" applyBorder="1" applyAlignment="1">
      <alignment horizontal="center"/>
    </xf>
    <xf numFmtId="0" fontId="3" fillId="4" borderId="44" xfId="0" applyFont="1" applyFill="1" applyBorder="1" applyAlignment="1">
      <alignment horizontal="center"/>
    </xf>
    <xf numFmtId="2" fontId="3" fillId="4" borderId="0" xfId="0" applyNumberFormat="1" applyFont="1" applyFill="1" applyAlignment="1">
      <alignment horizontal="center"/>
    </xf>
    <xf numFmtId="0" fontId="1" fillId="4" borderId="0" xfId="0" applyFont="1" applyFill="1"/>
    <xf numFmtId="0" fontId="2" fillId="4" borderId="38" xfId="0" applyFont="1" applyFill="1" applyBorder="1"/>
    <xf numFmtId="0" fontId="3" fillId="4" borderId="0" xfId="0" applyFont="1" applyFill="1"/>
    <xf numFmtId="0" fontId="3" fillId="4" borderId="31" xfId="0" applyFont="1" applyFill="1" applyBorder="1"/>
    <xf numFmtId="0" fontId="3" fillId="4" borderId="31" xfId="0" applyFont="1" applyFill="1" applyBorder="1" applyAlignment="1">
      <alignment horizontal="center"/>
    </xf>
    <xf numFmtId="0" fontId="3" fillId="4" borderId="45" xfId="0" applyFont="1" applyFill="1" applyBorder="1" applyAlignment="1">
      <alignment horizontal="center"/>
    </xf>
    <xf numFmtId="17" fontId="3" fillId="4" borderId="0" xfId="0" applyNumberFormat="1" applyFont="1" applyFill="1" applyBorder="1" applyAlignment="1">
      <alignment horizontal="center" vertical="center" wrapText="1"/>
    </xf>
    <xf numFmtId="17" fontId="3" fillId="4" borderId="43" xfId="0" applyNumberFormat="1" applyFont="1" applyFill="1" applyBorder="1" applyAlignment="1">
      <alignment horizontal="center" vertical="center" wrapText="1"/>
    </xf>
    <xf numFmtId="0" fontId="3" fillId="4" borderId="17" xfId="0" applyFont="1" applyFill="1" applyBorder="1"/>
    <xf numFmtId="0" fontId="3" fillId="4" borderId="42" xfId="0" applyFont="1" applyFill="1" applyBorder="1"/>
    <xf numFmtId="0" fontId="3" fillId="4" borderId="42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43" fontId="3" fillId="4" borderId="0" xfId="0" applyNumberFormat="1" applyFont="1" applyFill="1" applyBorder="1" applyAlignment="1">
      <alignment horizontal="center"/>
    </xf>
    <xf numFmtId="9" fontId="3" fillId="4" borderId="0" xfId="0" applyNumberFormat="1" applyFont="1" applyFill="1" applyBorder="1"/>
    <xf numFmtId="0" fontId="3" fillId="4" borderId="0" xfId="0" applyFont="1" applyFill="1" applyBorder="1"/>
    <xf numFmtId="0" fontId="3" fillId="4" borderId="43" xfId="0" applyFont="1" applyFill="1" applyBorder="1"/>
    <xf numFmtId="43" fontId="3" fillId="4" borderId="0" xfId="0" applyNumberFormat="1" applyFont="1" applyFill="1" applyBorder="1"/>
    <xf numFmtId="43" fontId="3" fillId="4" borderId="43" xfId="0" applyNumberFormat="1" applyFont="1" applyFill="1" applyBorder="1"/>
    <xf numFmtId="0" fontId="26" fillId="4" borderId="40" xfId="0" applyFont="1" applyFill="1" applyBorder="1"/>
    <xf numFmtId="10" fontId="26" fillId="4" borderId="41" xfId="0" applyNumberFormat="1" applyFont="1" applyFill="1" applyBorder="1"/>
    <xf numFmtId="0" fontId="3" fillId="4" borderId="41" xfId="0" applyFont="1" applyFill="1" applyBorder="1"/>
    <xf numFmtId="0" fontId="3" fillId="4" borderId="44" xfId="0" applyFont="1" applyFill="1" applyBorder="1"/>
    <xf numFmtId="0" fontId="24" fillId="0" borderId="1" xfId="0" applyFont="1" applyFill="1" applyBorder="1" applyAlignment="1">
      <alignment vertical="center"/>
    </xf>
    <xf numFmtId="0" fontId="6" fillId="0" borderId="1" xfId="0" applyFont="1" applyFill="1" applyBorder="1"/>
    <xf numFmtId="174" fontId="8" fillId="4" borderId="25" xfId="1" applyNumberFormat="1" applyFont="1" applyFill="1" applyBorder="1" applyAlignment="1">
      <alignment horizontal="center" vertical="top"/>
    </xf>
    <xf numFmtId="43" fontId="3" fillId="0" borderId="40" xfId="0" applyNumberFormat="1" applyFont="1" applyBorder="1" applyAlignment="1">
      <alignment horizontal="center" vertical="center"/>
    </xf>
    <xf numFmtId="43" fontId="8" fillId="4" borderId="30" xfId="1" applyNumberFormat="1" applyFont="1" applyFill="1" applyBorder="1" applyAlignment="1">
      <alignment vertical="top"/>
    </xf>
    <xf numFmtId="0" fontId="3" fillId="4" borderId="39" xfId="0" applyFont="1" applyFill="1" applyBorder="1" applyAlignment="1">
      <alignment horizontal="right"/>
    </xf>
    <xf numFmtId="0" fontId="5" fillId="4" borderId="7" xfId="3" applyFill="1" applyBorder="1" applyAlignment="1" applyProtection="1"/>
    <xf numFmtId="0" fontId="8" fillId="0" borderId="0" xfId="0" applyFont="1" applyFill="1" applyBorder="1" applyAlignment="1"/>
    <xf numFmtId="0" fontId="5" fillId="0" borderId="0" xfId="3" applyBorder="1" applyAlignment="1" applyProtection="1">
      <alignment wrapText="1"/>
    </xf>
    <xf numFmtId="0" fontId="12" fillId="0" borderId="50" xfId="0" applyFont="1" applyFill="1" applyBorder="1" applyAlignment="1">
      <alignment wrapText="1"/>
    </xf>
    <xf numFmtId="0" fontId="8" fillId="0" borderId="43" xfId="0" applyFont="1" applyFill="1" applyBorder="1" applyAlignment="1">
      <alignment horizontal="left" wrapText="1"/>
    </xf>
    <xf numFmtId="0" fontId="8" fillId="0" borderId="43" xfId="0" applyFont="1" applyFill="1" applyBorder="1" applyAlignment="1">
      <alignment horizontal="left" vertical="top" wrapText="1"/>
    </xf>
    <xf numFmtId="0" fontId="12" fillId="0" borderId="51" xfId="0" applyFont="1" applyFill="1" applyBorder="1" applyAlignment="1">
      <alignment wrapText="1"/>
    </xf>
    <xf numFmtId="0" fontId="8" fillId="0" borderId="51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23" xfId="3" applyFill="1" applyBorder="1" applyAlignment="1" applyProtection="1">
      <alignment horizontal="left" wrapText="1"/>
    </xf>
    <xf numFmtId="0" fontId="8" fillId="0" borderId="50" xfId="0" applyFont="1" applyFill="1" applyBorder="1" applyAlignment="1">
      <alignment wrapText="1"/>
    </xf>
    <xf numFmtId="0" fontId="14" fillId="0" borderId="43" xfId="0" applyFont="1" applyFill="1" applyBorder="1" applyAlignment="1">
      <alignment wrapText="1"/>
    </xf>
    <xf numFmtId="0" fontId="8" fillId="0" borderId="43" xfId="0" applyFont="1" applyFill="1" applyBorder="1" applyAlignment="1">
      <alignment wrapText="1"/>
    </xf>
    <xf numFmtId="0" fontId="14" fillId="0" borderId="50" xfId="0" applyFont="1" applyFill="1" applyBorder="1" applyAlignment="1">
      <alignment wrapText="1"/>
    </xf>
    <xf numFmtId="0" fontId="14" fillId="0" borderId="51" xfId="0" applyFont="1" applyFill="1" applyBorder="1" applyAlignment="1">
      <alignment wrapText="1"/>
    </xf>
    <xf numFmtId="0" fontId="14" fillId="0" borderId="52" xfId="0" applyFont="1" applyFill="1" applyBorder="1" applyAlignment="1">
      <alignment wrapText="1"/>
    </xf>
    <xf numFmtId="0" fontId="14" fillId="0" borderId="30" xfId="0" applyFont="1" applyFill="1" applyBorder="1"/>
    <xf numFmtId="10" fontId="14" fillId="0" borderId="30" xfId="0" applyNumberFormat="1" applyFont="1" applyFill="1" applyBorder="1"/>
    <xf numFmtId="0" fontId="5" fillId="0" borderId="12" xfId="3" applyFill="1" applyBorder="1" applyAlignment="1" applyProtection="1">
      <alignment wrapText="1"/>
    </xf>
    <xf numFmtId="0" fontId="14" fillId="0" borderId="43" xfId="3" applyFont="1" applyFill="1" applyBorder="1" applyAlignment="1" applyProtection="1">
      <alignment wrapText="1"/>
    </xf>
    <xf numFmtId="0" fontId="14" fillId="0" borderId="20" xfId="0" applyFont="1" applyBorder="1" applyAlignment="1"/>
    <xf numFmtId="0" fontId="8" fillId="0" borderId="51" xfId="0" applyFont="1" applyFill="1" applyBorder="1"/>
    <xf numFmtId="0" fontId="8" fillId="0" borderId="43" xfId="0" applyFont="1" applyBorder="1"/>
    <xf numFmtId="0" fontId="29" fillId="0" borderId="43" xfId="3" applyFont="1" applyFill="1" applyBorder="1" applyAlignment="1" applyProtection="1">
      <alignment wrapText="1"/>
    </xf>
    <xf numFmtId="0" fontId="28" fillId="0" borderId="43" xfId="3" applyFont="1" applyFill="1" applyBorder="1" applyAlignment="1" applyProtection="1">
      <alignment wrapText="1"/>
    </xf>
    <xf numFmtId="0" fontId="14" fillId="0" borderId="50" xfId="0" applyFont="1" applyFill="1" applyBorder="1"/>
    <xf numFmtId="0" fontId="14" fillId="0" borderId="43" xfId="0" applyFont="1" applyFill="1" applyBorder="1"/>
    <xf numFmtId="0" fontId="14" fillId="0" borderId="43" xfId="0" applyFont="1" applyBorder="1" applyAlignment="1">
      <alignment vertical="center" wrapText="1"/>
    </xf>
    <xf numFmtId="0" fontId="14" fillId="0" borderId="43" xfId="0" applyFont="1" applyBorder="1"/>
    <xf numFmtId="0" fontId="8" fillId="0" borderId="43" xfId="0" applyFont="1" applyFill="1" applyBorder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/>
    <xf numFmtId="169" fontId="6" fillId="0" borderId="0" xfId="0" applyNumberFormat="1" applyFont="1" applyFill="1"/>
    <xf numFmtId="166" fontId="6" fillId="0" borderId="0" xfId="0" applyNumberFormat="1" applyFont="1" applyFill="1"/>
    <xf numFmtId="9" fontId="6" fillId="0" borderId="0" xfId="0" applyNumberFormat="1" applyFont="1" applyFill="1"/>
    <xf numFmtId="10" fontId="6" fillId="0" borderId="0" xfId="0" applyNumberFormat="1" applyFont="1" applyFill="1"/>
    <xf numFmtId="0" fontId="6" fillId="0" borderId="1" xfId="0" applyFont="1" applyFill="1" applyBorder="1" applyAlignment="1">
      <alignment wrapText="1"/>
    </xf>
    <xf numFmtId="0" fontId="30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right" wrapText="1"/>
    </xf>
    <xf numFmtId="10" fontId="6" fillId="0" borderId="1" xfId="0" applyNumberFormat="1" applyFont="1" applyFill="1" applyBorder="1" applyAlignment="1">
      <alignment wrapText="1"/>
    </xf>
    <xf numFmtId="0" fontId="30" fillId="5" borderId="1" xfId="0" applyFont="1" applyFill="1" applyBorder="1" applyAlignment="1">
      <alignment wrapText="1"/>
    </xf>
    <xf numFmtId="9" fontId="6" fillId="0" borderId="1" xfId="0" applyNumberFormat="1" applyFont="1" applyFill="1" applyBorder="1" applyAlignment="1">
      <alignment horizontal="right" wrapText="1"/>
    </xf>
    <xf numFmtId="175" fontId="8" fillId="4" borderId="0" xfId="0" applyNumberFormat="1" applyFont="1" applyFill="1" applyAlignment="1">
      <alignment vertical="top"/>
    </xf>
    <xf numFmtId="0" fontId="8" fillId="4" borderId="5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8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/>
    </xf>
    <xf numFmtId="0" fontId="8" fillId="4" borderId="8" xfId="0" applyFont="1" applyFill="1" applyBorder="1" applyAlignment="1">
      <alignment horizontal="center" vertical="top"/>
    </xf>
    <xf numFmtId="0" fontId="4" fillId="3" borderId="0" xfId="0" applyFont="1" applyFill="1" applyAlignment="1">
      <alignment horizontal="left"/>
    </xf>
    <xf numFmtId="0" fontId="2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43" fontId="3" fillId="0" borderId="39" xfId="0" applyNumberFormat="1" applyFont="1" applyBorder="1" applyAlignment="1">
      <alignment horizontal="center" vertical="center"/>
    </xf>
    <xf numFmtId="43" fontId="3" fillId="0" borderId="25" xfId="0" applyNumberFormat="1" applyFont="1" applyBorder="1" applyAlignment="1">
      <alignment horizontal="center" vertical="center"/>
    </xf>
    <xf numFmtId="43" fontId="3" fillId="0" borderId="40" xfId="0" applyNumberFormat="1" applyFont="1" applyBorder="1" applyAlignment="1">
      <alignment horizontal="center" vertical="center"/>
    </xf>
    <xf numFmtId="43" fontId="3" fillId="0" borderId="39" xfId="0" applyNumberFormat="1" applyFont="1" applyFill="1" applyBorder="1" applyAlignment="1">
      <alignment horizontal="center" vertical="center"/>
    </xf>
    <xf numFmtId="43" fontId="3" fillId="0" borderId="25" xfId="0" applyNumberFormat="1" applyFont="1" applyFill="1" applyBorder="1" applyAlignment="1">
      <alignment horizontal="center" vertical="center"/>
    </xf>
    <xf numFmtId="43" fontId="3" fillId="0" borderId="40" xfId="0" applyNumberFormat="1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4" borderId="40" xfId="0" applyFont="1" applyFill="1" applyBorder="1" applyAlignment="1">
      <alignment horizontal="center"/>
    </xf>
  </cellXfs>
  <cellStyles count="6">
    <cellStyle name="Comma" xfId="1" builtinId="3"/>
    <cellStyle name="Currency" xfId="2" builtinId="4"/>
    <cellStyle name="Hyperlink" xfId="3" builtinId="8"/>
    <cellStyle name="Normal" xfId="0" builtinId="0"/>
    <cellStyle name="Normal_Model 1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WARUP%20DATA/Assignments/LANCO/Appendix%201A%20-%20FM%20G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ikramkumars034/Desktop/Levelized%20Tariff%20Models_%2028%20May%202012/CCGT_Lanco_Phase%20III_13%20August%20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nsitivity Summary"/>
      <sheetName val="Assumptions"/>
      <sheetName val="Cost of Gas"/>
      <sheetName val="Phasing"/>
      <sheetName val="Loan"/>
      <sheetName val="Loan-Annul"/>
      <sheetName val="IDC"/>
      <sheetName val="Prel."/>
      <sheetName val="FA"/>
      <sheetName val="P&amp;L"/>
      <sheetName val="WC"/>
      <sheetName val="BS"/>
      <sheetName val="CF"/>
      <sheetName val="Operations"/>
      <sheetName val="Tariff"/>
    </sheetNames>
    <sheetDataSet>
      <sheetData sheetId="0"/>
      <sheetData sheetId="1" refreshError="1">
        <row r="5">
          <cell r="D5">
            <v>4.32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G prices"/>
      <sheetName val="Input"/>
      <sheetName val="pool cost"/>
      <sheetName val="Tariff"/>
      <sheetName val="P&amp;L"/>
      <sheetName val="Exchange rates"/>
      <sheetName val="PLR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ngineeringtoolbox.com/heat-units-d_664.html" TargetMode="External"/><Relationship Id="rId2" Type="http://schemas.openxmlformats.org/officeDocument/2006/relationships/hyperlink" Target="http://data.worldbank.org/indicator/PA.NUS.FCRF" TargetMode="External"/><Relationship Id="rId1" Type="http://schemas.openxmlformats.org/officeDocument/2006/relationships/hyperlink" Target="http://data.worldbank.org/indicator/PA.NUS.FCRF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cercind.gov.in/2009/February09/SOR-regulations-on-T&amp;C-of-tariff-05022009.pdf" TargetMode="External"/><Relationship Id="rId13" Type="http://schemas.openxmlformats.org/officeDocument/2006/relationships/hyperlink" Target="http://cercind.gov.in/2009/February09/SOR-regulations-on-T&amp;C-of-tariff-05022009.pdf" TargetMode="External"/><Relationship Id="rId3" Type="http://schemas.openxmlformats.org/officeDocument/2006/relationships/hyperlink" Target="http://rbidocs.rbi.org.in/rdocs/Wss/PDFs/4Tab_231009.pdf" TargetMode="External"/><Relationship Id="rId7" Type="http://schemas.openxmlformats.org/officeDocument/2006/relationships/hyperlink" Target="http://cercind.gov.in/2009/Whats-New/tariff-pdf/Appendix-III.pdf" TargetMode="External"/><Relationship Id="rId12" Type="http://schemas.openxmlformats.org/officeDocument/2006/relationships/hyperlink" Target="http://cercind.gov.in/2009/February09/SOR-regulations-on-T&amp;C-of-tariff-05022009.pdf" TargetMode="External"/><Relationship Id="rId2" Type="http://schemas.openxmlformats.org/officeDocument/2006/relationships/hyperlink" Target="http://cercind.gov.in/2009/February09/SOR-regulations-on-T&amp;C-of-tariff-05022009.pdf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://www.cercind.gov.in/Escalation-rate/Notification-dated-30-09-09.pdf" TargetMode="External"/><Relationship Id="rId6" Type="http://schemas.openxmlformats.org/officeDocument/2006/relationships/hyperlink" Target="http://cercind.gov.in/2009/February09/SOR-regulations-on-T&amp;C-of-tariff-05022009.pdf" TargetMode="External"/><Relationship Id="rId11" Type="http://schemas.openxmlformats.org/officeDocument/2006/relationships/hyperlink" Target="http://law.incometaxindia.gov.in/dittaxmann/incometaxacts/2008itact/sec_080-ia.htm" TargetMode="External"/><Relationship Id="rId5" Type="http://schemas.openxmlformats.org/officeDocument/2006/relationships/hyperlink" Target="http://cercind.gov.in/2009/February09/SOR-regulations-on-T&amp;C-of-tariff-05022009.pdf" TargetMode="External"/><Relationship Id="rId15" Type="http://schemas.openxmlformats.org/officeDocument/2006/relationships/hyperlink" Target="http://cercind.gov.in/2009/February09/SOR-regulations-on-T&amp;C-of-tariff-05022009.pdf" TargetMode="External"/><Relationship Id="rId10" Type="http://schemas.openxmlformats.org/officeDocument/2006/relationships/hyperlink" Target="http://law.incometaxindia.gov.in/dittaxmann/incometaxacts/2008itact/sec_080-ia.htm" TargetMode="External"/><Relationship Id="rId4" Type="http://schemas.openxmlformats.org/officeDocument/2006/relationships/hyperlink" Target="http://www.cercind.gov.in/Escalation-rate/Notification-dated-30-09-09.pdf" TargetMode="External"/><Relationship Id="rId9" Type="http://schemas.openxmlformats.org/officeDocument/2006/relationships/hyperlink" Target="http://articles.economictimes.indiatimes.com/2009-07-07/news/27634848_1_mat-rate-zero-tax-companies-minimum-alternate-tax" TargetMode="External"/><Relationship Id="rId14" Type="http://schemas.openxmlformats.org/officeDocument/2006/relationships/hyperlink" Target="http://cercind.gov.in/2009/February09/SOR-regulations-on-T&amp;C-of-tariff-05022009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25"/>
  <sheetViews>
    <sheetView topLeftCell="A3" zoomScaleNormal="100" workbookViewId="0">
      <selection activeCell="E25" sqref="E25"/>
    </sheetView>
  </sheetViews>
  <sheetFormatPr defaultRowHeight="14.1" customHeight="1"/>
  <cols>
    <col min="1" max="1" width="9.140625" style="189"/>
    <col min="2" max="2" width="27.140625" style="189" bestFit="1" customWidth="1"/>
    <col min="3" max="3" width="16" style="189" customWidth="1"/>
    <col min="4" max="4" width="16.42578125" style="189" customWidth="1"/>
    <col min="5" max="5" width="12.85546875" style="189" customWidth="1"/>
    <col min="6" max="6" width="49" style="189" customWidth="1"/>
    <col min="7" max="7" width="39.7109375" style="189" customWidth="1"/>
    <col min="8" max="16384" width="9.140625" style="189"/>
  </cols>
  <sheetData>
    <row r="3" spans="2:6" ht="14.1" customHeight="1">
      <c r="B3" s="187" t="s">
        <v>120</v>
      </c>
      <c r="C3" s="188"/>
      <c r="D3" s="188"/>
      <c r="E3" s="188"/>
      <c r="F3" s="188"/>
    </row>
    <row r="4" spans="2:6" ht="14.1" customHeight="1" thickBot="1">
      <c r="B4" s="190"/>
      <c r="C4" s="191"/>
      <c r="D4" s="192"/>
      <c r="E4" s="193"/>
      <c r="F4" s="191"/>
    </row>
    <row r="5" spans="2:6" ht="14.1" customHeight="1" thickBot="1">
      <c r="B5" s="194" t="s">
        <v>32</v>
      </c>
      <c r="C5" s="195" t="s">
        <v>33</v>
      </c>
      <c r="D5" s="195"/>
      <c r="E5" s="195" t="s">
        <v>121</v>
      </c>
      <c r="F5" s="196" t="s">
        <v>122</v>
      </c>
    </row>
    <row r="6" spans="2:6" ht="14.1" customHeight="1">
      <c r="B6" s="197" t="s">
        <v>203</v>
      </c>
      <c r="C6" s="198"/>
      <c r="D6" s="198"/>
      <c r="E6" s="198"/>
      <c r="F6" s="199"/>
    </row>
    <row r="7" spans="2:6" ht="14.1" customHeight="1">
      <c r="B7" s="200" t="s">
        <v>204</v>
      </c>
      <c r="C7" s="201" t="s">
        <v>123</v>
      </c>
      <c r="D7" s="201"/>
      <c r="E7" s="202">
        <v>4.2</v>
      </c>
      <c r="F7" s="203" t="s">
        <v>194</v>
      </c>
    </row>
    <row r="8" spans="2:6" ht="14.1" customHeight="1">
      <c r="B8" s="200" t="s">
        <v>186</v>
      </c>
      <c r="C8" s="201" t="s">
        <v>123</v>
      </c>
      <c r="D8" s="201"/>
      <c r="E8" s="202">
        <v>0.13</v>
      </c>
      <c r="F8" s="203" t="s">
        <v>194</v>
      </c>
    </row>
    <row r="9" spans="2:6" ht="14.1" customHeight="1">
      <c r="B9" s="204" t="s">
        <v>124</v>
      </c>
      <c r="C9" s="205"/>
      <c r="D9" s="206">
        <v>0.125</v>
      </c>
      <c r="E9" s="207">
        <f>12.5%*SUM(E7:E8)</f>
        <v>0.54125000000000001</v>
      </c>
      <c r="F9" s="203" t="s">
        <v>194</v>
      </c>
    </row>
    <row r="10" spans="2:6" ht="14.1" customHeight="1">
      <c r="B10" s="204" t="s">
        <v>45</v>
      </c>
      <c r="C10" s="201" t="s">
        <v>123</v>
      </c>
      <c r="D10" s="205"/>
      <c r="E10" s="207">
        <f>SUM(E7:E9)</f>
        <v>4.8712499999999999</v>
      </c>
      <c r="F10" s="208" t="s">
        <v>134</v>
      </c>
    </row>
    <row r="11" spans="2:6" ht="14.1" customHeight="1">
      <c r="B11" s="209" t="s">
        <v>126</v>
      </c>
      <c r="C11" s="201" t="s">
        <v>127</v>
      </c>
      <c r="D11" s="202"/>
      <c r="E11" s="210">
        <v>48.41</v>
      </c>
      <c r="F11" s="211" t="s">
        <v>219</v>
      </c>
    </row>
    <row r="12" spans="2:6" ht="14.1" customHeight="1">
      <c r="B12" s="204" t="s">
        <v>205</v>
      </c>
      <c r="C12" s="205" t="s">
        <v>206</v>
      </c>
      <c r="D12" s="205"/>
      <c r="E12" s="212">
        <f>E10*E11</f>
        <v>235.81721249999998</v>
      </c>
      <c r="F12" s="208" t="s">
        <v>134</v>
      </c>
    </row>
    <row r="13" spans="2:6" ht="14.1" customHeight="1">
      <c r="B13" s="209" t="s">
        <v>128</v>
      </c>
      <c r="C13" s="201" t="s">
        <v>92</v>
      </c>
      <c r="D13" s="213">
        <v>8562</v>
      </c>
      <c r="E13" s="212"/>
      <c r="F13" s="208" t="s">
        <v>194</v>
      </c>
    </row>
    <row r="14" spans="2:6" ht="14.1" customHeight="1">
      <c r="B14" s="209"/>
      <c r="C14" s="201" t="s">
        <v>129</v>
      </c>
      <c r="D14" s="213">
        <f>0.252*10^6</f>
        <v>252000</v>
      </c>
      <c r="E14" s="212"/>
      <c r="F14" s="372" t="s">
        <v>220</v>
      </c>
    </row>
    <row r="15" spans="2:6" ht="14.1" customHeight="1" thickBot="1">
      <c r="B15" s="214" t="s">
        <v>207</v>
      </c>
      <c r="C15" s="215" t="s">
        <v>130</v>
      </c>
      <c r="D15" s="216"/>
      <c r="E15" s="217">
        <f>(D13*E12/D14)*(1+[2]Input!G106)</f>
        <v>8.0121705294642851</v>
      </c>
      <c r="F15" s="218" t="s">
        <v>134</v>
      </c>
    </row>
    <row r="16" spans="2:6" ht="14.1" customHeight="1">
      <c r="B16" s="219" t="s">
        <v>208</v>
      </c>
      <c r="C16" s="220"/>
      <c r="D16" s="220"/>
      <c r="E16" s="221"/>
      <c r="F16" s="222"/>
    </row>
    <row r="17" spans="2:6" ht="14.1" customHeight="1">
      <c r="B17" s="204" t="s">
        <v>67</v>
      </c>
      <c r="C17" s="201" t="s">
        <v>123</v>
      </c>
      <c r="D17" s="202" t="s">
        <v>209</v>
      </c>
      <c r="E17" s="205">
        <v>0.6</v>
      </c>
      <c r="F17" s="203" t="s">
        <v>194</v>
      </c>
    </row>
    <row r="18" spans="2:6" ht="14.1" customHeight="1">
      <c r="B18" s="204" t="s">
        <v>125</v>
      </c>
      <c r="C18" s="205"/>
      <c r="D18" s="223">
        <v>0.1</v>
      </c>
      <c r="E18" s="205">
        <f>E17*D18</f>
        <v>0.06</v>
      </c>
      <c r="F18" s="203" t="s">
        <v>194</v>
      </c>
    </row>
    <row r="19" spans="2:6" ht="14.1" customHeight="1">
      <c r="B19" s="204" t="s">
        <v>210</v>
      </c>
      <c r="C19" s="205"/>
      <c r="D19" s="205"/>
      <c r="E19" s="205">
        <f>SUM(E17:E18)</f>
        <v>0.65999999999999992</v>
      </c>
      <c r="F19" s="208" t="s">
        <v>134</v>
      </c>
    </row>
    <row r="20" spans="2:6" ht="14.1" customHeight="1">
      <c r="B20" s="204" t="s">
        <v>187</v>
      </c>
      <c r="C20" s="205"/>
      <c r="D20" s="223">
        <v>0.03</v>
      </c>
      <c r="E20" s="205">
        <f>3%*E19</f>
        <v>1.9799999999999998E-2</v>
      </c>
      <c r="F20" s="208" t="s">
        <v>134</v>
      </c>
    </row>
    <row r="21" spans="2:6" ht="14.1" customHeight="1">
      <c r="B21" s="204" t="s">
        <v>45</v>
      </c>
      <c r="C21" s="205"/>
      <c r="D21" s="205"/>
      <c r="E21" s="205">
        <f>SUM(E19:E20)</f>
        <v>0.67979999999999996</v>
      </c>
      <c r="F21" s="208" t="s">
        <v>134</v>
      </c>
    </row>
    <row r="22" spans="2:6" ht="14.1" customHeight="1">
      <c r="B22" s="209" t="s">
        <v>126</v>
      </c>
      <c r="C22" s="201" t="s">
        <v>127</v>
      </c>
      <c r="D22" s="202"/>
      <c r="E22" s="210">
        <f>E11</f>
        <v>48.41</v>
      </c>
      <c r="F22" s="211" t="s">
        <v>219</v>
      </c>
    </row>
    <row r="23" spans="2:6" ht="14.1" customHeight="1">
      <c r="B23" s="204" t="s">
        <v>211</v>
      </c>
      <c r="C23" s="205" t="s">
        <v>206</v>
      </c>
      <c r="D23" s="205"/>
      <c r="E23" s="224">
        <f>E22*E21</f>
        <v>32.909117999999992</v>
      </c>
      <c r="F23" s="208" t="s">
        <v>134</v>
      </c>
    </row>
    <row r="24" spans="2:6" ht="14.1" customHeight="1" thickBot="1">
      <c r="B24" s="214" t="s">
        <v>212</v>
      </c>
      <c r="C24" s="215" t="s">
        <v>130</v>
      </c>
      <c r="D24" s="225"/>
      <c r="E24" s="217">
        <f>(E23*D13/D14)*(1+[2]Input!G106)</f>
        <v>1.1181264615714284</v>
      </c>
      <c r="F24" s="218" t="s">
        <v>134</v>
      </c>
    </row>
    <row r="25" spans="2:6" ht="14.1" customHeight="1" thickBot="1">
      <c r="B25" s="226" t="s">
        <v>213</v>
      </c>
      <c r="C25" s="227" t="s">
        <v>130</v>
      </c>
      <c r="D25" s="228"/>
      <c r="E25" s="229">
        <f>E15+E24</f>
        <v>9.1302969910357135</v>
      </c>
      <c r="F25" s="230" t="s">
        <v>134</v>
      </c>
    </row>
  </sheetData>
  <phoneticPr fontId="0" type="noConversion"/>
  <hyperlinks>
    <hyperlink ref="F11" r:id="rId1"/>
    <hyperlink ref="F22" r:id="rId2"/>
    <hyperlink ref="F14" r:id="rId3"/>
  </hyperlinks>
  <pageMargins left="0.75" right="0.5" top="0.75" bottom="0.75" header="0.5" footer="0.5"/>
  <pageSetup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3"/>
  <sheetViews>
    <sheetView showGridLines="0" tabSelected="1" topLeftCell="A82" workbookViewId="0">
      <selection activeCell="B88" sqref="B88"/>
    </sheetView>
  </sheetViews>
  <sheetFormatPr defaultRowHeight="12.75"/>
  <cols>
    <col min="1" max="1" width="9.140625" style="82"/>
    <col min="2" max="2" width="49.7109375" style="82" customWidth="1"/>
    <col min="3" max="3" width="16.28515625" style="82" bestFit="1" customWidth="1"/>
    <col min="4" max="4" width="11.28515625" style="82" customWidth="1"/>
    <col min="5" max="5" width="64.7109375" style="373" customWidth="1"/>
    <col min="6" max="6" width="64.7109375" style="83" customWidth="1"/>
    <col min="7" max="7" width="9.140625" style="82"/>
    <col min="8" max="8" width="23.5703125" style="82" customWidth="1"/>
    <col min="9" max="9" width="8.5703125" style="82" customWidth="1"/>
    <col min="10" max="16384" width="9.140625" style="82"/>
  </cols>
  <sheetData>
    <row r="1" spans="2:6" ht="13.5" thickBot="1"/>
    <row r="2" spans="2:6" ht="15">
      <c r="B2" s="72" t="s">
        <v>135</v>
      </c>
    </row>
    <row r="3" spans="2:6" ht="15">
      <c r="B3" s="73" t="str">
        <f>"Project:           "&amp;D24&amp;" MW "</f>
        <v xml:space="preserve">Project:           742 MW </v>
      </c>
    </row>
    <row r="4" spans="2:6" ht="15.75" thickBot="1">
      <c r="B4" s="74" t="s">
        <v>136</v>
      </c>
    </row>
    <row r="6" spans="2:6">
      <c r="B6" s="84" t="s">
        <v>192</v>
      </c>
    </row>
    <row r="8" spans="2:6" ht="15">
      <c r="B8" s="366" t="s">
        <v>238</v>
      </c>
    </row>
    <row r="9" spans="2:6">
      <c r="B9" s="367" t="s">
        <v>239</v>
      </c>
    </row>
    <row r="10" spans="2:6">
      <c r="B10" s="367" t="s">
        <v>240</v>
      </c>
    </row>
    <row r="12" spans="2:6" ht="13.5" thickBot="1">
      <c r="E12" s="381" t="s">
        <v>244</v>
      </c>
      <c r="F12" s="380" t="s">
        <v>245</v>
      </c>
    </row>
    <row r="13" spans="2:6" ht="14.1" customHeight="1">
      <c r="B13" s="28" t="s">
        <v>84</v>
      </c>
      <c r="C13" s="22"/>
      <c r="D13" s="23"/>
      <c r="E13" s="375"/>
      <c r="F13" s="24"/>
    </row>
    <row r="14" spans="2:6" ht="14.1" customHeight="1">
      <c r="B14" s="29" t="s">
        <v>78</v>
      </c>
      <c r="C14" s="40" t="s">
        <v>237</v>
      </c>
      <c r="D14" s="85">
        <v>21060</v>
      </c>
      <c r="E14" s="376" t="s">
        <v>191</v>
      </c>
      <c r="F14" s="41"/>
    </row>
    <row r="15" spans="2:6" ht="14.1" customHeight="1">
      <c r="B15" s="29" t="s">
        <v>188</v>
      </c>
      <c r="C15" s="40" t="s">
        <v>237</v>
      </c>
      <c r="D15" s="85">
        <v>370</v>
      </c>
      <c r="E15" s="376" t="s">
        <v>191</v>
      </c>
      <c r="F15" s="41"/>
    </row>
    <row r="16" spans="2:6" ht="42">
      <c r="B16" s="30" t="s">
        <v>79</v>
      </c>
      <c r="C16" s="40" t="s">
        <v>237</v>
      </c>
      <c r="D16" s="85">
        <v>2174</v>
      </c>
      <c r="E16" s="377" t="s">
        <v>221</v>
      </c>
      <c r="F16" s="110"/>
    </row>
    <row r="17" spans="1:8" ht="14.1" customHeight="1">
      <c r="B17" s="30" t="s">
        <v>76</v>
      </c>
      <c r="C17" s="40" t="s">
        <v>237</v>
      </c>
      <c r="D17" s="85">
        <v>0</v>
      </c>
      <c r="E17" s="376" t="s">
        <v>191</v>
      </c>
      <c r="F17" s="41"/>
    </row>
    <row r="18" spans="1:8" ht="14.1" customHeight="1">
      <c r="B18" s="29" t="s">
        <v>75</v>
      </c>
      <c r="C18" s="40" t="s">
        <v>237</v>
      </c>
      <c r="D18" s="85">
        <v>2146</v>
      </c>
      <c r="E18" s="376" t="s">
        <v>191</v>
      </c>
      <c r="F18" s="41"/>
    </row>
    <row r="19" spans="1:8" ht="14.1" customHeight="1">
      <c r="B19" s="30" t="s">
        <v>77</v>
      </c>
      <c r="C19" s="40" t="s">
        <v>237</v>
      </c>
      <c r="D19" s="85">
        <v>350</v>
      </c>
      <c r="E19" s="376" t="s">
        <v>191</v>
      </c>
      <c r="F19" s="41"/>
    </row>
    <row r="20" spans="1:8" ht="14.1" customHeight="1" thickBot="1">
      <c r="B20" s="31" t="s">
        <v>2</v>
      </c>
      <c r="C20" s="40" t="s">
        <v>237</v>
      </c>
      <c r="D20" s="86">
        <f>(SUM(D14:D19)*(1+C89))</f>
        <v>26100</v>
      </c>
      <c r="E20" s="376" t="s">
        <v>134</v>
      </c>
      <c r="F20" s="41"/>
    </row>
    <row r="21" spans="1:8" ht="14.1" customHeight="1" thickBot="1">
      <c r="B21" s="32"/>
      <c r="C21" s="26"/>
      <c r="D21" s="27"/>
      <c r="E21" s="378"/>
      <c r="F21" s="25"/>
    </row>
    <row r="22" spans="1:8" ht="14.1" customHeight="1" thickBot="1">
      <c r="A22" s="87"/>
      <c r="B22" s="87"/>
      <c r="C22" s="87"/>
      <c r="D22" s="87"/>
      <c r="E22" s="87"/>
      <c r="F22" s="87"/>
      <c r="G22" s="88"/>
    </row>
    <row r="23" spans="1:8" ht="14.1" customHeight="1">
      <c r="B23" s="28" t="s">
        <v>85</v>
      </c>
      <c r="C23" s="22"/>
      <c r="D23" s="23"/>
      <c r="E23" s="375"/>
      <c r="F23" s="24"/>
    </row>
    <row r="24" spans="1:8" ht="14.1" customHeight="1">
      <c r="B24" s="29" t="s">
        <v>0</v>
      </c>
      <c r="C24" s="40" t="s">
        <v>1</v>
      </c>
      <c r="D24" s="43">
        <v>742</v>
      </c>
      <c r="E24" s="376" t="s">
        <v>191</v>
      </c>
      <c r="F24" s="41"/>
    </row>
    <row r="25" spans="1:8" ht="14.1" customHeight="1">
      <c r="B25" s="29" t="s">
        <v>117</v>
      </c>
      <c r="C25" s="40" t="s">
        <v>8</v>
      </c>
      <c r="D25" s="43">
        <v>20</v>
      </c>
      <c r="E25" s="376" t="s">
        <v>191</v>
      </c>
      <c r="F25" s="41"/>
    </row>
    <row r="26" spans="1:8" ht="14.1" customHeight="1">
      <c r="B26" s="31" t="s">
        <v>51</v>
      </c>
      <c r="C26" s="40" t="s">
        <v>237</v>
      </c>
      <c r="D26" s="89">
        <f>D20/D24</f>
        <v>35.17520215633423</v>
      </c>
      <c r="E26" s="392" t="s">
        <v>134</v>
      </c>
      <c r="F26" s="42"/>
      <c r="H26" s="90"/>
    </row>
    <row r="27" spans="1:8" ht="14.1" customHeight="1">
      <c r="B27" s="29" t="s">
        <v>87</v>
      </c>
      <c r="C27" s="21"/>
      <c r="D27" s="111">
        <v>41000</v>
      </c>
      <c r="E27" s="376" t="s">
        <v>80</v>
      </c>
      <c r="F27" s="41"/>
    </row>
    <row r="28" spans="1:8" ht="14.1" customHeight="1" thickBot="1">
      <c r="B28" s="91"/>
      <c r="C28" s="92"/>
      <c r="D28" s="92"/>
      <c r="E28" s="379"/>
      <c r="F28" s="93"/>
    </row>
    <row r="29" spans="1:8" ht="14.1" customHeight="1" thickBot="1">
      <c r="E29" s="21"/>
      <c r="F29" s="82"/>
    </row>
    <row r="30" spans="1:8" ht="14.1" customHeight="1">
      <c r="B30" s="38" t="s">
        <v>3</v>
      </c>
      <c r="C30" s="34"/>
      <c r="D30" s="35"/>
      <c r="E30" s="383"/>
      <c r="F30" s="36"/>
    </row>
    <row r="31" spans="1:8" ht="14.1" customHeight="1">
      <c r="B31" s="29" t="s">
        <v>6</v>
      </c>
      <c r="C31" s="40" t="s">
        <v>5</v>
      </c>
      <c r="D31" s="44">
        <v>0.3</v>
      </c>
      <c r="E31" s="376" t="s">
        <v>191</v>
      </c>
      <c r="F31" s="41"/>
    </row>
    <row r="32" spans="1:8" ht="14.1" customHeight="1">
      <c r="B32" s="29" t="s">
        <v>4</v>
      </c>
      <c r="C32" s="40" t="s">
        <v>5</v>
      </c>
      <c r="D32" s="44">
        <f>1-D31</f>
        <v>0.7</v>
      </c>
      <c r="E32" s="376" t="s">
        <v>191</v>
      </c>
      <c r="F32" s="41"/>
    </row>
    <row r="33" spans="2:6" ht="14.1" customHeight="1">
      <c r="B33" s="29" t="s">
        <v>6</v>
      </c>
      <c r="C33" s="40" t="s">
        <v>237</v>
      </c>
      <c r="D33" s="39">
        <f>D31*D20</f>
        <v>7830</v>
      </c>
      <c r="E33" s="384" t="s">
        <v>134</v>
      </c>
      <c r="F33" s="37"/>
    </row>
    <row r="34" spans="2:6" ht="25.5">
      <c r="B34" s="29" t="s">
        <v>11</v>
      </c>
      <c r="C34" s="40" t="s">
        <v>5</v>
      </c>
      <c r="D34" s="176">
        <f>15.5%+0.5%</f>
        <v>0.16</v>
      </c>
      <c r="E34" s="376" t="s">
        <v>246</v>
      </c>
      <c r="F34" s="382" t="s">
        <v>247</v>
      </c>
    </row>
    <row r="35" spans="2:6" ht="14.1" customHeight="1">
      <c r="B35" s="29" t="s">
        <v>4</v>
      </c>
      <c r="C35" s="40" t="s">
        <v>237</v>
      </c>
      <c r="D35" s="71">
        <f>D32*D20</f>
        <v>18270</v>
      </c>
      <c r="E35" s="384" t="s">
        <v>134</v>
      </c>
      <c r="F35" s="37"/>
    </row>
    <row r="36" spans="2:6" ht="14.1" customHeight="1">
      <c r="B36" s="29" t="s">
        <v>7</v>
      </c>
      <c r="C36" s="40" t="s">
        <v>8</v>
      </c>
      <c r="D36" s="39">
        <v>12</v>
      </c>
      <c r="E36" s="376" t="s">
        <v>191</v>
      </c>
      <c r="F36" s="41"/>
    </row>
    <row r="37" spans="2:6" ht="30.75" customHeight="1">
      <c r="B37" s="29" t="s">
        <v>9</v>
      </c>
      <c r="C37" s="40" t="s">
        <v>5</v>
      </c>
      <c r="D37" s="94">
        <v>0.115</v>
      </c>
      <c r="E37" s="385" t="s">
        <v>248</v>
      </c>
      <c r="F37" s="382" t="s">
        <v>249</v>
      </c>
    </row>
    <row r="38" spans="2:6" ht="14.1" customHeight="1">
      <c r="B38" s="29" t="s">
        <v>10</v>
      </c>
      <c r="C38" s="40" t="s">
        <v>133</v>
      </c>
      <c r="D38" s="39">
        <v>6</v>
      </c>
      <c r="E38" s="385" t="s">
        <v>81</v>
      </c>
      <c r="F38" s="33"/>
    </row>
    <row r="39" spans="2:6" ht="14.1" customHeight="1" thickBot="1">
      <c r="B39" s="95"/>
      <c r="C39" s="96"/>
      <c r="D39" s="97"/>
      <c r="E39" s="394"/>
      <c r="F39" s="98"/>
    </row>
    <row r="40" spans="2:6" ht="13.5" thickBot="1">
      <c r="E40" s="21"/>
      <c r="F40" s="82"/>
    </row>
    <row r="41" spans="2:6">
      <c r="B41" s="45" t="s">
        <v>12</v>
      </c>
      <c r="C41" s="46"/>
      <c r="D41" s="47"/>
      <c r="E41" s="386"/>
      <c r="F41" s="48"/>
    </row>
    <row r="42" spans="2:6">
      <c r="B42" s="49" t="s">
        <v>89</v>
      </c>
      <c r="C42" s="50"/>
      <c r="D42" s="50"/>
      <c r="E42" s="384"/>
      <c r="F42" s="37"/>
    </row>
    <row r="43" spans="2:6">
      <c r="B43" s="51" t="s">
        <v>88</v>
      </c>
      <c r="C43" s="50" t="s">
        <v>15</v>
      </c>
      <c r="D43" s="52">
        <f>1850*(1+C90)</f>
        <v>1850</v>
      </c>
      <c r="E43" s="392" t="s">
        <v>193</v>
      </c>
      <c r="F43" s="42"/>
    </row>
    <row r="44" spans="2:6">
      <c r="B44" s="51"/>
      <c r="C44" s="50"/>
      <c r="D44" s="52"/>
      <c r="E44" s="392"/>
      <c r="F44" s="42"/>
    </row>
    <row r="45" spans="2:6">
      <c r="B45" s="49" t="s">
        <v>14</v>
      </c>
      <c r="C45" s="50"/>
      <c r="D45" s="52"/>
      <c r="E45" s="392"/>
      <c r="F45" s="42"/>
    </row>
    <row r="46" spans="2:6">
      <c r="B46" s="51" t="s">
        <v>88</v>
      </c>
      <c r="C46" s="50"/>
      <c r="D46" s="53">
        <v>0.03</v>
      </c>
      <c r="E46" s="392" t="s">
        <v>193</v>
      </c>
      <c r="F46" s="42"/>
    </row>
    <row r="47" spans="2:6">
      <c r="B47" s="49"/>
      <c r="C47" s="50"/>
      <c r="D47" s="53"/>
      <c r="E47" s="392"/>
      <c r="F47" s="42"/>
    </row>
    <row r="48" spans="2:6">
      <c r="B48" s="49" t="s">
        <v>13</v>
      </c>
      <c r="C48" s="50"/>
      <c r="D48" s="61">
        <v>0.85</v>
      </c>
      <c r="E48" s="384" t="s">
        <v>189</v>
      </c>
      <c r="F48" s="37"/>
    </row>
    <row r="49" spans="2:6" ht="13.5" thickBot="1">
      <c r="B49" s="388" t="s">
        <v>225</v>
      </c>
      <c r="C49" s="389" t="s">
        <v>5</v>
      </c>
      <c r="D49" s="390">
        <v>0.1019</v>
      </c>
      <c r="E49" s="390" t="s">
        <v>250</v>
      </c>
      <c r="F49" s="391" t="s">
        <v>226</v>
      </c>
    </row>
    <row r="50" spans="2:6" ht="13.5" thickBot="1">
      <c r="B50" s="99"/>
      <c r="C50" s="99"/>
      <c r="D50" s="99"/>
      <c r="E50" s="50"/>
      <c r="F50" s="99"/>
    </row>
    <row r="51" spans="2:6" s="100" customFormat="1" ht="14.1" customHeight="1">
      <c r="B51" s="45" t="s">
        <v>90</v>
      </c>
      <c r="C51" s="46"/>
      <c r="D51" s="46"/>
      <c r="E51" s="398"/>
      <c r="F51" s="101"/>
    </row>
    <row r="52" spans="2:6" s="100" customFormat="1" ht="14.1" customHeight="1">
      <c r="B52" s="57" t="s">
        <v>97</v>
      </c>
      <c r="C52" s="50"/>
      <c r="D52" s="172"/>
      <c r="E52" s="399"/>
      <c r="F52" s="102"/>
    </row>
    <row r="53" spans="2:6" s="100" customFormat="1" ht="22.5" customHeight="1">
      <c r="B53" s="103" t="s">
        <v>91</v>
      </c>
      <c r="C53" s="66" t="s">
        <v>92</v>
      </c>
      <c r="D53" s="52">
        <v>8562</v>
      </c>
      <c r="E53" s="400" t="s">
        <v>195</v>
      </c>
      <c r="F53" s="112"/>
    </row>
    <row r="54" spans="2:6" s="100" customFormat="1" ht="14.1" customHeight="1">
      <c r="B54" s="103" t="s">
        <v>93</v>
      </c>
      <c r="C54" s="66" t="s">
        <v>94</v>
      </c>
      <c r="D54" s="58">
        <f>D43/$D$53</f>
        <v>0.21607101144592386</v>
      </c>
      <c r="E54" s="401" t="s">
        <v>134</v>
      </c>
      <c r="F54" s="113"/>
    </row>
    <row r="55" spans="2:6" s="100" customFormat="1" ht="14.1" customHeight="1">
      <c r="B55" s="59" t="s">
        <v>73</v>
      </c>
      <c r="C55" s="60" t="s">
        <v>72</v>
      </c>
      <c r="D55" s="58">
        <f>('NG prices'!E25)</f>
        <v>9.1302969910357135</v>
      </c>
      <c r="E55" s="392" t="s">
        <v>134</v>
      </c>
      <c r="F55" s="42"/>
    </row>
    <row r="56" spans="2:6" s="100" customFormat="1" ht="10.5">
      <c r="B56" s="103" t="s">
        <v>95</v>
      </c>
      <c r="C56" s="114"/>
      <c r="D56" s="61">
        <v>1.3100000000000001E-2</v>
      </c>
      <c r="E56" s="384" t="s">
        <v>215</v>
      </c>
      <c r="F56" s="37"/>
    </row>
    <row r="57" spans="2:6" s="100" customFormat="1" ht="28.5" customHeight="1">
      <c r="B57" s="103" t="s">
        <v>214</v>
      </c>
      <c r="C57" s="114"/>
      <c r="D57" s="53">
        <v>0.17949999999999999</v>
      </c>
      <c r="E57" s="402" t="s">
        <v>250</v>
      </c>
      <c r="F57" s="374" t="s">
        <v>215</v>
      </c>
    </row>
    <row r="58" spans="2:6" s="100" customFormat="1" ht="14.1" customHeight="1" thickBot="1">
      <c r="B58" s="62"/>
      <c r="C58" s="54"/>
      <c r="D58" s="54"/>
      <c r="E58" s="393"/>
      <c r="F58" s="180"/>
    </row>
    <row r="59" spans="2:6" ht="14.1" customHeight="1">
      <c r="E59" s="21"/>
      <c r="F59" s="82"/>
    </row>
    <row r="60" spans="2:6" ht="14.1" customHeight="1" thickBot="1">
      <c r="E60" s="21"/>
      <c r="F60" s="82"/>
    </row>
    <row r="61" spans="2:6" ht="14.1" customHeight="1">
      <c r="B61" s="45" t="s">
        <v>16</v>
      </c>
      <c r="C61" s="46"/>
      <c r="D61" s="47"/>
      <c r="E61" s="386"/>
      <c r="F61" s="48"/>
    </row>
    <row r="62" spans="2:6" ht="25.5">
      <c r="B62" s="49" t="s">
        <v>17</v>
      </c>
      <c r="C62" s="50" t="s">
        <v>5</v>
      </c>
      <c r="D62" s="61">
        <v>0.9</v>
      </c>
      <c r="E62" s="395" t="s">
        <v>251</v>
      </c>
      <c r="F62" s="177" t="s">
        <v>247</v>
      </c>
    </row>
    <row r="63" spans="2:6" ht="25.5">
      <c r="B63" s="49" t="s">
        <v>230</v>
      </c>
      <c r="C63" s="50" t="s">
        <v>5</v>
      </c>
      <c r="D63" s="53">
        <v>5.28E-2</v>
      </c>
      <c r="E63" s="395" t="s">
        <v>254</v>
      </c>
      <c r="F63" s="177" t="s">
        <v>252</v>
      </c>
    </row>
    <row r="64" spans="2:6">
      <c r="B64" s="49"/>
      <c r="C64" s="50"/>
      <c r="D64" s="53"/>
      <c r="E64" s="396"/>
      <c r="F64" s="177" t="s">
        <v>253</v>
      </c>
    </row>
    <row r="65" spans="2:9" ht="14.1" customHeight="1">
      <c r="B65" s="49" t="s">
        <v>231</v>
      </c>
      <c r="C65" s="50" t="s">
        <v>5</v>
      </c>
      <c r="D65" s="105">
        <f>(D62-(D63*12))/(D25-12)</f>
        <v>3.330000000000001E-2</v>
      </c>
      <c r="E65" s="397" t="s">
        <v>235</v>
      </c>
      <c r="F65" s="178"/>
      <c r="I65" s="104"/>
    </row>
    <row r="66" spans="2:9" ht="14.1" customHeight="1" thickBot="1">
      <c r="B66" s="62"/>
      <c r="C66" s="54"/>
      <c r="D66" s="54"/>
      <c r="E66" s="387"/>
      <c r="F66" s="56"/>
      <c r="I66" s="104"/>
    </row>
    <row r="67" spans="2:9" ht="14.1" customHeight="1" thickBot="1">
      <c r="B67" s="99"/>
      <c r="C67" s="99"/>
      <c r="D67" s="99"/>
      <c r="E67" s="50"/>
      <c r="F67" s="99"/>
      <c r="H67" s="104"/>
    </row>
    <row r="68" spans="2:9" ht="14.1" customHeight="1">
      <c r="B68" s="45" t="s">
        <v>20</v>
      </c>
      <c r="C68" s="46"/>
      <c r="D68" s="47"/>
      <c r="E68" s="386"/>
      <c r="F68" s="48"/>
    </row>
    <row r="69" spans="2:9" ht="25.5">
      <c r="B69" s="63" t="s">
        <v>18</v>
      </c>
      <c r="C69" s="64" t="s">
        <v>190</v>
      </c>
      <c r="D69" s="173">
        <v>1.7490000000000001</v>
      </c>
      <c r="E69" s="395" t="s">
        <v>255</v>
      </c>
      <c r="F69" s="177" t="s">
        <v>247</v>
      </c>
    </row>
    <row r="70" spans="2:9" ht="14.1" customHeight="1">
      <c r="B70" s="49" t="s">
        <v>19</v>
      </c>
      <c r="C70" s="50" t="s">
        <v>5</v>
      </c>
      <c r="D70" s="53">
        <v>5.7200000000000001E-2</v>
      </c>
      <c r="E70" s="392" t="s">
        <v>191</v>
      </c>
      <c r="F70" s="42"/>
    </row>
    <row r="71" spans="2:9" ht="14.1" customHeight="1" thickBot="1">
      <c r="B71" s="62"/>
      <c r="C71" s="54"/>
      <c r="D71" s="54"/>
      <c r="E71" s="387"/>
      <c r="F71" s="56"/>
    </row>
    <row r="72" spans="2:9" ht="14.1" customHeight="1" thickBot="1">
      <c r="B72" s="99"/>
      <c r="C72" s="99"/>
      <c r="D72" s="99"/>
      <c r="E72" s="50"/>
      <c r="F72" s="99"/>
    </row>
    <row r="73" spans="2:9" ht="14.1" customHeight="1">
      <c r="B73" s="45" t="s">
        <v>21</v>
      </c>
      <c r="C73" s="46"/>
      <c r="D73" s="47"/>
      <c r="E73" s="386"/>
      <c r="F73" s="48"/>
    </row>
    <row r="74" spans="2:9" ht="21.75">
      <c r="B74" s="49" t="s">
        <v>22</v>
      </c>
      <c r="C74" s="50" t="s">
        <v>5</v>
      </c>
      <c r="D74" s="105">
        <v>0.33989999999999998</v>
      </c>
      <c r="E74" s="384" t="s">
        <v>222</v>
      </c>
      <c r="F74" s="37"/>
    </row>
    <row r="75" spans="2:9" ht="25.5">
      <c r="B75" s="49" t="s">
        <v>23</v>
      </c>
      <c r="C75" s="50" t="s">
        <v>5</v>
      </c>
      <c r="D75" s="105">
        <v>0.17</v>
      </c>
      <c r="E75" s="384" t="s">
        <v>256</v>
      </c>
      <c r="F75" s="177" t="s">
        <v>257</v>
      </c>
    </row>
    <row r="76" spans="2:9" ht="25.5">
      <c r="B76" s="49" t="s">
        <v>24</v>
      </c>
      <c r="C76" s="50" t="s">
        <v>8</v>
      </c>
      <c r="D76" s="65">
        <v>10</v>
      </c>
      <c r="E76" s="395" t="s">
        <v>258</v>
      </c>
      <c r="F76" s="177" t="s">
        <v>223</v>
      </c>
    </row>
    <row r="77" spans="2:9" ht="26.25" thickBot="1">
      <c r="B77" s="62" t="s">
        <v>184</v>
      </c>
      <c r="C77" s="54"/>
      <c r="D77" s="55">
        <v>0.1459</v>
      </c>
      <c r="E77" s="387" t="s">
        <v>82</v>
      </c>
      <c r="F77" s="177" t="s">
        <v>223</v>
      </c>
    </row>
    <row r="78" spans="2:9" ht="14.1" customHeight="1" thickBot="1">
      <c r="B78" s="21"/>
      <c r="C78" s="21"/>
      <c r="D78" s="21"/>
      <c r="E78" s="106"/>
      <c r="F78" s="106"/>
    </row>
    <row r="79" spans="2:9" ht="14.1" customHeight="1">
      <c r="B79" s="45" t="s">
        <v>25</v>
      </c>
      <c r="C79" s="46"/>
      <c r="D79" s="47"/>
      <c r="E79" s="386"/>
      <c r="F79" s="48"/>
    </row>
    <row r="80" spans="2:9" ht="25.5">
      <c r="B80" s="51" t="s">
        <v>26</v>
      </c>
      <c r="C80" s="66" t="s">
        <v>31</v>
      </c>
      <c r="D80" s="52">
        <v>60</v>
      </c>
      <c r="E80" s="395" t="s">
        <v>259</v>
      </c>
      <c r="F80" s="177" t="s">
        <v>224</v>
      </c>
    </row>
    <row r="81" spans="2:6" ht="25.5">
      <c r="B81" s="51" t="s">
        <v>27</v>
      </c>
      <c r="C81" s="66" t="s">
        <v>227</v>
      </c>
      <c r="D81" s="67">
        <v>0.3</v>
      </c>
      <c r="E81" s="395" t="s">
        <v>260</v>
      </c>
      <c r="F81" s="177" t="s">
        <v>224</v>
      </c>
    </row>
    <row r="82" spans="2:6" ht="21.75">
      <c r="B82" s="51" t="s">
        <v>28</v>
      </c>
      <c r="C82" s="66" t="s">
        <v>5</v>
      </c>
      <c r="D82" s="179">
        <v>0</v>
      </c>
      <c r="E82" s="392" t="s">
        <v>275</v>
      </c>
      <c r="F82" s="178"/>
    </row>
    <row r="83" spans="2:6" ht="25.5">
      <c r="B83" s="51" t="s">
        <v>29</v>
      </c>
      <c r="C83" s="66" t="s">
        <v>31</v>
      </c>
      <c r="D83" s="52">
        <v>30</v>
      </c>
      <c r="E83" s="395" t="s">
        <v>261</v>
      </c>
      <c r="F83" s="177" t="s">
        <v>224</v>
      </c>
    </row>
    <row r="84" spans="2:6" ht="25.5">
      <c r="B84" s="51" t="s">
        <v>18</v>
      </c>
      <c r="C84" s="66" t="s">
        <v>31</v>
      </c>
      <c r="D84" s="52">
        <v>30</v>
      </c>
      <c r="E84" s="395" t="s">
        <v>261</v>
      </c>
      <c r="F84" s="177" t="s">
        <v>224</v>
      </c>
    </row>
    <row r="85" spans="2:6" ht="14.1" customHeight="1" thickBot="1">
      <c r="B85" s="68" t="s">
        <v>30</v>
      </c>
      <c r="C85" s="69" t="s">
        <v>5</v>
      </c>
      <c r="D85" s="70">
        <v>0.115</v>
      </c>
      <c r="E85" s="387" t="s">
        <v>83</v>
      </c>
      <c r="F85" s="56"/>
    </row>
    <row r="86" spans="2:6">
      <c r="E86" s="21"/>
      <c r="F86" s="82"/>
    </row>
    <row r="87" spans="2:6">
      <c r="E87" s="21"/>
      <c r="F87" s="82"/>
    </row>
    <row r="88" spans="2:6">
      <c r="B88" s="403" t="s">
        <v>262</v>
      </c>
      <c r="C88" s="403" t="s">
        <v>266</v>
      </c>
      <c r="D88" s="404" t="s">
        <v>263</v>
      </c>
      <c r="E88" s="21"/>
      <c r="F88" s="82"/>
    </row>
    <row r="89" spans="2:6">
      <c r="B89" s="82" t="s">
        <v>84</v>
      </c>
      <c r="C89" s="408">
        <v>0</v>
      </c>
      <c r="D89" s="405">
        <f>D20</f>
        <v>26100</v>
      </c>
      <c r="E89" s="21"/>
      <c r="F89" s="82"/>
    </row>
    <row r="90" spans="2:6">
      <c r="B90" s="82" t="s">
        <v>264</v>
      </c>
      <c r="C90" s="408">
        <v>0</v>
      </c>
      <c r="D90" s="406">
        <f>D43</f>
        <v>1850</v>
      </c>
      <c r="E90" s="21"/>
      <c r="F90" s="82"/>
    </row>
    <row r="91" spans="2:6">
      <c r="B91" s="82" t="s">
        <v>273</v>
      </c>
      <c r="C91" s="408">
        <v>0</v>
      </c>
      <c r="D91" s="90" t="s">
        <v>274</v>
      </c>
      <c r="E91" s="21"/>
      <c r="F91" s="82"/>
    </row>
    <row r="92" spans="2:6">
      <c r="B92" s="82" t="s">
        <v>13</v>
      </c>
      <c r="C92" s="408">
        <v>0</v>
      </c>
      <c r="D92" s="407">
        <f>D48</f>
        <v>0.85</v>
      </c>
      <c r="E92" s="21"/>
      <c r="F92" s="82"/>
    </row>
    <row r="93" spans="2:6">
      <c r="E93" s="21"/>
      <c r="F93" s="82"/>
    </row>
    <row r="94" spans="2:6" ht="25.5">
      <c r="B94" s="409"/>
      <c r="C94" s="410" t="s">
        <v>121</v>
      </c>
      <c r="D94" s="410" t="s">
        <v>272</v>
      </c>
      <c r="E94" s="21"/>
      <c r="F94" s="82"/>
    </row>
    <row r="95" spans="2:6">
      <c r="B95" s="409"/>
      <c r="C95" s="411" t="s">
        <v>267</v>
      </c>
      <c r="D95" s="412">
        <v>0.12559999999999999</v>
      </c>
      <c r="F95" s="82"/>
    </row>
    <row r="96" spans="2:6">
      <c r="B96" s="409"/>
      <c r="C96" s="411" t="s">
        <v>268</v>
      </c>
      <c r="D96" s="412">
        <v>0.1222</v>
      </c>
      <c r="F96" s="82"/>
    </row>
    <row r="97" spans="1:6">
      <c r="B97" s="413" t="s">
        <v>269</v>
      </c>
      <c r="C97" s="411" t="s">
        <v>270</v>
      </c>
      <c r="D97" s="412">
        <v>0.1191</v>
      </c>
      <c r="F97" s="82"/>
    </row>
    <row r="98" spans="1:6">
      <c r="B98" s="409"/>
      <c r="C98" s="411" t="s">
        <v>271</v>
      </c>
      <c r="D98" s="412">
        <v>0.1167</v>
      </c>
      <c r="F98" s="82"/>
    </row>
    <row r="99" spans="1:6">
      <c r="B99" s="409"/>
      <c r="C99" s="414">
        <v>0.1</v>
      </c>
      <c r="D99" s="412">
        <v>0.11409999999999999</v>
      </c>
      <c r="F99" s="82"/>
    </row>
    <row r="100" spans="1:6">
      <c r="E100" s="21"/>
      <c r="F100" s="82"/>
    </row>
    <row r="101" spans="1:6" ht="25.5">
      <c r="B101" s="409"/>
      <c r="C101" s="410" t="s">
        <v>121</v>
      </c>
      <c r="D101" s="410" t="s">
        <v>272</v>
      </c>
      <c r="E101" s="21"/>
      <c r="F101" s="82"/>
    </row>
    <row r="102" spans="1:6" s="100" customFormat="1">
      <c r="A102" s="82"/>
      <c r="B102" s="409"/>
      <c r="C102" s="411" t="s">
        <v>267</v>
      </c>
      <c r="D102" s="412">
        <v>0.1191</v>
      </c>
      <c r="E102" s="21"/>
      <c r="F102" s="82"/>
    </row>
    <row r="103" spans="1:6">
      <c r="B103" s="409"/>
      <c r="C103" s="411" t="s">
        <v>268</v>
      </c>
      <c r="D103" s="412">
        <v>0.1191</v>
      </c>
      <c r="E103" s="21"/>
      <c r="F103" s="82"/>
    </row>
    <row r="104" spans="1:6">
      <c r="B104" s="413" t="s">
        <v>264</v>
      </c>
      <c r="C104" s="411" t="s">
        <v>270</v>
      </c>
      <c r="D104" s="412">
        <f>D97</f>
        <v>0.1191</v>
      </c>
      <c r="E104" s="21"/>
      <c r="F104" s="82"/>
    </row>
    <row r="105" spans="1:6">
      <c r="B105" s="409"/>
      <c r="C105" s="411" t="s">
        <v>271</v>
      </c>
      <c r="D105" s="412">
        <v>0.1191</v>
      </c>
      <c r="E105" s="21"/>
      <c r="F105" s="82"/>
    </row>
    <row r="106" spans="1:6">
      <c r="B106" s="409"/>
      <c r="C106" s="414">
        <v>0.1</v>
      </c>
      <c r="D106" s="412">
        <v>0.1191</v>
      </c>
      <c r="E106" s="21"/>
      <c r="F106" s="82"/>
    </row>
    <row r="107" spans="1:6">
      <c r="E107" s="21"/>
      <c r="F107" s="82"/>
    </row>
    <row r="108" spans="1:6">
      <c r="E108" s="21"/>
      <c r="F108" s="82"/>
    </row>
    <row r="109" spans="1:6" ht="25.5">
      <c r="B109" s="409"/>
      <c r="C109" s="410" t="s">
        <v>121</v>
      </c>
      <c r="D109" s="410" t="s">
        <v>272</v>
      </c>
      <c r="E109" s="21"/>
      <c r="F109" s="82"/>
    </row>
    <row r="110" spans="1:6">
      <c r="B110" s="409"/>
      <c r="C110" s="411" t="s">
        <v>267</v>
      </c>
      <c r="D110" s="412">
        <v>0.1191</v>
      </c>
      <c r="E110" s="21"/>
      <c r="F110" s="82"/>
    </row>
    <row r="111" spans="1:6">
      <c r="B111" s="409"/>
      <c r="C111" s="411" t="s">
        <v>268</v>
      </c>
      <c r="D111" s="412">
        <v>0.1191</v>
      </c>
      <c r="E111" s="21"/>
      <c r="F111" s="82"/>
    </row>
    <row r="112" spans="1:6">
      <c r="B112" s="413" t="s">
        <v>265</v>
      </c>
      <c r="C112" s="411" t="s">
        <v>270</v>
      </c>
      <c r="D112" s="412">
        <v>0.1191</v>
      </c>
      <c r="E112" s="21"/>
      <c r="F112" s="82"/>
    </row>
    <row r="113" spans="2:6">
      <c r="B113" s="409"/>
      <c r="C113" s="411" t="s">
        <v>271</v>
      </c>
      <c r="D113" s="412">
        <v>0.1191</v>
      </c>
      <c r="E113" s="21"/>
      <c r="F113" s="82"/>
    </row>
    <row r="114" spans="2:6">
      <c r="B114" s="409"/>
      <c r="C114" s="414">
        <v>0.1</v>
      </c>
      <c r="D114" s="412">
        <v>0.1191</v>
      </c>
      <c r="E114" s="21"/>
      <c r="F114" s="82"/>
    </row>
    <row r="115" spans="2:6">
      <c r="E115" s="21"/>
      <c r="F115" s="82"/>
    </row>
    <row r="116" spans="2:6">
      <c r="E116" s="21"/>
      <c r="F116" s="82"/>
    </row>
    <row r="117" spans="2:6" ht="25.5">
      <c r="B117" s="409"/>
      <c r="C117" s="410" t="s">
        <v>121</v>
      </c>
      <c r="D117" s="410" t="s">
        <v>272</v>
      </c>
      <c r="E117" s="21"/>
      <c r="F117" s="82"/>
    </row>
    <row r="118" spans="2:6">
      <c r="B118" s="409"/>
      <c r="C118" s="411" t="s">
        <v>267</v>
      </c>
      <c r="D118" s="412">
        <v>0.1191</v>
      </c>
      <c r="E118" s="21"/>
      <c r="F118" s="82"/>
    </row>
    <row r="119" spans="2:6">
      <c r="B119" s="409"/>
      <c r="C119" s="411" t="s">
        <v>268</v>
      </c>
      <c r="D119" s="412">
        <v>0.1191</v>
      </c>
      <c r="E119" s="21"/>
      <c r="F119" s="82"/>
    </row>
    <row r="120" spans="2:6">
      <c r="B120" s="413" t="s">
        <v>13</v>
      </c>
      <c r="C120" s="411" t="s">
        <v>270</v>
      </c>
      <c r="D120" s="412">
        <v>0.1191</v>
      </c>
      <c r="E120" s="21"/>
      <c r="F120" s="82"/>
    </row>
    <row r="121" spans="2:6">
      <c r="B121" s="409"/>
      <c r="C121" s="411" t="s">
        <v>271</v>
      </c>
      <c r="D121" s="412">
        <v>0.1191</v>
      </c>
      <c r="E121" s="21"/>
      <c r="F121" s="82"/>
    </row>
    <row r="122" spans="2:6">
      <c r="B122" s="409"/>
      <c r="C122" s="414">
        <v>0.1</v>
      </c>
      <c r="D122" s="412">
        <v>0.1191</v>
      </c>
      <c r="E122" s="21"/>
      <c r="F122" s="82"/>
    </row>
    <row r="123" spans="2:6">
      <c r="E123" s="21"/>
      <c r="F123" s="82"/>
    </row>
  </sheetData>
  <phoneticPr fontId="0" type="noConversion"/>
  <hyperlinks>
    <hyperlink ref="F57" r:id="rId1"/>
    <hyperlink ref="F34" r:id="rId2"/>
    <hyperlink ref="F37" r:id="rId3"/>
    <hyperlink ref="F49" r:id="rId4"/>
    <hyperlink ref="F62" r:id="rId5"/>
    <hyperlink ref="F63" r:id="rId6" display="1. http://cercind.gov.in/2009/February09/SOR-regulations-on-T&amp;C-of-tariff-05022009.pdf"/>
    <hyperlink ref="F64" r:id="rId7"/>
    <hyperlink ref="F69" r:id="rId8"/>
    <hyperlink ref="F75" r:id="rId9"/>
    <hyperlink ref="F76" r:id="rId10"/>
    <hyperlink ref="F77" r:id="rId11"/>
    <hyperlink ref="F80" r:id="rId12"/>
    <hyperlink ref="F81" r:id="rId13"/>
    <hyperlink ref="F83" r:id="rId14"/>
    <hyperlink ref="F84" r:id="rId15"/>
  </hyperlinks>
  <pageMargins left="1.25" right="0.75" top="0.5" bottom="0.5" header="0.5" footer="0.5"/>
  <pageSetup paperSize="9" orientation="portrait" r:id="rId16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75"/>
  <sheetViews>
    <sheetView topLeftCell="A46" zoomScaleNormal="100" workbookViewId="0">
      <selection activeCell="A75" sqref="A75"/>
    </sheetView>
  </sheetViews>
  <sheetFormatPr defaultColWidth="10.42578125" defaultRowHeight="10.5"/>
  <cols>
    <col min="1" max="1" width="10.42578125" style="231"/>
    <col min="2" max="2" width="39.42578125" style="231" customWidth="1"/>
    <col min="3" max="3" width="10.42578125" style="231"/>
    <col min="4" max="4" width="10.85546875" style="231" bestFit="1" customWidth="1"/>
    <col min="5" max="16384" width="10.42578125" style="231"/>
  </cols>
  <sheetData>
    <row r="1" spans="1:31" ht="11.25" thickBot="1"/>
    <row r="2" spans="1:31" ht="21" customHeight="1">
      <c r="B2" s="232" t="s">
        <v>32</v>
      </c>
      <c r="C2" s="419" t="s">
        <v>33</v>
      </c>
      <c r="D2" s="416" t="s">
        <v>71</v>
      </c>
      <c r="E2" s="233">
        <v>1</v>
      </c>
      <c r="F2" s="233">
        <v>2</v>
      </c>
      <c r="G2" s="233">
        <v>3</v>
      </c>
      <c r="H2" s="233">
        <v>4</v>
      </c>
      <c r="I2" s="233">
        <v>5</v>
      </c>
      <c r="J2" s="233">
        <v>6</v>
      </c>
      <c r="K2" s="233">
        <v>7</v>
      </c>
      <c r="L2" s="233">
        <v>8</v>
      </c>
      <c r="M2" s="233">
        <v>9</v>
      </c>
      <c r="N2" s="233">
        <v>10</v>
      </c>
      <c r="O2" s="233">
        <v>11</v>
      </c>
      <c r="P2" s="233">
        <v>12</v>
      </c>
      <c r="Q2" s="233">
        <v>13</v>
      </c>
      <c r="R2" s="233">
        <v>14</v>
      </c>
      <c r="S2" s="234">
        <v>15</v>
      </c>
      <c r="T2" s="235">
        <v>16</v>
      </c>
      <c r="U2" s="233">
        <v>17</v>
      </c>
      <c r="V2" s="233">
        <v>18</v>
      </c>
      <c r="W2" s="233">
        <v>19</v>
      </c>
      <c r="X2" s="234">
        <v>20</v>
      </c>
    </row>
    <row r="3" spans="1:31" ht="12.75" customHeight="1">
      <c r="B3" s="236" t="s">
        <v>34</v>
      </c>
      <c r="C3" s="420"/>
      <c r="D3" s="417"/>
      <c r="E3" s="237">
        <f>Input!D27</f>
        <v>41000</v>
      </c>
      <c r="F3" s="237">
        <f>E4+1</f>
        <v>41365</v>
      </c>
      <c r="G3" s="237">
        <f t="shared" ref="G3:X3" si="0">F4+1</f>
        <v>41730</v>
      </c>
      <c r="H3" s="237">
        <f t="shared" si="0"/>
        <v>42095</v>
      </c>
      <c r="I3" s="237">
        <f t="shared" si="0"/>
        <v>42461</v>
      </c>
      <c r="J3" s="237">
        <f t="shared" si="0"/>
        <v>42826</v>
      </c>
      <c r="K3" s="237">
        <f t="shared" si="0"/>
        <v>43191</v>
      </c>
      <c r="L3" s="237">
        <f t="shared" si="0"/>
        <v>43556</v>
      </c>
      <c r="M3" s="237">
        <f t="shared" si="0"/>
        <v>43922</v>
      </c>
      <c r="N3" s="237">
        <f t="shared" si="0"/>
        <v>44287</v>
      </c>
      <c r="O3" s="237">
        <f t="shared" si="0"/>
        <v>44652</v>
      </c>
      <c r="P3" s="237">
        <f t="shared" si="0"/>
        <v>45017</v>
      </c>
      <c r="Q3" s="237">
        <f t="shared" si="0"/>
        <v>45383</v>
      </c>
      <c r="R3" s="237">
        <f t="shared" si="0"/>
        <v>45748</v>
      </c>
      <c r="S3" s="238">
        <f t="shared" si="0"/>
        <v>46113</v>
      </c>
      <c r="T3" s="239">
        <f t="shared" si="0"/>
        <v>46478</v>
      </c>
      <c r="U3" s="237">
        <f t="shared" si="0"/>
        <v>46844</v>
      </c>
      <c r="V3" s="237">
        <f t="shared" si="0"/>
        <v>47209</v>
      </c>
      <c r="W3" s="237">
        <f t="shared" si="0"/>
        <v>47574</v>
      </c>
      <c r="X3" s="237">
        <f t="shared" si="0"/>
        <v>47939</v>
      </c>
    </row>
    <row r="4" spans="1:31" ht="12.75" customHeight="1">
      <c r="B4" s="236" t="s">
        <v>35</v>
      </c>
      <c r="C4" s="420"/>
      <c r="D4" s="417"/>
      <c r="E4" s="240">
        <f>DATE(IF(AND(MONTH(E3)&gt;=4,MONTH(E3)&lt;=12),YEAR(E3)+1,YEAR(E3)),3,31)</f>
        <v>41364</v>
      </c>
      <c r="F4" s="240">
        <f t="shared" ref="F4:X4" si="1">DATE(IF(AND(MONTH(F3)&gt;=4,MONTH(F3)&lt;=12),YEAR(F3)+1,YEAR(F3)),3,31)</f>
        <v>41729</v>
      </c>
      <c r="G4" s="240">
        <f t="shared" si="1"/>
        <v>42094</v>
      </c>
      <c r="H4" s="240">
        <f t="shared" si="1"/>
        <v>42460</v>
      </c>
      <c r="I4" s="240">
        <f t="shared" si="1"/>
        <v>42825</v>
      </c>
      <c r="J4" s="240">
        <f t="shared" si="1"/>
        <v>43190</v>
      </c>
      <c r="K4" s="240">
        <f t="shared" si="1"/>
        <v>43555</v>
      </c>
      <c r="L4" s="240">
        <f t="shared" si="1"/>
        <v>43921</v>
      </c>
      <c r="M4" s="240">
        <f t="shared" si="1"/>
        <v>44286</v>
      </c>
      <c r="N4" s="240">
        <f t="shared" si="1"/>
        <v>44651</v>
      </c>
      <c r="O4" s="240">
        <f t="shared" si="1"/>
        <v>45016</v>
      </c>
      <c r="P4" s="240">
        <f t="shared" si="1"/>
        <v>45382</v>
      </c>
      <c r="Q4" s="240">
        <f t="shared" si="1"/>
        <v>45747</v>
      </c>
      <c r="R4" s="240">
        <f t="shared" si="1"/>
        <v>46112</v>
      </c>
      <c r="S4" s="241">
        <f t="shared" si="1"/>
        <v>46477</v>
      </c>
      <c r="T4" s="242">
        <f t="shared" si="1"/>
        <v>46843</v>
      </c>
      <c r="U4" s="240">
        <f t="shared" si="1"/>
        <v>47208</v>
      </c>
      <c r="V4" s="240">
        <f t="shared" si="1"/>
        <v>47573</v>
      </c>
      <c r="W4" s="240">
        <f t="shared" si="1"/>
        <v>47938</v>
      </c>
      <c r="X4" s="240">
        <f t="shared" si="1"/>
        <v>48304</v>
      </c>
    </row>
    <row r="5" spans="1:31" ht="12.75" customHeight="1" thickBot="1">
      <c r="B5" s="243" t="s">
        <v>132</v>
      </c>
      <c r="C5" s="421"/>
      <c r="D5" s="418"/>
      <c r="E5" s="244">
        <f>(E4-E3+1)*(Tariff!E2&lt;=Input!$D$25)</f>
        <v>365</v>
      </c>
      <c r="F5" s="244">
        <f>(F4-F3+1)*(Tariff!F2&lt;=Input!$D$25)</f>
        <v>365</v>
      </c>
      <c r="G5" s="244">
        <f>(G4-G3+1)*(Tariff!G2&lt;=Input!$D$25)</f>
        <v>365</v>
      </c>
      <c r="H5" s="244">
        <f>(H4-H3+1)*(Tariff!H2&lt;=Input!$D$25)</f>
        <v>366</v>
      </c>
      <c r="I5" s="244">
        <f>(I4-I3+1)*(Tariff!I2&lt;=Input!$D$25)</f>
        <v>365</v>
      </c>
      <c r="J5" s="244">
        <f>(J4-J3+1)*(Tariff!J2&lt;=Input!$D$25)</f>
        <v>365</v>
      </c>
      <c r="K5" s="244">
        <f>(K4-K3+1)*(Tariff!K2&lt;=Input!$D$25)</f>
        <v>365</v>
      </c>
      <c r="L5" s="244">
        <f>(L4-L3+1)*(Tariff!L2&lt;=Input!$D$25)</f>
        <v>366</v>
      </c>
      <c r="M5" s="244">
        <f>(M4-M3+1)*(Tariff!M2&lt;=Input!$D$25)</f>
        <v>365</v>
      </c>
      <c r="N5" s="244">
        <f>(N4-N3+1)*(Tariff!N2&lt;=Input!$D$25)</f>
        <v>365</v>
      </c>
      <c r="O5" s="244">
        <f>(O4-O3+1)*(Tariff!O2&lt;=Input!$D$25)</f>
        <v>365</v>
      </c>
      <c r="P5" s="244">
        <f>(P4-P3+1)*(Tariff!P2&lt;=Input!$D$25)</f>
        <v>366</v>
      </c>
      <c r="Q5" s="244">
        <f>(Q4-Q3+1)*(Tariff!Q2&lt;=Input!$D$25)</f>
        <v>365</v>
      </c>
      <c r="R5" s="244">
        <f>(R4-R3+1)*(Tariff!R2&lt;=Input!$D$25)</f>
        <v>365</v>
      </c>
      <c r="S5" s="244">
        <f>(S4-S3+1)*(Tariff!S2&lt;=Input!$D$25)</f>
        <v>365</v>
      </c>
      <c r="T5" s="244">
        <f>(T4-T3+1)*(Tariff!T2&lt;=Input!$D$25)</f>
        <v>366</v>
      </c>
      <c r="U5" s="244">
        <f>(U4-U3+1)*(Tariff!U2&lt;=Input!$D$25)</f>
        <v>365</v>
      </c>
      <c r="V5" s="244">
        <f>(V4-V3+1)*(Tariff!V2&lt;=Input!$D$25)</f>
        <v>365</v>
      </c>
      <c r="W5" s="244">
        <f>(W4-W3+1)*(Tariff!W2&lt;=Input!$D$25)</f>
        <v>365</v>
      </c>
      <c r="X5" s="244">
        <f>(X4-X3+1)*(Tariff!X2&lt;=Input!$D$25)</f>
        <v>366</v>
      </c>
    </row>
    <row r="6" spans="1:31" ht="12.75" customHeight="1" thickBot="1">
      <c r="B6" s="245"/>
      <c r="C6" s="246"/>
      <c r="D6" s="247"/>
      <c r="E6" s="248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AD6" s="250"/>
      <c r="AE6" s="250"/>
    </row>
    <row r="7" spans="1:31" ht="14.1" customHeight="1">
      <c r="B7" s="251" t="s">
        <v>36</v>
      </c>
      <c r="C7" s="252" t="s">
        <v>96</v>
      </c>
      <c r="D7" s="252"/>
      <c r="E7" s="253">
        <f>(Input!$D$24*Input!$D$48*Tariff!E5*24/10^3)</f>
        <v>5524.9319999999989</v>
      </c>
      <c r="F7" s="253">
        <f>(Input!$D$24*Input!$D$48*Tariff!F5*24/10^3)</f>
        <v>5524.9319999999989</v>
      </c>
      <c r="G7" s="253">
        <f>(Input!$D$24*Input!$D$48*Tariff!G5*24/10^3)</f>
        <v>5524.9319999999989</v>
      </c>
      <c r="H7" s="253">
        <f>(Input!$D$24*Input!$D$48*Tariff!H5*24/10^3)</f>
        <v>5540.0688</v>
      </c>
      <c r="I7" s="253">
        <f>(Input!$D$24*Input!$D$48*Tariff!I5*24/10^3)</f>
        <v>5524.9319999999989</v>
      </c>
      <c r="J7" s="253">
        <f>(Input!$D$24*Input!$D$48*Tariff!J5*24/10^3)</f>
        <v>5524.9319999999989</v>
      </c>
      <c r="K7" s="253">
        <f>(Input!$D$24*Input!$D$48*Tariff!K5*24/10^3)</f>
        <v>5524.9319999999989</v>
      </c>
      <c r="L7" s="253">
        <f>(Input!$D$24*Input!$D$48*Tariff!L5*24/10^3)</f>
        <v>5540.0688</v>
      </c>
      <c r="M7" s="253">
        <f>(Input!$D$24*Input!$D$48*Tariff!M5*24/10^3)</f>
        <v>5524.9319999999989</v>
      </c>
      <c r="N7" s="253">
        <f>(Input!$D$24*Input!$D$48*Tariff!N5*24/10^3)</f>
        <v>5524.9319999999989</v>
      </c>
      <c r="O7" s="253">
        <f>(Input!$D$24*Input!$D$48*Tariff!O5*24/10^3)</f>
        <v>5524.9319999999989</v>
      </c>
      <c r="P7" s="253">
        <f>(Input!$D$24*Input!$D$48*Tariff!P5*24/10^3)</f>
        <v>5540.0688</v>
      </c>
      <c r="Q7" s="253">
        <f>(Input!$D$24*Input!$D$48*Tariff!Q5*24/10^3)</f>
        <v>5524.9319999999989</v>
      </c>
      <c r="R7" s="253">
        <f>(Input!$D$24*Input!$D$48*Tariff!R5*24/10^3)</f>
        <v>5524.9319999999989</v>
      </c>
      <c r="S7" s="253">
        <f>(Input!$D$24*Input!$D$48*Tariff!S5*24/10^3)</f>
        <v>5524.9319999999989</v>
      </c>
      <c r="T7" s="253">
        <f>(Input!$D$24*Input!$D$48*Tariff!T5*24/10^3)</f>
        <v>5540.0688</v>
      </c>
      <c r="U7" s="253">
        <f>(Input!$D$24*Input!$D$48*Tariff!U5*24/10^3)</f>
        <v>5524.9319999999989</v>
      </c>
      <c r="V7" s="253">
        <f>(Input!$D$24*Input!$D$48*Tariff!V5*24/10^3)</f>
        <v>5524.9319999999989</v>
      </c>
      <c r="W7" s="253">
        <f>(Input!$D$24*Input!$D$48*Tariff!W5*24/10^3)</f>
        <v>5524.9319999999989</v>
      </c>
      <c r="X7" s="253">
        <f>(Input!$D$24*Input!$D$48*Tariff!X5*24/10^3)</f>
        <v>5540.0688</v>
      </c>
    </row>
    <row r="8" spans="1:31" ht="14.1" customHeight="1">
      <c r="B8" s="254" t="s">
        <v>37</v>
      </c>
      <c r="C8" s="255" t="s">
        <v>96</v>
      </c>
      <c r="D8" s="255"/>
      <c r="E8" s="256">
        <f>Input!$D$46*Tariff!E7</f>
        <v>165.74795999999995</v>
      </c>
      <c r="F8" s="256">
        <f>Input!$D$46*Tariff!F7</f>
        <v>165.74795999999995</v>
      </c>
      <c r="G8" s="256">
        <f>Input!$D$46*Tariff!G7</f>
        <v>165.74795999999995</v>
      </c>
      <c r="H8" s="256">
        <f>Input!$D$46*Tariff!H7</f>
        <v>166.20206400000001</v>
      </c>
      <c r="I8" s="256">
        <f>Input!$D$46*Tariff!I7</f>
        <v>165.74795999999995</v>
      </c>
      <c r="J8" s="256">
        <f>Input!$D$46*Tariff!J7</f>
        <v>165.74795999999995</v>
      </c>
      <c r="K8" s="256">
        <f>Input!$D$46*Tariff!K7</f>
        <v>165.74795999999995</v>
      </c>
      <c r="L8" s="256">
        <f>Input!$D$46*Tariff!L7</f>
        <v>166.20206400000001</v>
      </c>
      <c r="M8" s="256">
        <f>Input!$D$46*Tariff!M7</f>
        <v>165.74795999999995</v>
      </c>
      <c r="N8" s="256">
        <f>Input!$D$46*Tariff!N7</f>
        <v>165.74795999999995</v>
      </c>
      <c r="O8" s="256">
        <f>Input!$D$46*Tariff!O7</f>
        <v>165.74795999999995</v>
      </c>
      <c r="P8" s="256">
        <f>Input!$D$46*Tariff!P7</f>
        <v>166.20206400000001</v>
      </c>
      <c r="Q8" s="256">
        <f>Input!$D$46*Tariff!Q7</f>
        <v>165.74795999999995</v>
      </c>
      <c r="R8" s="256">
        <f>Input!$D$46*Tariff!R7</f>
        <v>165.74795999999995</v>
      </c>
      <c r="S8" s="256">
        <f>Input!$D$46*Tariff!S7</f>
        <v>165.74795999999995</v>
      </c>
      <c r="T8" s="256">
        <f>Input!$D$46*Tariff!T7</f>
        <v>166.20206400000001</v>
      </c>
      <c r="U8" s="256">
        <f>Input!$D$46*Tariff!U7</f>
        <v>165.74795999999995</v>
      </c>
      <c r="V8" s="256">
        <f>Input!$D$46*Tariff!V7</f>
        <v>165.74795999999995</v>
      </c>
      <c r="W8" s="256">
        <f>Input!$D$46*Tariff!W7</f>
        <v>165.74795999999995</v>
      </c>
      <c r="X8" s="256">
        <f>Input!$D$46*Tariff!X7</f>
        <v>166.20206400000001</v>
      </c>
    </row>
    <row r="9" spans="1:31" ht="14.1" customHeight="1" thickBot="1">
      <c r="B9" s="254" t="s">
        <v>38</v>
      </c>
      <c r="C9" s="255" t="s">
        <v>96</v>
      </c>
      <c r="D9" s="255"/>
      <c r="E9" s="257">
        <f>E7-E8</f>
        <v>5359.1840399999992</v>
      </c>
      <c r="F9" s="257">
        <f t="shared" ref="F9:X9" si="2">F7-F8</f>
        <v>5359.1840399999992</v>
      </c>
      <c r="G9" s="257">
        <f t="shared" si="2"/>
        <v>5359.1840399999992</v>
      </c>
      <c r="H9" s="257">
        <f t="shared" si="2"/>
        <v>5373.8667359999999</v>
      </c>
      <c r="I9" s="257">
        <f t="shared" si="2"/>
        <v>5359.1840399999992</v>
      </c>
      <c r="J9" s="258">
        <f t="shared" si="2"/>
        <v>5359.1840399999992</v>
      </c>
      <c r="K9" s="258">
        <f t="shared" si="2"/>
        <v>5359.1840399999992</v>
      </c>
      <c r="L9" s="258">
        <f t="shared" si="2"/>
        <v>5373.8667359999999</v>
      </c>
      <c r="M9" s="258">
        <f t="shared" si="2"/>
        <v>5359.1840399999992</v>
      </c>
      <c r="N9" s="258">
        <f t="shared" si="2"/>
        <v>5359.1840399999992</v>
      </c>
      <c r="O9" s="258">
        <f t="shared" si="2"/>
        <v>5359.1840399999992</v>
      </c>
      <c r="P9" s="258">
        <f t="shared" si="2"/>
        <v>5373.8667359999999</v>
      </c>
      <c r="Q9" s="258">
        <f t="shared" si="2"/>
        <v>5359.1840399999992</v>
      </c>
      <c r="R9" s="258">
        <f t="shared" si="2"/>
        <v>5359.1840399999992</v>
      </c>
      <c r="S9" s="258">
        <f t="shared" si="2"/>
        <v>5359.1840399999992</v>
      </c>
      <c r="T9" s="258">
        <f t="shared" si="2"/>
        <v>5373.8667359999999</v>
      </c>
      <c r="U9" s="258">
        <f t="shared" si="2"/>
        <v>5359.1840399999992</v>
      </c>
      <c r="V9" s="258">
        <f t="shared" si="2"/>
        <v>5359.1840399999992</v>
      </c>
      <c r="W9" s="258">
        <f t="shared" si="2"/>
        <v>5359.1840399999992</v>
      </c>
      <c r="X9" s="258">
        <f t="shared" si="2"/>
        <v>5373.8667359999999</v>
      </c>
    </row>
    <row r="10" spans="1:31" ht="14.1" customHeight="1">
      <c r="B10" s="254"/>
      <c r="C10" s="255"/>
      <c r="D10" s="255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</row>
    <row r="11" spans="1:31" ht="14.1" customHeight="1">
      <c r="B11" s="254" t="s">
        <v>104</v>
      </c>
      <c r="C11" s="255"/>
      <c r="D11" s="255"/>
      <c r="E11" s="260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</row>
    <row r="12" spans="1:31" ht="14.1" customHeight="1">
      <c r="A12" s="261"/>
      <c r="B12" s="262" t="s">
        <v>39</v>
      </c>
      <c r="C12" s="255" t="s">
        <v>40</v>
      </c>
      <c r="D12" s="263">
        <f>SUMPRODUCT(E12:AC12,E24:AC24)/SUM(E24:AC24)</f>
        <v>3.0536159173102551</v>
      </c>
      <c r="E12" s="256">
        <f>E33/(MAX(E9,1))</f>
        <v>2.0338067068605787</v>
      </c>
      <c r="F12" s="256">
        <f t="shared" ref="F12:X12" si="3">F33/(MAX(F9,1))</f>
        <v>2.1018942764268838</v>
      </c>
      <c r="G12" s="256">
        <f t="shared" si="3"/>
        <v>2.1783131171108114</v>
      </c>
      <c r="H12" s="256">
        <f t="shared" si="3"/>
        <v>2.2645077272141596</v>
      </c>
      <c r="I12" s="256">
        <f t="shared" si="3"/>
        <v>2.3621812248441825</v>
      </c>
      <c r="J12" s="256">
        <f t="shared" si="3"/>
        <v>2.4733417614225903</v>
      </c>
      <c r="K12" s="256">
        <f t="shared" si="3"/>
        <v>2.6003572663048384</v>
      </c>
      <c r="L12" s="256">
        <f t="shared" si="3"/>
        <v>2.7460200179425116</v>
      </c>
      <c r="M12" s="256">
        <f t="shared" si="3"/>
        <v>2.9136228054517472</v>
      </c>
      <c r="N12" s="256">
        <f t="shared" si="3"/>
        <v>3.1070487610640716</v>
      </c>
      <c r="O12" s="256">
        <f t="shared" si="3"/>
        <v>3.3308773173814497</v>
      </c>
      <c r="P12" s="256">
        <f t="shared" si="3"/>
        <v>3.5905091838363501</v>
      </c>
      <c r="Q12" s="256">
        <f t="shared" si="3"/>
        <v>3.8923137563025079</v>
      </c>
      <c r="R12" s="256">
        <f t="shared" si="3"/>
        <v>4.2438029866053153</v>
      </c>
      <c r="S12" s="256">
        <f t="shared" si="3"/>
        <v>4.6538364614821868</v>
      </c>
      <c r="T12" s="256">
        <f t="shared" si="3"/>
        <v>5.1328632930874898</v>
      </c>
      <c r="U12" s="256">
        <f t="shared" si="3"/>
        <v>5.6932074287126229</v>
      </c>
      <c r="V12" s="256">
        <f t="shared" si="3"/>
        <v>6.349404173468626</v>
      </c>
      <c r="W12" s="256">
        <f t="shared" si="3"/>
        <v>7.1185971186563872</v>
      </c>
      <c r="X12" s="256">
        <f t="shared" si="3"/>
        <v>8.0210063186436109</v>
      </c>
    </row>
    <row r="13" spans="1:31" ht="14.1" customHeight="1">
      <c r="A13" s="261"/>
      <c r="B13" s="254"/>
      <c r="C13" s="255"/>
      <c r="D13" s="264"/>
      <c r="E13" s="265"/>
      <c r="F13" s="265"/>
      <c r="G13" s="265"/>
      <c r="H13" s="265"/>
      <c r="I13" s="265"/>
      <c r="J13" s="265"/>
      <c r="K13" s="265"/>
      <c r="L13" s="265"/>
      <c r="M13" s="265"/>
      <c r="N13" s="265"/>
      <c r="O13" s="265"/>
      <c r="P13" s="265"/>
      <c r="Q13" s="265"/>
      <c r="R13" s="265"/>
      <c r="S13" s="265"/>
      <c r="T13" s="265"/>
      <c r="U13" s="265"/>
      <c r="V13" s="265"/>
      <c r="W13" s="265"/>
      <c r="X13" s="265"/>
    </row>
    <row r="14" spans="1:31" ht="14.1" customHeight="1">
      <c r="A14" s="261"/>
      <c r="B14" s="254" t="s">
        <v>119</v>
      </c>
      <c r="C14" s="255"/>
      <c r="D14" s="264"/>
      <c r="E14" s="260">
        <f t="shared" ref="E14" si="4">E20*E9</f>
        <v>212.976</v>
      </c>
      <c r="F14" s="260">
        <f t="shared" ref="F14:X14" si="5">F20*F9</f>
        <v>212.976</v>
      </c>
      <c r="G14" s="260">
        <f t="shared" si="5"/>
        <v>212.976</v>
      </c>
      <c r="H14" s="260">
        <f t="shared" si="5"/>
        <v>213.55949589041097</v>
      </c>
      <c r="I14" s="260">
        <f t="shared" si="5"/>
        <v>212.976</v>
      </c>
      <c r="J14" s="260">
        <f t="shared" si="5"/>
        <v>212.976</v>
      </c>
      <c r="K14" s="260">
        <f t="shared" si="5"/>
        <v>212.976</v>
      </c>
      <c r="L14" s="260">
        <f t="shared" si="5"/>
        <v>213.55949589041097</v>
      </c>
      <c r="M14" s="260">
        <f t="shared" si="5"/>
        <v>212.976</v>
      </c>
      <c r="N14" s="260">
        <f t="shared" si="5"/>
        <v>212.976</v>
      </c>
      <c r="O14" s="260">
        <f t="shared" si="5"/>
        <v>425.82671999999997</v>
      </c>
      <c r="P14" s="260">
        <f t="shared" si="5"/>
        <v>426.99336854794524</v>
      </c>
      <c r="Q14" s="260">
        <f t="shared" si="5"/>
        <v>425.82671999999997</v>
      </c>
      <c r="R14" s="260">
        <f t="shared" si="5"/>
        <v>425.82671999999997</v>
      </c>
      <c r="S14" s="260">
        <f t="shared" si="5"/>
        <v>425.82671999999997</v>
      </c>
      <c r="T14" s="260">
        <f t="shared" si="5"/>
        <v>426.99336854794524</v>
      </c>
      <c r="U14" s="260">
        <f t="shared" si="5"/>
        <v>425.82671999999997</v>
      </c>
      <c r="V14" s="260">
        <f t="shared" si="5"/>
        <v>425.82671999999997</v>
      </c>
      <c r="W14" s="260">
        <f t="shared" si="5"/>
        <v>425.82671999999997</v>
      </c>
      <c r="X14" s="260">
        <f t="shared" si="5"/>
        <v>426.99336854794524</v>
      </c>
    </row>
    <row r="15" spans="1:31" ht="14.1" customHeight="1">
      <c r="A15" s="261"/>
      <c r="B15" s="262" t="s">
        <v>41</v>
      </c>
      <c r="C15" s="255" t="s">
        <v>40</v>
      </c>
      <c r="D15" s="264">
        <f>SUMPRODUCT(E15:AC15,E24:AC24)/SUM(E24:AC24)</f>
        <v>0.19790979607172204</v>
      </c>
      <c r="E15" s="368">
        <f>E49/(MAX(E9,1))</f>
        <v>0.38991593391892559</v>
      </c>
      <c r="F15" s="368">
        <f t="shared" ref="F15:X15" si="6">F49/(MAX(F9,1))</f>
        <v>0.36221698779353728</v>
      </c>
      <c r="G15" s="368">
        <f t="shared" si="6"/>
        <v>0.32812597717767489</v>
      </c>
      <c r="H15" s="368">
        <f t="shared" si="6"/>
        <v>0.2932315923362338</v>
      </c>
      <c r="I15" s="368">
        <f t="shared" si="6"/>
        <v>0.25994395594595027</v>
      </c>
      <c r="J15" s="368">
        <f t="shared" si="6"/>
        <v>0.22585294533008793</v>
      </c>
      <c r="K15" s="368">
        <f t="shared" si="6"/>
        <v>0.19176193471422562</v>
      </c>
      <c r="L15" s="368">
        <f t="shared" si="6"/>
        <v>0.15724012922377759</v>
      </c>
      <c r="M15" s="368">
        <f t="shared" si="6"/>
        <v>0.12357991348250097</v>
      </c>
      <c r="N15" s="368">
        <f t="shared" si="6"/>
        <v>8.9488902866638673E-2</v>
      </c>
      <c r="O15" s="368">
        <f t="shared" si="6"/>
        <v>5.5397892250776355E-2</v>
      </c>
      <c r="P15" s="368">
        <f t="shared" si="6"/>
        <v>2.1248666111321351E-2</v>
      </c>
      <c r="Q15" s="368">
        <f t="shared" si="6"/>
        <v>0</v>
      </c>
      <c r="R15" s="368">
        <f t="shared" si="6"/>
        <v>0</v>
      </c>
      <c r="S15" s="368">
        <f t="shared" si="6"/>
        <v>0</v>
      </c>
      <c r="T15" s="368">
        <f t="shared" si="6"/>
        <v>0</v>
      </c>
      <c r="U15" s="368">
        <f t="shared" si="6"/>
        <v>0</v>
      </c>
      <c r="V15" s="368">
        <f t="shared" si="6"/>
        <v>0</v>
      </c>
      <c r="W15" s="368">
        <f t="shared" si="6"/>
        <v>0</v>
      </c>
      <c r="X15" s="368">
        <f t="shared" si="6"/>
        <v>0</v>
      </c>
    </row>
    <row r="16" spans="1:31" ht="14.1" customHeight="1">
      <c r="A16" s="261"/>
      <c r="B16" s="266" t="s">
        <v>42</v>
      </c>
      <c r="C16" s="255" t="s">
        <v>40</v>
      </c>
      <c r="D16" s="264">
        <f ca="1">SUMPRODUCT(E16:AC16,E24:AC24)/SUM(E24:AC24)</f>
        <v>0.11826357729696811</v>
      </c>
      <c r="E16" s="368">
        <f ca="1">E60/MAX(E9,1)</f>
        <v>8.7298084116029323E-2</v>
      </c>
      <c r="F16" s="368">
        <f t="shared" ref="F16:X16" ca="1" si="7">F60/MAX(F9,1)</f>
        <v>8.9352798920599302E-2</v>
      </c>
      <c r="G16" s="368">
        <f t="shared" ca="1" si="7"/>
        <v>9.1560638017422813E-2</v>
      </c>
      <c r="H16" s="368">
        <f t="shared" ca="1" si="7"/>
        <v>9.3797788784529851E-2</v>
      </c>
      <c r="I16" s="368">
        <f t="shared" ca="1" si="7"/>
        <v>9.6987893514187365E-2</v>
      </c>
      <c r="J16" s="368">
        <f t="shared" ca="1" si="7"/>
        <v>0.10031899058170679</v>
      </c>
      <c r="K16" s="368">
        <f t="shared" ca="1" si="7"/>
        <v>0.10415267527372921</v>
      </c>
      <c r="L16" s="368">
        <f t="shared" ca="1" si="7"/>
        <v>0.10824825638556552</v>
      </c>
      <c r="M16" s="368">
        <f t="shared" ca="1" si="7"/>
        <v>0.11367537910852568</v>
      </c>
      <c r="N16" s="368">
        <f t="shared" ca="1" si="7"/>
        <v>0.11957731647248028</v>
      </c>
      <c r="O16" s="368">
        <f t="shared" ca="1" si="7"/>
        <v>0.12717863530643278</v>
      </c>
      <c r="P16" s="368">
        <f t="shared" ca="1" si="7"/>
        <v>0.13471736723150921</v>
      </c>
      <c r="Q16" s="368">
        <f t="shared" ca="1" si="7"/>
        <v>0.14276063394201452</v>
      </c>
      <c r="R16" s="368">
        <f t="shared" ca="1" si="7"/>
        <v>0.15412917390446454</v>
      </c>
      <c r="S16" s="368">
        <f t="shared" ca="1" si="7"/>
        <v>0.16725898088506969</v>
      </c>
      <c r="T16" s="368">
        <f t="shared" ca="1" si="7"/>
        <v>0.1819395325169279</v>
      </c>
      <c r="U16" s="368">
        <f t="shared" ca="1" si="7"/>
        <v>0.20008066393092402</v>
      </c>
      <c r="V16" s="368">
        <f t="shared" ca="1" si="7"/>
        <v>0.22055744801323654</v>
      </c>
      <c r="W16" s="368">
        <f t="shared" ca="1" si="7"/>
        <v>0.24438654038532057</v>
      </c>
      <c r="X16" s="368">
        <f t="shared" ca="1" si="7"/>
        <v>0.27139101524484538</v>
      </c>
    </row>
    <row r="17" spans="1:24" ht="14.1" customHeight="1">
      <c r="A17" s="261"/>
      <c r="B17" s="262" t="s">
        <v>43</v>
      </c>
      <c r="C17" s="255" t="s">
        <v>40</v>
      </c>
      <c r="D17" s="264">
        <f>SUMPRODUCT(E17:AC17,E24:AC24)/SUM(E24:AC24)</f>
        <v>0.36302370220268404</v>
      </c>
      <c r="E17" s="368">
        <f>((E65*Input!$D$24)*E5/365)/(MAX(E9,1))</f>
        <v>0.24215589356770817</v>
      </c>
      <c r="F17" s="368">
        <f>((F65*Input!$D$24)*F5/365)/(MAX(F9,1))</f>
        <v>0.25600721067978105</v>
      </c>
      <c r="G17" s="368">
        <f>((G65*Input!$D$24)*G5/365)/(MAX(G9,1))</f>
        <v>0.27065082313066446</v>
      </c>
      <c r="H17" s="368">
        <f>((H65*Input!$D$24)*H5/365)/(MAX(H9,1))</f>
        <v>0.2861320502137385</v>
      </c>
      <c r="I17" s="368">
        <f>((I65*Input!$D$24)*I5/365)/(MAX(I9,1))</f>
        <v>0.30249880348596425</v>
      </c>
      <c r="J17" s="368">
        <f>((J65*Input!$D$24)*J5/365)/(MAX(J9,1))</f>
        <v>0.31980173504536141</v>
      </c>
      <c r="K17" s="368">
        <f>((K65*Input!$D$24)*K5/365)/(MAX(K9,1))</f>
        <v>0.33809439428995602</v>
      </c>
      <c r="L17" s="368">
        <f>((L65*Input!$D$24)*L5/365)/(MAX(L9,1))</f>
        <v>0.35743339364334148</v>
      </c>
      <c r="M17" s="368">
        <f>((M65*Input!$D$24)*M5/365)/(MAX(M9,1))</f>
        <v>0.37787858375974065</v>
      </c>
      <c r="N17" s="368">
        <f>((N65*Input!$D$24)*N5/365)/(MAX(N9,1))</f>
        <v>0.39949323875079773</v>
      </c>
      <c r="O17" s="368">
        <f>((O65*Input!$D$24)*O5/365)/(MAX(O9,1))</f>
        <v>0.42234425200734338</v>
      </c>
      <c r="P17" s="368">
        <f>((P65*Input!$D$24)*P5/365)/(MAX(P9,1))</f>
        <v>0.44650234322216331</v>
      </c>
      <c r="Q17" s="368">
        <f>((Q65*Input!$D$24)*Q5/365)/(MAX(Q9,1))</f>
        <v>0.47204227725447112</v>
      </c>
      <c r="R17" s="368">
        <f>((R65*Input!$D$24)*R5/365)/(MAX(R9,1))</f>
        <v>0.49904309551342679</v>
      </c>
      <c r="S17" s="368">
        <f>((S65*Input!$D$24)*S5/365)/(MAX(S9,1))</f>
        <v>0.52758836057679481</v>
      </c>
      <c r="T17" s="368">
        <f>((T65*Input!$D$24)*T5/365)/(MAX(T9,1))</f>
        <v>0.55776641480178724</v>
      </c>
      <c r="U17" s="368">
        <f>((U65*Input!$D$24)*U5/365)/(MAX(U9,1))</f>
        <v>0.58967065372844962</v>
      </c>
      <c r="V17" s="368">
        <f>((V65*Input!$D$24)*V5/365)/(MAX(V9,1))</f>
        <v>0.62339981512171694</v>
      </c>
      <c r="W17" s="368">
        <f>((W65*Input!$D$24)*W5/365)/(MAX(W9,1))</f>
        <v>0.65905828454667892</v>
      </c>
      <c r="X17" s="368">
        <f>((X65*Input!$D$24)*X5/365)/(MAX(X9,1))</f>
        <v>0.69675641842274894</v>
      </c>
    </row>
    <row r="18" spans="1:24" ht="14.1" customHeight="1">
      <c r="A18" s="261"/>
      <c r="B18" s="262" t="s">
        <v>16</v>
      </c>
      <c r="C18" s="255" t="s">
        <v>40</v>
      </c>
      <c r="D18" s="264">
        <f>SUMPRODUCT(E18:AC18,E24:AC24)/SUM(E24:AC24)</f>
        <v>0.23493993958194412</v>
      </c>
      <c r="E18" s="368">
        <f>E74/(MAX(E9,1))</f>
        <v>0.25349829187803008</v>
      </c>
      <c r="F18" s="368">
        <f t="shared" ref="F18:X18" si="8">F74/(MAX(F9,1))</f>
        <v>0.25349829187803008</v>
      </c>
      <c r="G18" s="368">
        <f t="shared" si="8"/>
        <v>0.25349829187803008</v>
      </c>
      <c r="H18" s="368">
        <f t="shared" si="8"/>
        <v>0.25280567359421025</v>
      </c>
      <c r="I18" s="368">
        <f t="shared" si="8"/>
        <v>0.25349829187803008</v>
      </c>
      <c r="J18" s="368">
        <f t="shared" si="8"/>
        <v>0.25349829187803008</v>
      </c>
      <c r="K18" s="368">
        <f t="shared" si="8"/>
        <v>0.25349829187803008</v>
      </c>
      <c r="L18" s="368">
        <f t="shared" si="8"/>
        <v>0.25280567359421025</v>
      </c>
      <c r="M18" s="368">
        <f t="shared" si="8"/>
        <v>0.25349829187803008</v>
      </c>
      <c r="N18" s="368">
        <f t="shared" si="8"/>
        <v>0.25349829187803008</v>
      </c>
      <c r="O18" s="368">
        <f t="shared" si="8"/>
        <v>0.25349829187803008</v>
      </c>
      <c r="P18" s="368">
        <f t="shared" si="8"/>
        <v>0.25280567359421025</v>
      </c>
      <c r="Q18" s="368">
        <f t="shared" si="8"/>
        <v>0.15987676362762127</v>
      </c>
      <c r="R18" s="368">
        <f t="shared" si="8"/>
        <v>0.15987676362762127</v>
      </c>
      <c r="S18" s="368">
        <f t="shared" si="8"/>
        <v>0.15987676362762127</v>
      </c>
      <c r="T18" s="368">
        <f t="shared" si="8"/>
        <v>0.15943994186907584</v>
      </c>
      <c r="U18" s="368">
        <f t="shared" si="8"/>
        <v>0.15987676362762127</v>
      </c>
      <c r="V18" s="368">
        <f t="shared" si="8"/>
        <v>0.15987676362762127</v>
      </c>
      <c r="W18" s="368">
        <f t="shared" si="8"/>
        <v>0.15987676362762127</v>
      </c>
      <c r="X18" s="368">
        <f t="shared" si="8"/>
        <v>0.15943994186907584</v>
      </c>
    </row>
    <row r="19" spans="1:24" ht="14.1" customHeight="1">
      <c r="A19" s="261"/>
      <c r="B19" s="262" t="s">
        <v>44</v>
      </c>
      <c r="C19" s="255" t="s">
        <v>40</v>
      </c>
      <c r="D19" s="264">
        <f>SUMPRODUCT(E19:AC19,E24:AC24)/SUM(E24:AC24)</f>
        <v>0.23376692993734174</v>
      </c>
      <c r="E19" s="368">
        <f>(Input!$D$33*Input!$D$34*E5/365)/(MAX(E9,1))</f>
        <v>0.23376692993734174</v>
      </c>
      <c r="F19" s="368">
        <f>(Input!$D$33*Input!$D$34*F5/365)/(MAX(F9,1))</f>
        <v>0.23376692993734174</v>
      </c>
      <c r="G19" s="368">
        <f>(Input!$D$33*Input!$D$34*G5/365)/(MAX(G9,1))</f>
        <v>0.23376692993734174</v>
      </c>
      <c r="H19" s="368">
        <f>(Input!$D$33*Input!$D$34*H5/365)/(MAX(H9,1))</f>
        <v>0.23376692993734174</v>
      </c>
      <c r="I19" s="368">
        <f>(Input!$D$33*Input!$D$34*I5/365)/(MAX(I9,1))</f>
        <v>0.23376692993734174</v>
      </c>
      <c r="J19" s="368">
        <f>(Input!$D$33*Input!$D$34*J5/365)/(MAX(J9,1))</f>
        <v>0.23376692993734174</v>
      </c>
      <c r="K19" s="368">
        <f>(Input!$D$33*Input!$D$34*K5/365)/(MAX(K9,1))</f>
        <v>0.23376692993734174</v>
      </c>
      <c r="L19" s="368">
        <f>(Input!$D$33*Input!$D$34*L5/365)/(MAX(L9,1))</f>
        <v>0.23376692993734174</v>
      </c>
      <c r="M19" s="368">
        <f>(Input!$D$33*Input!$D$34*M5/365)/(MAX(M9,1))</f>
        <v>0.23376692993734174</v>
      </c>
      <c r="N19" s="368">
        <f>(Input!$D$33*Input!$D$34*N5/365)/(MAX(N9,1))</f>
        <v>0.23376692993734174</v>
      </c>
      <c r="O19" s="368">
        <f>(Input!$D$33*Input!$D$34*O5/365)/(MAX(O9,1))</f>
        <v>0.23376692993734174</v>
      </c>
      <c r="P19" s="368">
        <f>(Input!$D$33*Input!$D$34*P5/365)/(MAX(P9,1))</f>
        <v>0.23376692993734174</v>
      </c>
      <c r="Q19" s="368">
        <f>(Input!$D$33*Input!$D$34*Q5/365)/(MAX(Q9,1))</f>
        <v>0.23376692993734174</v>
      </c>
      <c r="R19" s="368">
        <f>(Input!$D$33*Input!$D$34*R5/365)/(MAX(R9,1))</f>
        <v>0.23376692993734174</v>
      </c>
      <c r="S19" s="368">
        <f>(Input!$D$33*Input!$D$34*S5/365)/(MAX(S9,1))</f>
        <v>0.23376692993734174</v>
      </c>
      <c r="T19" s="368">
        <f>(Input!$D$33*Input!$D$34*T5/365)/(MAX(T9,1))</f>
        <v>0.23376692993734174</v>
      </c>
      <c r="U19" s="368">
        <f>(Input!$D$33*Input!$D$34*U5/365)/(MAX(U9,1))</f>
        <v>0.23376692993734174</v>
      </c>
      <c r="V19" s="368">
        <f>(Input!$D$33*Input!$D$34*V5/365)/(MAX(V9,1))</f>
        <v>0.23376692993734174</v>
      </c>
      <c r="W19" s="368">
        <f>(Input!$D$33*Input!$D$34*W5/365)/(MAX(W9,1))</f>
        <v>0.23376692993734174</v>
      </c>
      <c r="X19" s="368">
        <f>(Input!$D$33*Input!$D$34*X5/365)/(MAX(X9,1))</f>
        <v>0.23376692993734174</v>
      </c>
    </row>
    <row r="20" spans="1:24" ht="14.1" customHeight="1">
      <c r="A20" s="261"/>
      <c r="B20" s="262" t="s">
        <v>21</v>
      </c>
      <c r="C20" s="255" t="s">
        <v>40</v>
      </c>
      <c r="D20" s="264">
        <f>SUMPRODUCT(E20:AC20,E24:AC24)/SUM(E24:AC24)</f>
        <v>5.0654960659001158E-2</v>
      </c>
      <c r="E20" s="368">
        <f>IF(E2&lt;=Input!$D$76,Tariff!E19*Input!$D$75,Tariff!E19*Input!$D$74)</f>
        <v>3.9740378089348098E-2</v>
      </c>
      <c r="F20" s="368">
        <f>IF(F2&lt;=Input!$D$76,Tariff!F19*Input!$D$75,Tariff!F19*Input!$D$74)</f>
        <v>3.9740378089348098E-2</v>
      </c>
      <c r="G20" s="368">
        <f>IF(G2&lt;=Input!$D$76,Tariff!G19*Input!$D$75,Tariff!G19*Input!$D$74)</f>
        <v>3.9740378089348098E-2</v>
      </c>
      <c r="H20" s="368">
        <f>IF(H2&lt;=Input!$D$76,Tariff!H19*Input!$D$75,Tariff!H19*Input!$D$74)</f>
        <v>3.9740378089348098E-2</v>
      </c>
      <c r="I20" s="368">
        <f>IF(I2&lt;=Input!$D$76,Tariff!I19*Input!$D$75,Tariff!I19*Input!$D$74)</f>
        <v>3.9740378089348098E-2</v>
      </c>
      <c r="J20" s="368">
        <f>IF(J2&lt;=Input!$D$76,Tariff!J19*Input!$D$75,Tariff!J19*Input!$D$74)</f>
        <v>3.9740378089348098E-2</v>
      </c>
      <c r="K20" s="368">
        <f>IF(K2&lt;=Input!$D$76,Tariff!K19*Input!$D$75,Tariff!K19*Input!$D$74)</f>
        <v>3.9740378089348098E-2</v>
      </c>
      <c r="L20" s="368">
        <f>IF(L2&lt;=Input!$D$76,Tariff!L19*Input!$D$75,Tariff!L19*Input!$D$74)</f>
        <v>3.9740378089348098E-2</v>
      </c>
      <c r="M20" s="368">
        <f>IF(M2&lt;=Input!$D$76,Tariff!M19*Input!$D$75,Tariff!M19*Input!$D$74)</f>
        <v>3.9740378089348098E-2</v>
      </c>
      <c r="N20" s="368">
        <f>IF(N2&lt;=Input!$D$76,Tariff!N19*Input!$D$75,Tariff!N19*Input!$D$74)</f>
        <v>3.9740378089348098E-2</v>
      </c>
      <c r="O20" s="368">
        <f>IF(O2&lt;=Input!$D$76,Tariff!O19*Input!$D$75,Tariff!O19*Input!$D$74)</f>
        <v>7.9457379485702459E-2</v>
      </c>
      <c r="P20" s="368">
        <f>IF(P2&lt;=Input!$D$76,Tariff!P19*Input!$D$75,Tariff!P19*Input!$D$74)</f>
        <v>7.9457379485702459E-2</v>
      </c>
      <c r="Q20" s="368">
        <f>IF(Q2&lt;=Input!$D$76,Tariff!Q19*Input!$D$75,Tariff!Q19*Input!$D$74)</f>
        <v>7.9457379485702459E-2</v>
      </c>
      <c r="R20" s="368">
        <f>IF(R2&lt;=Input!$D$76,Tariff!R19*Input!$D$75,Tariff!R19*Input!$D$74)</f>
        <v>7.9457379485702459E-2</v>
      </c>
      <c r="S20" s="368">
        <f>IF(S2&lt;=Input!$D$76,Tariff!S19*Input!$D$75,Tariff!S19*Input!$D$74)</f>
        <v>7.9457379485702459E-2</v>
      </c>
      <c r="T20" s="368">
        <f>IF(T2&lt;=Input!$D$76,Tariff!T19*Input!$D$75,Tariff!T19*Input!$D$74)</f>
        <v>7.9457379485702459E-2</v>
      </c>
      <c r="U20" s="368">
        <f>IF(U2&lt;=Input!$D$76,Tariff!U19*Input!$D$75,Tariff!U19*Input!$D$74)</f>
        <v>7.9457379485702459E-2</v>
      </c>
      <c r="V20" s="368">
        <f>IF(V2&lt;=Input!$D$76,Tariff!V19*Input!$D$75,Tariff!V19*Input!$D$74)</f>
        <v>7.9457379485702459E-2</v>
      </c>
      <c r="W20" s="368">
        <f>IF(W2&lt;=Input!$D$76,Tariff!W19*Input!$D$75,Tariff!W19*Input!$D$74)</f>
        <v>7.9457379485702459E-2</v>
      </c>
      <c r="X20" s="368">
        <f>IF(X2&lt;=Input!$D$76,Tariff!X19*Input!$D$75,Tariff!X19*Input!$D$74)</f>
        <v>7.9457379485702459E-2</v>
      </c>
    </row>
    <row r="21" spans="1:24" ht="14.1" customHeight="1" thickBot="1">
      <c r="B21" s="262" t="s">
        <v>131</v>
      </c>
      <c r="C21" s="255"/>
      <c r="D21" s="267">
        <f ca="1">SUMPRODUCT(E21:AC21,E24:AC24)/SUMPRODUCT(E24:AC24)</f>
        <v>1.1985589057496615</v>
      </c>
      <c r="E21" s="268">
        <f ca="1">SUM(E15:E20)</f>
        <v>1.2463755115073831</v>
      </c>
      <c r="F21" s="268">
        <f t="shared" ref="F21:X21" ca="1" si="9">SUM(F15:F20)</f>
        <v>1.2345825972986377</v>
      </c>
      <c r="G21" s="268">
        <f t="shared" ca="1" si="9"/>
        <v>1.2173430382304822</v>
      </c>
      <c r="H21" s="268">
        <f t="shared" ca="1" si="9"/>
        <v>1.1994744129554025</v>
      </c>
      <c r="I21" s="268">
        <f t="shared" ca="1" si="9"/>
        <v>1.1864362528508219</v>
      </c>
      <c r="J21" s="268">
        <f t="shared" ca="1" si="9"/>
        <v>1.1729792708618763</v>
      </c>
      <c r="K21" s="268">
        <f t="shared" ca="1" si="9"/>
        <v>1.1610146041826308</v>
      </c>
      <c r="L21" s="268">
        <f t="shared" ca="1" si="9"/>
        <v>1.1492347608735849</v>
      </c>
      <c r="M21" s="268">
        <f t="shared" ca="1" si="9"/>
        <v>1.1421394762554873</v>
      </c>
      <c r="N21" s="268">
        <f t="shared" ca="1" si="9"/>
        <v>1.1355650579946368</v>
      </c>
      <c r="O21" s="268">
        <f t="shared" ca="1" si="9"/>
        <v>1.1716433808656268</v>
      </c>
      <c r="P21" s="268">
        <f t="shared" ca="1" si="9"/>
        <v>1.1684983595822485</v>
      </c>
      <c r="Q21" s="268">
        <f t="shared" ca="1" si="9"/>
        <v>1.0879039842471512</v>
      </c>
      <c r="R21" s="268">
        <f t="shared" ca="1" si="9"/>
        <v>1.1262733424685569</v>
      </c>
      <c r="S21" s="268">
        <f t="shared" ca="1" si="9"/>
        <v>1.1679484145125301</v>
      </c>
      <c r="T21" s="268">
        <f t="shared" ca="1" si="9"/>
        <v>1.2123701986108353</v>
      </c>
      <c r="U21" s="268">
        <f t="shared" ca="1" si="9"/>
        <v>1.2628523907100393</v>
      </c>
      <c r="V21" s="268">
        <f t="shared" ca="1" si="9"/>
        <v>1.317058336185619</v>
      </c>
      <c r="W21" s="268">
        <f t="shared" ca="1" si="9"/>
        <v>1.376545897982665</v>
      </c>
      <c r="X21" s="268">
        <f t="shared" ca="1" si="9"/>
        <v>1.4408116849597146</v>
      </c>
    </row>
    <row r="22" spans="1:24" ht="14.1" customHeight="1">
      <c r="B22" s="254"/>
      <c r="C22" s="255"/>
      <c r="D22" s="267"/>
      <c r="E22" s="269">
        <f ca="1">SUMPRODUCT(E21:AC21,E24:AC24)/SUMPRODUCT(E24:AC24)</f>
        <v>1.1985589057496615</v>
      </c>
      <c r="F22" s="264"/>
      <c r="G22" s="264"/>
      <c r="H22" s="264"/>
      <c r="I22" s="264"/>
      <c r="J22" s="26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</row>
    <row r="23" spans="1:24" ht="14.1" customHeight="1" thickBot="1">
      <c r="B23" s="270" t="s">
        <v>45</v>
      </c>
      <c r="C23" s="255" t="s">
        <v>40</v>
      </c>
      <c r="D23" s="271">
        <f ca="1">SUMPRODUCT(E23:AC23,E24:AC24)/SUM(E24:AC24)</f>
        <v>4.2521748230599163</v>
      </c>
      <c r="E23" s="268">
        <f t="shared" ref="E23:X23" ca="1" si="10">SUM(E12+E15+E16+E17+E18+E19+E20)</f>
        <v>3.2801822183679619</v>
      </c>
      <c r="F23" s="268">
        <f t="shared" ca="1" si="10"/>
        <v>3.3364768737255215</v>
      </c>
      <c r="G23" s="268">
        <f t="shared" ca="1" si="10"/>
        <v>3.3956561553412934</v>
      </c>
      <c r="H23" s="268">
        <f t="shared" ca="1" si="10"/>
        <v>3.4639821401695619</v>
      </c>
      <c r="I23" s="268">
        <f t="shared" ca="1" si="10"/>
        <v>3.5486174776950046</v>
      </c>
      <c r="J23" s="268">
        <f t="shared" ca="1" si="10"/>
        <v>3.6463210322844666</v>
      </c>
      <c r="K23" s="268">
        <f t="shared" ca="1" si="10"/>
        <v>3.7613718704874697</v>
      </c>
      <c r="L23" s="268">
        <f t="shared" ca="1" si="10"/>
        <v>3.8952547788160961</v>
      </c>
      <c r="M23" s="268">
        <f t="shared" ca="1" si="10"/>
        <v>4.055762281707235</v>
      </c>
      <c r="N23" s="268">
        <f t="shared" ca="1" si="10"/>
        <v>4.2426138190587084</v>
      </c>
      <c r="O23" s="268">
        <f t="shared" ca="1" si="10"/>
        <v>4.5025206982470758</v>
      </c>
      <c r="P23" s="268">
        <f t="shared" ca="1" si="10"/>
        <v>4.7590075434185977</v>
      </c>
      <c r="Q23" s="268">
        <f t="shared" ca="1" si="10"/>
        <v>4.9802177405496586</v>
      </c>
      <c r="R23" s="268">
        <f t="shared" ca="1" si="10"/>
        <v>5.3700763290738713</v>
      </c>
      <c r="S23" s="268">
        <f t="shared" ca="1" si="10"/>
        <v>5.8217848759947159</v>
      </c>
      <c r="T23" s="268">
        <f t="shared" ca="1" si="10"/>
        <v>6.3452334916983251</v>
      </c>
      <c r="U23" s="268">
        <f t="shared" ca="1" si="10"/>
        <v>6.9560598194226619</v>
      </c>
      <c r="V23" s="268">
        <f t="shared" ca="1" si="10"/>
        <v>7.6664625096542443</v>
      </c>
      <c r="W23" s="268">
        <f t="shared" ca="1" si="10"/>
        <v>8.4951430166390551</v>
      </c>
      <c r="X23" s="268">
        <f t="shared" ca="1" si="10"/>
        <v>9.4618180036033266</v>
      </c>
    </row>
    <row r="24" spans="1:24" ht="14.1" customHeight="1" thickBot="1">
      <c r="B24" s="272" t="s">
        <v>68</v>
      </c>
      <c r="C24" s="273">
        <f>Input!D49</f>
        <v>0.1019</v>
      </c>
      <c r="D24" s="274">
        <f ca="1">D23-D12</f>
        <v>1.1985589057496613</v>
      </c>
      <c r="E24" s="274">
        <v>1</v>
      </c>
      <c r="F24" s="274">
        <f>(1/(1+Tariff!$C$24)^Tariff!E2)*(F5&gt;0)</f>
        <v>0.90752336872674466</v>
      </c>
      <c r="G24" s="274">
        <f>(1/(1+Tariff!$C$24)^Tariff!F2)*(G5&gt;0)</f>
        <v>0.82359866478513888</v>
      </c>
      <c r="H24" s="274">
        <f>(1/(1+Tariff!$C$24)^Tariff!G2)*(H5&gt;0)</f>
        <v>0.74743503474465811</v>
      </c>
      <c r="I24" s="274">
        <f>(1/(1+Tariff!$C$24)^Tariff!H2)*(I5&gt;0)</f>
        <v>0.67831476063586349</v>
      </c>
      <c r="J24" s="274">
        <f>(1/(1+Tariff!$C$24)^Tariff!I2)*(J5&gt;0)</f>
        <v>0.61558649662933429</v>
      </c>
      <c r="K24" s="274">
        <f>(1/(1+Tariff!$C$24)^Tariff!J2)*(K5&gt;0)</f>
        <v>0.55865913116374821</v>
      </c>
      <c r="L24" s="274">
        <f>(1/(1+Tariff!$C$24)^Tariff!K2)*(L5&gt;0)</f>
        <v>0.50699621668368111</v>
      </c>
      <c r="M24" s="274">
        <f>(1/(1+Tariff!$C$24)^Tariff!L2)*(M5&gt;0)</f>
        <v>0.46011091449648878</v>
      </c>
      <c r="N24" s="274">
        <f>(1/(1+Tariff!$C$24)^Tariff!M2)*(N5&gt;0)</f>
        <v>0.41756140711179668</v>
      </c>
      <c r="O24" s="274">
        <f>(1/(1+Tariff!$C$24)^Tariff!N2)*(O5&gt;0)</f>
        <v>0.37894673483237729</v>
      </c>
      <c r="P24" s="274">
        <f>(1/(1+Tariff!$C$24)^Tariff!O2)*(P5&gt;0)</f>
        <v>0.34390301736307949</v>
      </c>
      <c r="Q24" s="274">
        <f>(1/(1+Tariff!$C$24)^Tariff!P2)*(Q5&gt;0)</f>
        <v>0.31210002483263405</v>
      </c>
      <c r="R24" s="274">
        <f>(1/(1+Tariff!$C$24)^Tariff!Q2)*(R5&gt;0)</f>
        <v>0.28323806591581269</v>
      </c>
      <c r="S24" s="274">
        <f>(1/(1+Tariff!$C$24)^Tariff!R2)*(S5&gt;0)</f>
        <v>0.25704516373156611</v>
      </c>
      <c r="T24" s="274">
        <f>(1/(1+Tariff!$C$24)^Tariff!S2)*(T5&gt;0)</f>
        <v>0.23327449290458852</v>
      </c>
      <c r="U24" s="274">
        <f>(1/(1+Tariff!$C$24)^Tariff!T2)*(U5&gt;0)</f>
        <v>0.21170205363879521</v>
      </c>
      <c r="V24" s="274">
        <f>(1/(1+Tariff!$C$24)^Tariff!U2)*(V5&gt;0)</f>
        <v>0.19212456088464944</v>
      </c>
      <c r="W24" s="274">
        <f>(1/(1+Tariff!$C$24)^Tariff!V2)*(W5&gt;0)</f>
        <v>0.17435752870918358</v>
      </c>
      <c r="X24" s="274">
        <f>(1/(1+Tariff!$C$24)^Tariff!W2)*(X5&gt;0)</f>
        <v>0.1582335318170284</v>
      </c>
    </row>
    <row r="25" spans="1:24" ht="14.1" customHeight="1"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261"/>
      <c r="W25" s="261"/>
      <c r="X25" s="261"/>
    </row>
    <row r="26" spans="1:24" ht="14.1" customHeight="1" thickBot="1"/>
    <row r="27" spans="1:24" ht="14.1" customHeight="1">
      <c r="B27" s="275" t="s">
        <v>98</v>
      </c>
      <c r="C27" s="276"/>
      <c r="D27" s="277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  <c r="P27" s="278"/>
      <c r="Q27" s="278"/>
      <c r="R27" s="278"/>
      <c r="S27" s="278"/>
      <c r="T27" s="278"/>
      <c r="U27" s="278"/>
      <c r="V27" s="278"/>
      <c r="W27" s="278"/>
      <c r="X27" s="278"/>
    </row>
    <row r="28" spans="1:24" ht="14.1" customHeight="1">
      <c r="B28" s="279" t="s">
        <v>99</v>
      </c>
      <c r="C28" s="280" t="s">
        <v>100</v>
      </c>
      <c r="D28" s="250"/>
      <c r="E28" s="281">
        <f>E7*Input!$D$43</f>
        <v>10221124.199999997</v>
      </c>
      <c r="F28" s="281">
        <f>F7*Input!$D$43</f>
        <v>10221124.199999997</v>
      </c>
      <c r="G28" s="281">
        <f>G7*Input!$D$43</f>
        <v>10221124.199999997</v>
      </c>
      <c r="H28" s="281">
        <f>H7*Input!$D$43</f>
        <v>10249127.279999999</v>
      </c>
      <c r="I28" s="281">
        <f>I7*Input!$D$43</f>
        <v>10221124.199999997</v>
      </c>
      <c r="J28" s="281">
        <f>J7*Input!$D$43</f>
        <v>10221124.199999997</v>
      </c>
      <c r="K28" s="281">
        <f>K7*Input!$D$43</f>
        <v>10221124.199999997</v>
      </c>
      <c r="L28" s="281">
        <f>L7*Input!$D$43</f>
        <v>10249127.279999999</v>
      </c>
      <c r="M28" s="281">
        <f>M7*Input!$D$43</f>
        <v>10221124.199999997</v>
      </c>
      <c r="N28" s="281">
        <f>N7*Input!$D$43</f>
        <v>10221124.199999997</v>
      </c>
      <c r="O28" s="281">
        <f>O7*Input!$D$43</f>
        <v>10221124.199999997</v>
      </c>
      <c r="P28" s="281">
        <f>P7*Input!$D$43</f>
        <v>10249127.279999999</v>
      </c>
      <c r="Q28" s="281">
        <f>Q7*Input!$D$43</f>
        <v>10221124.199999997</v>
      </c>
      <c r="R28" s="281">
        <f>R7*Input!$D$43</f>
        <v>10221124.199999997</v>
      </c>
      <c r="S28" s="281">
        <f>S7*Input!$D$43</f>
        <v>10221124.199999997</v>
      </c>
      <c r="T28" s="281">
        <f>T7*Input!$D$43</f>
        <v>10249127.279999999</v>
      </c>
      <c r="U28" s="281">
        <f>U7*Input!$D$43</f>
        <v>10221124.199999997</v>
      </c>
      <c r="V28" s="281">
        <f>V7*Input!$D$43</f>
        <v>10221124.199999997</v>
      </c>
      <c r="W28" s="281">
        <f>W7*Input!$D$43</f>
        <v>10221124.199999997</v>
      </c>
      <c r="X28" s="281">
        <f>X7*Input!$D$43</f>
        <v>10249127.279999999</v>
      </c>
    </row>
    <row r="29" spans="1:24" ht="14.1" customHeight="1">
      <c r="B29" s="279" t="s">
        <v>74</v>
      </c>
      <c r="C29" s="280" t="s">
        <v>101</v>
      </c>
      <c r="D29" s="250"/>
      <c r="E29" s="282">
        <f>E28/Input!$D$53</f>
        <v>1193.7776454099505</v>
      </c>
      <c r="F29" s="282">
        <f>F28/Input!$D$53</f>
        <v>1193.7776454099505</v>
      </c>
      <c r="G29" s="282">
        <f>G28/Input!$D$53</f>
        <v>1193.7776454099505</v>
      </c>
      <c r="H29" s="282">
        <f>H28/Input!$D$53</f>
        <v>1197.0482690960055</v>
      </c>
      <c r="I29" s="282">
        <f>I28/Input!$D$53</f>
        <v>1193.7776454099505</v>
      </c>
      <c r="J29" s="282">
        <f>J28/Input!$D$53</f>
        <v>1193.7776454099505</v>
      </c>
      <c r="K29" s="282">
        <f>K28/Input!$D$53</f>
        <v>1193.7776454099505</v>
      </c>
      <c r="L29" s="282">
        <f>L28/Input!$D$53</f>
        <v>1197.0482690960055</v>
      </c>
      <c r="M29" s="282">
        <f>M28/Input!$D$53</f>
        <v>1193.7776454099505</v>
      </c>
      <c r="N29" s="282">
        <f>N28/Input!$D$53</f>
        <v>1193.7776454099505</v>
      </c>
      <c r="O29" s="282">
        <f>O28/Input!$D$53</f>
        <v>1193.7776454099505</v>
      </c>
      <c r="P29" s="282">
        <f>P28/Input!$D$53</f>
        <v>1197.0482690960055</v>
      </c>
      <c r="Q29" s="282">
        <f>Q28/Input!$D$53</f>
        <v>1193.7776454099505</v>
      </c>
      <c r="R29" s="282">
        <f>R28/Input!$D$53</f>
        <v>1193.7776454099505</v>
      </c>
      <c r="S29" s="282">
        <f>S28/Input!$D$53</f>
        <v>1193.7776454099505</v>
      </c>
      <c r="T29" s="282">
        <f>T28/Input!$D$53</f>
        <v>1197.0482690960055</v>
      </c>
      <c r="U29" s="282">
        <f>U28/Input!$D$53</f>
        <v>1193.7776454099505</v>
      </c>
      <c r="V29" s="282">
        <f>V28/Input!$D$53</f>
        <v>1193.7776454099505</v>
      </c>
      <c r="W29" s="282">
        <f>W28/Input!$D$53</f>
        <v>1193.7776454099505</v>
      </c>
      <c r="X29" s="282">
        <f>X28/Input!$D$53</f>
        <v>1197.0482690960055</v>
      </c>
    </row>
    <row r="30" spans="1:24" ht="14.1" customHeight="1">
      <c r="B30" s="279" t="s">
        <v>102</v>
      </c>
      <c r="C30" s="280" t="s">
        <v>103</v>
      </c>
      <c r="D30" s="250"/>
      <c r="E30" s="282">
        <f>'NG prices'!E15</f>
        <v>8.0121705294642851</v>
      </c>
      <c r="F30" s="282">
        <f>E30*(1+Input!$D$56)</f>
        <v>8.1171299634002683</v>
      </c>
      <c r="G30" s="282">
        <f>F30*(1+Input!$D$56)</f>
        <v>8.2234643659208135</v>
      </c>
      <c r="H30" s="282">
        <f>G30*(1+Input!$D$56)</f>
        <v>8.3311917491143763</v>
      </c>
      <c r="I30" s="282">
        <f>H30*(1+Input!$D$56)</f>
        <v>8.440330361027776</v>
      </c>
      <c r="J30" s="282">
        <f>I30*(1+Input!$D$56)</f>
        <v>8.5508986887572416</v>
      </c>
      <c r="K30" s="282">
        <f>J30*(1+Input!$D$56)</f>
        <v>8.6629154615799617</v>
      </c>
      <c r="L30" s="282">
        <f>K30*(1+Input!$D$56)</f>
        <v>8.77639965412666</v>
      </c>
      <c r="M30" s="282">
        <f>L30*(1+Input!$D$56)</f>
        <v>8.8913704895957206</v>
      </c>
      <c r="N30" s="282">
        <f>M30*(1+Input!$D$56)</f>
        <v>9.0078474430094264</v>
      </c>
      <c r="O30" s="282">
        <f>N30*(1+Input!$D$56)</f>
        <v>9.1258502445128507</v>
      </c>
      <c r="P30" s="282">
        <f>O30*(1+Input!$D$56)</f>
        <v>9.2453988827159694</v>
      </c>
      <c r="Q30" s="282">
        <f>P30*(1+Input!$D$56)</f>
        <v>9.3665136080795488</v>
      </c>
      <c r="R30" s="282">
        <f>Q30*(1+Input!$D$56)</f>
        <v>9.4892149363453928</v>
      </c>
      <c r="S30" s="282">
        <f>R30*(1+Input!$D$56)</f>
        <v>9.6135236520115193</v>
      </c>
      <c r="T30" s="282">
        <f>S30*(1+Input!$D$56)</f>
        <v>9.7394608118528705</v>
      </c>
      <c r="U30" s="282">
        <f>T30*(1+Input!$D$56)</f>
        <v>9.8670477484881438</v>
      </c>
      <c r="V30" s="282">
        <f>U30*(1+Input!$D$56)</f>
        <v>9.99630607399334</v>
      </c>
      <c r="W30" s="282">
        <f>V30*(1+Input!$D$56)</f>
        <v>10.127257683562654</v>
      </c>
      <c r="X30" s="282">
        <f>W30*(1+Input!$D$56)</f>
        <v>10.259924759217325</v>
      </c>
    </row>
    <row r="31" spans="1:24" ht="14.1" customHeight="1">
      <c r="B31" s="279" t="s">
        <v>67</v>
      </c>
      <c r="C31" s="280" t="s">
        <v>103</v>
      </c>
      <c r="D31" s="250"/>
      <c r="E31" s="283">
        <f>'NG prices'!E24</f>
        <v>1.1181264615714284</v>
      </c>
      <c r="F31" s="282">
        <f>E31*(1+Input!$D$57)</f>
        <v>1.3188301614234998</v>
      </c>
      <c r="G31" s="282">
        <f>F31*(1+Input!$D$57)</f>
        <v>1.555560175399018</v>
      </c>
      <c r="H31" s="282">
        <f>G31*(1+Input!$D$57)</f>
        <v>1.8347832268831417</v>
      </c>
      <c r="I31" s="282">
        <f>H31*(1+Input!$D$57)</f>
        <v>2.1641268161086655</v>
      </c>
      <c r="J31" s="282">
        <f>I31*(1+Input!$D$57)</f>
        <v>2.5525875796001709</v>
      </c>
      <c r="K31" s="282">
        <f>J31*(1+Input!$D$57)</f>
        <v>3.0107770501384015</v>
      </c>
      <c r="L31" s="282">
        <f>K31*(1+Input!$D$57)</f>
        <v>3.5512115306382444</v>
      </c>
      <c r="M31" s="282">
        <f>L31*(1+Input!$D$57)</f>
        <v>4.1886540003878094</v>
      </c>
      <c r="N31" s="282">
        <f>M31*(1+Input!$D$57)</f>
        <v>4.9405173934574211</v>
      </c>
      <c r="O31" s="282">
        <f>N31*(1+Input!$D$57)</f>
        <v>5.827340265583028</v>
      </c>
      <c r="P31" s="282">
        <f>O31*(1+Input!$D$57)</f>
        <v>6.8733478432551811</v>
      </c>
      <c r="Q31" s="282">
        <f>P31*(1+Input!$D$57)</f>
        <v>8.1071137811194856</v>
      </c>
      <c r="R31" s="282">
        <f>Q31*(1+Input!$D$57)</f>
        <v>9.562340704830433</v>
      </c>
      <c r="S31" s="282">
        <f>R31*(1+Input!$D$57)</f>
        <v>11.278780861347496</v>
      </c>
      <c r="T31" s="282">
        <f>S31*(1+Input!$D$57)</f>
        <v>13.303322025959371</v>
      </c>
      <c r="U31" s="282">
        <f>T31*(1+Input!$D$57)</f>
        <v>15.691268329619078</v>
      </c>
      <c r="V31" s="282">
        <f>U31*(1+Input!$D$57)</f>
        <v>18.507850994785702</v>
      </c>
      <c r="W31" s="282">
        <f>V31*(1+Input!$D$57)</f>
        <v>21.830010248349737</v>
      </c>
      <c r="X31" s="282">
        <f>W31*(1+Input!$D$57)</f>
        <v>25.748497087928513</v>
      </c>
    </row>
    <row r="32" spans="1:24" ht="14.1" customHeight="1">
      <c r="B32" s="279" t="s">
        <v>202</v>
      </c>
      <c r="C32" s="280" t="s">
        <v>103</v>
      </c>
      <c r="D32" s="250"/>
      <c r="E32" s="282">
        <f>(E30+E31)*(1+Input!$C$91)</f>
        <v>9.1302969910357135</v>
      </c>
      <c r="F32" s="282">
        <f>(F30+F31)*(1+Input!$C$91)</f>
        <v>9.4359601248237688</v>
      </c>
      <c r="G32" s="282">
        <f>(G30+G31)*(1+Input!$C$91)</f>
        <v>9.7790245413198313</v>
      </c>
      <c r="H32" s="282">
        <f>(H30+H31)*(1+Input!$C$91)</f>
        <v>10.165974975997518</v>
      </c>
      <c r="I32" s="282">
        <f>(I30+I31)*(1+Input!$C$91)</f>
        <v>10.604457177136442</v>
      </c>
      <c r="J32" s="282">
        <f>(J30+J31)*(1+Input!$C$91)</f>
        <v>11.103486268357413</v>
      </c>
      <c r="K32" s="282">
        <f>(K30+K31)*(1+Input!$C$91)</f>
        <v>11.673692511718363</v>
      </c>
      <c r="L32" s="282">
        <f>(L30+L31)*(1+Input!$C$91)</f>
        <v>12.327611184764905</v>
      </c>
      <c r="M32" s="282">
        <f>(M30+M31)*(1+Input!$C$91)</f>
        <v>13.080024489983529</v>
      </c>
      <c r="N32" s="282">
        <f>(N30+N31)*(1+Input!$C$91)</f>
        <v>13.948364836466848</v>
      </c>
      <c r="O32" s="282">
        <f>(O30+O31)*(1+Input!$C$91)</f>
        <v>14.95319051009588</v>
      </c>
      <c r="P32" s="282">
        <f>(P30+P31)*(1+Input!$C$91)</f>
        <v>16.11874672597115</v>
      </c>
      <c r="Q32" s="282">
        <f>(Q30+Q31)*(1+Input!$C$91)</f>
        <v>17.473627389199034</v>
      </c>
      <c r="R32" s="282">
        <f>(R30+R31)*(1+Input!$C$91)</f>
        <v>19.051555641175824</v>
      </c>
      <c r="S32" s="282">
        <f>(S30+S31)*(1+Input!$C$91)</f>
        <v>20.892304513359015</v>
      </c>
      <c r="T32" s="282">
        <f>(T30+T31)*(1+Input!$C$91)</f>
        <v>23.04278283781224</v>
      </c>
      <c r="U32" s="282">
        <f>(U30+U31)*(1+Input!$C$91)</f>
        <v>25.558316078107222</v>
      </c>
      <c r="V32" s="282">
        <f>(V30+V31)*(1+Input!$C$91)</f>
        <v>28.504157068779044</v>
      </c>
      <c r="W32" s="282">
        <f>(W30+W31)*(1+Input!$C$91)</f>
        <v>31.957267931912391</v>
      </c>
      <c r="X32" s="282">
        <f>(X30+X31)*(1+Input!$C$91)</f>
        <v>36.00842184714584</v>
      </c>
    </row>
    <row r="33" spans="1:24" ht="14.1" customHeight="1" thickBot="1">
      <c r="B33" s="279" t="s">
        <v>120</v>
      </c>
      <c r="C33" s="280" t="s">
        <v>86</v>
      </c>
      <c r="D33" s="284"/>
      <c r="E33" s="370">
        <f>E29*E32</f>
        <v>10899.54444385217</v>
      </c>
      <c r="F33" s="370">
        <f t="shared" ref="F33:X33" si="11">F29*F32</f>
        <v>11264.438259994302</v>
      </c>
      <c r="G33" s="370">
        <f t="shared" si="11"/>
        <v>11673.98089134291</v>
      </c>
      <c r="H33" s="370">
        <f t="shared" si="11"/>
        <v>12169.162748691135</v>
      </c>
      <c r="I33" s="370">
        <f t="shared" si="11"/>
        <v>12659.363919772593</v>
      </c>
      <c r="J33" s="370">
        <f t="shared" si="11"/>
        <v>13255.093693281431</v>
      </c>
      <c r="K33" s="370">
        <f t="shared" si="11"/>
        <v>13935.793159878918</v>
      </c>
      <c r="L33" s="370">
        <f t="shared" si="11"/>
        <v>14756.745630811387</v>
      </c>
      <c r="M33" s="370">
        <f t="shared" si="11"/>
        <v>15614.640837557026</v>
      </c>
      <c r="N33" s="370">
        <f t="shared" si="11"/>
        <v>16651.246131796343</v>
      </c>
      <c r="O33" s="370">
        <f t="shared" si="11"/>
        <v>17850.784558508676</v>
      </c>
      <c r="P33" s="370">
        <f t="shared" si="11"/>
        <v>19294.91786832067</v>
      </c>
      <c r="Q33" s="370">
        <f t="shared" si="11"/>
        <v>20859.625761448846</v>
      </c>
      <c r="R33" s="370">
        <f t="shared" si="11"/>
        <v>22743.321234719537</v>
      </c>
      <c r="S33" s="370">
        <f t="shared" si="11"/>
        <v>24940.766089145407</v>
      </c>
      <c r="T33" s="370">
        <f t="shared" si="11"/>
        <v>27583.323311158281</v>
      </c>
      <c r="U33" s="370">
        <f t="shared" si="11"/>
        <v>30510.946388366119</v>
      </c>
      <c r="V33" s="370">
        <f t="shared" si="11"/>
        <v>34027.625509962447</v>
      </c>
      <c r="W33" s="370">
        <f t="shared" si="11"/>
        <v>38149.872065493291</v>
      </c>
      <c r="X33" s="370">
        <f t="shared" si="11"/>
        <v>43103.819045004719</v>
      </c>
    </row>
    <row r="34" spans="1:24" ht="14.1" customHeight="1" thickBot="1">
      <c r="B34" s="285"/>
      <c r="C34" s="286"/>
      <c r="D34" s="287"/>
      <c r="E34" s="288"/>
      <c r="F34" s="288"/>
      <c r="G34" s="288"/>
      <c r="H34" s="288"/>
      <c r="I34" s="288"/>
      <c r="J34" s="288"/>
      <c r="K34" s="288"/>
      <c r="L34" s="288"/>
      <c r="M34" s="288"/>
      <c r="N34" s="288"/>
      <c r="O34" s="288"/>
      <c r="P34" s="288"/>
      <c r="Q34" s="288"/>
      <c r="R34" s="288"/>
      <c r="S34" s="288"/>
      <c r="T34" s="288"/>
      <c r="U34" s="288"/>
      <c r="V34" s="288"/>
      <c r="W34" s="288"/>
      <c r="X34" s="288"/>
    </row>
    <row r="35" spans="1:24" ht="14.1" customHeight="1">
      <c r="C35" s="289"/>
      <c r="E35" s="261"/>
      <c r="F35" s="261"/>
      <c r="G35" s="261"/>
      <c r="H35" s="261"/>
      <c r="I35" s="261"/>
      <c r="J35" s="261"/>
      <c r="K35" s="261"/>
      <c r="L35" s="261"/>
      <c r="M35" s="261"/>
      <c r="N35" s="261"/>
      <c r="O35" s="261"/>
      <c r="P35" s="261"/>
      <c r="Q35" s="261"/>
      <c r="R35" s="261"/>
      <c r="S35" s="261"/>
      <c r="T35" s="261"/>
      <c r="U35" s="261"/>
      <c r="V35" s="261"/>
      <c r="W35" s="261"/>
      <c r="X35" s="261"/>
    </row>
    <row r="36" spans="1:24" ht="14.1" customHeight="1">
      <c r="E36" s="415"/>
      <c r="F36" s="415"/>
      <c r="G36" s="415"/>
      <c r="H36" s="415"/>
      <c r="I36" s="415"/>
      <c r="J36" s="415"/>
      <c r="K36" s="415"/>
      <c r="L36" s="415"/>
      <c r="M36" s="415"/>
      <c r="N36" s="415"/>
      <c r="O36" s="415"/>
      <c r="P36" s="415"/>
      <c r="Q36" s="415"/>
      <c r="R36" s="415"/>
      <c r="S36" s="415"/>
      <c r="T36" s="415"/>
      <c r="U36" s="415"/>
      <c r="V36" s="415"/>
      <c r="W36" s="415"/>
      <c r="X36" s="415"/>
    </row>
    <row r="37" spans="1:24" ht="14.1" customHeight="1" thickBot="1"/>
    <row r="38" spans="1:24" ht="14.1" customHeight="1">
      <c r="B38" s="275" t="s">
        <v>46</v>
      </c>
      <c r="C38" s="290"/>
      <c r="D38" s="277"/>
      <c r="E38" s="277"/>
      <c r="F38" s="277"/>
      <c r="G38" s="277"/>
      <c r="H38" s="277"/>
      <c r="I38" s="277"/>
      <c r="J38" s="277"/>
      <c r="K38" s="277"/>
      <c r="L38" s="291"/>
      <c r="M38" s="277"/>
      <c r="N38" s="277"/>
      <c r="O38" s="277"/>
      <c r="P38" s="277"/>
      <c r="Q38" s="277"/>
      <c r="R38" s="277"/>
      <c r="S38" s="277"/>
      <c r="T38" s="277"/>
      <c r="U38" s="277"/>
      <c r="V38" s="277"/>
      <c r="W38" s="277"/>
      <c r="X38" s="277"/>
    </row>
    <row r="39" spans="1:24" ht="14.1" customHeight="1">
      <c r="B39" s="292" t="s">
        <v>47</v>
      </c>
      <c r="C39" s="293" t="s">
        <v>237</v>
      </c>
      <c r="D39" s="294">
        <f>Input!D35</f>
        <v>18270</v>
      </c>
      <c r="F39" s="295"/>
      <c r="G39" s="295"/>
      <c r="H39" s="295"/>
      <c r="I39" s="295"/>
      <c r="J39" s="295"/>
      <c r="K39" s="295"/>
      <c r="L39" s="295"/>
      <c r="M39" s="295"/>
      <c r="N39" s="295"/>
      <c r="O39" s="296"/>
      <c r="P39" s="296"/>
      <c r="Q39" s="295"/>
      <c r="R39" s="296"/>
      <c r="S39" s="296"/>
      <c r="T39" s="296"/>
      <c r="U39" s="296"/>
      <c r="V39" s="296"/>
      <c r="W39" s="296"/>
      <c r="X39" s="296"/>
    </row>
    <row r="40" spans="1:24" ht="14.1" customHeight="1">
      <c r="A40" s="289"/>
      <c r="B40" s="279" t="s">
        <v>107</v>
      </c>
      <c r="C40" s="280" t="s">
        <v>237</v>
      </c>
      <c r="D40" s="250"/>
      <c r="E40" s="282">
        <f>D39</f>
        <v>18270</v>
      </c>
      <c r="F40" s="282">
        <f>E48</f>
        <v>17475.65217391304</v>
      </c>
      <c r="G40" s="282">
        <f t="shared" ref="G40:X40" si="12">F48</f>
        <v>15886.956521739125</v>
      </c>
      <c r="H40" s="282">
        <f t="shared" si="12"/>
        <v>14298.260869565212</v>
      </c>
      <c r="I40" s="282">
        <f t="shared" si="12"/>
        <v>12709.5652173913</v>
      </c>
      <c r="J40" s="282">
        <f t="shared" si="12"/>
        <v>11120.869565217388</v>
      </c>
      <c r="K40" s="282">
        <f t="shared" si="12"/>
        <v>9532.1739130434762</v>
      </c>
      <c r="L40" s="282">
        <f t="shared" si="12"/>
        <v>7943.4782608695641</v>
      </c>
      <c r="M40" s="282">
        <f t="shared" si="12"/>
        <v>6354.782608695652</v>
      </c>
      <c r="N40" s="282">
        <f t="shared" si="12"/>
        <v>4766.0869565217399</v>
      </c>
      <c r="O40" s="282">
        <f t="shared" si="12"/>
        <v>3177.3913043478278</v>
      </c>
      <c r="P40" s="282">
        <f t="shared" si="12"/>
        <v>1588.6956521739153</v>
      </c>
      <c r="Q40" s="282">
        <f>P48</f>
        <v>0</v>
      </c>
      <c r="R40" s="282">
        <f t="shared" si="12"/>
        <v>0</v>
      </c>
      <c r="S40" s="282">
        <f t="shared" si="12"/>
        <v>0</v>
      </c>
      <c r="T40" s="282">
        <f t="shared" si="12"/>
        <v>0</v>
      </c>
      <c r="U40" s="282">
        <f t="shared" si="12"/>
        <v>0</v>
      </c>
      <c r="V40" s="282">
        <f t="shared" si="12"/>
        <v>0</v>
      </c>
      <c r="W40" s="282">
        <f t="shared" si="12"/>
        <v>0</v>
      </c>
      <c r="X40" s="282">
        <f t="shared" si="12"/>
        <v>0</v>
      </c>
    </row>
    <row r="41" spans="1:24" ht="14.1" customHeight="1">
      <c r="A41" s="297">
        <f>EOMONTH(A43,-3)</f>
        <v>41090</v>
      </c>
      <c r="B41" s="279" t="s">
        <v>105</v>
      </c>
      <c r="C41" s="280" t="s">
        <v>237</v>
      </c>
      <c r="D41" s="250"/>
      <c r="E41" s="282">
        <f>MIN(IF(EDATE(Input!$D$27,Input!$D$38)&lt;EDATE(Tariff!E4,-9),Tariff!$D$39/((Input!$D$36*4-Input!$D$38/3)),0),Tariff!E40)</f>
        <v>0</v>
      </c>
      <c r="F41" s="282">
        <f>MIN(IF(EDATE(Input!$D$27,Input!$D$38)&lt;EDATE(Tariff!F4,-9),Tariff!$D$39/((Input!$D$36*4-Input!$D$38/3)),0),Tariff!F40)</f>
        <v>397.17391304347825</v>
      </c>
      <c r="G41" s="282">
        <f>MIN(IF(EDATE(Input!$D$27,Input!$D$38)&lt;EDATE(Tariff!G4,-9),Tariff!$D$39/((Input!$D$36*4-Input!$D$38/3)),0),Tariff!G40)</f>
        <v>397.17391304347825</v>
      </c>
      <c r="H41" s="282">
        <f>MIN(IF(EDATE(Input!$D$27,Input!$D$38)&lt;EDATE(Tariff!H4,-9),Tariff!$D$39/((Input!$D$36*4-Input!$D$38/3)),0),Tariff!H40)</f>
        <v>397.17391304347825</v>
      </c>
      <c r="I41" s="282">
        <f>MIN(IF(EDATE(Input!$D$27,Input!$D$38)&lt;EDATE(Tariff!I4,-9),Tariff!$D$39/((Input!$D$36*4-Input!$D$38/3)),0),Tariff!I40)</f>
        <v>397.17391304347825</v>
      </c>
      <c r="J41" s="282">
        <f>MIN(IF(EDATE(Input!$D$27,Input!$D$38)&lt;EDATE(Tariff!J4,-9),Tariff!$D$39/((Input!$D$36*4-Input!$D$38/3)),0),Tariff!J40)</f>
        <v>397.17391304347825</v>
      </c>
      <c r="K41" s="282">
        <f>MIN(IF(EDATE(Input!$D$27,Input!$D$38)&lt;EDATE(Tariff!K4,-9),Tariff!$D$39/((Input!$D$36*4-Input!$D$38/3)),0),Tariff!K40)</f>
        <v>397.17391304347825</v>
      </c>
      <c r="L41" s="282">
        <f>MIN(IF(EDATE(Input!$D$27,Input!$D$38)&lt;EDATE(Tariff!L4,-9),Tariff!$D$39/((Input!$D$36*4-Input!$D$38/3)),0),Tariff!L40)</f>
        <v>397.17391304347825</v>
      </c>
      <c r="M41" s="282">
        <f>MIN(IF(EDATE(Input!$D$27,Input!$D$38)&lt;EDATE(Tariff!M4,-9),Tariff!$D$39/((Input!$D$36*4-Input!$D$38/3)),0),Tariff!M40)</f>
        <v>397.17391304347825</v>
      </c>
      <c r="N41" s="282">
        <f>MIN(IF(EDATE(Input!$D$27,Input!$D$38)&lt;EDATE(Tariff!N4,-9),Tariff!$D$39/((Input!$D$36*4-Input!$D$38/3)),0),Tariff!N40)</f>
        <v>397.17391304347825</v>
      </c>
      <c r="O41" s="282">
        <f>MIN(IF(EDATE(Input!$D$27,Input!$D$38)&lt;EDATE(Tariff!O4,-9),Tariff!$D$39/((Input!$D$36*4-Input!$D$38/3)),0),Tariff!O40)</f>
        <v>397.17391304347825</v>
      </c>
      <c r="P41" s="282">
        <f>MIN(IF(EDATE(Input!$D$27,Input!$D$38)&lt;EDATE(Tariff!P4,-9),Tariff!$D$39/((Input!$D$36*4-Input!$D$38/3)),0),Tariff!P40)</f>
        <v>397.17391304347825</v>
      </c>
      <c r="Q41" s="282">
        <f>MIN(IF(EDATE(Input!$D$27,Input!$D$38)&lt;EDATE(Tariff!Q4,-9),Tariff!$D$39/((Input!$D$36*4-Input!$D$38/3)),0),Tariff!Q40)</f>
        <v>0</v>
      </c>
      <c r="R41" s="282">
        <f>MIN(IF(EDATE(Input!$D$27,Input!$D$38)&lt;EDATE(Tariff!R4,-9),Tariff!$D$39/((Input!$D$36*4-Input!$D$38/3)),0),Tariff!R40)</f>
        <v>0</v>
      </c>
      <c r="S41" s="282">
        <f>MIN(IF(EDATE(Input!$D$27,Input!$D$38)&lt;EDATE(Tariff!S4,-9),Tariff!$D$39/((Input!$D$36*4-Input!$D$38/3)),0),Tariff!S40)</f>
        <v>0</v>
      </c>
      <c r="T41" s="282">
        <f>MIN(IF(EDATE(Input!$D$27,Input!$D$38)&lt;EDATE(Tariff!T4,-9),Tariff!$D$39/((Input!$D$36*4-Input!$D$38/3)),0),Tariff!T40)</f>
        <v>0</v>
      </c>
      <c r="U41" s="282">
        <f>MIN(IF(EDATE(Input!$D$27,Input!$D$38)&lt;EDATE(Tariff!U4,-9),Tariff!$D$39/((Input!$D$36*4-Input!$D$38/3)),0),Tariff!U40)</f>
        <v>0</v>
      </c>
      <c r="V41" s="282">
        <f>MIN(IF(EDATE(Input!$D$27,Input!$D$38)&lt;EDATE(Tariff!V4,-9),Tariff!$D$39/((Input!$D$36-Input!$D$38)*4),0),Tariff!V40)</f>
        <v>0</v>
      </c>
      <c r="W41" s="282">
        <f>MIN(IF(EDATE(Input!$D$27,Input!$D$38)&lt;EDATE(Tariff!W4,-9),Tariff!$D$39/((Input!$D$36-Input!$D$38)*4),0),Tariff!W40)</f>
        <v>0</v>
      </c>
      <c r="X41" s="282">
        <f>MIN(IF(EDATE(Input!$D$27,Input!$D$38)&lt;EDATE(Tariff!X4,-9),Tariff!$D$39/((Input!$D$36-Input!$D$38)*4),0),Tariff!X40)</f>
        <v>0</v>
      </c>
    </row>
    <row r="42" spans="1:24" ht="14.1" customHeight="1">
      <c r="A42" s="298"/>
      <c r="B42" s="279" t="s">
        <v>106</v>
      </c>
      <c r="C42" s="280" t="s">
        <v>237</v>
      </c>
      <c r="D42" s="250"/>
      <c r="E42" s="282">
        <f>E40-E41</f>
        <v>18270</v>
      </c>
      <c r="F42" s="282">
        <f t="shared" ref="F42:X42" si="13">F40-F41</f>
        <v>17078.47826086956</v>
      </c>
      <c r="G42" s="282">
        <f t="shared" si="13"/>
        <v>15489.782608695647</v>
      </c>
      <c r="H42" s="282">
        <f t="shared" si="13"/>
        <v>13901.086956521734</v>
      </c>
      <c r="I42" s="282">
        <f t="shared" si="13"/>
        <v>12312.391304347822</v>
      </c>
      <c r="J42" s="282">
        <f t="shared" si="13"/>
        <v>10723.69565217391</v>
      </c>
      <c r="K42" s="282">
        <f t="shared" si="13"/>
        <v>9134.9999999999982</v>
      </c>
      <c r="L42" s="282">
        <f t="shared" si="13"/>
        <v>7546.3043478260861</v>
      </c>
      <c r="M42" s="282">
        <f t="shared" si="13"/>
        <v>5957.608695652174</v>
      </c>
      <c r="N42" s="282">
        <f t="shared" si="13"/>
        <v>4368.9130434782619</v>
      </c>
      <c r="O42" s="282">
        <f t="shared" si="13"/>
        <v>2780.2173913043498</v>
      </c>
      <c r="P42" s="282">
        <f t="shared" si="13"/>
        <v>1191.521739130437</v>
      </c>
      <c r="Q42" s="282">
        <f t="shared" si="13"/>
        <v>0</v>
      </c>
      <c r="R42" s="282">
        <f t="shared" si="13"/>
        <v>0</v>
      </c>
      <c r="S42" s="282">
        <f t="shared" si="13"/>
        <v>0</v>
      </c>
      <c r="T42" s="282">
        <f t="shared" si="13"/>
        <v>0</v>
      </c>
      <c r="U42" s="282">
        <f t="shared" si="13"/>
        <v>0</v>
      </c>
      <c r="V42" s="282">
        <f t="shared" si="13"/>
        <v>0</v>
      </c>
      <c r="W42" s="282">
        <f t="shared" si="13"/>
        <v>0</v>
      </c>
      <c r="X42" s="282">
        <f t="shared" si="13"/>
        <v>0</v>
      </c>
    </row>
    <row r="43" spans="1:24" ht="14.1" customHeight="1">
      <c r="A43" s="297">
        <f>EOMONTH(A45,-3)</f>
        <v>41182</v>
      </c>
      <c r="B43" s="279" t="s">
        <v>108</v>
      </c>
      <c r="C43" s="280" t="s">
        <v>237</v>
      </c>
      <c r="D43" s="250"/>
      <c r="E43" s="282">
        <f>MIN(IF(EDATE(Input!$D$27,Input!$D$38)&lt;EDATE(Tariff!E4,-6),Tariff!$D$39/((Input!$D$36*4-Input!$D$38/3)),0),Tariff!E42)</f>
        <v>0</v>
      </c>
      <c r="F43" s="282">
        <f>MIN(IF(EDATE(Input!$D$27,Input!$D$38)&lt;EDATE(Tariff!F4,-6),Tariff!$D$39/((Input!$D$36*4-Input!$D$38/3)),0),Tariff!F42)</f>
        <v>397.17391304347825</v>
      </c>
      <c r="G43" s="282">
        <f>MIN(IF(EDATE(Input!$D$27,Input!$D$38)&lt;EDATE(Tariff!G4,-6),Tariff!$D$39/((Input!$D$36*4-Input!$D$38/3)),0),Tariff!G42)</f>
        <v>397.17391304347825</v>
      </c>
      <c r="H43" s="282">
        <f>MIN(IF(EDATE(Input!$D$27,Input!$D$38)&lt;EDATE(Tariff!H4,-6),Tariff!$D$39/((Input!$D$36*4-Input!$D$38/3)),0),Tariff!H42)</f>
        <v>397.17391304347825</v>
      </c>
      <c r="I43" s="282">
        <f>MIN(IF(EDATE(Input!$D$27,Input!$D$38)&lt;EDATE(Tariff!I4,-6),Tariff!$D$39/((Input!$D$36*4-Input!$D$38/3)),0),Tariff!I42)</f>
        <v>397.17391304347825</v>
      </c>
      <c r="J43" s="282">
        <f>MIN(IF(EDATE(Input!$D$27,Input!$D$38)&lt;EDATE(Tariff!J4,-6),Tariff!$D$39/((Input!$D$36*4-Input!$D$38/3)),0),Tariff!J42)</f>
        <v>397.17391304347825</v>
      </c>
      <c r="K43" s="282">
        <f>MIN(IF(EDATE(Input!$D$27,Input!$D$38)&lt;EDATE(Tariff!K4,-6),Tariff!$D$39/((Input!$D$36*4-Input!$D$38/3)),0),Tariff!K42)</f>
        <v>397.17391304347825</v>
      </c>
      <c r="L43" s="282">
        <f>MIN(IF(EDATE(Input!$D$27,Input!$D$38)&lt;EDATE(Tariff!L4,-6),Tariff!$D$39/((Input!$D$36*4-Input!$D$38/3)),0),Tariff!L42)</f>
        <v>397.17391304347825</v>
      </c>
      <c r="M43" s="282">
        <f>MIN(IF(EDATE(Input!$D$27,Input!$D$38)&lt;EDATE(Tariff!M4,-6),Tariff!$D$39/((Input!$D$36*4-Input!$D$38/3)),0),Tariff!M42)</f>
        <v>397.17391304347825</v>
      </c>
      <c r="N43" s="282">
        <f>MIN(IF(EDATE(Input!$D$27,Input!$D$38)&lt;EDATE(Tariff!N4,-6),Tariff!$D$39/((Input!$D$36*4-Input!$D$38/3)),0),Tariff!N42)</f>
        <v>397.17391304347825</v>
      </c>
      <c r="O43" s="282">
        <f>MIN(IF(EDATE(Input!$D$27,Input!$D$38)&lt;EDATE(Tariff!O4,-6),Tariff!$D$39/((Input!$D$36*4-Input!$D$38/3)),0),Tariff!O42)</f>
        <v>397.17391304347825</v>
      </c>
      <c r="P43" s="282">
        <f>MIN(IF(EDATE(Input!$D$27,Input!$D$38)&lt;EDATE(Tariff!P4,-6),Tariff!$D$39/((Input!$D$36*4-Input!$D$38/3)),0),Tariff!P42)</f>
        <v>397.17391304347825</v>
      </c>
      <c r="Q43" s="282">
        <f>MIN(IF(EDATE(Input!$D$27,Input!$D$38)&lt;EDATE(Tariff!Q4,-6),Tariff!$D$39/((Input!$D$36*4-Input!$D$38/3)),0),Tariff!Q42)</f>
        <v>0</v>
      </c>
      <c r="R43" s="282">
        <f>MIN(IF(EDATE(Input!$D$27,Input!$D$38)&lt;EDATE(Tariff!R4,-6),Tariff!$D$39/((Input!$D$36-Input!$D$38)*4),0),Tariff!R42)</f>
        <v>0</v>
      </c>
      <c r="S43" s="282">
        <f>MIN(IF(EDATE(Input!$D$27,Input!$D$38)&lt;EDATE(Tariff!S4,-6),Tariff!$D$39/((Input!$D$36-Input!$D$38)*4),0),Tariff!S42)</f>
        <v>0</v>
      </c>
      <c r="T43" s="282">
        <f>MIN(IF(EDATE(Input!$D$27,Input!$D$38)&lt;EDATE(Tariff!T4,-6),Tariff!$D$39/((Input!$D$36-Input!$D$38)*4),0),Tariff!T42)</f>
        <v>0</v>
      </c>
      <c r="U43" s="282">
        <f>MIN(IF(EDATE(Input!$D$27,Input!$D$38)&lt;EDATE(Tariff!U4,-6),Tariff!$D$39/((Input!$D$36-Input!$D$38)*4),0),Tariff!U42)</f>
        <v>0</v>
      </c>
      <c r="V43" s="282">
        <f>MIN(IF(EDATE(Input!$D$27,Input!$D$38)&lt;EDATE(Tariff!V4,-6),Tariff!$D$39/((Input!$D$36-Input!$D$38)*4),0),Tariff!V42)</f>
        <v>0</v>
      </c>
      <c r="W43" s="282">
        <f>MIN(IF(EDATE(Input!$D$27,Input!$D$38)&lt;EDATE(Tariff!W4,-6),Tariff!$D$39/((Input!$D$36-Input!$D$38)*4),0),Tariff!W42)</f>
        <v>0</v>
      </c>
      <c r="X43" s="282">
        <f>MIN(IF(EDATE(Input!$D$27,Input!$D$38)&lt;EDATE(Tariff!X4,-6),Tariff!$D$39/((Input!$D$36-Input!$D$38)*4),0),Tariff!X42)</f>
        <v>0</v>
      </c>
    </row>
    <row r="44" spans="1:24" ht="14.1" customHeight="1">
      <c r="A44" s="298"/>
      <c r="B44" s="279" t="s">
        <v>109</v>
      </c>
      <c r="C44" s="280" t="s">
        <v>237</v>
      </c>
      <c r="D44" s="250"/>
      <c r="E44" s="282">
        <f>E42-E43</f>
        <v>18270</v>
      </c>
      <c r="F44" s="282">
        <f t="shared" ref="F44:X44" si="14">F42-F43</f>
        <v>16681.304347826081</v>
      </c>
      <c r="G44" s="282">
        <f t="shared" si="14"/>
        <v>15092.608695652169</v>
      </c>
      <c r="H44" s="282">
        <f t="shared" si="14"/>
        <v>13503.913043478256</v>
      </c>
      <c r="I44" s="282">
        <f t="shared" si="14"/>
        <v>11915.217391304344</v>
      </c>
      <c r="J44" s="282">
        <f t="shared" si="14"/>
        <v>10326.521739130432</v>
      </c>
      <c r="K44" s="282">
        <f t="shared" si="14"/>
        <v>8737.8260869565202</v>
      </c>
      <c r="L44" s="282">
        <f t="shared" si="14"/>
        <v>7149.1304347826081</v>
      </c>
      <c r="M44" s="282">
        <f t="shared" si="14"/>
        <v>5560.434782608696</v>
      </c>
      <c r="N44" s="282">
        <f t="shared" si="14"/>
        <v>3971.7391304347839</v>
      </c>
      <c r="O44" s="282">
        <f t="shared" si="14"/>
        <v>2383.0434782608718</v>
      </c>
      <c r="P44" s="282">
        <f t="shared" si="14"/>
        <v>794.34782608695878</v>
      </c>
      <c r="Q44" s="282">
        <f t="shared" si="14"/>
        <v>0</v>
      </c>
      <c r="R44" s="282">
        <f t="shared" si="14"/>
        <v>0</v>
      </c>
      <c r="S44" s="282">
        <f t="shared" si="14"/>
        <v>0</v>
      </c>
      <c r="T44" s="282">
        <f t="shared" si="14"/>
        <v>0</v>
      </c>
      <c r="U44" s="282">
        <f t="shared" si="14"/>
        <v>0</v>
      </c>
      <c r="V44" s="282">
        <f t="shared" si="14"/>
        <v>0</v>
      </c>
      <c r="W44" s="282">
        <f t="shared" si="14"/>
        <v>0</v>
      </c>
      <c r="X44" s="282">
        <f t="shared" si="14"/>
        <v>0</v>
      </c>
    </row>
    <row r="45" spans="1:24" ht="14.1" customHeight="1">
      <c r="A45" s="297">
        <f>EOMONTH(E4,-3)</f>
        <v>41274</v>
      </c>
      <c r="B45" s="279" t="s">
        <v>110</v>
      </c>
      <c r="C45" s="280" t="s">
        <v>237</v>
      </c>
      <c r="D45" s="250"/>
      <c r="E45" s="282">
        <f>MIN(IF(EDATE(Input!$D$27,Input!$D$38)&lt;EDATE(Tariff!E4,-3),Tariff!$D$39/((Input!$D$36*4-Input!$D$38/3)),0),Tariff!E44)</f>
        <v>397.17391304347825</v>
      </c>
      <c r="F45" s="282">
        <f>MIN(IF(EDATE(Input!$D$27,Input!$D$38)&lt;EDATE(Tariff!F4,-3),Tariff!$D$39/((Input!$D$36*4-Input!$D$38/3)),0),Tariff!F44)</f>
        <v>397.17391304347825</v>
      </c>
      <c r="G45" s="282">
        <f>MIN(IF(EDATE(Input!$D$27,Input!$D$38)&lt;EDATE(Tariff!G4,-3),Tariff!$D$39/((Input!$D$36*4-Input!$D$38/3)),0),Tariff!G44)</f>
        <v>397.17391304347825</v>
      </c>
      <c r="H45" s="282">
        <f>MIN(IF(EDATE(Input!$D$27,Input!$D$38)&lt;EDATE(Tariff!H4,-3),Tariff!$D$39/((Input!$D$36*4-Input!$D$38/3)),0),Tariff!H44)</f>
        <v>397.17391304347825</v>
      </c>
      <c r="I45" s="282">
        <f>MIN(IF(EDATE(Input!$D$27,Input!$D$38)&lt;EDATE(Tariff!I4,-3),Tariff!$D$39/((Input!$D$36*4-Input!$D$38/3)),0),Tariff!I44)</f>
        <v>397.17391304347825</v>
      </c>
      <c r="J45" s="282">
        <f>MIN(IF(EDATE(Input!$D$27,Input!$D$38)&lt;EDATE(Tariff!J4,-3),Tariff!$D$39/((Input!$D$36*4-Input!$D$38/3)),0),Tariff!J44)</f>
        <v>397.17391304347825</v>
      </c>
      <c r="K45" s="282">
        <f>MIN(IF(EDATE(Input!$D$27,Input!$D$38)&lt;EDATE(Tariff!K4,-3),Tariff!$D$39/((Input!$D$36*4-Input!$D$38/3)),0),Tariff!K44)</f>
        <v>397.17391304347825</v>
      </c>
      <c r="L45" s="282">
        <f>MIN(IF(EDATE(Input!$D$27,Input!$D$38)&lt;EDATE(Tariff!L4,-3),Tariff!$D$39/((Input!$D$36*4-Input!$D$38/3)),0),Tariff!L44)</f>
        <v>397.17391304347825</v>
      </c>
      <c r="M45" s="282">
        <f>MIN(IF(EDATE(Input!$D$27,Input!$D$38)&lt;EDATE(Tariff!M4,-3),Tariff!$D$39/((Input!$D$36*4-Input!$D$38/3)),0),Tariff!M44)</f>
        <v>397.17391304347825</v>
      </c>
      <c r="N45" s="282">
        <f>MIN(IF(EDATE(Input!$D$27,Input!$D$38)&lt;EDATE(Tariff!N4,-3),Tariff!$D$39/((Input!$D$36*4-Input!$D$38/3)),0),Tariff!N44)</f>
        <v>397.17391304347825</v>
      </c>
      <c r="O45" s="282">
        <f>MIN(IF(EDATE(Input!$D$27,Input!$D$38)&lt;EDATE(Tariff!O4,-3),Tariff!$D$39/((Input!$D$36*4-Input!$D$38/3)),0),Tariff!O44)</f>
        <v>397.17391304347825</v>
      </c>
      <c r="P45" s="282">
        <f>MIN(IF(EDATE(Input!$D$27,Input!$D$38)&lt;EDATE(Tariff!P4,-3),Tariff!$D$39/((Input!$D$36*4-Input!$D$38/3)),0),Tariff!P44)</f>
        <v>397.17391304347825</v>
      </c>
      <c r="Q45" s="282">
        <f>MIN(IF(EDATE(Input!$D$27,Input!$D$38)&lt;EDATE(Tariff!Q4,-3),Tariff!$D$39/((Input!$D$36-Input!$D$38)*4),0),Tariff!Q44)</f>
        <v>0</v>
      </c>
      <c r="R45" s="282">
        <f>MIN(IF(EDATE(Input!$D$27,Input!$D$38)&lt;EDATE(Tariff!R4,-3),Tariff!$D$39/((Input!$D$36-Input!$D$38)*4),0),Tariff!R44)</f>
        <v>0</v>
      </c>
      <c r="S45" s="282">
        <f>MIN(IF(EDATE(Input!$D$27,Input!$D$38)&lt;EDATE(Tariff!S4,-3),Tariff!$D$39/((Input!$D$36-Input!$D$38)*4),0),Tariff!S44)</f>
        <v>0</v>
      </c>
      <c r="T45" s="282">
        <f>MIN(IF(EDATE(Input!$D$27,Input!$D$38)&lt;EDATE(Tariff!T4,-3),Tariff!$D$39/((Input!$D$36-Input!$D$38)*4),0),Tariff!T44)</f>
        <v>0</v>
      </c>
      <c r="U45" s="282">
        <f>MIN(IF(EDATE(Input!$D$27,Input!$D$38)&lt;EDATE(Tariff!U4,-3),Tariff!$D$39/((Input!$D$36-Input!$D$38)*4),0),Tariff!U44)</f>
        <v>0</v>
      </c>
      <c r="V45" s="282">
        <f>MIN(IF(EDATE(Input!$D$27,Input!$D$38)&lt;EDATE(Tariff!V4,-3),Tariff!$D$39/((Input!$D$36-Input!$D$38)*4),0),Tariff!V44)</f>
        <v>0</v>
      </c>
      <c r="W45" s="282">
        <f>MIN(IF(EDATE(Input!$D$27,Input!$D$38)&lt;EDATE(Tariff!W4,-3),Tariff!$D$39/((Input!$D$36-Input!$D$38)*4),0),Tariff!W44)</f>
        <v>0</v>
      </c>
      <c r="X45" s="282">
        <f>MIN(IF(EDATE(Input!$D$27,Input!$D$38)&lt;EDATE(Tariff!X4,-3),Tariff!$D$39/((Input!$D$36-Input!$D$38)*4),0),Tariff!X44)</f>
        <v>0</v>
      </c>
    </row>
    <row r="46" spans="1:24" ht="14.1" customHeight="1">
      <c r="A46" s="289"/>
      <c r="B46" s="279" t="s">
        <v>111</v>
      </c>
      <c r="C46" s="280" t="s">
        <v>237</v>
      </c>
      <c r="D46" s="250"/>
      <c r="E46" s="282">
        <f t="shared" ref="E46:X46" si="15">E44-E45</f>
        <v>17872.82608695652</v>
      </c>
      <c r="F46" s="282">
        <f t="shared" si="15"/>
        <v>16284.130434782603</v>
      </c>
      <c r="G46" s="282">
        <f t="shared" si="15"/>
        <v>14695.434782608691</v>
      </c>
      <c r="H46" s="282">
        <f t="shared" si="15"/>
        <v>13106.739130434778</v>
      </c>
      <c r="I46" s="282">
        <f t="shared" si="15"/>
        <v>11518.043478260866</v>
      </c>
      <c r="J46" s="282">
        <f t="shared" si="15"/>
        <v>9929.3478260869542</v>
      </c>
      <c r="K46" s="282">
        <f t="shared" si="15"/>
        <v>8340.6521739130421</v>
      </c>
      <c r="L46" s="282">
        <f t="shared" si="15"/>
        <v>6751.95652173913</v>
      </c>
      <c r="M46" s="282">
        <f t="shared" si="15"/>
        <v>5163.2608695652179</v>
      </c>
      <c r="N46" s="282">
        <f t="shared" si="15"/>
        <v>3574.5652173913059</v>
      </c>
      <c r="O46" s="282">
        <f t="shared" si="15"/>
        <v>1985.8695652173935</v>
      </c>
      <c r="P46" s="282">
        <f t="shared" si="15"/>
        <v>397.17391304348052</v>
      </c>
      <c r="Q46" s="282">
        <f t="shared" si="15"/>
        <v>0</v>
      </c>
      <c r="R46" s="282">
        <f t="shared" si="15"/>
        <v>0</v>
      </c>
      <c r="S46" s="282">
        <f t="shared" si="15"/>
        <v>0</v>
      </c>
      <c r="T46" s="282">
        <f t="shared" si="15"/>
        <v>0</v>
      </c>
      <c r="U46" s="282">
        <f t="shared" si="15"/>
        <v>0</v>
      </c>
      <c r="V46" s="282">
        <f t="shared" si="15"/>
        <v>0</v>
      </c>
      <c r="W46" s="282">
        <f t="shared" si="15"/>
        <v>0</v>
      </c>
      <c r="X46" s="282">
        <f t="shared" si="15"/>
        <v>0</v>
      </c>
    </row>
    <row r="47" spans="1:24" ht="14.1" customHeight="1">
      <c r="A47" s="289"/>
      <c r="B47" s="279" t="s">
        <v>112</v>
      </c>
      <c r="C47" s="280" t="s">
        <v>237</v>
      </c>
      <c r="D47" s="250"/>
      <c r="E47" s="282">
        <f>MIN(IF(EDATE(Input!$D$27,Input!$D$38)&lt;EDATE(Tariff!E4,0),Tariff!$D$39/((Input!$D$36*4-Input!$D$38/3)),0),Tariff!E46)</f>
        <v>397.17391304347825</v>
      </c>
      <c r="F47" s="282">
        <f>MIN(IF(EDATE(Input!$D$27,Input!$D$38)&lt;EDATE(Tariff!F4,0),Tariff!$D$39/((Input!$D$36*4-Input!$D$38/3)),0),Tariff!F46)</f>
        <v>397.17391304347825</v>
      </c>
      <c r="G47" s="282">
        <f>MIN(IF(EDATE(Input!$D$27,Input!$D$38)&lt;EDATE(Tariff!G4,0),Tariff!$D$39/((Input!$D$36*4-Input!$D$38/3)),0),Tariff!G46)</f>
        <v>397.17391304347825</v>
      </c>
      <c r="H47" s="282">
        <f>MIN(IF(EDATE(Input!$D$27,Input!$D$38)&lt;EDATE(Tariff!H4,0),Tariff!$D$39/((Input!$D$36*4-Input!$D$38/3)),0),Tariff!H46)</f>
        <v>397.17391304347825</v>
      </c>
      <c r="I47" s="282">
        <f>MIN(IF(EDATE(Input!$D$27,Input!$D$38)&lt;EDATE(Tariff!I4,0),Tariff!$D$39/((Input!$D$36*4-Input!$D$38/3)),0),Tariff!I46)</f>
        <v>397.17391304347825</v>
      </c>
      <c r="J47" s="282">
        <f>MIN(IF(EDATE(Input!$D$27,Input!$D$38)&lt;EDATE(Tariff!J4,0),Tariff!$D$39/((Input!$D$36*4-Input!$D$38/3)),0),Tariff!J46)</f>
        <v>397.17391304347825</v>
      </c>
      <c r="K47" s="282">
        <f>MIN(IF(EDATE(Input!$D$27,Input!$D$38)&lt;EDATE(Tariff!K4,0),Tariff!$D$39/((Input!$D$36*4-Input!$D$38/3)),0),Tariff!K46)</f>
        <v>397.17391304347825</v>
      </c>
      <c r="L47" s="282">
        <f>MIN(IF(EDATE(Input!$D$27,Input!$D$38)&lt;EDATE(Tariff!L4,0),Tariff!$D$39/((Input!$D$36*4-Input!$D$38/3)),0),Tariff!L46)</f>
        <v>397.17391304347825</v>
      </c>
      <c r="M47" s="282">
        <f>MIN(IF(EDATE(Input!$D$27,Input!$D$38)&lt;EDATE(Tariff!M4,0),Tariff!$D$39/((Input!$D$36*4-Input!$D$38/3)),0),Tariff!M46)</f>
        <v>397.17391304347825</v>
      </c>
      <c r="N47" s="282">
        <f>MIN(IF(EDATE(Input!$D$27,Input!$D$38)&lt;EDATE(Tariff!N4,0),Tariff!$D$39/((Input!$D$36*4-Input!$D$38/3)),0),Tariff!N46)</f>
        <v>397.17391304347825</v>
      </c>
      <c r="O47" s="282">
        <f>MIN(IF(EDATE(Input!$D$27,Input!$D$38)&lt;EDATE(Tariff!O4,0),Tariff!$D$39/((Input!$D$36*4-Input!$D$38/3)),0),Tariff!O46)</f>
        <v>397.17391304347825</v>
      </c>
      <c r="P47" s="282">
        <f>MIN(IF(EDATE(Input!$D$27,Input!$D$38)&lt;EDATE(Tariff!P4,0),Tariff!$D$39/((Input!$D$36*4-Input!$D$38/3)),0),Tariff!P46)</f>
        <v>397.17391304347825</v>
      </c>
      <c r="Q47" s="282">
        <f>MIN(IF(EDATE(Input!$D$27,Input!$D$38)&lt;EDATE(Tariff!Q4,0),Tariff!$D$39/((Input!$D$36-Input!$D$38)*4),0),Tariff!Q46)</f>
        <v>0</v>
      </c>
      <c r="R47" s="282">
        <f>MIN(IF(EDATE(Input!$D$27,Input!$D$38)&lt;EDATE(Tariff!R4,0),Tariff!$D$39/((Input!$D$36-Input!$D$38)*4),0),Tariff!R46)</f>
        <v>0</v>
      </c>
      <c r="S47" s="282">
        <f>MIN(IF(EDATE(Input!$D$27,Input!$D$38)&lt;EDATE(Tariff!S4,0),Tariff!$D$39/((Input!$D$36-Input!$D$38)*4),0),Tariff!S46)</f>
        <v>0</v>
      </c>
      <c r="T47" s="282">
        <f>MIN(IF(EDATE(Input!$D$27,Input!$D$38)&lt;EDATE(Tariff!T4,0),Tariff!$D$39/((Input!$D$36-Input!$D$38)*4),0),Tariff!T46)</f>
        <v>0</v>
      </c>
      <c r="U47" s="282">
        <f>MIN(IF(EDATE(Input!$D$27,Input!$D$38)&lt;EDATE(Tariff!U4,0),Tariff!$D$39/((Input!$D$36-Input!$D$38)*4),0),Tariff!U46)</f>
        <v>0</v>
      </c>
      <c r="V47" s="282">
        <f>MIN(IF(EDATE(Input!$D$27,Input!$D$38)&lt;EDATE(Tariff!V4,0),Tariff!$D$39/((Input!$D$36-Input!$D$38)*4),0),Tariff!V46)</f>
        <v>0</v>
      </c>
      <c r="W47" s="282">
        <f>MIN(IF(EDATE(Input!$D$27,Input!$D$38)&lt;EDATE(Tariff!W4,0),Tariff!$D$39/((Input!$D$36-Input!$D$38)*4),0),Tariff!W46)</f>
        <v>0</v>
      </c>
      <c r="X47" s="282">
        <f>MIN(IF(EDATE(Input!$D$27,Input!$D$38)&lt;EDATE(Tariff!X4,0),Tariff!$D$39/((Input!$D$36-Input!$D$38)*4),0),Tariff!X46)</f>
        <v>0</v>
      </c>
    </row>
    <row r="48" spans="1:24" ht="14.1" customHeight="1">
      <c r="A48" s="289"/>
      <c r="B48" s="279" t="s">
        <v>48</v>
      </c>
      <c r="C48" s="280" t="s">
        <v>237</v>
      </c>
      <c r="D48" s="250"/>
      <c r="E48" s="282">
        <f>IF(E46-E47&lt;1,0,E46-E47)</f>
        <v>17475.65217391304</v>
      </c>
      <c r="F48" s="282">
        <f t="shared" ref="F48:X48" si="16">IF(F46-F47&lt;1,0,F46-F47)</f>
        <v>15886.956521739125</v>
      </c>
      <c r="G48" s="282">
        <f t="shared" si="16"/>
        <v>14298.260869565212</v>
      </c>
      <c r="H48" s="282">
        <f t="shared" si="16"/>
        <v>12709.5652173913</v>
      </c>
      <c r="I48" s="282">
        <f t="shared" si="16"/>
        <v>11120.869565217388</v>
      </c>
      <c r="J48" s="282">
        <f t="shared" si="16"/>
        <v>9532.1739130434762</v>
      </c>
      <c r="K48" s="282">
        <f t="shared" si="16"/>
        <v>7943.4782608695641</v>
      </c>
      <c r="L48" s="282">
        <f t="shared" si="16"/>
        <v>6354.782608695652</v>
      </c>
      <c r="M48" s="282">
        <f t="shared" si="16"/>
        <v>4766.0869565217399</v>
      </c>
      <c r="N48" s="282">
        <f t="shared" si="16"/>
        <v>3177.3913043478278</v>
      </c>
      <c r="O48" s="282">
        <f t="shared" si="16"/>
        <v>1588.6956521739153</v>
      </c>
      <c r="P48" s="282">
        <f t="shared" si="16"/>
        <v>0</v>
      </c>
      <c r="Q48" s="282">
        <f t="shared" si="16"/>
        <v>0</v>
      </c>
      <c r="R48" s="282">
        <f t="shared" si="16"/>
        <v>0</v>
      </c>
      <c r="S48" s="282">
        <f t="shared" si="16"/>
        <v>0</v>
      </c>
      <c r="T48" s="282">
        <f t="shared" si="16"/>
        <v>0</v>
      </c>
      <c r="U48" s="282">
        <f t="shared" si="16"/>
        <v>0</v>
      </c>
      <c r="V48" s="282">
        <f t="shared" si="16"/>
        <v>0</v>
      </c>
      <c r="W48" s="282">
        <f t="shared" si="16"/>
        <v>0</v>
      </c>
      <c r="X48" s="282">
        <f t="shared" si="16"/>
        <v>0</v>
      </c>
    </row>
    <row r="49" spans="1:24" ht="14.1" customHeight="1">
      <c r="A49" s="289"/>
      <c r="B49" s="279" t="s">
        <v>115</v>
      </c>
      <c r="C49" s="280" t="s">
        <v>237</v>
      </c>
      <c r="D49" s="299"/>
      <c r="E49" s="300">
        <f>E40*Input!$D$37*MAX(0,MIN(90,$A$41-$E$3))/360+E42*Input!$D$37*MAX(0,MIN(90,$A$43-E3))/360+E44*Input!$D$37*MAX(0,MIN(90,$A$45-$E$3))/360+E46*Input!$D$37*MAX(0,MIN(90,$E$4-$E$3))/360</f>
        <v>2089.6312500000004</v>
      </c>
      <c r="F49" s="300">
        <f>(F40+F42+F44+F46)*Input!$D$37/4</f>
        <v>1941.1874999999995</v>
      </c>
      <c r="G49" s="300">
        <f>(G40+G42+G44+G46)*Input!$D$37/4</f>
        <v>1758.4874999999993</v>
      </c>
      <c r="H49" s="300">
        <f>(H40+H42+H44+H46)*Input!$D$37/4</f>
        <v>1575.7874999999995</v>
      </c>
      <c r="I49" s="300">
        <f>(I40+I42+I44+I46)*Input!$D$37/4</f>
        <v>1393.0874999999996</v>
      </c>
      <c r="J49" s="300">
        <f>(J40+J42+J44+J46)*Input!$D$37/4</f>
        <v>1210.3874999999996</v>
      </c>
      <c r="K49" s="300">
        <f>(K40+K42+K44+K46)*Input!$D$37/4</f>
        <v>1027.6874999999998</v>
      </c>
      <c r="L49" s="300">
        <f>(L40+L42+L44+L46)*Input!$D$37/4</f>
        <v>844.98749999999984</v>
      </c>
      <c r="M49" s="300">
        <f>(M40+M42+M44+M46)*Input!$D$37/4</f>
        <v>662.28749999999991</v>
      </c>
      <c r="N49" s="300">
        <f>(N40+N42+N44+N46)*Input!$D$37/4</f>
        <v>479.58750000000015</v>
      </c>
      <c r="O49" s="300">
        <f>(O40+O42+O44+O46)*Input!$D$37/4</f>
        <v>296.88750000000027</v>
      </c>
      <c r="P49" s="300">
        <f>(P40+P42+P44+P46)*Input!$D$37/4</f>
        <v>114.18750000000027</v>
      </c>
      <c r="Q49" s="300">
        <f>(Q40+Q42+Q44+Q46)*Input!$D$37/4</f>
        <v>0</v>
      </c>
      <c r="R49" s="300">
        <f>(R40+R42+R44+R46)*Input!$D$37/4</f>
        <v>0</v>
      </c>
      <c r="S49" s="300">
        <f>(S40+S42+S44+S46)*Input!$D$37/4</f>
        <v>0</v>
      </c>
      <c r="T49" s="300">
        <f>(T40+T42+T44+T46)*Input!$D$37/4</f>
        <v>0</v>
      </c>
      <c r="U49" s="300">
        <f>(U40+U42+U44+U46)*Input!$D$37/4</f>
        <v>0</v>
      </c>
      <c r="V49" s="300">
        <f>(V40+V42+V44+V46)*Input!$D$37/4</f>
        <v>0</v>
      </c>
      <c r="W49" s="300">
        <f>(W40+W42+W44+W46)*Input!$D$37/4</f>
        <v>0</v>
      </c>
      <c r="X49" s="300">
        <f>(X40+X42+X44+X46)*Input!$D$37/4</f>
        <v>0</v>
      </c>
    </row>
    <row r="50" spans="1:24" ht="14.1" customHeight="1" thickBot="1">
      <c r="A50" s="289"/>
      <c r="B50" s="279" t="s">
        <v>116</v>
      </c>
      <c r="C50" s="280"/>
      <c r="D50" s="287"/>
      <c r="E50" s="288">
        <f t="shared" ref="E50:R50" si="17">E47+E45+E43+E41</f>
        <v>794.3478260869565</v>
      </c>
      <c r="F50" s="288">
        <f t="shared" si="17"/>
        <v>1588.695652173913</v>
      </c>
      <c r="G50" s="288">
        <f t="shared" si="17"/>
        <v>1588.695652173913</v>
      </c>
      <c r="H50" s="288">
        <f t="shared" si="17"/>
        <v>1588.695652173913</v>
      </c>
      <c r="I50" s="288">
        <f t="shared" si="17"/>
        <v>1588.695652173913</v>
      </c>
      <c r="J50" s="288">
        <f t="shared" si="17"/>
        <v>1588.695652173913</v>
      </c>
      <c r="K50" s="288">
        <f t="shared" si="17"/>
        <v>1588.695652173913</v>
      </c>
      <c r="L50" s="288">
        <f t="shared" si="17"/>
        <v>1588.695652173913</v>
      </c>
      <c r="M50" s="288">
        <f t="shared" si="17"/>
        <v>1588.695652173913</v>
      </c>
      <c r="N50" s="288">
        <f t="shared" si="17"/>
        <v>1588.695652173913</v>
      </c>
      <c r="O50" s="288">
        <f t="shared" si="17"/>
        <v>1588.695652173913</v>
      </c>
      <c r="P50" s="288">
        <f t="shared" si="17"/>
        <v>1588.695652173913</v>
      </c>
      <c r="Q50" s="288">
        <f t="shared" si="17"/>
        <v>0</v>
      </c>
      <c r="R50" s="288">
        <f t="shared" si="17"/>
        <v>0</v>
      </c>
      <c r="S50" s="288">
        <f t="shared" ref="S50:X50" si="18">S47+S45+S43+S41</f>
        <v>0</v>
      </c>
      <c r="T50" s="288">
        <f t="shared" si="18"/>
        <v>0</v>
      </c>
      <c r="U50" s="288">
        <f t="shared" si="18"/>
        <v>0</v>
      </c>
      <c r="V50" s="288">
        <f t="shared" si="18"/>
        <v>0</v>
      </c>
      <c r="W50" s="288">
        <f t="shared" si="18"/>
        <v>0</v>
      </c>
      <c r="X50" s="288">
        <f t="shared" si="18"/>
        <v>0</v>
      </c>
    </row>
    <row r="51" spans="1:24" ht="14.1" customHeight="1">
      <c r="A51" s="289"/>
      <c r="B51" s="279" t="s">
        <v>118</v>
      </c>
      <c r="C51" s="280"/>
      <c r="D51" s="250"/>
      <c r="E51" s="295">
        <f>IF(SUM($D$51:D51)&gt;0,0,(SUM($E$50:E50)=$D$39)*1)</f>
        <v>0</v>
      </c>
      <c r="F51" s="295">
        <f>IF(SUM($D$51:E51)&gt;0,0,(SUM($E$50:F50)=$D$39)*1)</f>
        <v>0</v>
      </c>
      <c r="G51" s="295">
        <f>IF(SUM($D$51:F51)&gt;0,0,(SUM($E$50:G50)=$D$39)*1)</f>
        <v>0</v>
      </c>
      <c r="H51" s="295">
        <f>IF(SUM($D$51:G51)&gt;0,0,(SUM($E$50:H50)=$D$39)*1)</f>
        <v>0</v>
      </c>
      <c r="I51" s="295">
        <f>IF(SUM($D$51:H51)&gt;0,0,(SUM($E$50:I50)=$D$39)*1)</f>
        <v>0</v>
      </c>
      <c r="J51" s="295">
        <f>IF(SUM($D$51:I51)&gt;0,0,(SUM($E$50:J50)=$D$39)*1)</f>
        <v>0</v>
      </c>
      <c r="K51" s="295">
        <f>IF(SUM($D$51:J51)&gt;0,0,(SUM($E$50:K50)=$D$39)*1)</f>
        <v>0</v>
      </c>
      <c r="L51" s="295">
        <f>IF(SUM($D$51:K51)&gt;0,0,(SUM($E$50:L50)=$D$39)*1)</f>
        <v>0</v>
      </c>
      <c r="M51" s="295">
        <f>IF(SUM($D$51:L51)&gt;0,0,(SUM($E$50:M50)=$D$39)*1)</f>
        <v>0</v>
      </c>
      <c r="N51" s="295">
        <f>IF(SUM($D$51:M51)&gt;0,0,(SUM($E$50:N50)=$D$39)*1)</f>
        <v>0</v>
      </c>
      <c r="O51" s="295">
        <f>IF(SUM($D$51:N51)&gt;0,0,(SUM($E$50:O50)=$D$39)*1)</f>
        <v>0</v>
      </c>
      <c r="P51" s="295">
        <f>IF(SUM($D$51:O51)&gt;0,0,(SUM($E$50:P50)=$D$39)*1)</f>
        <v>1</v>
      </c>
      <c r="Q51" s="295">
        <f>IF(SUM($D$51:P51)&gt;0,0,(SUM($E$50:Q50)=$D$39)*1)</f>
        <v>0</v>
      </c>
      <c r="R51" s="295">
        <f>IF(SUM($D$51:Q51)&gt;0,0,(SUM($E$50:R50)=$D$39)*1)</f>
        <v>0</v>
      </c>
      <c r="S51" s="295">
        <f>IF(SUM($D$51:R51)&gt;0,0,(SUM($E$50:S50)=$D$39)*1)</f>
        <v>0</v>
      </c>
      <c r="T51" s="295">
        <f>IF(SUM($D$51:S51)&gt;0,0,(SUM($E$50:T50)=$D$39)*1)</f>
        <v>0</v>
      </c>
      <c r="U51" s="295">
        <f>IF(SUM($D$51:T51)&gt;0,0,(SUM($E$50:U50)=$D$39)*1)</f>
        <v>0</v>
      </c>
      <c r="V51" s="295">
        <f>IF(SUM($D$51:U51)&gt;0,0,(SUM($E$50:V50)=$D$39)*1)</f>
        <v>0</v>
      </c>
      <c r="W51" s="295">
        <f>IF(SUM($D$51:V51)&gt;0,0,(SUM($E$50:W50)=$D$39)*1)</f>
        <v>0</v>
      </c>
      <c r="X51" s="295">
        <f>IF(SUM($D$51:W51)&gt;0,0,(SUM($E$50:X50)=$D$39)*1)</f>
        <v>0</v>
      </c>
    </row>
    <row r="52" spans="1:24" ht="14.1" customHeight="1" thickBot="1">
      <c r="A52" s="289"/>
      <c r="B52" s="285"/>
      <c r="C52" s="287"/>
      <c r="D52" s="287"/>
      <c r="E52" s="301"/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301"/>
      <c r="Q52" s="301"/>
      <c r="R52" s="301"/>
      <c r="S52" s="301"/>
      <c r="T52" s="301"/>
      <c r="U52" s="301"/>
      <c r="V52" s="301"/>
      <c r="W52" s="301"/>
      <c r="X52" s="301"/>
    </row>
    <row r="53" spans="1:24" ht="14.1" customHeight="1">
      <c r="B53" s="250"/>
      <c r="C53" s="250"/>
      <c r="D53" s="250"/>
      <c r="E53" s="295"/>
      <c r="F53" s="302"/>
      <c r="G53" s="250"/>
      <c r="H53" s="250"/>
      <c r="I53" s="250"/>
      <c r="J53" s="250"/>
      <c r="K53" s="250"/>
      <c r="L53" s="250"/>
      <c r="M53" s="250"/>
      <c r="N53" s="250"/>
      <c r="O53" s="250"/>
      <c r="P53" s="295"/>
      <c r="Q53" s="295"/>
      <c r="R53" s="295"/>
      <c r="S53" s="295"/>
      <c r="T53" s="295"/>
      <c r="U53" s="295"/>
      <c r="V53" s="295"/>
      <c r="W53" s="295"/>
      <c r="X53" s="295"/>
    </row>
    <row r="54" spans="1:24" ht="14.1" customHeight="1" thickBot="1">
      <c r="B54" s="250"/>
      <c r="C54" s="250"/>
      <c r="D54" s="250"/>
      <c r="E54" s="295"/>
      <c r="F54" s="302"/>
      <c r="G54" s="250"/>
      <c r="H54" s="250"/>
      <c r="I54" s="250"/>
      <c r="J54" s="250"/>
      <c r="K54" s="250"/>
      <c r="L54" s="250"/>
      <c r="M54" s="250"/>
      <c r="N54" s="250"/>
      <c r="O54" s="250"/>
      <c r="P54" s="295"/>
      <c r="Q54" s="295"/>
      <c r="R54" s="295"/>
      <c r="S54" s="295"/>
      <c r="T54" s="295"/>
      <c r="U54" s="295"/>
      <c r="V54" s="295"/>
      <c r="W54" s="295"/>
      <c r="X54" s="295"/>
    </row>
    <row r="55" spans="1:24" ht="14.1" customHeight="1">
      <c r="B55" s="275" t="s">
        <v>113</v>
      </c>
      <c r="C55" s="290"/>
      <c r="D55" s="277"/>
      <c r="E55" s="277"/>
      <c r="F55" s="277"/>
      <c r="G55" s="277"/>
      <c r="H55" s="277"/>
      <c r="I55" s="277"/>
      <c r="J55" s="277"/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</row>
    <row r="56" spans="1:24" ht="14.1" customHeight="1">
      <c r="B56" s="303" t="s">
        <v>26</v>
      </c>
      <c r="C56" s="280" t="s">
        <v>237</v>
      </c>
      <c r="D56" s="250"/>
      <c r="E56" s="282">
        <f ca="1">(E9*E23)*Input!$D$80/MAX(E5,1)</f>
        <v>2889.7151002141436</v>
      </c>
      <c r="F56" s="282">
        <f ca="1">(F9*F23)*Input!$D$80/MAX(F5,1)</f>
        <v>2939.3085388765326</v>
      </c>
      <c r="G56" s="282">
        <f ca="1">(G9*G23)*Input!$D$80/MAX(G5,1)</f>
        <v>2991.4432229642985</v>
      </c>
      <c r="H56" s="282">
        <f ca="1">(H9*H23)*Input!$D$80/MAX(H5,1)</f>
        <v>3051.6358028123436</v>
      </c>
      <c r="I56" s="282">
        <f ca="1">(I9*I23)*Input!$D$80/MAX(I5,1)</f>
        <v>3126.1962987169513</v>
      </c>
      <c r="J56" s="282">
        <f ca="1">(J9*J23)*Input!$D$80/MAX(J5,1)</f>
        <v>3212.2693941263401</v>
      </c>
      <c r="K56" s="282">
        <f ca="1">(K9*K23)*Input!$D$80/MAX(K5,1)</f>
        <v>3313.6247830391326</v>
      </c>
      <c r="L56" s="282">
        <f ca="1">(L9*L23)*Input!$D$80/MAX(L5,1)</f>
        <v>3431.5705055942385</v>
      </c>
      <c r="M56" s="282">
        <f ca="1">(M9*M23)*Input!$D$80/MAX(M5,1)</f>
        <v>3572.971477834421</v>
      </c>
      <c r="N56" s="282">
        <f ca="1">(N9*N23)*Input!$D$80/MAX(N5,1)</f>
        <v>3737.5805370382814</v>
      </c>
      <c r="O56" s="282">
        <f ca="1">(O9*O23)*Input!$D$80/MAX(O5,1)</f>
        <v>3966.548558764172</v>
      </c>
      <c r="P56" s="282">
        <f ca="1">(P9*P23)*Input!$D$80/MAX(P5,1)</f>
        <v>4192.5036613033244</v>
      </c>
      <c r="Q56" s="282">
        <f ca="1">(Q9*Q23)*Input!$D$80/MAX(Q5,1)</f>
        <v>4387.3813858978501</v>
      </c>
      <c r="R56" s="282">
        <f ca="1">(R9*R23)*Input!$D$80/MAX(R5,1)</f>
        <v>4730.8318941952557</v>
      </c>
      <c r="S56" s="282">
        <f ca="1">(S9*S23)*Input!$D$80/MAX(S5,1)</f>
        <v>5128.7698506976858</v>
      </c>
      <c r="T56" s="282">
        <f ca="1">(T9*T23)*Input!$D$80/MAX(T5,1)</f>
        <v>5589.9080644575015</v>
      </c>
      <c r="U56" s="282">
        <f ca="1">(U9*U23)*Input!$D$80/MAX(U5,1)</f>
        <v>6128.0227011838697</v>
      </c>
      <c r="V56" s="282">
        <f ca="1">(V9*V23)*Input!$D$80/MAX(V5,1)</f>
        <v>6753.8603054790183</v>
      </c>
      <c r="W56" s="282">
        <f ca="1">(W9*W23)*Input!$D$80/MAX(W5,1)</f>
        <v>7483.8961433900495</v>
      </c>
      <c r="X56" s="282">
        <f ca="1">(X9*X23)*Input!$D$80/MAX(X5,1)</f>
        <v>8335.4998412540735</v>
      </c>
    </row>
    <row r="57" spans="1:24" ht="14.1" customHeight="1">
      <c r="B57" s="303" t="s">
        <v>27</v>
      </c>
      <c r="C57" s="280" t="s">
        <v>237</v>
      </c>
      <c r="D57" s="250"/>
      <c r="E57" s="295">
        <f>Input!$D$81*Input!$D$24*Tariff!E65</f>
        <v>389.32740000000001</v>
      </c>
      <c r="F57" s="295">
        <f>Input!$D$81*Input!$D$24*Tariff!F65</f>
        <v>411.59692727999999</v>
      </c>
      <c r="G57" s="295">
        <f>Input!$D$81*Input!$D$24*Tariff!G65</f>
        <v>435.14027152041592</v>
      </c>
      <c r="H57" s="295">
        <f>Input!$D$81*Input!$D$24*Tariff!H65</f>
        <v>460.03029505138369</v>
      </c>
      <c r="I57" s="295">
        <f>Input!$D$81*Input!$D$24*Tariff!I65</f>
        <v>486.34402792832276</v>
      </c>
      <c r="J57" s="295">
        <f>Input!$D$81*Input!$D$24*Tariff!J65</f>
        <v>514.16290632582275</v>
      </c>
      <c r="K57" s="295">
        <f>Input!$D$81*Input!$D$24*Tariff!K65</f>
        <v>543.57302456765979</v>
      </c>
      <c r="L57" s="295">
        <f>Input!$D$81*Input!$D$24*Tariff!L65</f>
        <v>574.66540157292991</v>
      </c>
      <c r="M57" s="295">
        <f>Input!$D$81*Input!$D$24*Tariff!M65</f>
        <v>607.53626254290145</v>
      </c>
      <c r="N57" s="295">
        <f>Input!$D$81*Input!$D$24*Tariff!N65</f>
        <v>642.2873367603554</v>
      </c>
      <c r="O57" s="295">
        <f>Input!$D$81*Input!$D$24*Tariff!O65</f>
        <v>679.02617242304768</v>
      </c>
      <c r="P57" s="295">
        <f>Input!$D$81*Input!$D$24*Tariff!P65</f>
        <v>717.86646948564589</v>
      </c>
      <c r="Q57" s="295">
        <f>Input!$D$81*Input!$D$24*Tariff!Q65</f>
        <v>758.92843154022478</v>
      </c>
      <c r="R57" s="295">
        <f>Input!$D$81*Input!$D$24*Tariff!R65</f>
        <v>802.33913782432558</v>
      </c>
      <c r="S57" s="295">
        <f>Input!$D$81*Input!$D$24*Tariff!S65</f>
        <v>848.23293650787696</v>
      </c>
      <c r="T57" s="295">
        <f>Input!$D$81*Input!$D$24*Tariff!T65</f>
        <v>896.75186047612749</v>
      </c>
      <c r="U57" s="295">
        <f>Input!$D$81*Input!$D$24*Tariff!U65</f>
        <v>948.04606689536183</v>
      </c>
      <c r="V57" s="295">
        <f>Input!$D$81*Input!$D$24*Tariff!V65</f>
        <v>1002.2743019217764</v>
      </c>
      <c r="W57" s="295">
        <f>Input!$D$81*Input!$D$24*Tariff!W65</f>
        <v>1059.604391991702</v>
      </c>
      <c r="X57" s="295">
        <f>Input!$D$81*Input!$D$24*Tariff!X65</f>
        <v>1120.2137632136273</v>
      </c>
    </row>
    <row r="58" spans="1:24" ht="14.1" customHeight="1">
      <c r="B58" s="303" t="s">
        <v>29</v>
      </c>
      <c r="C58" s="280" t="s">
        <v>237</v>
      </c>
      <c r="D58" s="250"/>
      <c r="E58" s="295">
        <f>E33*Input!$D$83/MAX(E5,1)</f>
        <v>895.85296798784952</v>
      </c>
      <c r="F58" s="295">
        <f>F33*Input!$D$83/MAX(F5,1)</f>
        <v>925.84424054747694</v>
      </c>
      <c r="G58" s="295">
        <f>G33*Input!$D$83/MAX(G5,1)</f>
        <v>959.50527874051306</v>
      </c>
      <c r="H58" s="295">
        <f>H33*Input!$D$83/MAX(H5,1)</f>
        <v>997.472356450093</v>
      </c>
      <c r="I58" s="295">
        <f>I33*Input!$D$83/MAX(I5,1)</f>
        <v>1040.4956646388434</v>
      </c>
      <c r="J58" s="295">
        <f>J33*Input!$D$83/MAX(J5,1)</f>
        <v>1089.4597556121723</v>
      </c>
      <c r="K58" s="295">
        <f>K33*Input!$D$83/MAX(K5,1)</f>
        <v>1145.4076569763495</v>
      </c>
      <c r="L58" s="295">
        <f>L33*Input!$D$83/MAX(L5,1)</f>
        <v>1209.5693140009334</v>
      </c>
      <c r="M58" s="295">
        <f>M33*Input!$D$83/MAX(M5,1)</f>
        <v>1283.3951373334542</v>
      </c>
      <c r="N58" s="295">
        <f>N33*Input!$D$83/MAX(N5,1)</f>
        <v>1368.5955724764117</v>
      </c>
      <c r="O58" s="295">
        <f>O33*Input!$D$83/MAX(O5,1)</f>
        <v>1467.1877719322201</v>
      </c>
      <c r="P58" s="295">
        <f>P33*Input!$D$83/MAX(P5,1)</f>
        <v>1581.5506449443174</v>
      </c>
      <c r="Q58" s="295">
        <f>Q33*Input!$D$83/MAX(Q5,1)</f>
        <v>1714.4897886122337</v>
      </c>
      <c r="R58" s="295">
        <f>R33*Input!$D$83/MAX(R5,1)</f>
        <v>1869.3140740865372</v>
      </c>
      <c r="S58" s="295">
        <f>S33*Input!$D$83/MAX(S5,1)</f>
        <v>2049.9259799297597</v>
      </c>
      <c r="T58" s="295">
        <f>T33*Input!$D$83/MAX(T5,1)</f>
        <v>2260.9281402588754</v>
      </c>
      <c r="U58" s="295">
        <f>U33*Input!$D$83/MAX(U5,1)</f>
        <v>2507.749018221873</v>
      </c>
      <c r="V58" s="295">
        <f>V33*Input!$D$83/MAX(V5,1)</f>
        <v>2796.7911378051326</v>
      </c>
      <c r="W58" s="295">
        <f>W33*Input!$D$83/MAX(W5,1)</f>
        <v>3135.6059231912295</v>
      </c>
      <c r="X58" s="295">
        <f>X33*Input!$D$83/MAX(X5,1)</f>
        <v>3533.0999217216986</v>
      </c>
    </row>
    <row r="59" spans="1:24" ht="14.1" customHeight="1">
      <c r="B59" s="303" t="s">
        <v>18</v>
      </c>
      <c r="C59" s="280" t="s">
        <v>237</v>
      </c>
      <c r="D59" s="250"/>
      <c r="E59" s="295">
        <f>E17*E9*(Input!$D$84/MAX(E5,1))</f>
        <v>106.6650410958904</v>
      </c>
      <c r="F59" s="295">
        <f>F17*F9*(Input!$D$84/MAX(F5,1))</f>
        <v>112.76628144657532</v>
      </c>
      <c r="G59" s="295">
        <f>G17*G9*(Input!$D$84/MAX(G5,1))</f>
        <v>119.21651274531941</v>
      </c>
      <c r="H59" s="295">
        <f>H17*H9*(Input!$D$84/MAX(H5,1))</f>
        <v>126.03569727435172</v>
      </c>
      <c r="I59" s="295">
        <f>I17*I9*(Input!$D$84/MAX(I5,1))</f>
        <v>133.24493915844459</v>
      </c>
      <c r="J59" s="295">
        <f>J17*J9*(Input!$D$84/MAX(J5,1))</f>
        <v>140.86654967830762</v>
      </c>
      <c r="K59" s="295">
        <f>K17*K9*(Input!$D$84/MAX(K5,1))</f>
        <v>148.92411631990677</v>
      </c>
      <c r="L59" s="295">
        <f>L17*L9*(Input!$D$84/MAX(L5,1))</f>
        <v>157.44257577340545</v>
      </c>
      <c r="M59" s="295">
        <f>M17*M9*(Input!$D$84/MAX(M5,1))</f>
        <v>166.44829110764422</v>
      </c>
      <c r="N59" s="295">
        <f>N17*N9*(Input!$D$84/MAX(N5,1))</f>
        <v>175.96913335900143</v>
      </c>
      <c r="O59" s="295">
        <f>O17*O9*(Input!$D$84/MAX(O5,1))</f>
        <v>186.03456778713633</v>
      </c>
      <c r="P59" s="295">
        <f>P17*P9*(Input!$D$84/MAX(P5,1))</f>
        <v>196.67574506456052</v>
      </c>
      <c r="Q59" s="295">
        <f>Q17*Q9*(Input!$D$84/MAX(Q5,1))</f>
        <v>207.92559768225337</v>
      </c>
      <c r="R59" s="295">
        <f>R17*R9*(Input!$D$84/MAX(R5,1))</f>
        <v>219.81894186967824</v>
      </c>
      <c r="S59" s="295">
        <f>S17*S9*(Input!$D$84/MAX(S5,1))</f>
        <v>232.39258534462382</v>
      </c>
      <c r="T59" s="295">
        <f>T17*T9*(Input!$D$84/MAX(T5,1))</f>
        <v>245.68544122633625</v>
      </c>
      <c r="U59" s="295">
        <f>U17*U9*(Input!$D$84/MAX(U5,1))</f>
        <v>259.73864846448271</v>
      </c>
      <c r="V59" s="295">
        <f>V17*V9*(Input!$D$84/MAX(V5,1))</f>
        <v>274.59569915665111</v>
      </c>
      <c r="W59" s="295">
        <f>W17*W9*(Input!$D$84/MAX(W5,1))</f>
        <v>290.30257314841145</v>
      </c>
      <c r="X59" s="295">
        <f>X17*X9*(Input!$D$84/MAX(X5,1))</f>
        <v>306.90788033250067</v>
      </c>
    </row>
    <row r="60" spans="1:24" ht="14.1" customHeight="1">
      <c r="B60" s="303" t="s">
        <v>30</v>
      </c>
      <c r="C60" s="280" t="s">
        <v>237</v>
      </c>
      <c r="D60" s="250"/>
      <c r="E60" s="295">
        <f ca="1">(SUM(E56:E58)-E59)*Input!$D$85</f>
        <v>467.8464991172018</v>
      </c>
      <c r="F60" s="295">
        <f ca="1">(SUM(F56:F58)-F59)*Input!$D$85</f>
        <v>478.85809390460491</v>
      </c>
      <c r="G60" s="295">
        <f ca="1">(SUM(G56:G58)-G59)*Input!$D$85</f>
        <v>490.69030995518949</v>
      </c>
      <c r="H60" s="295">
        <f ca="1">(SUM(H56:H58)-H59)*Input!$D$85</f>
        <v>504.05681705953884</v>
      </c>
      <c r="I60" s="295">
        <f ca="1">(SUM(I56:I58)-I59)*Input!$D$85</f>
        <v>519.77597099445234</v>
      </c>
      <c r="J60" s="295">
        <f ca="1">(SUM(J56:J58)-J59)*Input!$D$85</f>
        <v>537.62793323439325</v>
      </c>
      <c r="K60" s="295">
        <f ca="1">(SUM(K56:K58)-K59)*Input!$D$85</f>
        <v>558.17335505027211</v>
      </c>
      <c r="L60" s="295">
        <f ca="1">(SUM(L56:L58)-L59)*Input!$D$85</f>
        <v>581.71170422039017</v>
      </c>
      <c r="M60" s="295">
        <f ca="1">(SUM(M56:M58)-M59)*Input!$D$85</f>
        <v>609.20727745936017</v>
      </c>
      <c r="N60" s="295">
        <f ca="1">(SUM(N56:N58)-N59)*Input!$D$85</f>
        <v>640.83684598534535</v>
      </c>
      <c r="O60" s="295">
        <f ca="1">(SUM(O56:O58)-O59)*Input!$D$85</f>
        <v>681.57371256321494</v>
      </c>
      <c r="P60" s="295">
        <f ca="1">(SUM(P56:P58)-P59)*Input!$D$85</f>
        <v>723.95317852690368</v>
      </c>
      <c r="Q60" s="295">
        <f ca="1">(SUM(Q56:Q58)-Q59)*Input!$D$85</f>
        <v>765.08051096232634</v>
      </c>
      <c r="R60" s="295">
        <f ca="1">(SUM(R56:R58)-R59)*Input!$D$85</f>
        <v>826.00660888719074</v>
      </c>
      <c r="S60" s="295">
        <f ca="1">(SUM(S56:S58)-S59)*Input!$D$85</f>
        <v>896.37166090593041</v>
      </c>
      <c r="T60" s="295">
        <f ca="1">(SUM(T56:T58)-T59)*Input!$D$85</f>
        <v>977.7188017561092</v>
      </c>
      <c r="U60" s="295">
        <f ca="1">(SUM(U56:U58)-U59)*Input!$D$85</f>
        <v>1072.2691008512115</v>
      </c>
      <c r="V60" s="295">
        <f ca="1">(SUM(V56:V58)-V59)*Input!$D$85</f>
        <v>1182.0079552956668</v>
      </c>
      <c r="W60" s="295">
        <f ca="1">(SUM(W56:W58)-W59)*Input!$D$85</f>
        <v>1309.7124468238253</v>
      </c>
      <c r="X60" s="295">
        <f ca="1">(SUM(X56:X58)-X59)*Input!$D$85</f>
        <v>1458.4191492735433</v>
      </c>
    </row>
    <row r="61" spans="1:24" ht="14.1" customHeight="1" thickBot="1">
      <c r="B61" s="285"/>
      <c r="C61" s="287"/>
      <c r="D61" s="287"/>
      <c r="E61" s="301"/>
      <c r="F61" s="287"/>
      <c r="G61" s="287"/>
      <c r="H61" s="287"/>
      <c r="I61" s="287"/>
      <c r="J61" s="287"/>
      <c r="K61" s="287"/>
      <c r="L61" s="287"/>
      <c r="M61" s="287"/>
      <c r="N61" s="287"/>
      <c r="O61" s="287"/>
      <c r="P61" s="301"/>
      <c r="Q61" s="301"/>
      <c r="R61" s="301"/>
      <c r="S61" s="301"/>
      <c r="T61" s="301"/>
      <c r="U61" s="301"/>
      <c r="V61" s="301"/>
      <c r="W61" s="301"/>
      <c r="X61" s="301"/>
    </row>
    <row r="62" spans="1:24" ht="14.1" customHeight="1">
      <c r="B62" s="250"/>
      <c r="C62" s="250"/>
      <c r="D62" s="250"/>
      <c r="E62" s="295"/>
      <c r="F62" s="250"/>
      <c r="G62" s="250"/>
      <c r="H62" s="250"/>
      <c r="I62" s="250"/>
      <c r="J62" s="250"/>
      <c r="K62" s="250"/>
      <c r="L62" s="250"/>
      <c r="M62" s="250"/>
      <c r="N62" s="250"/>
      <c r="O62" s="250"/>
      <c r="P62" s="295"/>
      <c r="Q62" s="295"/>
      <c r="R62" s="295"/>
      <c r="S62" s="295"/>
      <c r="T62" s="295"/>
      <c r="U62" s="295"/>
      <c r="V62" s="295"/>
      <c r="W62" s="295"/>
      <c r="X62" s="295"/>
    </row>
    <row r="63" spans="1:24" ht="14.1" customHeight="1" thickBot="1">
      <c r="B63" s="250"/>
      <c r="C63" s="250"/>
      <c r="D63" s="250"/>
      <c r="E63" s="295"/>
      <c r="F63" s="250"/>
      <c r="G63" s="250"/>
      <c r="H63" s="250"/>
      <c r="I63" s="250"/>
      <c r="J63" s="250"/>
      <c r="K63" s="250"/>
      <c r="L63" s="250"/>
      <c r="M63" s="250"/>
      <c r="N63" s="250"/>
      <c r="O63" s="250"/>
      <c r="P63" s="295"/>
      <c r="Q63" s="295"/>
      <c r="R63" s="295"/>
      <c r="S63" s="295"/>
      <c r="T63" s="295"/>
      <c r="U63" s="295"/>
      <c r="V63" s="295"/>
      <c r="W63" s="295"/>
      <c r="X63" s="295"/>
    </row>
    <row r="64" spans="1:24" ht="14.1" customHeight="1">
      <c r="B64" s="275" t="s">
        <v>43</v>
      </c>
      <c r="C64" s="290"/>
      <c r="D64" s="277"/>
      <c r="E64" s="277"/>
      <c r="F64" s="277"/>
      <c r="G64" s="277"/>
      <c r="H64" s="277"/>
      <c r="I64" s="277"/>
      <c r="J64" s="277"/>
      <c r="K64" s="277"/>
      <c r="L64" s="277"/>
      <c r="M64" s="277"/>
      <c r="N64" s="277"/>
      <c r="O64" s="277"/>
      <c r="P64" s="277"/>
      <c r="Q64" s="277"/>
      <c r="R64" s="277"/>
      <c r="S64" s="277"/>
      <c r="T64" s="277"/>
      <c r="U64" s="277"/>
      <c r="V64" s="277"/>
      <c r="W64" s="277"/>
      <c r="X64" s="277"/>
    </row>
    <row r="65" spans="2:24" ht="14.1" customHeight="1">
      <c r="B65" s="304" t="s">
        <v>43</v>
      </c>
      <c r="C65" s="280" t="s">
        <v>114</v>
      </c>
      <c r="D65" s="250"/>
      <c r="E65" s="283">
        <f>Input!$D$69</f>
        <v>1.7490000000000001</v>
      </c>
      <c r="F65" s="283">
        <f>E65*(1+Input!$D$70)</f>
        <v>1.8490427999999999</v>
      </c>
      <c r="G65" s="283">
        <f>F65*(1+Input!$D$70)</f>
        <v>1.9548080481599996</v>
      </c>
      <c r="H65" s="283">
        <f>G65*(1+Input!$D$70)</f>
        <v>2.0666230685147515</v>
      </c>
      <c r="I65" s="283">
        <f>H65*(1+Input!$D$70)</f>
        <v>2.1848339080337951</v>
      </c>
      <c r="J65" s="283">
        <f>I65*(1+Input!$D$70)</f>
        <v>2.309806407573328</v>
      </c>
      <c r="K65" s="283">
        <f>J65*(1+Input!$D$70)</f>
        <v>2.4419273340865222</v>
      </c>
      <c r="L65" s="283">
        <f>K65*(1+Input!$D$70)</f>
        <v>2.581605577596271</v>
      </c>
      <c r="M65" s="283">
        <f>L65*(1+Input!$D$70)</f>
        <v>2.7292734166347774</v>
      </c>
      <c r="N65" s="283">
        <f>M65*(1+Input!$D$70)</f>
        <v>2.8853878560662864</v>
      </c>
      <c r="O65" s="283">
        <f>N65*(1+Input!$D$70)</f>
        <v>3.050432041433278</v>
      </c>
      <c r="P65" s="283">
        <f>O65*(1+Input!$D$70)</f>
        <v>3.2249167542032611</v>
      </c>
      <c r="Q65" s="283">
        <f>P65*(1+Input!$D$70)</f>
        <v>3.4093819925436875</v>
      </c>
      <c r="R65" s="283">
        <f>Q65*(1+Input!$D$70)</f>
        <v>3.6043986425171859</v>
      </c>
      <c r="S65" s="283">
        <f>R65*(1+Input!$D$70)</f>
        <v>3.8105702448691687</v>
      </c>
      <c r="T65" s="283">
        <f>S65*(1+Input!$D$70)</f>
        <v>4.0285348628756852</v>
      </c>
      <c r="U65" s="283">
        <f>T65*(1+Input!$D$70)</f>
        <v>4.2589670570321738</v>
      </c>
      <c r="V65" s="283">
        <f>U65*(1+Input!$D$70)</f>
        <v>4.5025799726944138</v>
      </c>
      <c r="W65" s="283">
        <f>V65*(1+Input!$D$70)</f>
        <v>4.7601275471325337</v>
      </c>
      <c r="X65" s="283">
        <f>W65*(1+Input!$D$70)</f>
        <v>5.0324068428285145</v>
      </c>
    </row>
    <row r="66" spans="2:24" ht="14.1" customHeight="1" thickBot="1">
      <c r="B66" s="285"/>
      <c r="C66" s="287"/>
      <c r="D66" s="287"/>
      <c r="E66" s="305"/>
      <c r="F66" s="305"/>
      <c r="G66" s="305"/>
      <c r="H66" s="305"/>
      <c r="I66" s="305"/>
      <c r="J66" s="305"/>
      <c r="K66" s="305"/>
      <c r="L66" s="305"/>
      <c r="M66" s="305"/>
      <c r="N66" s="305"/>
      <c r="O66" s="305"/>
      <c r="P66" s="305"/>
      <c r="Q66" s="305"/>
      <c r="R66" s="305"/>
      <c r="S66" s="305"/>
      <c r="T66" s="305"/>
      <c r="U66" s="305"/>
      <c r="V66" s="305"/>
      <c r="W66" s="305"/>
      <c r="X66" s="305"/>
    </row>
    <row r="67" spans="2:24" ht="14.1" customHeight="1"/>
    <row r="68" spans="2:24" ht="14.1" customHeight="1"/>
    <row r="69" spans="2:24" ht="14.1" customHeight="1" thickBot="1">
      <c r="B69" s="231" t="s">
        <v>233</v>
      </c>
      <c r="E69" s="231">
        <v>1</v>
      </c>
      <c r="F69" s="231">
        <v>2</v>
      </c>
      <c r="G69" s="231">
        <v>3</v>
      </c>
      <c r="H69" s="231">
        <v>4</v>
      </c>
      <c r="I69" s="231">
        <v>5</v>
      </c>
      <c r="J69" s="231">
        <v>6</v>
      </c>
      <c r="K69" s="231">
        <v>7</v>
      </c>
      <c r="L69" s="231">
        <v>8</v>
      </c>
      <c r="M69" s="231">
        <v>9</v>
      </c>
      <c r="N69" s="231">
        <v>10</v>
      </c>
      <c r="O69" s="231">
        <v>11</v>
      </c>
      <c r="P69" s="231">
        <v>12</v>
      </c>
      <c r="Q69" s="231">
        <v>13</v>
      </c>
      <c r="R69" s="231">
        <v>14</v>
      </c>
      <c r="S69" s="231">
        <v>15</v>
      </c>
      <c r="T69" s="231">
        <v>16</v>
      </c>
      <c r="U69" s="231">
        <v>17</v>
      </c>
      <c r="V69" s="231">
        <v>18</v>
      </c>
      <c r="W69" s="231">
        <v>19</v>
      </c>
      <c r="X69" s="231">
        <v>20</v>
      </c>
    </row>
    <row r="70" spans="2:24">
      <c r="B70" s="275" t="s">
        <v>16</v>
      </c>
      <c r="C70" s="277"/>
      <c r="D70" s="277"/>
      <c r="E70" s="277"/>
      <c r="F70" s="277"/>
      <c r="G70" s="277"/>
      <c r="H70" s="277"/>
      <c r="I70" s="277"/>
      <c r="J70" s="277"/>
      <c r="K70" s="277"/>
      <c r="L70" s="277"/>
      <c r="M70" s="277"/>
      <c r="N70" s="277"/>
      <c r="O70" s="277"/>
      <c r="P70" s="277"/>
      <c r="Q70" s="277"/>
      <c r="R70" s="277"/>
      <c r="S70" s="277"/>
      <c r="T70" s="277"/>
      <c r="U70" s="277"/>
      <c r="V70" s="277"/>
      <c r="W70" s="277"/>
      <c r="X70" s="306"/>
    </row>
    <row r="71" spans="2:24">
      <c r="B71" s="304"/>
      <c r="C71" s="250"/>
      <c r="D71" s="250"/>
      <c r="E71" s="250"/>
      <c r="F71" s="250"/>
      <c r="G71" s="250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  <c r="U71" s="250"/>
      <c r="V71" s="250"/>
      <c r="W71" s="250"/>
      <c r="X71" s="307"/>
    </row>
    <row r="72" spans="2:24">
      <c r="B72" s="304" t="s">
        <v>228</v>
      </c>
      <c r="C72" s="250" t="s">
        <v>237</v>
      </c>
      <c r="D72" s="302">
        <f>Input!D14+Input!D16+Input!D17+Input!D18+Input!D19</f>
        <v>25730</v>
      </c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307"/>
    </row>
    <row r="73" spans="2:24">
      <c r="B73" s="304" t="s">
        <v>229</v>
      </c>
      <c r="C73" s="250" t="s">
        <v>237</v>
      </c>
      <c r="D73" s="302">
        <f>D72*Input!D62</f>
        <v>23157</v>
      </c>
      <c r="E73" s="250"/>
      <c r="F73" s="250"/>
      <c r="G73" s="250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  <c r="U73" s="250"/>
      <c r="V73" s="250"/>
      <c r="W73" s="250"/>
      <c r="X73" s="307"/>
    </row>
    <row r="74" spans="2:24">
      <c r="B74" s="304" t="s">
        <v>232</v>
      </c>
      <c r="C74" s="250" t="s">
        <v>237</v>
      </c>
      <c r="D74" s="250"/>
      <c r="E74" s="302">
        <f>$D$72*Input!$D$63</f>
        <v>1358.5440000000001</v>
      </c>
      <c r="F74" s="302">
        <f>$D$72*Input!$D$63</f>
        <v>1358.5440000000001</v>
      </c>
      <c r="G74" s="302">
        <f>$D$72*Input!$D$63</f>
        <v>1358.5440000000001</v>
      </c>
      <c r="H74" s="302">
        <f>$D$72*Input!$D$63</f>
        <v>1358.5440000000001</v>
      </c>
      <c r="I74" s="302">
        <f>$D$72*Input!$D$63</f>
        <v>1358.5440000000001</v>
      </c>
      <c r="J74" s="302">
        <f>$D$72*Input!$D$63</f>
        <v>1358.5440000000001</v>
      </c>
      <c r="K74" s="302">
        <f>$D$72*Input!$D$63</f>
        <v>1358.5440000000001</v>
      </c>
      <c r="L74" s="302">
        <f>$D$72*Input!$D$63</f>
        <v>1358.5440000000001</v>
      </c>
      <c r="M74" s="302">
        <f>$D$72*Input!$D$63</f>
        <v>1358.5440000000001</v>
      </c>
      <c r="N74" s="302">
        <f>$D$72*Input!$D$63</f>
        <v>1358.5440000000001</v>
      </c>
      <c r="O74" s="302">
        <f>$D$72*Input!$D$63</f>
        <v>1358.5440000000001</v>
      </c>
      <c r="P74" s="302">
        <f>$D$72*Input!$D$63</f>
        <v>1358.5440000000001</v>
      </c>
      <c r="Q74" s="302">
        <f>$D$72*Input!$D$65</f>
        <v>856.80900000000031</v>
      </c>
      <c r="R74" s="302">
        <f>$D$72*Input!$D$65</f>
        <v>856.80900000000031</v>
      </c>
      <c r="S74" s="302">
        <f>$D$72*Input!$D$65</f>
        <v>856.80900000000031</v>
      </c>
      <c r="T74" s="302">
        <f>$D$72*Input!$D$65</f>
        <v>856.80900000000031</v>
      </c>
      <c r="U74" s="302">
        <f>$D$72*Input!$D$65</f>
        <v>856.80900000000031</v>
      </c>
      <c r="V74" s="302">
        <f>$D$72*Input!$D$65</f>
        <v>856.80900000000031</v>
      </c>
      <c r="W74" s="302">
        <f>$D$72*Input!$D$65</f>
        <v>856.80900000000031</v>
      </c>
      <c r="X74" s="308">
        <f>$D$72*Input!$D$65</f>
        <v>856.80900000000031</v>
      </c>
    </row>
    <row r="75" spans="2:24" ht="11.25" thickBot="1">
      <c r="B75" s="285" t="s">
        <v>49</v>
      </c>
      <c r="C75" s="287"/>
      <c r="D75" s="287"/>
      <c r="E75" s="309">
        <f>E74</f>
        <v>1358.5440000000001</v>
      </c>
      <c r="F75" s="309">
        <f>E75+F74</f>
        <v>2717.0880000000002</v>
      </c>
      <c r="G75" s="309">
        <f t="shared" ref="G75:X75" si="19">F75+G74</f>
        <v>4075.6320000000005</v>
      </c>
      <c r="H75" s="309">
        <f t="shared" si="19"/>
        <v>5434.1760000000004</v>
      </c>
      <c r="I75" s="309">
        <f t="shared" si="19"/>
        <v>6792.72</v>
      </c>
      <c r="J75" s="309">
        <f t="shared" si="19"/>
        <v>8151.2640000000001</v>
      </c>
      <c r="K75" s="309">
        <f t="shared" si="19"/>
        <v>9509.8080000000009</v>
      </c>
      <c r="L75" s="309">
        <f t="shared" si="19"/>
        <v>10868.352000000001</v>
      </c>
      <c r="M75" s="309">
        <f t="shared" si="19"/>
        <v>12226.896000000001</v>
      </c>
      <c r="N75" s="309">
        <f t="shared" si="19"/>
        <v>13585.44</v>
      </c>
      <c r="O75" s="309">
        <f t="shared" si="19"/>
        <v>14943.984</v>
      </c>
      <c r="P75" s="309">
        <f t="shared" si="19"/>
        <v>16302.528</v>
      </c>
      <c r="Q75" s="309">
        <f t="shared" si="19"/>
        <v>17159.337</v>
      </c>
      <c r="R75" s="309">
        <f t="shared" si="19"/>
        <v>18016.146000000001</v>
      </c>
      <c r="S75" s="309">
        <f t="shared" si="19"/>
        <v>18872.955000000002</v>
      </c>
      <c r="T75" s="309">
        <f t="shared" si="19"/>
        <v>19729.764000000003</v>
      </c>
      <c r="U75" s="309">
        <f t="shared" si="19"/>
        <v>20586.573000000004</v>
      </c>
      <c r="V75" s="309">
        <f t="shared" si="19"/>
        <v>21443.382000000005</v>
      </c>
      <c r="W75" s="309">
        <f t="shared" si="19"/>
        <v>22300.191000000006</v>
      </c>
      <c r="X75" s="310">
        <f t="shared" si="19"/>
        <v>23157.000000000007</v>
      </c>
    </row>
  </sheetData>
  <mergeCells count="2">
    <mergeCell ref="D2:D5"/>
    <mergeCell ref="C2:C5"/>
  </mergeCells>
  <phoneticPr fontId="0" type="noConversion"/>
  <pageMargins left="0.5" right="0.5" top="0.5" bottom="0.5" header="0.5" footer="0.5"/>
  <pageSetup paperSize="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zoomScaleNormal="100" workbookViewId="0">
      <selection activeCell="A28" sqref="A28"/>
    </sheetView>
  </sheetViews>
  <sheetFormatPr defaultRowHeight="12.75"/>
  <cols>
    <col min="1" max="1" width="29.28515625" customWidth="1"/>
    <col min="2" max="2" width="12" bestFit="1" customWidth="1"/>
    <col min="11" max="11" width="9.85546875" customWidth="1"/>
    <col min="12" max="12" width="16.7109375" customWidth="1"/>
  </cols>
  <sheetData>
    <row r="1" spans="1:12">
      <c r="D1" s="422" t="s">
        <v>70</v>
      </c>
      <c r="E1" s="422"/>
      <c r="F1" s="422"/>
      <c r="G1" s="422"/>
    </row>
    <row r="3" spans="1:12" ht="13.5" thickBot="1"/>
    <row r="4" spans="1:12">
      <c r="A4" s="5" t="s">
        <v>66</v>
      </c>
      <c r="B4" s="6" t="s">
        <v>52</v>
      </c>
      <c r="C4" s="6" t="s">
        <v>53</v>
      </c>
      <c r="D4" s="6" t="s">
        <v>54</v>
      </c>
      <c r="E4" s="6" t="s">
        <v>55</v>
      </c>
      <c r="F4" s="6" t="s">
        <v>56</v>
      </c>
      <c r="G4" s="6" t="s">
        <v>57</v>
      </c>
      <c r="H4" s="6" t="s">
        <v>58</v>
      </c>
      <c r="I4" s="6" t="s">
        <v>59</v>
      </c>
      <c r="J4" s="6" t="s">
        <v>60</v>
      </c>
      <c r="K4" s="7" t="s">
        <v>45</v>
      </c>
    </row>
    <row r="5" spans="1:12">
      <c r="A5" s="2" t="s">
        <v>61</v>
      </c>
      <c r="B5" s="1">
        <v>557.14</v>
      </c>
      <c r="C5" s="1">
        <v>2045.5</v>
      </c>
      <c r="D5" s="1">
        <v>903.34</v>
      </c>
      <c r="E5" s="1">
        <v>1149.19</v>
      </c>
      <c r="F5" s="1">
        <v>4.91</v>
      </c>
      <c r="G5" s="1">
        <v>632.94000000000005</v>
      </c>
      <c r="H5" s="1">
        <v>1064.29</v>
      </c>
      <c r="I5" s="1">
        <v>151.69</v>
      </c>
      <c r="J5" s="1">
        <v>445.71</v>
      </c>
      <c r="K5" s="8">
        <v>7014.7</v>
      </c>
    </row>
    <row r="6" spans="1:12">
      <c r="A6" s="2" t="s">
        <v>62</v>
      </c>
      <c r="B6" s="1">
        <v>2997</v>
      </c>
      <c r="C6" s="1">
        <v>15294</v>
      </c>
      <c r="D6" s="1">
        <v>5933</v>
      </c>
      <c r="E6" s="1">
        <v>5507</v>
      </c>
      <c r="F6" s="1">
        <v>284</v>
      </c>
      <c r="G6" s="1">
        <v>3922</v>
      </c>
      <c r="H6" s="1">
        <v>5294</v>
      </c>
      <c r="I6" s="1">
        <v>3740</v>
      </c>
      <c r="J6" s="1">
        <v>3713</v>
      </c>
      <c r="K6" s="8">
        <v>46684</v>
      </c>
    </row>
    <row r="7" spans="1:12" ht="13.5" thickBot="1">
      <c r="A7" s="3" t="s">
        <v>63</v>
      </c>
      <c r="B7" s="9">
        <v>1.859</v>
      </c>
      <c r="C7" s="9">
        <v>1.3373999999999999</v>
      </c>
      <c r="D7" s="9">
        <v>1.5226</v>
      </c>
      <c r="E7" s="9">
        <v>2.0868000000000002</v>
      </c>
      <c r="F7" s="9">
        <v>2.2854999999999999</v>
      </c>
      <c r="G7" s="9">
        <v>1.6137999999999999</v>
      </c>
      <c r="H7" s="9">
        <v>2.0104000000000002</v>
      </c>
      <c r="I7" s="9">
        <v>0.40560000000000002</v>
      </c>
      <c r="J7" s="9">
        <v>1.2003999999999999</v>
      </c>
      <c r="K7" s="10">
        <v>1.5025999999999999</v>
      </c>
    </row>
    <row r="8" spans="1:12" ht="13.5" thickBot="1"/>
    <row r="9" spans="1:12" ht="13.5" thickBot="1">
      <c r="A9" s="18" t="s">
        <v>66</v>
      </c>
      <c r="B9" s="19" t="s">
        <v>52</v>
      </c>
      <c r="C9" s="19" t="s">
        <v>53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50</v>
      </c>
      <c r="L9" s="20" t="s">
        <v>45</v>
      </c>
    </row>
    <row r="10" spans="1:12">
      <c r="A10" s="2" t="s">
        <v>64</v>
      </c>
      <c r="B10" s="15">
        <v>557.14</v>
      </c>
      <c r="C10" s="11">
        <v>2045.5</v>
      </c>
      <c r="D10" s="11">
        <v>903.34</v>
      </c>
      <c r="E10" s="11">
        <v>1149.19</v>
      </c>
      <c r="F10" s="11">
        <v>4.91</v>
      </c>
      <c r="G10" s="11">
        <v>632.94000000000005</v>
      </c>
      <c r="H10" s="11">
        <v>1064.29</v>
      </c>
      <c r="I10" s="11">
        <v>151.69</v>
      </c>
      <c r="J10" s="11">
        <v>445.71</v>
      </c>
      <c r="K10" s="12">
        <f ca="1">Tariff!E23*Tariff!E9/10</f>
        <v>1757.9100192969374</v>
      </c>
      <c r="L10" s="13">
        <f ca="1">SUM(B10:K10)</f>
        <v>8712.6200192969372</v>
      </c>
    </row>
    <row r="11" spans="1:12">
      <c r="A11" s="2" t="s">
        <v>62</v>
      </c>
      <c r="B11" s="16">
        <v>2997</v>
      </c>
      <c r="C11" s="1">
        <v>15294</v>
      </c>
      <c r="D11" s="1">
        <v>5933</v>
      </c>
      <c r="E11" s="1">
        <v>5507</v>
      </c>
      <c r="F11" s="1">
        <v>284</v>
      </c>
      <c r="G11" s="1">
        <v>3922</v>
      </c>
      <c r="H11" s="1">
        <v>5294</v>
      </c>
      <c r="I11" s="1">
        <v>3740</v>
      </c>
      <c r="J11" s="1">
        <v>3713</v>
      </c>
      <c r="K11" s="1">
        <f>Tariff!E9</f>
        <v>5359.1840399999992</v>
      </c>
      <c r="L11" s="8">
        <f>SUM(B11:K11)</f>
        <v>52043.18404</v>
      </c>
    </row>
    <row r="12" spans="1:12" ht="13.5" thickBot="1">
      <c r="A12" s="3" t="s">
        <v>63</v>
      </c>
      <c r="B12" s="17">
        <v>1.859</v>
      </c>
      <c r="C12" s="9">
        <v>1.3373999999999999</v>
      </c>
      <c r="D12" s="9">
        <v>1.5226</v>
      </c>
      <c r="E12" s="9">
        <v>2.0868000000000002</v>
      </c>
      <c r="F12" s="9">
        <v>2.2854999999999999</v>
      </c>
      <c r="G12" s="9">
        <v>1.6137999999999999</v>
      </c>
      <c r="H12" s="9">
        <v>2.0104000000000002</v>
      </c>
      <c r="I12" s="9">
        <v>0.40560000000000002</v>
      </c>
      <c r="J12" s="9">
        <v>1.2003999999999999</v>
      </c>
      <c r="K12" s="14">
        <f ca="1">K10/K11*10</f>
        <v>3.2801822183679619</v>
      </c>
      <c r="L12" s="10">
        <f ca="1">L10/L11*10</f>
        <v>1.674113561653046</v>
      </c>
    </row>
    <row r="13" spans="1:12">
      <c r="A13" t="s">
        <v>65</v>
      </c>
    </row>
    <row r="14" spans="1:12">
      <c r="I14" s="424" t="s">
        <v>45</v>
      </c>
      <c r="J14" s="424"/>
    </row>
    <row r="15" spans="1:12" ht="38.25" customHeight="1">
      <c r="I15" s="425">
        <v>7027.7055976081583</v>
      </c>
      <c r="J15" s="425"/>
      <c r="L15" s="4">
        <f ca="1">L12-K7</f>
        <v>0.1715135616530461</v>
      </c>
    </row>
    <row r="16" spans="1:12">
      <c r="I16" s="425">
        <v>46954.815999999999</v>
      </c>
      <c r="J16" s="425"/>
    </row>
    <row r="17" spans="9:11">
      <c r="I17" s="425">
        <v>1.4966953757433867</v>
      </c>
      <c r="J17" s="425"/>
    </row>
    <row r="18" spans="9:11">
      <c r="K18">
        <v>-5.9046242566132001E-3</v>
      </c>
    </row>
    <row r="20" spans="9:11" ht="50.25" customHeight="1">
      <c r="I20" s="423" t="s">
        <v>69</v>
      </c>
      <c r="J20" s="423"/>
      <c r="K20" s="423"/>
    </row>
  </sheetData>
  <mergeCells count="6">
    <mergeCell ref="D1:G1"/>
    <mergeCell ref="I20:K20"/>
    <mergeCell ref="I14:J14"/>
    <mergeCell ref="I15:J15"/>
    <mergeCell ref="I16:J16"/>
    <mergeCell ref="I17:J17"/>
  </mergeCells>
  <phoneticPr fontId="0" type="noConversion"/>
  <pageMargins left="0.5" right="0.5" top="0.75" bottom="0.75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E98"/>
  <sheetViews>
    <sheetView showGridLines="0" workbookViewId="0">
      <selection activeCell="D29" sqref="D29"/>
    </sheetView>
  </sheetViews>
  <sheetFormatPr defaultRowHeight="12.75"/>
  <cols>
    <col min="1" max="1" width="9.140625" style="115"/>
    <col min="2" max="2" width="54.140625" style="115" customWidth="1"/>
    <col min="3" max="3" width="14.85546875" style="115" customWidth="1"/>
    <col min="4" max="4" width="10.28515625" style="115" bestFit="1" customWidth="1"/>
    <col min="5" max="5" width="12.5703125" style="115" customWidth="1"/>
    <col min="6" max="15" width="10.42578125" style="115" bestFit="1" customWidth="1"/>
    <col min="16" max="16" width="12.5703125" style="115" bestFit="1" customWidth="1"/>
    <col min="17" max="23" width="10.42578125" style="115" bestFit="1" customWidth="1"/>
    <col min="24" max="24" width="10.85546875" style="115" customWidth="1"/>
    <col min="25" max="16384" width="9.140625" style="115"/>
  </cols>
  <sheetData>
    <row r="1" spans="2:31" ht="13.5" thickBot="1"/>
    <row r="2" spans="2:31">
      <c r="B2" s="107" t="s">
        <v>135</v>
      </c>
      <c r="C2" s="75"/>
      <c r="D2" s="116"/>
      <c r="E2" s="116"/>
      <c r="F2" s="116"/>
      <c r="G2" s="116"/>
      <c r="H2" s="116"/>
      <c r="I2" s="116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Y2" s="117"/>
      <c r="Z2" s="117"/>
      <c r="AA2" s="117"/>
      <c r="AB2" s="117"/>
      <c r="AC2" s="117"/>
      <c r="AD2" s="117"/>
      <c r="AE2" s="117"/>
    </row>
    <row r="3" spans="2:31">
      <c r="B3" s="108" t="str">
        <f>"Project:           "&amp;Input!D24&amp;" MW "</f>
        <v xml:space="preserve">Project:           742 MW </v>
      </c>
      <c r="C3" s="75"/>
      <c r="D3" s="116"/>
      <c r="E3" s="116"/>
      <c r="F3" s="116"/>
      <c r="G3" s="116"/>
      <c r="H3" s="116"/>
      <c r="I3" s="116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Y3" s="117"/>
      <c r="Z3" s="117"/>
      <c r="AA3" s="117"/>
      <c r="AB3" s="117"/>
      <c r="AC3" s="117"/>
      <c r="AD3" s="117"/>
      <c r="AE3" s="117"/>
    </row>
    <row r="4" spans="2:31" ht="13.5" thickBot="1">
      <c r="B4" s="109" t="s">
        <v>136</v>
      </c>
      <c r="C4" s="75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Y4" s="116"/>
      <c r="Z4" s="116"/>
      <c r="AA4" s="116"/>
      <c r="AB4" s="116"/>
      <c r="AC4" s="116"/>
      <c r="AD4" s="116"/>
      <c r="AE4" s="116"/>
    </row>
    <row r="5" spans="2:31">
      <c r="B5" s="118"/>
      <c r="C5" s="118"/>
      <c r="D5" s="116"/>
    </row>
    <row r="6" spans="2:31">
      <c r="B6" s="118"/>
      <c r="C6" s="118"/>
    </row>
    <row r="7" spans="2:31">
      <c r="B7" s="118"/>
      <c r="C7" s="118"/>
    </row>
    <row r="8" spans="2:31">
      <c r="B8" s="183" t="s">
        <v>138</v>
      </c>
      <c r="C8" s="118"/>
    </row>
    <row r="10" spans="2:31">
      <c r="B10" s="119" t="s">
        <v>137</v>
      </c>
      <c r="C10" s="426"/>
      <c r="D10" s="170">
        <v>1</v>
      </c>
      <c r="E10" s="170">
        <f>D10+1</f>
        <v>2</v>
      </c>
      <c r="F10" s="170">
        <f t="shared" ref="F10:W10" si="0">E10+1</f>
        <v>3</v>
      </c>
      <c r="G10" s="170">
        <f t="shared" si="0"/>
        <v>4</v>
      </c>
      <c r="H10" s="170">
        <f t="shared" si="0"/>
        <v>5</v>
      </c>
      <c r="I10" s="170">
        <f t="shared" si="0"/>
        <v>6</v>
      </c>
      <c r="J10" s="170">
        <f t="shared" si="0"/>
        <v>7</v>
      </c>
      <c r="K10" s="170">
        <f t="shared" si="0"/>
        <v>8</v>
      </c>
      <c r="L10" s="170">
        <f t="shared" si="0"/>
        <v>9</v>
      </c>
      <c r="M10" s="170">
        <f t="shared" si="0"/>
        <v>10</v>
      </c>
      <c r="N10" s="170">
        <f t="shared" si="0"/>
        <v>11</v>
      </c>
      <c r="O10" s="170">
        <f t="shared" si="0"/>
        <v>12</v>
      </c>
      <c r="P10" s="170">
        <f t="shared" si="0"/>
        <v>13</v>
      </c>
      <c r="Q10" s="170">
        <f t="shared" si="0"/>
        <v>14</v>
      </c>
      <c r="R10" s="170">
        <f t="shared" si="0"/>
        <v>15</v>
      </c>
      <c r="S10" s="170">
        <f t="shared" si="0"/>
        <v>16</v>
      </c>
      <c r="T10" s="170">
        <f t="shared" si="0"/>
        <v>17</v>
      </c>
      <c r="U10" s="170">
        <f t="shared" si="0"/>
        <v>18</v>
      </c>
      <c r="V10" s="170">
        <f t="shared" si="0"/>
        <v>19</v>
      </c>
      <c r="W10" s="171">
        <f t="shared" si="0"/>
        <v>20</v>
      </c>
    </row>
    <row r="11" spans="2:31">
      <c r="B11" s="120" t="s">
        <v>34</v>
      </c>
      <c r="C11" s="427"/>
      <c r="D11" s="76">
        <f>Input!D27</f>
        <v>41000</v>
      </c>
      <c r="E11" s="76">
        <f>D12+1</f>
        <v>41365</v>
      </c>
      <c r="F11" s="76">
        <f t="shared" ref="F11:W11" si="1">E12+1</f>
        <v>41730</v>
      </c>
      <c r="G11" s="76">
        <f t="shared" si="1"/>
        <v>42095</v>
      </c>
      <c r="H11" s="76">
        <f t="shared" si="1"/>
        <v>42461</v>
      </c>
      <c r="I11" s="76">
        <f t="shared" si="1"/>
        <v>42826</v>
      </c>
      <c r="J11" s="76">
        <f t="shared" si="1"/>
        <v>43191</v>
      </c>
      <c r="K11" s="76">
        <f t="shared" si="1"/>
        <v>43556</v>
      </c>
      <c r="L11" s="76">
        <f t="shared" si="1"/>
        <v>43922</v>
      </c>
      <c r="M11" s="76">
        <f t="shared" si="1"/>
        <v>44287</v>
      </c>
      <c r="N11" s="76">
        <f t="shared" si="1"/>
        <v>44652</v>
      </c>
      <c r="O11" s="76">
        <f t="shared" si="1"/>
        <v>45017</v>
      </c>
      <c r="P11" s="76">
        <f t="shared" si="1"/>
        <v>45383</v>
      </c>
      <c r="Q11" s="76">
        <f t="shared" si="1"/>
        <v>45748</v>
      </c>
      <c r="R11" s="76">
        <f t="shared" si="1"/>
        <v>46113</v>
      </c>
      <c r="S11" s="76">
        <f t="shared" si="1"/>
        <v>46478</v>
      </c>
      <c r="T11" s="76">
        <f t="shared" si="1"/>
        <v>46844</v>
      </c>
      <c r="U11" s="76">
        <f t="shared" si="1"/>
        <v>47209</v>
      </c>
      <c r="V11" s="76">
        <f t="shared" si="1"/>
        <v>47574</v>
      </c>
      <c r="W11" s="78">
        <f t="shared" si="1"/>
        <v>47939</v>
      </c>
    </row>
    <row r="12" spans="2:31">
      <c r="B12" s="120" t="s">
        <v>35</v>
      </c>
      <c r="C12" s="427"/>
      <c r="D12" s="76">
        <f>DATE(IF(AND(MONTH(D11)&gt;=4,MONTH(D11)&lt;=12),YEAR(D11)+1,YEAR(D11)),3,31)</f>
        <v>41364</v>
      </c>
      <c r="E12" s="76">
        <f>DATE(IF(AND(MONTH(E11)&gt;=4,MONTH(E11)&lt;=12),YEAR(E11)+1,YEAR(E11)),3,31)</f>
        <v>41729</v>
      </c>
      <c r="F12" s="76">
        <f t="shared" ref="F12:W12" si="2">DATE(IF(AND(MONTH(F11)&gt;=4,MONTH(F11)&lt;=12),YEAR(F11)+1,YEAR(F11)),3,31)</f>
        <v>42094</v>
      </c>
      <c r="G12" s="76">
        <f t="shared" si="2"/>
        <v>42460</v>
      </c>
      <c r="H12" s="76">
        <f t="shared" si="2"/>
        <v>42825</v>
      </c>
      <c r="I12" s="76">
        <f t="shared" si="2"/>
        <v>43190</v>
      </c>
      <c r="J12" s="76">
        <f t="shared" si="2"/>
        <v>43555</v>
      </c>
      <c r="K12" s="76">
        <f t="shared" si="2"/>
        <v>43921</v>
      </c>
      <c r="L12" s="76">
        <f t="shared" si="2"/>
        <v>44286</v>
      </c>
      <c r="M12" s="76">
        <f t="shared" si="2"/>
        <v>44651</v>
      </c>
      <c r="N12" s="76">
        <f t="shared" si="2"/>
        <v>45016</v>
      </c>
      <c r="O12" s="76">
        <f t="shared" si="2"/>
        <v>45382</v>
      </c>
      <c r="P12" s="76">
        <f t="shared" si="2"/>
        <v>45747</v>
      </c>
      <c r="Q12" s="76">
        <f t="shared" si="2"/>
        <v>46112</v>
      </c>
      <c r="R12" s="76">
        <f t="shared" si="2"/>
        <v>46477</v>
      </c>
      <c r="S12" s="76">
        <f t="shared" si="2"/>
        <v>46843</v>
      </c>
      <c r="T12" s="76">
        <f t="shared" si="2"/>
        <v>47208</v>
      </c>
      <c r="U12" s="76">
        <f t="shared" si="2"/>
        <v>47573</v>
      </c>
      <c r="V12" s="76">
        <f t="shared" si="2"/>
        <v>47938</v>
      </c>
      <c r="W12" s="78">
        <f t="shared" si="2"/>
        <v>48304</v>
      </c>
    </row>
    <row r="13" spans="2:31">
      <c r="B13" s="121" t="s">
        <v>139</v>
      </c>
      <c r="C13" s="428"/>
      <c r="D13" s="79">
        <f>(D12-D11+1)</f>
        <v>365</v>
      </c>
      <c r="E13" s="79">
        <f t="shared" ref="E13:H13" si="3">(E12-E11+1)</f>
        <v>365</v>
      </c>
      <c r="F13" s="79">
        <f t="shared" si="3"/>
        <v>365</v>
      </c>
      <c r="G13" s="79">
        <f t="shared" si="3"/>
        <v>366</v>
      </c>
      <c r="H13" s="79">
        <f t="shared" si="3"/>
        <v>365</v>
      </c>
      <c r="I13" s="79">
        <f t="shared" ref="I13" si="4">(I12-I11+1)</f>
        <v>365</v>
      </c>
      <c r="J13" s="79">
        <f t="shared" ref="J13" si="5">(J12-J11+1)</f>
        <v>365</v>
      </c>
      <c r="K13" s="79">
        <f t="shared" ref="K13:L13" si="6">(K12-K11+1)</f>
        <v>366</v>
      </c>
      <c r="L13" s="79">
        <f t="shared" si="6"/>
        <v>365</v>
      </c>
      <c r="M13" s="79">
        <f t="shared" ref="M13" si="7">(M12-M11+1)</f>
        <v>365</v>
      </c>
      <c r="N13" s="79">
        <f t="shared" ref="N13" si="8">(N12-N11+1)</f>
        <v>365</v>
      </c>
      <c r="O13" s="79">
        <f t="shared" ref="O13:P13" si="9">(O12-O11+1)</f>
        <v>366</v>
      </c>
      <c r="P13" s="79">
        <f t="shared" si="9"/>
        <v>365</v>
      </c>
      <c r="Q13" s="79">
        <f t="shared" ref="Q13" si="10">(Q12-Q11+1)</f>
        <v>365</v>
      </c>
      <c r="R13" s="79">
        <f t="shared" ref="R13" si="11">(R12-R11+1)</f>
        <v>365</v>
      </c>
      <c r="S13" s="79">
        <f t="shared" ref="S13:T13" si="12">(S12-S11+1)</f>
        <v>366</v>
      </c>
      <c r="T13" s="79">
        <f t="shared" si="12"/>
        <v>365</v>
      </c>
      <c r="U13" s="79">
        <f t="shared" ref="U13" si="13">(U12-U11+1)</f>
        <v>365</v>
      </c>
      <c r="V13" s="79">
        <f t="shared" ref="V13" si="14">(V12-V11+1)</f>
        <v>365</v>
      </c>
      <c r="W13" s="80">
        <f t="shared" ref="W13" si="15">(W12-W11+1)</f>
        <v>366</v>
      </c>
    </row>
    <row r="16" spans="2:31">
      <c r="B16" s="122" t="s">
        <v>140</v>
      </c>
      <c r="C16" s="429"/>
      <c r="D16" s="123">
        <f>Input!$D$24*Input!$D$48*'P&amp;L'!D13*24/10^3</f>
        <v>5524.9319999999989</v>
      </c>
      <c r="E16" s="123">
        <f>Input!$D$24*Input!$D$48*'P&amp;L'!E13*24/10^3</f>
        <v>5524.9319999999989</v>
      </c>
      <c r="F16" s="123">
        <f>Input!$D$24*Input!$D$48*'P&amp;L'!F13*24/10^3</f>
        <v>5524.9319999999989</v>
      </c>
      <c r="G16" s="123">
        <f>Input!$D$24*Input!$D$48*'P&amp;L'!G13*24/10^3</f>
        <v>5540.0688</v>
      </c>
      <c r="H16" s="123">
        <f>Input!$D$24*Input!$D$48*'P&amp;L'!H13*24/10^3</f>
        <v>5524.9319999999989</v>
      </c>
      <c r="I16" s="123">
        <f>Input!$D$24*Input!$D$48*'P&amp;L'!I13*24/10^3</f>
        <v>5524.9319999999989</v>
      </c>
      <c r="J16" s="123">
        <f>Input!$D$24*Input!$D$48*'P&amp;L'!J13*24/10^3</f>
        <v>5524.9319999999989</v>
      </c>
      <c r="K16" s="123">
        <f>Input!$D$24*Input!$D$48*'P&amp;L'!K13*24/10^3</f>
        <v>5540.0688</v>
      </c>
      <c r="L16" s="123">
        <f>Input!$D$24*Input!$D$48*'P&amp;L'!L13*24/10^3</f>
        <v>5524.9319999999989</v>
      </c>
      <c r="M16" s="123">
        <f>Input!$D$24*Input!$D$48*'P&amp;L'!M13*24/10^3</f>
        <v>5524.9319999999989</v>
      </c>
      <c r="N16" s="123">
        <f>Input!$D$24*Input!$D$48*'P&amp;L'!N13*24/10^3</f>
        <v>5524.9319999999989</v>
      </c>
      <c r="O16" s="123">
        <f>Input!$D$24*Input!$D$48*'P&amp;L'!O13*24/10^3</f>
        <v>5540.0688</v>
      </c>
      <c r="P16" s="123">
        <f>Input!$D$24*Input!$D$48*'P&amp;L'!P13*24/10^3</f>
        <v>5524.9319999999989</v>
      </c>
      <c r="Q16" s="123">
        <f>Input!$D$24*Input!$D$48*'P&amp;L'!Q13*24/10^3</f>
        <v>5524.9319999999989</v>
      </c>
      <c r="R16" s="123">
        <f>Input!$D$24*Input!$D$48*'P&amp;L'!R13*24/10^3</f>
        <v>5524.9319999999989</v>
      </c>
      <c r="S16" s="123">
        <f>Input!$D$24*Input!$D$48*'P&amp;L'!S13*24/10^3</f>
        <v>5540.0688</v>
      </c>
      <c r="T16" s="123">
        <f>Input!$D$24*Input!$D$48*'P&amp;L'!T13*24/10^3</f>
        <v>5524.9319999999989</v>
      </c>
      <c r="U16" s="123">
        <f>Input!$D$24*Input!$D$48*'P&amp;L'!U13*24/10^3</f>
        <v>5524.9319999999989</v>
      </c>
      <c r="V16" s="123">
        <f>Input!$D$24*Input!$D$48*'P&amp;L'!V13*24/10^3</f>
        <v>5524.9319999999989</v>
      </c>
      <c r="W16" s="124">
        <f>Input!$D$24*Input!$D$48*'P&amp;L'!W13*24/10^3</f>
        <v>5540.0688</v>
      </c>
    </row>
    <row r="17" spans="2:23">
      <c r="B17" s="125" t="s">
        <v>141</v>
      </c>
      <c r="C17" s="430"/>
      <c r="D17" s="126">
        <f>D16*Input!$D$46</f>
        <v>165.74795999999995</v>
      </c>
      <c r="E17" s="126">
        <f>E16*Input!$D$46</f>
        <v>165.74795999999995</v>
      </c>
      <c r="F17" s="126">
        <f>F16*Input!$D$46</f>
        <v>165.74795999999995</v>
      </c>
      <c r="G17" s="126">
        <f>G16*Input!$D$46</f>
        <v>166.20206400000001</v>
      </c>
      <c r="H17" s="126">
        <f>H16*Input!$D$46</f>
        <v>165.74795999999995</v>
      </c>
      <c r="I17" s="126">
        <f>I16*Input!$D$46</f>
        <v>165.74795999999995</v>
      </c>
      <c r="J17" s="126">
        <f>J16*Input!$D$46</f>
        <v>165.74795999999995</v>
      </c>
      <c r="K17" s="126">
        <f>K16*Input!$D$46</f>
        <v>166.20206400000001</v>
      </c>
      <c r="L17" s="126">
        <f>L16*Input!$D$46</f>
        <v>165.74795999999995</v>
      </c>
      <c r="M17" s="126">
        <f>M16*Input!$D$46</f>
        <v>165.74795999999995</v>
      </c>
      <c r="N17" s="126">
        <f>N16*Input!$D$46</f>
        <v>165.74795999999995</v>
      </c>
      <c r="O17" s="126">
        <f>O16*Input!$D$46</f>
        <v>166.20206400000001</v>
      </c>
      <c r="P17" s="126">
        <f>P16*Input!$D$46</f>
        <v>165.74795999999995</v>
      </c>
      <c r="Q17" s="126">
        <f>Q16*Input!$D$46</f>
        <v>165.74795999999995</v>
      </c>
      <c r="R17" s="126">
        <f>R16*Input!$D$46</f>
        <v>165.74795999999995</v>
      </c>
      <c r="S17" s="126">
        <f>S16*Input!$D$46</f>
        <v>166.20206400000001</v>
      </c>
      <c r="T17" s="126">
        <f>T16*Input!$D$46</f>
        <v>165.74795999999995</v>
      </c>
      <c r="U17" s="126">
        <f>U16*Input!$D$46</f>
        <v>165.74795999999995</v>
      </c>
      <c r="V17" s="126">
        <f>V16*Input!$D$46</f>
        <v>165.74795999999995</v>
      </c>
      <c r="W17" s="127">
        <f>W16*Input!$D$46</f>
        <v>166.20206400000001</v>
      </c>
    </row>
    <row r="18" spans="2:23">
      <c r="B18" s="128" t="s">
        <v>142</v>
      </c>
      <c r="C18" s="431"/>
      <c r="D18" s="129">
        <f>D16-D17</f>
        <v>5359.1840399999992</v>
      </c>
      <c r="E18" s="129">
        <f t="shared" ref="E18:W18" si="16">E16-E17</f>
        <v>5359.1840399999992</v>
      </c>
      <c r="F18" s="129">
        <f t="shared" si="16"/>
        <v>5359.1840399999992</v>
      </c>
      <c r="G18" s="129">
        <f t="shared" si="16"/>
        <v>5373.8667359999999</v>
      </c>
      <c r="H18" s="129">
        <f t="shared" si="16"/>
        <v>5359.1840399999992</v>
      </c>
      <c r="I18" s="129">
        <f t="shared" si="16"/>
        <v>5359.1840399999992</v>
      </c>
      <c r="J18" s="129">
        <f t="shared" si="16"/>
        <v>5359.1840399999992</v>
      </c>
      <c r="K18" s="129">
        <f t="shared" si="16"/>
        <v>5373.8667359999999</v>
      </c>
      <c r="L18" s="129">
        <f t="shared" si="16"/>
        <v>5359.1840399999992</v>
      </c>
      <c r="M18" s="129">
        <f t="shared" si="16"/>
        <v>5359.1840399999992</v>
      </c>
      <c r="N18" s="129">
        <f t="shared" si="16"/>
        <v>5359.1840399999992</v>
      </c>
      <c r="O18" s="129">
        <f t="shared" si="16"/>
        <v>5373.8667359999999</v>
      </c>
      <c r="P18" s="129">
        <f t="shared" si="16"/>
        <v>5359.1840399999992</v>
      </c>
      <c r="Q18" s="129">
        <f t="shared" si="16"/>
        <v>5359.1840399999992</v>
      </c>
      <c r="R18" s="129">
        <f t="shared" si="16"/>
        <v>5359.1840399999992</v>
      </c>
      <c r="S18" s="129">
        <f t="shared" si="16"/>
        <v>5373.8667359999999</v>
      </c>
      <c r="T18" s="129">
        <f t="shared" si="16"/>
        <v>5359.1840399999992</v>
      </c>
      <c r="U18" s="129">
        <f t="shared" si="16"/>
        <v>5359.1840399999992</v>
      </c>
      <c r="V18" s="129">
        <f t="shared" si="16"/>
        <v>5359.1840399999992</v>
      </c>
      <c r="W18" s="130">
        <f t="shared" si="16"/>
        <v>5373.8667359999999</v>
      </c>
    </row>
    <row r="19" spans="2:23">
      <c r="B19" s="131"/>
      <c r="C19" s="132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</row>
    <row r="20" spans="2:23">
      <c r="B20" s="131"/>
      <c r="C20" s="131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</row>
    <row r="21" spans="2:23">
      <c r="B21" s="122" t="s">
        <v>143</v>
      </c>
      <c r="C21" s="184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4"/>
    </row>
    <row r="22" spans="2:23">
      <c r="B22" s="125" t="s">
        <v>173</v>
      </c>
      <c r="C22" s="185" t="s">
        <v>241</v>
      </c>
      <c r="D22" s="132">
        <f ca="1">Tariff!E23</f>
        <v>3.2801822183679619</v>
      </c>
      <c r="E22" s="132">
        <f ca="1">Tariff!F23</f>
        <v>3.3364768737255215</v>
      </c>
      <c r="F22" s="132">
        <f ca="1">Tariff!G23</f>
        <v>3.3956561553412934</v>
      </c>
      <c r="G22" s="132">
        <f ca="1">Tariff!H23</f>
        <v>3.4639821401695619</v>
      </c>
      <c r="H22" s="132">
        <f ca="1">Tariff!I23</f>
        <v>3.5486174776950046</v>
      </c>
      <c r="I22" s="132">
        <f ca="1">Tariff!J23</f>
        <v>3.6463210322844666</v>
      </c>
      <c r="J22" s="132">
        <f ca="1">Tariff!K23</f>
        <v>3.7613718704874697</v>
      </c>
      <c r="K22" s="132">
        <f ca="1">Tariff!L23</f>
        <v>3.8952547788160961</v>
      </c>
      <c r="L22" s="132">
        <f ca="1">Tariff!M23</f>
        <v>4.055762281707235</v>
      </c>
      <c r="M22" s="132">
        <f ca="1">Tariff!N23</f>
        <v>4.2426138190587084</v>
      </c>
      <c r="N22" s="132">
        <f ca="1">Tariff!O23</f>
        <v>4.5025206982470758</v>
      </c>
      <c r="O22" s="132">
        <f ca="1">Tariff!P23</f>
        <v>4.7590075434185977</v>
      </c>
      <c r="P22" s="132">
        <f ca="1">Tariff!Q23</f>
        <v>4.9802177405496586</v>
      </c>
      <c r="Q22" s="132">
        <f ca="1">Tariff!R23</f>
        <v>5.3700763290738713</v>
      </c>
      <c r="R22" s="132">
        <f ca="1">Tariff!S23</f>
        <v>5.8217848759947159</v>
      </c>
      <c r="S22" s="132">
        <f ca="1">Tariff!T23</f>
        <v>6.3452334916983251</v>
      </c>
      <c r="T22" s="132">
        <f ca="1">Tariff!U23</f>
        <v>6.9560598194226619</v>
      </c>
      <c r="U22" s="132">
        <f ca="1">Tariff!V23</f>
        <v>7.6664625096542443</v>
      </c>
      <c r="V22" s="132">
        <f ca="1">Tariff!W23</f>
        <v>8.4951430166390551</v>
      </c>
      <c r="W22" s="132">
        <f ca="1">Tariff!X23</f>
        <v>9.4618180036033266</v>
      </c>
    </row>
    <row r="23" spans="2:23">
      <c r="B23" s="128" t="s">
        <v>174</v>
      </c>
      <c r="C23" s="186" t="s">
        <v>237</v>
      </c>
      <c r="D23" s="129">
        <f ca="1">D18*D22</f>
        <v>17579.100192969374</v>
      </c>
      <c r="E23" s="129">
        <f t="shared" ref="E23:W23" ca="1" si="17">E18*E22</f>
        <v>17880.793611498906</v>
      </c>
      <c r="F23" s="129">
        <f t="shared" ca="1" si="17"/>
        <v>18197.946273032816</v>
      </c>
      <c r="G23" s="129">
        <f t="shared" ca="1" si="17"/>
        <v>18614.978397155297</v>
      </c>
      <c r="H23" s="129">
        <f t="shared" ca="1" si="17"/>
        <v>19017.694150528121</v>
      </c>
      <c r="I23" s="129">
        <f t="shared" ca="1" si="17"/>
        <v>19541.305480935236</v>
      </c>
      <c r="J23" s="129">
        <f t="shared" ca="1" si="17"/>
        <v>20157.884096821392</v>
      </c>
      <c r="K23" s="129">
        <f t="shared" ca="1" si="17"/>
        <v>20932.580084124857</v>
      </c>
      <c r="L23" s="129">
        <f t="shared" ca="1" si="17"/>
        <v>21735.576490159394</v>
      </c>
      <c r="M23" s="129">
        <f t="shared" ca="1" si="17"/>
        <v>22736.948266982876</v>
      </c>
      <c r="N23" s="129">
        <f t="shared" ca="1" si="17"/>
        <v>24129.83706581538</v>
      </c>
      <c r="O23" s="129">
        <f t="shared" ca="1" si="17"/>
        <v>25574.272333950277</v>
      </c>
      <c r="P23" s="129">
        <f t="shared" ca="1" si="17"/>
        <v>26689.903430878589</v>
      </c>
      <c r="Q23" s="129">
        <f t="shared" ca="1" si="17"/>
        <v>28779.227356354473</v>
      </c>
      <c r="R23" s="129">
        <f t="shared" ca="1" si="17"/>
        <v>31200.016591744257</v>
      </c>
      <c r="S23" s="129">
        <f t="shared" ca="1" si="17"/>
        <v>34098.439193190759</v>
      </c>
      <c r="T23" s="129">
        <f t="shared" ca="1" si="17"/>
        <v>37278.804765535206</v>
      </c>
      <c r="U23" s="129">
        <f t="shared" ca="1" si="17"/>
        <v>41085.983524997362</v>
      </c>
      <c r="V23" s="129">
        <f t="shared" ca="1" si="17"/>
        <v>45527.034872289471</v>
      </c>
      <c r="W23" s="130">
        <f t="shared" ca="1" si="17"/>
        <v>50846.549031649847</v>
      </c>
    </row>
    <row r="24" spans="2:23">
      <c r="B24" s="125"/>
      <c r="C24" s="185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7"/>
    </row>
    <row r="25" spans="2:23">
      <c r="B25" s="128" t="s">
        <v>175</v>
      </c>
      <c r="C25" s="186" t="s">
        <v>237</v>
      </c>
      <c r="D25" s="129">
        <f ca="1">D23</f>
        <v>17579.100192969374</v>
      </c>
      <c r="E25" s="129">
        <f t="shared" ref="E25:W25" ca="1" si="18">E23</f>
        <v>17880.793611498906</v>
      </c>
      <c r="F25" s="129">
        <f t="shared" ca="1" si="18"/>
        <v>18197.946273032816</v>
      </c>
      <c r="G25" s="129">
        <f t="shared" ca="1" si="18"/>
        <v>18614.978397155297</v>
      </c>
      <c r="H25" s="129">
        <f t="shared" ca="1" si="18"/>
        <v>19017.694150528121</v>
      </c>
      <c r="I25" s="129">
        <f t="shared" ca="1" si="18"/>
        <v>19541.305480935236</v>
      </c>
      <c r="J25" s="129">
        <f t="shared" ca="1" si="18"/>
        <v>20157.884096821392</v>
      </c>
      <c r="K25" s="129">
        <f t="shared" ca="1" si="18"/>
        <v>20932.580084124857</v>
      </c>
      <c r="L25" s="129">
        <f t="shared" ca="1" si="18"/>
        <v>21735.576490159394</v>
      </c>
      <c r="M25" s="129">
        <f t="shared" ca="1" si="18"/>
        <v>22736.948266982876</v>
      </c>
      <c r="N25" s="129">
        <f t="shared" ca="1" si="18"/>
        <v>24129.83706581538</v>
      </c>
      <c r="O25" s="129">
        <f t="shared" ca="1" si="18"/>
        <v>25574.272333950277</v>
      </c>
      <c r="P25" s="129">
        <f t="shared" ca="1" si="18"/>
        <v>26689.903430878589</v>
      </c>
      <c r="Q25" s="129">
        <f t="shared" ca="1" si="18"/>
        <v>28779.227356354473</v>
      </c>
      <c r="R25" s="129">
        <f t="shared" ca="1" si="18"/>
        <v>31200.016591744257</v>
      </c>
      <c r="S25" s="129">
        <f t="shared" ca="1" si="18"/>
        <v>34098.439193190759</v>
      </c>
      <c r="T25" s="129">
        <f t="shared" ca="1" si="18"/>
        <v>37278.804765535206</v>
      </c>
      <c r="U25" s="129">
        <f t="shared" ca="1" si="18"/>
        <v>41085.983524997362</v>
      </c>
      <c r="V25" s="129">
        <f t="shared" ca="1" si="18"/>
        <v>45527.034872289471</v>
      </c>
      <c r="W25" s="129">
        <f t="shared" ca="1" si="18"/>
        <v>50846.549031649847</v>
      </c>
    </row>
    <row r="26" spans="2:23" ht="11.25" customHeight="1">
      <c r="B26" s="131"/>
      <c r="C26" s="126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</row>
    <row r="28" spans="2:23">
      <c r="B28" s="134" t="s">
        <v>144</v>
      </c>
      <c r="C28" s="429" t="s">
        <v>237</v>
      </c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6"/>
    </row>
    <row r="29" spans="2:23">
      <c r="B29" s="125" t="s">
        <v>145</v>
      </c>
      <c r="C29" s="430"/>
      <c r="D29" s="132">
        <f>'Term Loan'!D24</f>
        <v>2089.6312499999999</v>
      </c>
      <c r="E29" s="132">
        <f>'Term Loan'!E24</f>
        <v>1941.1874999999995</v>
      </c>
      <c r="F29" s="132">
        <f>'Term Loan'!F24</f>
        <v>1758.4874999999993</v>
      </c>
      <c r="G29" s="132">
        <f>'Term Loan'!G24</f>
        <v>1575.7874999999995</v>
      </c>
      <c r="H29" s="132">
        <f>'Term Loan'!H24</f>
        <v>1393.0874999999996</v>
      </c>
      <c r="I29" s="132">
        <f>'Term Loan'!I24</f>
        <v>1210.3874999999996</v>
      </c>
      <c r="J29" s="132">
        <f>'Term Loan'!J24</f>
        <v>1027.6874999999998</v>
      </c>
      <c r="K29" s="132">
        <f>'Term Loan'!K24</f>
        <v>844.98749999999984</v>
      </c>
      <c r="L29" s="132">
        <f>'Term Loan'!L24</f>
        <v>662.28749999999991</v>
      </c>
      <c r="M29" s="132">
        <f>'Term Loan'!M24</f>
        <v>479.58750000000015</v>
      </c>
      <c r="N29" s="132">
        <f>'Term Loan'!N24</f>
        <v>296.88750000000027</v>
      </c>
      <c r="O29" s="132">
        <f>'Term Loan'!O24</f>
        <v>114.18750000000027</v>
      </c>
      <c r="P29" s="132">
        <f>'Term Loan'!P24</f>
        <v>6.5369931689929225E-14</v>
      </c>
      <c r="Q29" s="132">
        <f>'Term Loan'!Q24</f>
        <v>0</v>
      </c>
      <c r="R29" s="132">
        <f>'Term Loan'!R24</f>
        <v>0</v>
      </c>
      <c r="S29" s="132">
        <f>'Term Loan'!S24</f>
        <v>0</v>
      </c>
      <c r="T29" s="132">
        <f>'Term Loan'!T24</f>
        <v>0</v>
      </c>
      <c r="U29" s="132">
        <f>'Term Loan'!U24</f>
        <v>0</v>
      </c>
      <c r="V29" s="132">
        <f>'Term Loan'!V24</f>
        <v>0</v>
      </c>
      <c r="W29" s="132">
        <f>'Term Loan'!W24</f>
        <v>0</v>
      </c>
    </row>
    <row r="30" spans="2:23">
      <c r="B30" s="125" t="s">
        <v>147</v>
      </c>
      <c r="C30" s="430"/>
      <c r="D30" s="132">
        <f t="shared" ref="D30:W30" ca="1" si="19">D57</f>
        <v>426.75379203501001</v>
      </c>
      <c r="E30" s="132">
        <f t="shared" ca="1" si="19"/>
        <v>435.20439118521313</v>
      </c>
      <c r="F30" s="132">
        <f t="shared" ca="1" si="19"/>
        <v>444.32912264814979</v>
      </c>
      <c r="G30" s="132">
        <f t="shared" ca="1" si="19"/>
        <v>454.87287842672913</v>
      </c>
      <c r="H30" s="132">
        <f t="shared" ca="1" si="19"/>
        <v>467.52635170050348</v>
      </c>
      <c r="I30" s="132">
        <f t="shared" ca="1" si="19"/>
        <v>482.17914292473176</v>
      </c>
      <c r="J30" s="132">
        <f t="shared" ca="1" si="19"/>
        <v>499.34240114279942</v>
      </c>
      <c r="K30" s="132">
        <f t="shared" ca="1" si="19"/>
        <v>519.35459661909806</v>
      </c>
      <c r="L30" s="132">
        <f t="shared" ca="1" si="19"/>
        <v>543.02055118473493</v>
      </c>
      <c r="M30" s="132">
        <f t="shared" ca="1" si="19"/>
        <v>570.65374617571274</v>
      </c>
      <c r="N30" s="132">
        <f t="shared" ca="1" si="19"/>
        <v>607.16564665237263</v>
      </c>
      <c r="O30" s="132">
        <f t="shared" ca="1" si="19"/>
        <v>645.14027547758508</v>
      </c>
      <c r="P30" s="132">
        <f t="shared" ca="1" si="19"/>
        <v>681.48368525300873</v>
      </c>
      <c r="Q30" s="132">
        <f t="shared" ca="1" si="19"/>
        <v>737.41755195520147</v>
      </c>
      <c r="R30" s="132">
        <f t="shared" ca="1" si="19"/>
        <v>802.50481712533281</v>
      </c>
      <c r="S30" s="132">
        <f t="shared" ca="1" si="19"/>
        <v>878.34947796435688</v>
      </c>
      <c r="T30" s="132">
        <f t="shared" ca="1" si="19"/>
        <v>966.92374707605313</v>
      </c>
      <c r="U30" s="132">
        <f t="shared" ca="1" si="19"/>
        <v>1070.4263544924709</v>
      </c>
      <c r="V30" s="132">
        <f t="shared" ca="1" si="19"/>
        <v>1191.5378856625878</v>
      </c>
      <c r="W30" s="132">
        <f t="shared" ca="1" si="19"/>
        <v>1333.370943225714</v>
      </c>
    </row>
    <row r="31" spans="2:23">
      <c r="B31" s="125" t="s">
        <v>146</v>
      </c>
      <c r="C31" s="430"/>
      <c r="D31" s="132">
        <f>Input!$D$69*Input!D24*D13/365</f>
        <v>1297.758</v>
      </c>
      <c r="E31" s="132">
        <f>D31*(1+Input!$D$70)</f>
        <v>1371.9897575999998</v>
      </c>
      <c r="F31" s="132">
        <f>E31*(1+Input!$D$70)</f>
        <v>1450.4675717347197</v>
      </c>
      <c r="G31" s="132">
        <f>F31*(1+Input!$D$70)</f>
        <v>1533.4343168379455</v>
      </c>
      <c r="H31" s="132">
        <f>G31*(1+Input!$D$70)</f>
        <v>1621.1467597610758</v>
      </c>
      <c r="I31" s="132">
        <f>H31*(1+Input!$D$70)</f>
        <v>1713.8763544194092</v>
      </c>
      <c r="J31" s="132">
        <f>I31*(1+Input!$D$70)</f>
        <v>1811.9100818921993</v>
      </c>
      <c r="K31" s="132">
        <f>J31*(1+Input!$D$70)</f>
        <v>1915.551338576433</v>
      </c>
      <c r="L31" s="132">
        <f>K31*(1+Input!$D$70)</f>
        <v>2025.1208751430047</v>
      </c>
      <c r="M31" s="132">
        <f>L31*(1+Input!$D$70)</f>
        <v>2140.9577892011844</v>
      </c>
      <c r="N31" s="132">
        <f>M31*(1+Input!$D$70)</f>
        <v>2263.4205747434921</v>
      </c>
      <c r="O31" s="132">
        <f>N31*(1+Input!$D$70)</f>
        <v>2392.8882316188196</v>
      </c>
      <c r="P31" s="132">
        <f>O31*(1+Input!$D$70)</f>
        <v>2529.7614384674162</v>
      </c>
      <c r="Q31" s="132">
        <f>P31*(1+Input!$D$70)</f>
        <v>2674.463792747752</v>
      </c>
      <c r="R31" s="132">
        <f>Q31*(1+Input!$D$70)</f>
        <v>2827.4431216929233</v>
      </c>
      <c r="S31" s="132">
        <f>R31*(1+Input!$D$70)</f>
        <v>2989.1728682537582</v>
      </c>
      <c r="T31" s="132">
        <f>S31*(1+Input!$D$70)</f>
        <v>3160.1535563178732</v>
      </c>
      <c r="U31" s="132">
        <f>T31*(1+Input!$D$70)</f>
        <v>3340.9143397392554</v>
      </c>
      <c r="V31" s="132">
        <f>U31*(1+Input!$D$70)</f>
        <v>3532.0146399723403</v>
      </c>
      <c r="W31" s="132">
        <f>V31*(1+Input!$D$70)</f>
        <v>3734.0458773787577</v>
      </c>
    </row>
    <row r="32" spans="2:23">
      <c r="B32" s="125" t="s">
        <v>170</v>
      </c>
      <c r="C32" s="430"/>
      <c r="D32" s="126">
        <f>D47</f>
        <v>10899.54444385217</v>
      </c>
      <c r="E32" s="126">
        <f t="shared" ref="E32:W32" si="20">E47</f>
        <v>11264.438259994302</v>
      </c>
      <c r="F32" s="126">
        <f t="shared" si="20"/>
        <v>11673.98089134291</v>
      </c>
      <c r="G32" s="126">
        <f t="shared" si="20"/>
        <v>12169.162748691135</v>
      </c>
      <c r="H32" s="126">
        <f t="shared" si="20"/>
        <v>12659.363919772593</v>
      </c>
      <c r="I32" s="126">
        <f t="shared" si="20"/>
        <v>13255.093693281431</v>
      </c>
      <c r="J32" s="126">
        <f t="shared" si="20"/>
        <v>13935.793159878918</v>
      </c>
      <c r="K32" s="126">
        <f t="shared" si="20"/>
        <v>14756.745630811387</v>
      </c>
      <c r="L32" s="126">
        <f t="shared" si="20"/>
        <v>15614.640837557026</v>
      </c>
      <c r="M32" s="126">
        <f t="shared" si="20"/>
        <v>16651.246131796343</v>
      </c>
      <c r="N32" s="126">
        <f t="shared" si="20"/>
        <v>17850.784558508676</v>
      </c>
      <c r="O32" s="126">
        <f t="shared" si="20"/>
        <v>19294.91786832067</v>
      </c>
      <c r="P32" s="126">
        <f t="shared" si="20"/>
        <v>20859.625761448846</v>
      </c>
      <c r="Q32" s="126">
        <f t="shared" si="20"/>
        <v>22743.321234719537</v>
      </c>
      <c r="R32" s="126">
        <f t="shared" si="20"/>
        <v>24940.766089145407</v>
      </c>
      <c r="S32" s="126">
        <f t="shared" si="20"/>
        <v>27583.323311158281</v>
      </c>
      <c r="T32" s="126">
        <f t="shared" si="20"/>
        <v>30510.946388366119</v>
      </c>
      <c r="U32" s="126">
        <f t="shared" si="20"/>
        <v>34027.625509962447</v>
      </c>
      <c r="V32" s="126">
        <f t="shared" si="20"/>
        <v>38149.872065493291</v>
      </c>
      <c r="W32" s="126">
        <f t="shared" si="20"/>
        <v>43103.819045004719</v>
      </c>
    </row>
    <row r="33" spans="2:31">
      <c r="B33" s="125" t="s">
        <v>234</v>
      </c>
      <c r="C33" s="430"/>
      <c r="D33" s="126">
        <f>D64</f>
        <v>1358.5440000000001</v>
      </c>
      <c r="E33" s="126">
        <f t="shared" ref="E33:W33" si="21">E64</f>
        <v>1358.5440000000001</v>
      </c>
      <c r="F33" s="126">
        <f t="shared" si="21"/>
        <v>1358.5440000000001</v>
      </c>
      <c r="G33" s="126">
        <f t="shared" si="21"/>
        <v>1358.5440000000001</v>
      </c>
      <c r="H33" s="126">
        <f t="shared" si="21"/>
        <v>1358.5440000000001</v>
      </c>
      <c r="I33" s="126">
        <f t="shared" si="21"/>
        <v>1358.5440000000001</v>
      </c>
      <c r="J33" s="126">
        <f t="shared" si="21"/>
        <v>1358.5440000000001</v>
      </c>
      <c r="K33" s="126">
        <f t="shared" si="21"/>
        <v>1358.5440000000001</v>
      </c>
      <c r="L33" s="126">
        <f t="shared" si="21"/>
        <v>1358.5440000000001</v>
      </c>
      <c r="M33" s="126">
        <f t="shared" si="21"/>
        <v>1358.5440000000001</v>
      </c>
      <c r="N33" s="126">
        <f t="shared" si="21"/>
        <v>1358.5440000000001</v>
      </c>
      <c r="O33" s="126">
        <f t="shared" si="21"/>
        <v>1358.5440000000001</v>
      </c>
      <c r="P33" s="126">
        <f t="shared" si="21"/>
        <v>856.80900000000031</v>
      </c>
      <c r="Q33" s="126">
        <f t="shared" si="21"/>
        <v>856.80900000000031</v>
      </c>
      <c r="R33" s="126">
        <f t="shared" si="21"/>
        <v>856.80900000000031</v>
      </c>
      <c r="S33" s="126">
        <f t="shared" si="21"/>
        <v>856.80900000000031</v>
      </c>
      <c r="T33" s="126">
        <f t="shared" si="21"/>
        <v>856.80900000000031</v>
      </c>
      <c r="U33" s="126">
        <f t="shared" si="21"/>
        <v>856.80900000000031</v>
      </c>
      <c r="V33" s="126">
        <f t="shared" si="21"/>
        <v>856.80900000000031</v>
      </c>
      <c r="W33" s="126">
        <f t="shared" si="21"/>
        <v>856.80900000000031</v>
      </c>
      <c r="Y33" s="126"/>
      <c r="Z33" s="126"/>
      <c r="AA33" s="126"/>
      <c r="AB33" s="126"/>
      <c r="AC33" s="126"/>
      <c r="AD33" s="126"/>
      <c r="AE33" s="126"/>
    </row>
    <row r="34" spans="2:31">
      <c r="B34" s="128" t="s">
        <v>153</v>
      </c>
      <c r="C34" s="431"/>
      <c r="D34" s="129">
        <f ca="1">SUM(D29:D33)</f>
        <v>16072.23148588718</v>
      </c>
      <c r="E34" s="129">
        <f t="shared" ref="E34:W34" ca="1" si="22">SUM(E29:E33)</f>
        <v>16371.363908779515</v>
      </c>
      <c r="F34" s="129">
        <f t="shared" ca="1" si="22"/>
        <v>16685.809085725781</v>
      </c>
      <c r="G34" s="129">
        <f t="shared" ca="1" si="22"/>
        <v>17091.80144395581</v>
      </c>
      <c r="H34" s="129">
        <f t="shared" ca="1" si="22"/>
        <v>17499.668531234172</v>
      </c>
      <c r="I34" s="129">
        <f t="shared" ca="1" si="22"/>
        <v>18020.080690625575</v>
      </c>
      <c r="J34" s="129">
        <f t="shared" ca="1" si="22"/>
        <v>18633.277142913917</v>
      </c>
      <c r="K34" s="129">
        <f t="shared" ca="1" si="22"/>
        <v>19395.183066006921</v>
      </c>
      <c r="L34" s="129">
        <f t="shared" ca="1" si="22"/>
        <v>20203.613763884769</v>
      </c>
      <c r="M34" s="129">
        <f t="shared" ca="1" si="22"/>
        <v>21200.98916717324</v>
      </c>
      <c r="N34" s="129">
        <f t="shared" ca="1" si="22"/>
        <v>22376.802279904543</v>
      </c>
      <c r="O34" s="129">
        <f t="shared" ca="1" si="22"/>
        <v>23805.677875417077</v>
      </c>
      <c r="P34" s="129">
        <f t="shared" ca="1" si="22"/>
        <v>24927.679885169273</v>
      </c>
      <c r="Q34" s="129">
        <f t="shared" ca="1" si="22"/>
        <v>27012.011579422491</v>
      </c>
      <c r="R34" s="129">
        <f t="shared" ca="1" si="22"/>
        <v>29427.523027963663</v>
      </c>
      <c r="S34" s="129">
        <f t="shared" ca="1" si="22"/>
        <v>32307.654657376399</v>
      </c>
      <c r="T34" s="129">
        <f t="shared" ca="1" si="22"/>
        <v>35494.832691760043</v>
      </c>
      <c r="U34" s="129">
        <f t="shared" ca="1" si="22"/>
        <v>39295.775204194171</v>
      </c>
      <c r="V34" s="129">
        <f t="shared" ca="1" si="22"/>
        <v>43730.233591128221</v>
      </c>
      <c r="W34" s="130">
        <f t="shared" ca="1" si="22"/>
        <v>49028.04486560919</v>
      </c>
      <c r="Y34" s="116"/>
    </row>
    <row r="35" spans="2:31">
      <c r="B35" s="131"/>
      <c r="C35" s="137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Y35" s="116"/>
    </row>
    <row r="36" spans="2:31">
      <c r="B36" s="131"/>
      <c r="C36" s="138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Y36" s="116"/>
    </row>
    <row r="37" spans="2:31">
      <c r="B37" s="140" t="s">
        <v>154</v>
      </c>
      <c r="C37" s="429" t="s">
        <v>237</v>
      </c>
      <c r="D37" s="123">
        <f t="shared" ref="D37:W37" ca="1" si="23">D25-D34</f>
        <v>1506.8687070821943</v>
      </c>
      <c r="E37" s="123">
        <f t="shared" ca="1" si="23"/>
        <v>1509.4297027193916</v>
      </c>
      <c r="F37" s="123">
        <f t="shared" ca="1" si="23"/>
        <v>1512.1371873070348</v>
      </c>
      <c r="G37" s="123">
        <f t="shared" ca="1" si="23"/>
        <v>1523.1769531994869</v>
      </c>
      <c r="H37" s="123">
        <f t="shared" ca="1" si="23"/>
        <v>1518.0256192939487</v>
      </c>
      <c r="I37" s="123">
        <f t="shared" ca="1" si="23"/>
        <v>1521.2247903096613</v>
      </c>
      <c r="J37" s="123">
        <f t="shared" ca="1" si="23"/>
        <v>1524.6069539074742</v>
      </c>
      <c r="K37" s="123">
        <f t="shared" ca="1" si="23"/>
        <v>1537.3970181179357</v>
      </c>
      <c r="L37" s="123">
        <f t="shared" ca="1" si="23"/>
        <v>1531.9627262746253</v>
      </c>
      <c r="M37" s="123">
        <f t="shared" ca="1" si="23"/>
        <v>1535.9590998096355</v>
      </c>
      <c r="N37" s="123">
        <f t="shared" ca="1" si="23"/>
        <v>1753.0347859108369</v>
      </c>
      <c r="O37" s="123">
        <f t="shared" ca="1" si="23"/>
        <v>1768.5944585331999</v>
      </c>
      <c r="P37" s="123">
        <f t="shared" ca="1" si="23"/>
        <v>1762.2235457093157</v>
      </c>
      <c r="Q37" s="123">
        <f t="shared" ca="1" si="23"/>
        <v>1767.215776931982</v>
      </c>
      <c r="R37" s="123">
        <f t="shared" ca="1" si="23"/>
        <v>1772.4935637805938</v>
      </c>
      <c r="S37" s="123">
        <f t="shared" ca="1" si="23"/>
        <v>1790.7845358143604</v>
      </c>
      <c r="T37" s="123">
        <f t="shared" ca="1" si="23"/>
        <v>1783.9720737751632</v>
      </c>
      <c r="U37" s="123">
        <f t="shared" ca="1" si="23"/>
        <v>1790.2083208031909</v>
      </c>
      <c r="V37" s="123">
        <f t="shared" ca="1" si="23"/>
        <v>1796.8012811612498</v>
      </c>
      <c r="W37" s="124">
        <f t="shared" ca="1" si="23"/>
        <v>1818.5041660406569</v>
      </c>
    </row>
    <row r="38" spans="2:31">
      <c r="B38" s="125" t="s">
        <v>176</v>
      </c>
      <c r="C38" s="430"/>
      <c r="D38" s="126">
        <f ca="1">D91</f>
        <v>256.16768020397308</v>
      </c>
      <c r="E38" s="126">
        <f t="shared" ref="E38:W38" ca="1" si="24">E91</f>
        <v>256.60304946229661</v>
      </c>
      <c r="F38" s="126">
        <f t="shared" ca="1" si="24"/>
        <v>257.06332184219593</v>
      </c>
      <c r="G38" s="126">
        <f t="shared" ca="1" si="24"/>
        <v>258.94008204391281</v>
      </c>
      <c r="H38" s="126">
        <f t="shared" ca="1" si="24"/>
        <v>258.06435527997132</v>
      </c>
      <c r="I38" s="126">
        <f t="shared" ca="1" si="24"/>
        <v>258.60821435264245</v>
      </c>
      <c r="J38" s="126">
        <f t="shared" ca="1" si="24"/>
        <v>259.18318216427065</v>
      </c>
      <c r="K38" s="126">
        <f t="shared" ca="1" si="24"/>
        <v>261.3574930800491</v>
      </c>
      <c r="L38" s="126">
        <f t="shared" ca="1" si="24"/>
        <v>260.43366346668631</v>
      </c>
      <c r="M38" s="126">
        <f t="shared" ca="1" si="24"/>
        <v>261.11304696763807</v>
      </c>
      <c r="N38" s="126">
        <f t="shared" ca="1" si="24"/>
        <v>298.0159136048423</v>
      </c>
      <c r="O38" s="126">
        <f t="shared" ca="1" si="24"/>
        <v>300.66105795064402</v>
      </c>
      <c r="P38" s="126">
        <f t="shared" ca="1" si="24"/>
        <v>299.57800277058368</v>
      </c>
      <c r="Q38" s="126">
        <f t="shared" ca="1" si="24"/>
        <v>300.42668207843695</v>
      </c>
      <c r="R38" s="126">
        <f t="shared" ca="1" si="24"/>
        <v>301.32390584270098</v>
      </c>
      <c r="S38" s="126">
        <f t="shared" ca="1" si="24"/>
        <v>304.43337108844128</v>
      </c>
      <c r="T38" s="126">
        <f t="shared" ca="1" si="24"/>
        <v>303.27525254177777</v>
      </c>
      <c r="U38" s="126">
        <f t="shared" ca="1" si="24"/>
        <v>612.2151666529868</v>
      </c>
      <c r="V38" s="126">
        <f t="shared" ca="1" si="24"/>
        <v>901.96213456670887</v>
      </c>
      <c r="W38" s="126">
        <f t="shared" ca="1" si="24"/>
        <v>909.3389451372193</v>
      </c>
    </row>
    <row r="39" spans="2:31">
      <c r="B39" s="141" t="s">
        <v>167</v>
      </c>
      <c r="C39" s="431"/>
      <c r="D39" s="129">
        <f t="shared" ref="D39:W39" ca="1" si="25">D37-D38</f>
        <v>1250.7010268782212</v>
      </c>
      <c r="E39" s="129">
        <f t="shared" ca="1" si="25"/>
        <v>1252.8266532570949</v>
      </c>
      <c r="F39" s="129">
        <f t="shared" ca="1" si="25"/>
        <v>1255.0738654648389</v>
      </c>
      <c r="G39" s="129">
        <f t="shared" ca="1" si="25"/>
        <v>1264.2368711555741</v>
      </c>
      <c r="H39" s="129">
        <f t="shared" ca="1" si="25"/>
        <v>1259.9612640139774</v>
      </c>
      <c r="I39" s="129">
        <f t="shared" ca="1" si="25"/>
        <v>1262.616575957019</v>
      </c>
      <c r="J39" s="129">
        <f t="shared" ca="1" si="25"/>
        <v>1265.4237717432036</v>
      </c>
      <c r="K39" s="129">
        <f t="shared" ca="1" si="25"/>
        <v>1276.0395250378865</v>
      </c>
      <c r="L39" s="129">
        <f t="shared" ca="1" si="25"/>
        <v>1271.529062807939</v>
      </c>
      <c r="M39" s="129">
        <f t="shared" ca="1" si="25"/>
        <v>1274.8460528419973</v>
      </c>
      <c r="N39" s="129">
        <f t="shared" ca="1" si="25"/>
        <v>1455.0188723059946</v>
      </c>
      <c r="O39" s="129">
        <f t="shared" ca="1" si="25"/>
        <v>1467.9334005825558</v>
      </c>
      <c r="P39" s="129">
        <f t="shared" ca="1" si="25"/>
        <v>1462.645542938732</v>
      </c>
      <c r="Q39" s="129">
        <f t="shared" ca="1" si="25"/>
        <v>1466.7890948535451</v>
      </c>
      <c r="R39" s="129">
        <f t="shared" ca="1" si="25"/>
        <v>1471.1696579378929</v>
      </c>
      <c r="S39" s="129">
        <f t="shared" ca="1" si="25"/>
        <v>1486.3511647259193</v>
      </c>
      <c r="T39" s="129">
        <f t="shared" ca="1" si="25"/>
        <v>1480.6968212333854</v>
      </c>
      <c r="U39" s="129">
        <f t="shared" ca="1" si="25"/>
        <v>1177.9931541502042</v>
      </c>
      <c r="V39" s="129">
        <f t="shared" ca="1" si="25"/>
        <v>894.83914659454092</v>
      </c>
      <c r="W39" s="130">
        <f t="shared" ca="1" si="25"/>
        <v>909.16522090343756</v>
      </c>
    </row>
    <row r="40" spans="2:31">
      <c r="B40" s="142"/>
      <c r="C40" s="142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</row>
    <row r="41" spans="2:31">
      <c r="B41" s="142"/>
      <c r="C41" s="142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</row>
    <row r="42" spans="2:31">
      <c r="B42" s="140" t="s">
        <v>181</v>
      </c>
      <c r="C42" s="429" t="s">
        <v>237</v>
      </c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4"/>
    </row>
    <row r="43" spans="2:31">
      <c r="B43" s="125" t="s">
        <v>183</v>
      </c>
      <c r="C43" s="430"/>
      <c r="D43" s="126">
        <f>D16*Input!$D$43/Input!$D$53</f>
        <v>1193.7776454099505</v>
      </c>
      <c r="E43" s="126">
        <f>E16*Input!$D$43/Input!$D$53</f>
        <v>1193.7776454099505</v>
      </c>
      <c r="F43" s="126">
        <f>F16*Input!$D$43/Input!$D$53</f>
        <v>1193.7776454099505</v>
      </c>
      <c r="G43" s="126">
        <f>G16*Input!$D$43/Input!$D$53</f>
        <v>1197.0482690960055</v>
      </c>
      <c r="H43" s="126">
        <f>H16*Input!$D$43/Input!$D$53</f>
        <v>1193.7776454099505</v>
      </c>
      <c r="I43" s="126">
        <f>I16*Input!$D$43/Input!$D$53</f>
        <v>1193.7776454099505</v>
      </c>
      <c r="J43" s="126">
        <f>J16*Input!$D$43/Input!$D$53</f>
        <v>1193.7776454099505</v>
      </c>
      <c r="K43" s="126">
        <f>K16*Input!$D$43/Input!$D$53</f>
        <v>1197.0482690960055</v>
      </c>
      <c r="L43" s="126">
        <f>L16*Input!$D$43/Input!$D$53</f>
        <v>1193.7776454099505</v>
      </c>
      <c r="M43" s="126">
        <f>M16*Input!$D$43/Input!$D$53</f>
        <v>1193.7776454099505</v>
      </c>
      <c r="N43" s="126">
        <f>N16*Input!$D$43/Input!$D$53</f>
        <v>1193.7776454099505</v>
      </c>
      <c r="O43" s="126">
        <f>O16*Input!$D$43/Input!$D$53</f>
        <v>1197.0482690960055</v>
      </c>
      <c r="P43" s="126">
        <f>P16*Input!$D$43/Input!$D$53</f>
        <v>1193.7776454099505</v>
      </c>
      <c r="Q43" s="126">
        <f>Q16*Input!$D$43/Input!$D$53</f>
        <v>1193.7776454099505</v>
      </c>
      <c r="R43" s="126">
        <f>R16*Input!$D$43/Input!$D$53</f>
        <v>1193.7776454099505</v>
      </c>
      <c r="S43" s="126">
        <f>S16*Input!$D$43/Input!$D$53</f>
        <v>1197.0482690960055</v>
      </c>
      <c r="T43" s="126">
        <f>T16*Input!$D$43/Input!$D$53</f>
        <v>1193.7776454099505</v>
      </c>
      <c r="U43" s="126">
        <f>U16*Input!$D$43/Input!$D$53</f>
        <v>1193.7776454099505</v>
      </c>
      <c r="V43" s="126">
        <f>V16*Input!$D$43/Input!$D$53</f>
        <v>1193.7776454099505</v>
      </c>
      <c r="W43" s="127">
        <f>W16*Input!$D$43/Input!$D$53</f>
        <v>1197.0482690960055</v>
      </c>
    </row>
    <row r="44" spans="2:31">
      <c r="B44" s="125" t="s">
        <v>216</v>
      </c>
      <c r="C44" s="430"/>
      <c r="D44" s="126">
        <f>'NG prices'!E15</f>
        <v>8.0121705294642851</v>
      </c>
      <c r="E44" s="126">
        <f>D44*(1+Input!$D$56)</f>
        <v>8.1171299634002683</v>
      </c>
      <c r="F44" s="126">
        <f>E44*(1+Input!$D$56)</f>
        <v>8.2234643659208135</v>
      </c>
      <c r="G44" s="126">
        <f>F44*(1+Input!$D$56)</f>
        <v>8.3311917491143763</v>
      </c>
      <c r="H44" s="126">
        <f>G44*(1+Input!$D$56)</f>
        <v>8.440330361027776</v>
      </c>
      <c r="I44" s="126">
        <f>H44*(1+Input!$D$56)</f>
        <v>8.5508986887572416</v>
      </c>
      <c r="J44" s="126">
        <f>I44*(1+Input!$D$56)</f>
        <v>8.6629154615799617</v>
      </c>
      <c r="K44" s="126">
        <f>J44*(1+Input!$D$56)</f>
        <v>8.77639965412666</v>
      </c>
      <c r="L44" s="126">
        <f>K44*(1+Input!$D$56)</f>
        <v>8.8913704895957206</v>
      </c>
      <c r="M44" s="126">
        <f>L44*(1+Input!$D$56)</f>
        <v>9.0078474430094264</v>
      </c>
      <c r="N44" s="126">
        <f>M44*(1+Input!$D$56)</f>
        <v>9.1258502445128507</v>
      </c>
      <c r="O44" s="126">
        <f>N44*(1+Input!$D$56)</f>
        <v>9.2453988827159694</v>
      </c>
      <c r="P44" s="126">
        <f>O44*(1+Input!$D$56)</f>
        <v>9.3665136080795488</v>
      </c>
      <c r="Q44" s="126">
        <f>P44*(1+Input!$D$56)</f>
        <v>9.4892149363453928</v>
      </c>
      <c r="R44" s="126">
        <f>Q44*(1+Input!$D$56)</f>
        <v>9.6135236520115193</v>
      </c>
      <c r="S44" s="126">
        <f>R44*(1+Input!$D$56)</f>
        <v>9.7394608118528705</v>
      </c>
      <c r="T44" s="126">
        <f>S44*(1+Input!$D$56)</f>
        <v>9.8670477484881438</v>
      </c>
      <c r="U44" s="126">
        <f>T44*(1+Input!$D$56)</f>
        <v>9.99630607399334</v>
      </c>
      <c r="V44" s="126">
        <f>U44*(1+Input!$D$56)</f>
        <v>10.127257683562654</v>
      </c>
      <c r="W44" s="126">
        <f>V44*(1+Input!$D$56)</f>
        <v>10.259924759217325</v>
      </c>
    </row>
    <row r="45" spans="2:31">
      <c r="B45" s="125" t="s">
        <v>217</v>
      </c>
      <c r="C45" s="430"/>
      <c r="D45" s="126">
        <f>'NG prices'!E24</f>
        <v>1.1181264615714284</v>
      </c>
      <c r="E45" s="126">
        <f>D45*(1+Input!$D$57)</f>
        <v>1.3188301614234998</v>
      </c>
      <c r="F45" s="126">
        <f>E45*(1+Input!$D$57)</f>
        <v>1.555560175399018</v>
      </c>
      <c r="G45" s="126">
        <f>F45*(1+Input!$D$57)</f>
        <v>1.8347832268831417</v>
      </c>
      <c r="H45" s="126">
        <f>G45*(1+Input!$D$57)</f>
        <v>2.1641268161086655</v>
      </c>
      <c r="I45" s="126">
        <f>H45*(1+Input!$D$57)</f>
        <v>2.5525875796001709</v>
      </c>
      <c r="J45" s="126">
        <f>I45*(1+Input!$D$57)</f>
        <v>3.0107770501384015</v>
      </c>
      <c r="K45" s="126">
        <f>J45*(1+Input!$D$57)</f>
        <v>3.5512115306382444</v>
      </c>
      <c r="L45" s="126">
        <f>K45*(1+Input!$D$57)</f>
        <v>4.1886540003878094</v>
      </c>
      <c r="M45" s="126">
        <f>L45*(1+Input!$D$57)</f>
        <v>4.9405173934574211</v>
      </c>
      <c r="N45" s="126">
        <f>M45*(1+Input!$D$57)</f>
        <v>5.827340265583028</v>
      </c>
      <c r="O45" s="126">
        <f>N45*(1+Input!$D$57)</f>
        <v>6.8733478432551811</v>
      </c>
      <c r="P45" s="126">
        <f>O45*(1+Input!$D$57)</f>
        <v>8.1071137811194856</v>
      </c>
      <c r="Q45" s="126">
        <f>P45*(1+Input!$D$57)</f>
        <v>9.562340704830433</v>
      </c>
      <c r="R45" s="126">
        <f>Q45*(1+Input!$D$57)</f>
        <v>11.278780861347496</v>
      </c>
      <c r="S45" s="126">
        <f>R45*(1+Input!$D$57)</f>
        <v>13.303322025959371</v>
      </c>
      <c r="T45" s="126">
        <f>S45*(1+Input!$D$57)</f>
        <v>15.691268329619078</v>
      </c>
      <c r="U45" s="126">
        <f>T45*(1+Input!$D$57)</f>
        <v>18.507850994785702</v>
      </c>
      <c r="V45" s="126">
        <f>U45*(1+Input!$D$57)</f>
        <v>21.830010248349737</v>
      </c>
      <c r="W45" s="126">
        <f>V45*(1+Input!$D$57)</f>
        <v>25.748497087928513</v>
      </c>
    </row>
    <row r="46" spans="2:31">
      <c r="B46" s="125" t="s">
        <v>218</v>
      </c>
      <c r="C46" s="430"/>
      <c r="D46" s="126">
        <f>(D44+D45)*(1+Input!$C$91)</f>
        <v>9.1302969910357135</v>
      </c>
      <c r="E46" s="126">
        <f>(E44+E45)*(1+Input!$C$91)</f>
        <v>9.4359601248237688</v>
      </c>
      <c r="F46" s="126">
        <f>(F44+F45)*(1+Input!$C$91)</f>
        <v>9.7790245413198313</v>
      </c>
      <c r="G46" s="126">
        <f>(G44+G45)*(1+Input!$C$91)</f>
        <v>10.165974975997518</v>
      </c>
      <c r="H46" s="126">
        <f>(H44+H45)*(1+Input!$C$91)</f>
        <v>10.604457177136442</v>
      </c>
      <c r="I46" s="126">
        <f>(I44+I45)*(1+Input!$C$91)</f>
        <v>11.103486268357413</v>
      </c>
      <c r="J46" s="126">
        <f>(J44+J45)*(1+Input!$C$91)</f>
        <v>11.673692511718363</v>
      </c>
      <c r="K46" s="126">
        <f>(K44+K45)*(1+Input!$C$91)</f>
        <v>12.327611184764905</v>
      </c>
      <c r="L46" s="126">
        <f>(L44+L45)*(1+Input!$C$91)</f>
        <v>13.080024489983529</v>
      </c>
      <c r="M46" s="126">
        <f>(M44+M45)*(1+Input!$C$91)</f>
        <v>13.948364836466848</v>
      </c>
      <c r="N46" s="126">
        <f>(N44+N45)*(1+Input!$C$91)</f>
        <v>14.95319051009588</v>
      </c>
      <c r="O46" s="126">
        <f>(O44+O45)*(1+Input!$C$91)</f>
        <v>16.11874672597115</v>
      </c>
      <c r="P46" s="126">
        <f>(P44+P45)*(1+Input!$C$91)</f>
        <v>17.473627389199034</v>
      </c>
      <c r="Q46" s="126">
        <f>(Q44+Q45)*(1+Input!$C$91)</f>
        <v>19.051555641175824</v>
      </c>
      <c r="R46" s="126">
        <f>(R44+R45)*(1+Input!$C$91)</f>
        <v>20.892304513359015</v>
      </c>
      <c r="S46" s="126">
        <f>(S44+S45)*(1+Input!$C$91)</f>
        <v>23.04278283781224</v>
      </c>
      <c r="T46" s="126">
        <f>(T44+T45)*(1+Input!$C$91)</f>
        <v>25.558316078107222</v>
      </c>
      <c r="U46" s="126">
        <f>(U44+U45)*(1+Input!$C$91)</f>
        <v>28.504157068779044</v>
      </c>
      <c r="V46" s="126">
        <f>(V44+V45)*(1+Input!$C$91)</f>
        <v>31.957267931912391</v>
      </c>
      <c r="W46" s="126">
        <f>(W44+W45)*(1+Input!$C$91)</f>
        <v>36.00842184714584</v>
      </c>
    </row>
    <row r="47" spans="2:31">
      <c r="B47" s="121" t="s">
        <v>182</v>
      </c>
      <c r="C47" s="431"/>
      <c r="D47" s="143">
        <f t="shared" ref="D47:W47" si="26">D43*D46</f>
        <v>10899.54444385217</v>
      </c>
      <c r="E47" s="129">
        <f t="shared" si="26"/>
        <v>11264.438259994302</v>
      </c>
      <c r="F47" s="129">
        <f t="shared" si="26"/>
        <v>11673.98089134291</v>
      </c>
      <c r="G47" s="129">
        <f t="shared" si="26"/>
        <v>12169.162748691135</v>
      </c>
      <c r="H47" s="129">
        <f t="shared" si="26"/>
        <v>12659.363919772593</v>
      </c>
      <c r="I47" s="129">
        <f t="shared" si="26"/>
        <v>13255.093693281431</v>
      </c>
      <c r="J47" s="129">
        <f t="shared" si="26"/>
        <v>13935.793159878918</v>
      </c>
      <c r="K47" s="129">
        <f t="shared" si="26"/>
        <v>14756.745630811387</v>
      </c>
      <c r="L47" s="129">
        <f t="shared" si="26"/>
        <v>15614.640837557026</v>
      </c>
      <c r="M47" s="129">
        <f t="shared" si="26"/>
        <v>16651.246131796343</v>
      </c>
      <c r="N47" s="129">
        <f t="shared" si="26"/>
        <v>17850.784558508676</v>
      </c>
      <c r="O47" s="129">
        <f t="shared" si="26"/>
        <v>19294.91786832067</v>
      </c>
      <c r="P47" s="129">
        <f t="shared" si="26"/>
        <v>20859.625761448846</v>
      </c>
      <c r="Q47" s="129">
        <f t="shared" si="26"/>
        <v>22743.321234719537</v>
      </c>
      <c r="R47" s="129">
        <f t="shared" si="26"/>
        <v>24940.766089145407</v>
      </c>
      <c r="S47" s="129">
        <f t="shared" si="26"/>
        <v>27583.323311158281</v>
      </c>
      <c r="T47" s="129">
        <f t="shared" si="26"/>
        <v>30510.946388366119</v>
      </c>
      <c r="U47" s="129">
        <f t="shared" si="26"/>
        <v>34027.625509962447</v>
      </c>
      <c r="V47" s="129">
        <f t="shared" si="26"/>
        <v>38149.872065493291</v>
      </c>
      <c r="W47" s="130">
        <f t="shared" si="26"/>
        <v>43103.819045004719</v>
      </c>
    </row>
    <row r="48" spans="2:31">
      <c r="B48" s="142"/>
      <c r="C48" s="142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</row>
    <row r="49" spans="2:23">
      <c r="B49" s="142"/>
      <c r="C49" s="142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</row>
    <row r="51" spans="2:23">
      <c r="B51" s="140" t="s">
        <v>113</v>
      </c>
      <c r="C51" s="426" t="s">
        <v>237</v>
      </c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6"/>
    </row>
    <row r="52" spans="2:23">
      <c r="B52" s="144" t="s">
        <v>148</v>
      </c>
      <c r="C52" s="427"/>
      <c r="D52" s="126">
        <f ca="1">(D18*D22)*Input!$D$80/'P&amp;L'!D13</f>
        <v>2889.7151002141436</v>
      </c>
      <c r="E52" s="126">
        <f ca="1">(E18*E22)*Input!$D$80/'P&amp;L'!E13</f>
        <v>2939.3085388765326</v>
      </c>
      <c r="F52" s="126">
        <f ca="1">(F18*F22)*Input!$D$80/'P&amp;L'!F13</f>
        <v>2991.4432229642985</v>
      </c>
      <c r="G52" s="126">
        <f ca="1">(G18*G22)*Input!$D$80/'P&amp;L'!G13</f>
        <v>3051.6358028123436</v>
      </c>
      <c r="H52" s="126">
        <f ca="1">(H18*H22)*Input!$D$80/'P&amp;L'!H13</f>
        <v>3126.1962987169513</v>
      </c>
      <c r="I52" s="126">
        <f ca="1">(I18*I22)*Input!$D$80/'P&amp;L'!I13</f>
        <v>3212.2693941263401</v>
      </c>
      <c r="J52" s="126">
        <f ca="1">(J18*J22)*Input!$D$80/'P&amp;L'!J13</f>
        <v>3313.6247830391326</v>
      </c>
      <c r="K52" s="126">
        <f ca="1">(K18*K22)*Input!$D$80/'P&amp;L'!K13</f>
        <v>3431.5705055942385</v>
      </c>
      <c r="L52" s="126">
        <f ca="1">(L18*L22)*Input!$D$80/'P&amp;L'!L13</f>
        <v>3572.971477834421</v>
      </c>
      <c r="M52" s="126">
        <f ca="1">(M18*M22)*Input!$D$80/'P&amp;L'!M13</f>
        <v>3737.5805370382814</v>
      </c>
      <c r="N52" s="126">
        <f ca="1">(N18*N22)*Input!$D$80/'P&amp;L'!N13</f>
        <v>3966.548558764172</v>
      </c>
      <c r="O52" s="126">
        <f ca="1">(O18*O22)*Input!$D$80/'P&amp;L'!O13</f>
        <v>4192.5036613033244</v>
      </c>
      <c r="P52" s="126">
        <f ca="1">(P18*P22)*Input!$D$80/'P&amp;L'!P13</f>
        <v>4387.3813858978501</v>
      </c>
      <c r="Q52" s="126">
        <f ca="1">(Q18*Q22)*Input!$D$80/'P&amp;L'!Q13</f>
        <v>4730.8318941952557</v>
      </c>
      <c r="R52" s="126">
        <f ca="1">(R18*R22)*Input!$D$80/'P&amp;L'!R13</f>
        <v>5128.7698506976858</v>
      </c>
      <c r="S52" s="126">
        <f ca="1">(S18*S22)*Input!$D$80/'P&amp;L'!S13</f>
        <v>5589.9080644575015</v>
      </c>
      <c r="T52" s="126">
        <f ca="1">(T18*T22)*Input!$D$80/'P&amp;L'!T13</f>
        <v>6128.0227011838697</v>
      </c>
      <c r="U52" s="126">
        <f ca="1">(U18*U22)*Input!$D$80/'P&amp;L'!U13</f>
        <v>6753.8603054790183</v>
      </c>
      <c r="V52" s="126">
        <f ca="1">(V18*V22)*Input!$D$80/'P&amp;L'!V13</f>
        <v>7483.8961433900495</v>
      </c>
      <c r="W52" s="127">
        <f ca="1">(W18*W22)*Input!$D$80/'P&amp;L'!W13</f>
        <v>8335.4998412540735</v>
      </c>
    </row>
    <row r="53" spans="2:23">
      <c r="B53" s="144" t="s">
        <v>149</v>
      </c>
      <c r="C53" s="427"/>
      <c r="D53" s="126">
        <f>Input!D81*D54</f>
        <v>31.999512328767118</v>
      </c>
      <c r="E53" s="126">
        <f>D53*(1+Input!$D$82)</f>
        <v>31.999512328767118</v>
      </c>
      <c r="F53" s="126">
        <f>E53*(1+Input!$D$82)</f>
        <v>31.999512328767118</v>
      </c>
      <c r="G53" s="126">
        <f>F53*(1+Input!$D$82)</f>
        <v>31.999512328767118</v>
      </c>
      <c r="H53" s="126">
        <f>G53*(1+Input!$D$82)</f>
        <v>31.999512328767118</v>
      </c>
      <c r="I53" s="126">
        <f>H53*(1+Input!$D$82)</f>
        <v>31.999512328767118</v>
      </c>
      <c r="J53" s="126">
        <f>I53*(1+Input!$D$82)</f>
        <v>31.999512328767118</v>
      </c>
      <c r="K53" s="126">
        <f>J53*(1+Input!$D$82)</f>
        <v>31.999512328767118</v>
      </c>
      <c r="L53" s="126">
        <f>K53*(1+Input!$D$82)</f>
        <v>31.999512328767118</v>
      </c>
      <c r="M53" s="126">
        <f>L53*(1+Input!$D$82)</f>
        <v>31.999512328767118</v>
      </c>
      <c r="N53" s="126">
        <f>M53*(1+Input!$D$82)</f>
        <v>31.999512328767118</v>
      </c>
      <c r="O53" s="126">
        <f>N53*(1+Input!$D$82)</f>
        <v>31.999512328767118</v>
      </c>
      <c r="P53" s="126">
        <f>O53*(1+Input!$D$82)</f>
        <v>31.999512328767118</v>
      </c>
      <c r="Q53" s="126">
        <f>P53*(1+Input!$D$82)</f>
        <v>31.999512328767118</v>
      </c>
      <c r="R53" s="126">
        <f>Q53*(1+Input!$D$82)</f>
        <v>31.999512328767118</v>
      </c>
      <c r="S53" s="126">
        <f>R53*(1+Input!$D$82)</f>
        <v>31.999512328767118</v>
      </c>
      <c r="T53" s="126">
        <f>S53*(1+Input!$D$82)</f>
        <v>31.999512328767118</v>
      </c>
      <c r="U53" s="126">
        <f>T53*(1+Input!$D$82)</f>
        <v>31.999512328767118</v>
      </c>
      <c r="V53" s="126">
        <f>U53*(1+Input!$D$82)</f>
        <v>31.999512328767118</v>
      </c>
      <c r="W53" s="127">
        <f>V53*(1+Input!$D$82)</f>
        <v>31.999512328767118</v>
      </c>
    </row>
    <row r="54" spans="2:23">
      <c r="B54" s="144" t="s">
        <v>151</v>
      </c>
      <c r="C54" s="427"/>
      <c r="D54" s="126">
        <f>(D31)*Input!$D$84/'P&amp;L'!D13</f>
        <v>106.6650410958904</v>
      </c>
      <c r="E54" s="126">
        <f>(E31)*Input!$D$84/'P&amp;L'!E13</f>
        <v>112.76628144657533</v>
      </c>
      <c r="F54" s="126">
        <f>(F31)*Input!$D$84/'P&amp;L'!F13</f>
        <v>119.21651274531943</v>
      </c>
      <c r="G54" s="126">
        <f>(G31)*Input!$D$84/'P&amp;L'!G13</f>
        <v>125.69133744573324</v>
      </c>
      <c r="H54" s="126">
        <f>(H31)*Input!$D$84/'P&amp;L'!H13</f>
        <v>133.24493915844459</v>
      </c>
      <c r="I54" s="126">
        <f>(I31)*Input!$D$84/'P&amp;L'!I13</f>
        <v>140.86654967830762</v>
      </c>
      <c r="J54" s="126">
        <f>(J31)*Input!$D$84/'P&amp;L'!J13</f>
        <v>148.9241163199068</v>
      </c>
      <c r="K54" s="126">
        <f>(K31)*Input!$D$84/'P&amp;L'!K13</f>
        <v>157.01240480134697</v>
      </c>
      <c r="L54" s="126">
        <f>(L31)*Input!$D$84/'P&amp;L'!L13</f>
        <v>166.44829110764422</v>
      </c>
      <c r="M54" s="126">
        <f>(M31)*Input!$D$84/'P&amp;L'!M13</f>
        <v>175.96913335900146</v>
      </c>
      <c r="N54" s="126">
        <f>(N31)*Input!$D$84/'P&amp;L'!N13</f>
        <v>186.03456778713635</v>
      </c>
      <c r="O54" s="126">
        <f>(O31)*Input!$D$84/'P&amp;L'!O13</f>
        <v>196.13837964088688</v>
      </c>
      <c r="P54" s="126">
        <f>(P31)*Input!$D$84/'P&amp;L'!P13</f>
        <v>207.9255976822534</v>
      </c>
      <c r="Q54" s="126">
        <f>(Q31)*Input!$D$84/'P&amp;L'!Q13</f>
        <v>219.81894186967824</v>
      </c>
      <c r="R54" s="126">
        <f>(R31)*Input!$D$84/'P&amp;L'!R13</f>
        <v>232.39258534462385</v>
      </c>
      <c r="S54" s="126">
        <f>(S31)*Input!$D$84/'P&amp;L'!S13</f>
        <v>245.01416952899658</v>
      </c>
      <c r="T54" s="126">
        <f>(T31)*Input!$D$84/'P&amp;L'!T13</f>
        <v>259.73864846448271</v>
      </c>
      <c r="U54" s="126">
        <f>(U31)*Input!$D$84/'P&amp;L'!U13</f>
        <v>274.59569915665111</v>
      </c>
      <c r="V54" s="126">
        <f>(V31)*Input!$D$84/'P&amp;L'!V13</f>
        <v>290.30257314841157</v>
      </c>
      <c r="W54" s="127">
        <f>(W31)*Input!$D$84/'P&amp;L'!W13</f>
        <v>306.06933421137359</v>
      </c>
    </row>
    <row r="55" spans="2:23">
      <c r="B55" s="144" t="s">
        <v>150</v>
      </c>
      <c r="C55" s="427"/>
      <c r="D55" s="126">
        <f>D32*(Input!$D$83/'P&amp;L'!D13)</f>
        <v>895.85296798784952</v>
      </c>
      <c r="E55" s="126">
        <f>E32*(Input!$D$83/'P&amp;L'!E13)</f>
        <v>925.84424054747683</v>
      </c>
      <c r="F55" s="126">
        <f>F32*(Input!$D$83/'P&amp;L'!F13)</f>
        <v>959.50527874051306</v>
      </c>
      <c r="G55" s="126">
        <f>G32*(Input!$D$83/'P&amp;L'!G13)</f>
        <v>997.47235645009289</v>
      </c>
      <c r="H55" s="126">
        <f>H32*(Input!$D$83/'P&amp;L'!H13)</f>
        <v>1040.4956646388432</v>
      </c>
      <c r="I55" s="126">
        <f>I32*(Input!$D$83/'P&amp;L'!I13)</f>
        <v>1089.4597556121723</v>
      </c>
      <c r="J55" s="126">
        <f>J32*(Input!$D$83/'P&amp;L'!J13)</f>
        <v>1145.4076569763495</v>
      </c>
      <c r="K55" s="126">
        <f>K32*(Input!$D$83/'P&amp;L'!K13)</f>
        <v>1209.5693140009332</v>
      </c>
      <c r="L55" s="126">
        <f>L32*(Input!$D$83/'P&amp;L'!L13)</f>
        <v>1283.3951373334542</v>
      </c>
      <c r="M55" s="126">
        <f>M32*(Input!$D$83/'P&amp;L'!M13)</f>
        <v>1368.5955724764117</v>
      </c>
      <c r="N55" s="126">
        <f>N32*(Input!$D$83/'P&amp;L'!N13)</f>
        <v>1467.1877719322199</v>
      </c>
      <c r="O55" s="126">
        <f>O32*(Input!$D$83/'P&amp;L'!O13)</f>
        <v>1581.5506449443171</v>
      </c>
      <c r="P55" s="126">
        <f>P32*(Input!$D$83/'P&amp;L'!P13)</f>
        <v>1714.4897886122337</v>
      </c>
      <c r="Q55" s="126">
        <f>Q32*(Input!$D$83/'P&amp;L'!Q13)</f>
        <v>1869.3140740865372</v>
      </c>
      <c r="R55" s="126">
        <f>R32*(Input!$D$83/'P&amp;L'!R13)</f>
        <v>2049.9259799297593</v>
      </c>
      <c r="S55" s="126">
        <f>S32*(Input!$D$83/'P&amp;L'!S13)</f>
        <v>2260.9281402588754</v>
      </c>
      <c r="T55" s="126">
        <f>T32*(Input!$D$83/'P&amp;L'!T13)</f>
        <v>2507.7490182218726</v>
      </c>
      <c r="U55" s="126">
        <f>U32*(Input!$D$83/'P&amp;L'!U13)</f>
        <v>2796.7911378051326</v>
      </c>
      <c r="V55" s="126">
        <f>V32*(Input!$D$83/'P&amp;L'!V13)</f>
        <v>3135.6059231912291</v>
      </c>
      <c r="W55" s="127">
        <f>W32*(Input!$D$83/'P&amp;L'!W13)</f>
        <v>3533.0999217216981</v>
      </c>
    </row>
    <row r="56" spans="2:23">
      <c r="B56" s="125" t="s">
        <v>169</v>
      </c>
      <c r="C56" s="427"/>
      <c r="D56" s="126">
        <f ca="1">D52+D53+D55-D54</f>
        <v>3710.9025394348696</v>
      </c>
      <c r="E56" s="126">
        <f t="shared" ref="E56:W56" ca="1" si="27">E52+E53+E55-E54</f>
        <v>3784.3860103062011</v>
      </c>
      <c r="F56" s="126">
        <f t="shared" ca="1" si="27"/>
        <v>3863.7315012882591</v>
      </c>
      <c r="G56" s="126">
        <f t="shared" ca="1" si="27"/>
        <v>3955.4163341454705</v>
      </c>
      <c r="H56" s="126">
        <f t="shared" ca="1" si="27"/>
        <v>4065.4465365261171</v>
      </c>
      <c r="I56" s="126">
        <f t="shared" ca="1" si="27"/>
        <v>4192.8621123889716</v>
      </c>
      <c r="J56" s="126">
        <f t="shared" ca="1" si="27"/>
        <v>4342.1078360243428</v>
      </c>
      <c r="K56" s="126">
        <f t="shared" ca="1" si="27"/>
        <v>4516.126927122592</v>
      </c>
      <c r="L56" s="126">
        <f t="shared" ca="1" si="27"/>
        <v>4721.9178363889987</v>
      </c>
      <c r="M56" s="126">
        <f t="shared" ca="1" si="27"/>
        <v>4962.2064884844585</v>
      </c>
      <c r="N56" s="126">
        <f t="shared" ca="1" si="27"/>
        <v>5279.7012752380224</v>
      </c>
      <c r="O56" s="126">
        <f t="shared" ca="1" si="27"/>
        <v>5609.9154389355217</v>
      </c>
      <c r="P56" s="126">
        <f t="shared" ca="1" si="27"/>
        <v>5925.9450891565975</v>
      </c>
      <c r="Q56" s="126">
        <f t="shared" ca="1" si="27"/>
        <v>6412.3265387408819</v>
      </c>
      <c r="R56" s="126">
        <f t="shared" ca="1" si="27"/>
        <v>6978.3027576115892</v>
      </c>
      <c r="S56" s="126">
        <f t="shared" ca="1" si="27"/>
        <v>7637.8215475161469</v>
      </c>
      <c r="T56" s="126">
        <f t="shared" ca="1" si="27"/>
        <v>8408.0325832700273</v>
      </c>
      <c r="U56" s="126">
        <f t="shared" ca="1" si="27"/>
        <v>9308.0552564562677</v>
      </c>
      <c r="V56" s="126">
        <f t="shared" ca="1" si="27"/>
        <v>10361.199005761633</v>
      </c>
      <c r="W56" s="126">
        <f t="shared" ca="1" si="27"/>
        <v>11594.529941093164</v>
      </c>
    </row>
    <row r="57" spans="2:23">
      <c r="B57" s="145" t="s">
        <v>152</v>
      </c>
      <c r="C57" s="428"/>
      <c r="D57" s="129">
        <f ca="1">D56*Input!$D$85</f>
        <v>426.75379203501001</v>
      </c>
      <c r="E57" s="129">
        <f ca="1">E56*Input!$D$85</f>
        <v>435.20439118521313</v>
      </c>
      <c r="F57" s="129">
        <f ca="1">F56*Input!$D$85</f>
        <v>444.32912264814979</v>
      </c>
      <c r="G57" s="129">
        <f ca="1">G56*Input!$D$85</f>
        <v>454.87287842672913</v>
      </c>
      <c r="H57" s="129">
        <f ca="1">H56*Input!$D$85</f>
        <v>467.52635170050348</v>
      </c>
      <c r="I57" s="129">
        <f ca="1">I56*Input!$D$85</f>
        <v>482.17914292473176</v>
      </c>
      <c r="J57" s="129">
        <f ca="1">J56*Input!$D$85</f>
        <v>499.34240114279942</v>
      </c>
      <c r="K57" s="129">
        <f ca="1">K56*Input!$D$85</f>
        <v>519.35459661909806</v>
      </c>
      <c r="L57" s="129">
        <f ca="1">L56*Input!$D$85</f>
        <v>543.02055118473493</v>
      </c>
      <c r="M57" s="129">
        <f ca="1">M56*Input!$D$85</f>
        <v>570.65374617571274</v>
      </c>
      <c r="N57" s="129">
        <f ca="1">N56*Input!$D$85</f>
        <v>607.16564665237263</v>
      </c>
      <c r="O57" s="129">
        <f ca="1">O56*Input!$D$85</f>
        <v>645.14027547758508</v>
      </c>
      <c r="P57" s="129">
        <f ca="1">P56*Input!$D$85</f>
        <v>681.48368525300873</v>
      </c>
      <c r="Q57" s="129">
        <f ca="1">Q56*Input!$D$85</f>
        <v>737.41755195520147</v>
      </c>
      <c r="R57" s="129">
        <f ca="1">R56*Input!$D$85</f>
        <v>802.50481712533281</v>
      </c>
      <c r="S57" s="129">
        <f ca="1">S56*Input!$D$85</f>
        <v>878.34947796435688</v>
      </c>
      <c r="T57" s="129">
        <f ca="1">T56*Input!$D$85</f>
        <v>966.92374707605313</v>
      </c>
      <c r="U57" s="129">
        <f ca="1">U56*Input!$D$85</f>
        <v>1070.4263544924709</v>
      </c>
      <c r="V57" s="129">
        <f ca="1">V56*Input!$D$85</f>
        <v>1191.5378856625878</v>
      </c>
      <c r="W57" s="130">
        <f ca="1">W56*Input!$D$85</f>
        <v>1333.370943225714</v>
      </c>
    </row>
    <row r="58" spans="2:23"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</row>
    <row r="59" spans="2:23"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</row>
    <row r="60" spans="2:23"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</row>
    <row r="61" spans="2:23">
      <c r="B61" s="146" t="s">
        <v>16</v>
      </c>
      <c r="C61" s="426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8"/>
    </row>
    <row r="62" spans="2:23">
      <c r="B62" s="145"/>
      <c r="C62" s="427"/>
      <c r="D62" s="181">
        <f t="shared" ref="D62:W62" si="28">D10</f>
        <v>1</v>
      </c>
      <c r="E62" s="181">
        <f t="shared" si="28"/>
        <v>2</v>
      </c>
      <c r="F62" s="181">
        <f t="shared" si="28"/>
        <v>3</v>
      </c>
      <c r="G62" s="181">
        <f t="shared" si="28"/>
        <v>4</v>
      </c>
      <c r="H62" s="181">
        <f t="shared" si="28"/>
        <v>5</v>
      </c>
      <c r="I62" s="181">
        <f t="shared" si="28"/>
        <v>6</v>
      </c>
      <c r="J62" s="181">
        <f t="shared" si="28"/>
        <v>7</v>
      </c>
      <c r="K62" s="181">
        <f t="shared" si="28"/>
        <v>8</v>
      </c>
      <c r="L62" s="181">
        <f t="shared" si="28"/>
        <v>9</v>
      </c>
      <c r="M62" s="181">
        <f t="shared" si="28"/>
        <v>10</v>
      </c>
      <c r="N62" s="181">
        <f t="shared" si="28"/>
        <v>11</v>
      </c>
      <c r="O62" s="181">
        <f t="shared" si="28"/>
        <v>12</v>
      </c>
      <c r="P62" s="181">
        <f t="shared" si="28"/>
        <v>13</v>
      </c>
      <c r="Q62" s="181">
        <f t="shared" si="28"/>
        <v>14</v>
      </c>
      <c r="R62" s="181">
        <f t="shared" si="28"/>
        <v>15</v>
      </c>
      <c r="S62" s="181">
        <f t="shared" si="28"/>
        <v>16</v>
      </c>
      <c r="T62" s="181">
        <f t="shared" si="28"/>
        <v>17</v>
      </c>
      <c r="U62" s="181">
        <f t="shared" si="28"/>
        <v>18</v>
      </c>
      <c r="V62" s="181">
        <f t="shared" si="28"/>
        <v>19</v>
      </c>
      <c r="W62" s="182">
        <f t="shared" si="28"/>
        <v>20</v>
      </c>
    </row>
    <row r="63" spans="2:23">
      <c r="B63" s="149" t="s">
        <v>172</v>
      </c>
      <c r="C63" s="428"/>
      <c r="D63" s="77">
        <f t="shared" ref="D63:W63" si="29">D12</f>
        <v>41364</v>
      </c>
      <c r="E63" s="77">
        <f t="shared" si="29"/>
        <v>41729</v>
      </c>
      <c r="F63" s="77">
        <f t="shared" si="29"/>
        <v>42094</v>
      </c>
      <c r="G63" s="77">
        <f t="shared" si="29"/>
        <v>42460</v>
      </c>
      <c r="H63" s="77">
        <f t="shared" si="29"/>
        <v>42825</v>
      </c>
      <c r="I63" s="77">
        <f t="shared" si="29"/>
        <v>43190</v>
      </c>
      <c r="J63" s="77">
        <f t="shared" si="29"/>
        <v>43555</v>
      </c>
      <c r="K63" s="77">
        <f t="shared" si="29"/>
        <v>43921</v>
      </c>
      <c r="L63" s="77">
        <f t="shared" si="29"/>
        <v>44286</v>
      </c>
      <c r="M63" s="77">
        <f t="shared" si="29"/>
        <v>44651</v>
      </c>
      <c r="N63" s="77">
        <f t="shared" si="29"/>
        <v>45016</v>
      </c>
      <c r="O63" s="77">
        <f t="shared" si="29"/>
        <v>45382</v>
      </c>
      <c r="P63" s="77">
        <f t="shared" si="29"/>
        <v>45747</v>
      </c>
      <c r="Q63" s="77">
        <f t="shared" si="29"/>
        <v>46112</v>
      </c>
      <c r="R63" s="77">
        <f t="shared" si="29"/>
        <v>46477</v>
      </c>
      <c r="S63" s="77">
        <f t="shared" si="29"/>
        <v>46843</v>
      </c>
      <c r="T63" s="77">
        <f t="shared" si="29"/>
        <v>47208</v>
      </c>
      <c r="U63" s="77">
        <f t="shared" si="29"/>
        <v>47573</v>
      </c>
      <c r="V63" s="77">
        <f t="shared" si="29"/>
        <v>47938</v>
      </c>
      <c r="W63" s="81">
        <f t="shared" si="29"/>
        <v>48304</v>
      </c>
    </row>
    <row r="64" spans="2:23">
      <c r="B64" s="151" t="s">
        <v>232</v>
      </c>
      <c r="C64" s="369" t="s">
        <v>237</v>
      </c>
      <c r="D64" s="129">
        <f>Tariff!E74</f>
        <v>1358.5440000000001</v>
      </c>
      <c r="E64" s="129">
        <f>Tariff!F74</f>
        <v>1358.5440000000001</v>
      </c>
      <c r="F64" s="129">
        <f>Tariff!G74</f>
        <v>1358.5440000000001</v>
      </c>
      <c r="G64" s="129">
        <f>Tariff!H74</f>
        <v>1358.5440000000001</v>
      </c>
      <c r="H64" s="129">
        <f>Tariff!I74</f>
        <v>1358.5440000000001</v>
      </c>
      <c r="I64" s="129">
        <f>Tariff!J74</f>
        <v>1358.5440000000001</v>
      </c>
      <c r="J64" s="129">
        <f>Tariff!K74</f>
        <v>1358.5440000000001</v>
      </c>
      <c r="K64" s="129">
        <f>Tariff!L74</f>
        <v>1358.5440000000001</v>
      </c>
      <c r="L64" s="129">
        <f>Tariff!M74</f>
        <v>1358.5440000000001</v>
      </c>
      <c r="M64" s="129">
        <f>Tariff!N74</f>
        <v>1358.5440000000001</v>
      </c>
      <c r="N64" s="129">
        <f>Tariff!O74</f>
        <v>1358.5440000000001</v>
      </c>
      <c r="O64" s="129">
        <f>Tariff!P74</f>
        <v>1358.5440000000001</v>
      </c>
      <c r="P64" s="129">
        <f>Tariff!Q74</f>
        <v>856.80900000000031</v>
      </c>
      <c r="Q64" s="129">
        <f>Tariff!R74</f>
        <v>856.80900000000031</v>
      </c>
      <c r="R64" s="129">
        <f>Tariff!S74</f>
        <v>856.80900000000031</v>
      </c>
      <c r="S64" s="129">
        <f>Tariff!T74</f>
        <v>856.80900000000031</v>
      </c>
      <c r="T64" s="129">
        <f>Tariff!U74</f>
        <v>856.80900000000031</v>
      </c>
      <c r="U64" s="129">
        <f>Tariff!V74</f>
        <v>856.80900000000031</v>
      </c>
      <c r="V64" s="129">
        <f>Tariff!W74</f>
        <v>856.80900000000031</v>
      </c>
      <c r="W64" s="129">
        <f>Tariff!X74</f>
        <v>856.80900000000031</v>
      </c>
    </row>
    <row r="65" spans="2:23">
      <c r="B65" s="133"/>
      <c r="C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</row>
    <row r="67" spans="2:23">
      <c r="B67" s="146" t="s">
        <v>155</v>
      </c>
      <c r="C67" s="426"/>
      <c r="D67" s="153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6"/>
    </row>
    <row r="68" spans="2:23">
      <c r="B68" s="154"/>
      <c r="C68" s="428"/>
      <c r="D68" s="143">
        <f t="shared" ref="D68:W68" si="30">D10</f>
        <v>1</v>
      </c>
      <c r="E68" s="129">
        <f t="shared" si="30"/>
        <v>2</v>
      </c>
      <c r="F68" s="129">
        <f t="shared" si="30"/>
        <v>3</v>
      </c>
      <c r="G68" s="129">
        <f t="shared" si="30"/>
        <v>4</v>
      </c>
      <c r="H68" s="129">
        <f t="shared" si="30"/>
        <v>5</v>
      </c>
      <c r="I68" s="129">
        <f t="shared" si="30"/>
        <v>6</v>
      </c>
      <c r="J68" s="129">
        <f t="shared" si="30"/>
        <v>7</v>
      </c>
      <c r="K68" s="129">
        <f t="shared" si="30"/>
        <v>8</v>
      </c>
      <c r="L68" s="129">
        <f t="shared" si="30"/>
        <v>9</v>
      </c>
      <c r="M68" s="129">
        <f t="shared" si="30"/>
        <v>10</v>
      </c>
      <c r="N68" s="129">
        <f t="shared" si="30"/>
        <v>11</v>
      </c>
      <c r="O68" s="129">
        <f t="shared" si="30"/>
        <v>12</v>
      </c>
      <c r="P68" s="129">
        <f t="shared" si="30"/>
        <v>13</v>
      </c>
      <c r="Q68" s="129">
        <f t="shared" si="30"/>
        <v>14</v>
      </c>
      <c r="R68" s="129">
        <f t="shared" si="30"/>
        <v>15</v>
      </c>
      <c r="S68" s="129">
        <f t="shared" si="30"/>
        <v>16</v>
      </c>
      <c r="T68" s="129">
        <f t="shared" si="30"/>
        <v>17</v>
      </c>
      <c r="U68" s="129">
        <f t="shared" si="30"/>
        <v>18</v>
      </c>
      <c r="V68" s="129">
        <f t="shared" si="30"/>
        <v>19</v>
      </c>
      <c r="W68" s="130">
        <f t="shared" si="30"/>
        <v>20</v>
      </c>
    </row>
    <row r="69" spans="2:23">
      <c r="B69" s="149" t="str">
        <f>B12</f>
        <v>Period Ending</v>
      </c>
      <c r="C69" s="155"/>
      <c r="D69" s="76">
        <f t="shared" ref="D69:W69" si="31">D12</f>
        <v>41364</v>
      </c>
      <c r="E69" s="76">
        <f t="shared" si="31"/>
        <v>41729</v>
      </c>
      <c r="F69" s="76">
        <f t="shared" si="31"/>
        <v>42094</v>
      </c>
      <c r="G69" s="76">
        <f t="shared" si="31"/>
        <v>42460</v>
      </c>
      <c r="H69" s="76">
        <f t="shared" si="31"/>
        <v>42825</v>
      </c>
      <c r="I69" s="76">
        <f t="shared" si="31"/>
        <v>43190</v>
      </c>
      <c r="J69" s="76">
        <f t="shared" si="31"/>
        <v>43555</v>
      </c>
      <c r="K69" s="76">
        <f t="shared" si="31"/>
        <v>43921</v>
      </c>
      <c r="L69" s="76">
        <f t="shared" si="31"/>
        <v>44286</v>
      </c>
      <c r="M69" s="76">
        <f t="shared" si="31"/>
        <v>44651</v>
      </c>
      <c r="N69" s="76">
        <f t="shared" si="31"/>
        <v>45016</v>
      </c>
      <c r="O69" s="76">
        <f t="shared" si="31"/>
        <v>45382</v>
      </c>
      <c r="P69" s="76">
        <f t="shared" si="31"/>
        <v>45747</v>
      </c>
      <c r="Q69" s="76">
        <f t="shared" si="31"/>
        <v>46112</v>
      </c>
      <c r="R69" s="76">
        <f t="shared" si="31"/>
        <v>46477</v>
      </c>
      <c r="S69" s="76">
        <f t="shared" si="31"/>
        <v>46843</v>
      </c>
      <c r="T69" s="76">
        <f t="shared" si="31"/>
        <v>47208</v>
      </c>
      <c r="U69" s="76">
        <f t="shared" si="31"/>
        <v>47573</v>
      </c>
      <c r="V69" s="76">
        <f t="shared" si="31"/>
        <v>47938</v>
      </c>
      <c r="W69" s="76">
        <f t="shared" si="31"/>
        <v>48304</v>
      </c>
    </row>
    <row r="70" spans="2:23">
      <c r="B70" s="156" t="s">
        <v>154</v>
      </c>
      <c r="C70" s="429" t="s">
        <v>237</v>
      </c>
      <c r="D70" s="126">
        <f t="shared" ref="D70:W70" ca="1" si="32">D37</f>
        <v>1506.8687070821943</v>
      </c>
      <c r="E70" s="126">
        <f t="shared" ca="1" si="32"/>
        <v>1509.4297027193916</v>
      </c>
      <c r="F70" s="126">
        <f t="shared" ca="1" si="32"/>
        <v>1512.1371873070348</v>
      </c>
      <c r="G70" s="126">
        <f t="shared" ca="1" si="32"/>
        <v>1523.1769531994869</v>
      </c>
      <c r="H70" s="126">
        <f t="shared" ca="1" si="32"/>
        <v>1518.0256192939487</v>
      </c>
      <c r="I70" s="126">
        <f t="shared" ca="1" si="32"/>
        <v>1521.2247903096613</v>
      </c>
      <c r="J70" s="126">
        <f t="shared" ca="1" si="32"/>
        <v>1524.6069539074742</v>
      </c>
      <c r="K70" s="126">
        <f t="shared" ca="1" si="32"/>
        <v>1537.3970181179357</v>
      </c>
      <c r="L70" s="126">
        <f t="shared" ca="1" si="32"/>
        <v>1531.9627262746253</v>
      </c>
      <c r="M70" s="126">
        <f t="shared" ca="1" si="32"/>
        <v>1535.9590998096355</v>
      </c>
      <c r="N70" s="126">
        <f t="shared" ca="1" si="32"/>
        <v>1753.0347859108369</v>
      </c>
      <c r="O70" s="126">
        <f t="shared" ca="1" si="32"/>
        <v>1768.5944585331999</v>
      </c>
      <c r="P70" s="126">
        <f t="shared" ca="1" si="32"/>
        <v>1762.2235457093157</v>
      </c>
      <c r="Q70" s="126">
        <f t="shared" ca="1" si="32"/>
        <v>1767.215776931982</v>
      </c>
      <c r="R70" s="126">
        <f t="shared" ca="1" si="32"/>
        <v>1772.4935637805938</v>
      </c>
      <c r="S70" s="126">
        <f t="shared" ca="1" si="32"/>
        <v>1790.7845358143604</v>
      </c>
      <c r="T70" s="126">
        <f t="shared" ca="1" si="32"/>
        <v>1783.9720737751632</v>
      </c>
      <c r="U70" s="126">
        <f t="shared" ca="1" si="32"/>
        <v>1790.2083208031909</v>
      </c>
      <c r="V70" s="126">
        <f t="shared" ca="1" si="32"/>
        <v>1796.8012811612498</v>
      </c>
      <c r="W70" s="127">
        <f t="shared" ca="1" si="32"/>
        <v>1818.5041660406569</v>
      </c>
    </row>
    <row r="71" spans="2:23">
      <c r="B71" s="144" t="s">
        <v>156</v>
      </c>
      <c r="C71" s="430"/>
      <c r="D71" s="126">
        <f t="shared" ref="D71:W71" si="33">D33</f>
        <v>1358.5440000000001</v>
      </c>
      <c r="E71" s="126">
        <f t="shared" si="33"/>
        <v>1358.5440000000001</v>
      </c>
      <c r="F71" s="126">
        <f t="shared" si="33"/>
        <v>1358.5440000000001</v>
      </c>
      <c r="G71" s="126">
        <f t="shared" si="33"/>
        <v>1358.5440000000001</v>
      </c>
      <c r="H71" s="126">
        <f t="shared" si="33"/>
        <v>1358.5440000000001</v>
      </c>
      <c r="I71" s="126">
        <f t="shared" si="33"/>
        <v>1358.5440000000001</v>
      </c>
      <c r="J71" s="126">
        <f t="shared" si="33"/>
        <v>1358.5440000000001</v>
      </c>
      <c r="K71" s="126">
        <f t="shared" si="33"/>
        <v>1358.5440000000001</v>
      </c>
      <c r="L71" s="126">
        <f t="shared" si="33"/>
        <v>1358.5440000000001</v>
      </c>
      <c r="M71" s="126">
        <f t="shared" si="33"/>
        <v>1358.5440000000001</v>
      </c>
      <c r="N71" s="126">
        <f t="shared" si="33"/>
        <v>1358.5440000000001</v>
      </c>
      <c r="O71" s="126">
        <f t="shared" si="33"/>
        <v>1358.5440000000001</v>
      </c>
      <c r="P71" s="126">
        <f t="shared" si="33"/>
        <v>856.80900000000031</v>
      </c>
      <c r="Q71" s="126">
        <f t="shared" si="33"/>
        <v>856.80900000000031</v>
      </c>
      <c r="R71" s="126">
        <f t="shared" si="33"/>
        <v>856.80900000000031</v>
      </c>
      <c r="S71" s="126">
        <f t="shared" si="33"/>
        <v>856.80900000000031</v>
      </c>
      <c r="T71" s="126">
        <f t="shared" si="33"/>
        <v>856.80900000000031</v>
      </c>
      <c r="U71" s="126">
        <f t="shared" si="33"/>
        <v>856.80900000000031</v>
      </c>
      <c r="V71" s="126">
        <f t="shared" si="33"/>
        <v>856.80900000000031</v>
      </c>
      <c r="W71" s="127">
        <f t="shared" si="33"/>
        <v>856.80900000000031</v>
      </c>
    </row>
    <row r="72" spans="2:23">
      <c r="B72" s="144" t="s">
        <v>157</v>
      </c>
      <c r="C72" s="430"/>
      <c r="D72" s="126">
        <f t="shared" ref="D72:W72" ca="1" si="34">SUM(D70:D71)</f>
        <v>2865.4127070821942</v>
      </c>
      <c r="E72" s="126">
        <f t="shared" ca="1" si="34"/>
        <v>2867.9737027193914</v>
      </c>
      <c r="F72" s="126">
        <f t="shared" ca="1" si="34"/>
        <v>2870.6811873070346</v>
      </c>
      <c r="G72" s="126">
        <f t="shared" ca="1" si="34"/>
        <v>2881.7209531994868</v>
      </c>
      <c r="H72" s="126">
        <f t="shared" ca="1" si="34"/>
        <v>2876.5696192939486</v>
      </c>
      <c r="I72" s="126">
        <f t="shared" ca="1" si="34"/>
        <v>2879.7687903096612</v>
      </c>
      <c r="J72" s="126">
        <f t="shared" ca="1" si="34"/>
        <v>2883.1509539074741</v>
      </c>
      <c r="K72" s="126">
        <f t="shared" ca="1" si="34"/>
        <v>2895.9410181179355</v>
      </c>
      <c r="L72" s="126">
        <f t="shared" ca="1" si="34"/>
        <v>2890.5067262746252</v>
      </c>
      <c r="M72" s="126">
        <f t="shared" ca="1" si="34"/>
        <v>2894.5030998096354</v>
      </c>
      <c r="N72" s="126">
        <f t="shared" ca="1" si="34"/>
        <v>3111.5787859108368</v>
      </c>
      <c r="O72" s="126">
        <f t="shared" ca="1" si="34"/>
        <v>3127.1384585331998</v>
      </c>
      <c r="P72" s="126">
        <f t="shared" ca="1" si="34"/>
        <v>2619.0325457093159</v>
      </c>
      <c r="Q72" s="126">
        <f t="shared" ca="1" si="34"/>
        <v>2624.0247769319822</v>
      </c>
      <c r="R72" s="126">
        <f t="shared" ca="1" si="34"/>
        <v>2629.302563780594</v>
      </c>
      <c r="S72" s="126">
        <f t="shared" ca="1" si="34"/>
        <v>2647.5935358143606</v>
      </c>
      <c r="T72" s="126">
        <f t="shared" ca="1" si="34"/>
        <v>2640.7810737751633</v>
      </c>
      <c r="U72" s="126">
        <f t="shared" ca="1" si="34"/>
        <v>2647.0173208031911</v>
      </c>
      <c r="V72" s="126">
        <f t="shared" ca="1" si="34"/>
        <v>2653.61028116125</v>
      </c>
      <c r="W72" s="127">
        <f t="shared" ca="1" si="34"/>
        <v>2675.3131660406571</v>
      </c>
    </row>
    <row r="73" spans="2:23">
      <c r="B73" s="144" t="s">
        <v>158</v>
      </c>
      <c r="C73" s="430"/>
      <c r="D73" s="126">
        <f>D98</f>
        <v>3807.9900000000002</v>
      </c>
      <c r="E73" s="126">
        <f t="shared" ref="E73:W73" si="35">E98</f>
        <v>3252.4042589999999</v>
      </c>
      <c r="F73" s="126">
        <f t="shared" si="35"/>
        <v>2777.8784776119001</v>
      </c>
      <c r="G73" s="126">
        <f t="shared" si="35"/>
        <v>2372.5860077283237</v>
      </c>
      <c r="H73" s="126">
        <f t="shared" si="35"/>
        <v>2026.4257092007615</v>
      </c>
      <c r="I73" s="126">
        <f t="shared" si="35"/>
        <v>1730.7701982283704</v>
      </c>
      <c r="J73" s="126">
        <f t="shared" si="35"/>
        <v>1478.2508263068512</v>
      </c>
      <c r="K73" s="126">
        <f t="shared" si="35"/>
        <v>1262.5740307486815</v>
      </c>
      <c r="L73" s="126">
        <f t="shared" si="35"/>
        <v>1078.364479662449</v>
      </c>
      <c r="M73" s="126">
        <f t="shared" si="35"/>
        <v>921.03110207969735</v>
      </c>
      <c r="N73" s="126">
        <f t="shared" si="35"/>
        <v>786.65266428626944</v>
      </c>
      <c r="O73" s="126">
        <f t="shared" si="35"/>
        <v>671.88004056690261</v>
      </c>
      <c r="P73" s="126">
        <f t="shared" si="35"/>
        <v>573.85274264819157</v>
      </c>
      <c r="Q73" s="126">
        <f t="shared" si="35"/>
        <v>490.12762749582026</v>
      </c>
      <c r="R73" s="126">
        <f t="shared" si="35"/>
        <v>259.21183443577684</v>
      </c>
      <c r="S73" s="126">
        <f t="shared" si="35"/>
        <v>0</v>
      </c>
      <c r="T73" s="126">
        <f t="shared" si="35"/>
        <v>0</v>
      </c>
      <c r="U73" s="126">
        <f t="shared" si="35"/>
        <v>0</v>
      </c>
      <c r="V73" s="126">
        <f t="shared" si="35"/>
        <v>0</v>
      </c>
      <c r="W73" s="127">
        <f t="shared" si="35"/>
        <v>0</v>
      </c>
    </row>
    <row r="74" spans="2:23">
      <c r="B74" s="144" t="s">
        <v>159</v>
      </c>
      <c r="C74" s="430"/>
      <c r="D74" s="126">
        <f t="shared" ref="D74:W74" ca="1" si="36">+D72-D73</f>
        <v>-942.57729291780606</v>
      </c>
      <c r="E74" s="126">
        <f ca="1">+E72-E73</f>
        <v>-384.43055628060847</v>
      </c>
      <c r="F74" s="126">
        <f t="shared" ca="1" si="36"/>
        <v>92.802709695134581</v>
      </c>
      <c r="G74" s="126">
        <f t="shared" ca="1" si="36"/>
        <v>509.13494547116306</v>
      </c>
      <c r="H74" s="126">
        <f t="shared" ca="1" si="36"/>
        <v>850.14391009318706</v>
      </c>
      <c r="I74" s="126">
        <f t="shared" ca="1" si="36"/>
        <v>1148.9985920812908</v>
      </c>
      <c r="J74" s="126">
        <f t="shared" ca="1" si="36"/>
        <v>1404.9001276006229</v>
      </c>
      <c r="K74" s="126">
        <f t="shared" ca="1" si="36"/>
        <v>1633.366987369254</v>
      </c>
      <c r="L74" s="126">
        <f t="shared" ca="1" si="36"/>
        <v>1812.1422466121762</v>
      </c>
      <c r="M74" s="126">
        <f t="shared" ca="1" si="36"/>
        <v>1973.471997729938</v>
      </c>
      <c r="N74" s="126">
        <f t="shared" ca="1" si="36"/>
        <v>2324.9261216245673</v>
      </c>
      <c r="O74" s="126">
        <f t="shared" ca="1" si="36"/>
        <v>2455.2584179662972</v>
      </c>
      <c r="P74" s="126">
        <f t="shared" ca="1" si="36"/>
        <v>2045.1798030611244</v>
      </c>
      <c r="Q74" s="126">
        <f t="shared" ca="1" si="36"/>
        <v>2133.8971494361617</v>
      </c>
      <c r="R74" s="126">
        <f t="shared" ca="1" si="36"/>
        <v>2370.0907293448172</v>
      </c>
      <c r="S74" s="126">
        <f t="shared" ca="1" si="36"/>
        <v>2647.5935358143606</v>
      </c>
      <c r="T74" s="126">
        <f t="shared" ca="1" si="36"/>
        <v>2640.7810737751633</v>
      </c>
      <c r="U74" s="126">
        <f t="shared" ca="1" si="36"/>
        <v>2647.0173208031911</v>
      </c>
      <c r="V74" s="126">
        <f t="shared" ca="1" si="36"/>
        <v>2653.61028116125</v>
      </c>
      <c r="W74" s="127">
        <f t="shared" ca="1" si="36"/>
        <v>2675.3131660406571</v>
      </c>
    </row>
    <row r="75" spans="2:23">
      <c r="B75" s="144" t="s">
        <v>160</v>
      </c>
      <c r="C75" s="430"/>
      <c r="D75" s="157"/>
      <c r="E75" s="126">
        <f ca="1">MIN(D76,0)</f>
        <v>-942.57729291780606</v>
      </c>
      <c r="F75" s="126">
        <f ca="1">MIN(E76,0)</f>
        <v>-1327.0078491984145</v>
      </c>
      <c r="G75" s="126">
        <f ca="1">MIN(F76,0)</f>
        <v>-1234.20513950328</v>
      </c>
      <c r="H75" s="126">
        <f t="shared" ref="H75:W75" ca="1" si="37">MIN(G76,0)</f>
        <v>-725.07019403211689</v>
      </c>
      <c r="I75" s="126">
        <f t="shared" ca="1" si="37"/>
        <v>0</v>
      </c>
      <c r="J75" s="126">
        <f t="shared" ca="1" si="37"/>
        <v>0</v>
      </c>
      <c r="K75" s="126">
        <f t="shared" ca="1" si="37"/>
        <v>0</v>
      </c>
      <c r="L75" s="126">
        <f t="shared" ca="1" si="37"/>
        <v>0</v>
      </c>
      <c r="M75" s="126">
        <f t="shared" ca="1" si="37"/>
        <v>0</v>
      </c>
      <c r="N75" s="126">
        <f t="shared" ca="1" si="37"/>
        <v>0</v>
      </c>
      <c r="O75" s="126">
        <f t="shared" ca="1" si="37"/>
        <v>0</v>
      </c>
      <c r="P75" s="126">
        <f t="shared" ca="1" si="37"/>
        <v>0</v>
      </c>
      <c r="Q75" s="126">
        <f t="shared" ca="1" si="37"/>
        <v>0</v>
      </c>
      <c r="R75" s="126">
        <f t="shared" ca="1" si="37"/>
        <v>0</v>
      </c>
      <c r="S75" s="126">
        <f t="shared" ca="1" si="37"/>
        <v>0</v>
      </c>
      <c r="T75" s="126">
        <f t="shared" ca="1" si="37"/>
        <v>0</v>
      </c>
      <c r="U75" s="126">
        <f t="shared" ca="1" si="37"/>
        <v>0</v>
      </c>
      <c r="V75" s="126">
        <f t="shared" ca="1" si="37"/>
        <v>0</v>
      </c>
      <c r="W75" s="127">
        <f t="shared" ca="1" si="37"/>
        <v>0</v>
      </c>
    </row>
    <row r="76" spans="2:23">
      <c r="B76" s="158" t="s">
        <v>161</v>
      </c>
      <c r="C76" s="431"/>
      <c r="D76" s="143">
        <f ca="1">D74+D75</f>
        <v>-942.57729291780606</v>
      </c>
      <c r="E76" s="129">
        <f ca="1">E74+E75</f>
        <v>-1327.0078491984145</v>
      </c>
      <c r="F76" s="129">
        <f ca="1">F74+F75</f>
        <v>-1234.20513950328</v>
      </c>
      <c r="G76" s="129">
        <f t="shared" ref="G76:W76" ca="1" si="38">G74+G75</f>
        <v>-725.07019403211689</v>
      </c>
      <c r="H76" s="129">
        <f t="shared" ca="1" si="38"/>
        <v>125.07371606107017</v>
      </c>
      <c r="I76" s="129">
        <f t="shared" ca="1" si="38"/>
        <v>1148.9985920812908</v>
      </c>
      <c r="J76" s="129">
        <f t="shared" ca="1" si="38"/>
        <v>1404.9001276006229</v>
      </c>
      <c r="K76" s="129">
        <f t="shared" ca="1" si="38"/>
        <v>1633.366987369254</v>
      </c>
      <c r="L76" s="129">
        <f t="shared" ca="1" si="38"/>
        <v>1812.1422466121762</v>
      </c>
      <c r="M76" s="129">
        <f t="shared" ca="1" si="38"/>
        <v>1973.471997729938</v>
      </c>
      <c r="N76" s="129">
        <f t="shared" ca="1" si="38"/>
        <v>2324.9261216245673</v>
      </c>
      <c r="O76" s="129">
        <f t="shared" ca="1" si="38"/>
        <v>2455.2584179662972</v>
      </c>
      <c r="P76" s="129">
        <f t="shared" ca="1" si="38"/>
        <v>2045.1798030611244</v>
      </c>
      <c r="Q76" s="129">
        <f t="shared" ca="1" si="38"/>
        <v>2133.8971494361617</v>
      </c>
      <c r="R76" s="129">
        <f t="shared" ca="1" si="38"/>
        <v>2370.0907293448172</v>
      </c>
      <c r="S76" s="129">
        <f t="shared" ca="1" si="38"/>
        <v>2647.5935358143606</v>
      </c>
      <c r="T76" s="129">
        <f t="shared" ca="1" si="38"/>
        <v>2640.7810737751633</v>
      </c>
      <c r="U76" s="129">
        <f t="shared" ca="1" si="38"/>
        <v>2647.0173208031911</v>
      </c>
      <c r="V76" s="129">
        <f t="shared" ca="1" si="38"/>
        <v>2653.61028116125</v>
      </c>
      <c r="W76" s="130">
        <f t="shared" ca="1" si="38"/>
        <v>2675.3131660406571</v>
      </c>
    </row>
    <row r="77" spans="2:23">
      <c r="B77" s="159"/>
      <c r="C77" s="159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7"/>
    </row>
    <row r="78" spans="2:23">
      <c r="B78" s="160"/>
      <c r="C78" s="427" t="s">
        <v>237</v>
      </c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7"/>
    </row>
    <row r="79" spans="2:23">
      <c r="B79" s="150" t="s">
        <v>163</v>
      </c>
      <c r="C79" s="427"/>
      <c r="D79" s="126">
        <f ca="1">IF(AND(D68&lt;=15,D76&gt;0,SUM($B$79:B79)&lt;10),1,0)</f>
        <v>0</v>
      </c>
      <c r="E79" s="126">
        <f ca="1">IF(AND(E68&lt;=15,E76&gt;0,SUM($B$79:D79)&lt;10),1,0)</f>
        <v>0</v>
      </c>
      <c r="F79" s="126">
        <f ca="1">IF(AND(F68&lt;=15,F76&gt;0,SUM($B$79:E79)&lt;10),1,0)</f>
        <v>0</v>
      </c>
      <c r="G79" s="126">
        <f ca="1">IF(AND(G68&lt;=15,G76&gt;0,SUM($B$79:F79)&lt;10),1,0)</f>
        <v>0</v>
      </c>
      <c r="H79" s="126">
        <f ca="1">IF(AND(H68&lt;=15,H76&gt;0,SUM($B$79:G79)&lt;10),1,0)</f>
        <v>1</v>
      </c>
      <c r="I79" s="126">
        <f ca="1">IF(AND(I68&lt;=15,I76&gt;0,SUM($B$79:H79)&lt;10),1,0)</f>
        <v>1</v>
      </c>
      <c r="J79" s="126">
        <f ca="1">IF(AND(J68&lt;=15,J76&gt;0,SUM($B$79:I79)&lt;10),1,0)</f>
        <v>1</v>
      </c>
      <c r="K79" s="126">
        <f ca="1">IF(AND(K68&lt;=15,K76&gt;0,SUM($B$79:J79)&lt;10),1,0)</f>
        <v>1</v>
      </c>
      <c r="L79" s="126">
        <f ca="1">IF(AND(L68&lt;=15,L76&gt;0,SUM($B$79:K79)&lt;10),1,0)</f>
        <v>1</v>
      </c>
      <c r="M79" s="126">
        <f ca="1">IF(AND(M68&lt;=15,M76&gt;0,SUM($B$79:L79)&lt;10),1,0)</f>
        <v>1</v>
      </c>
      <c r="N79" s="126">
        <f ca="1">IF(AND(N68&lt;=15,N76&gt;0,SUM($B$79:M79)&lt;10),1,0)</f>
        <v>1</v>
      </c>
      <c r="O79" s="126">
        <f ca="1">IF(AND(O68&lt;=15,O76&gt;0,SUM($B$79:N79)&lt;10),1,0)</f>
        <v>1</v>
      </c>
      <c r="P79" s="126">
        <f ca="1">IF(AND(P68&lt;=15,P76&gt;0,SUM($B$79:O79)&lt;10),1,0)</f>
        <v>1</v>
      </c>
      <c r="Q79" s="126">
        <f ca="1">IF(AND(Q68&lt;=15,Q76&gt;0,SUM($B$79:P79)&lt;10),1,0)</f>
        <v>1</v>
      </c>
      <c r="R79" s="126">
        <f ca="1">IF(AND(R68&lt;=15,R76&gt;0,SUM($B$79:Q79)&lt;10),1,0)</f>
        <v>0</v>
      </c>
      <c r="S79" s="126">
        <f ca="1">IF(AND(S68&lt;=15,S76&gt;0,SUM($B$79:R79)&lt;10),1,0)</f>
        <v>0</v>
      </c>
      <c r="T79" s="126">
        <f ca="1">IF(AND(T68&lt;=15,T76&gt;0,SUM($B$79:S79)&lt;10),1,0)</f>
        <v>0</v>
      </c>
      <c r="U79" s="126">
        <f ca="1">IF(AND(U68&lt;=15,U76&gt;0,SUM($B$79:T79)&lt;10),1,0)</f>
        <v>0</v>
      </c>
      <c r="V79" s="126">
        <f ca="1">IF(AND(V68&lt;=15,V76&gt;0,SUM($B$79:U79)&lt;10),1,0)</f>
        <v>0</v>
      </c>
      <c r="W79" s="127">
        <f ca="1">IF(AND(W68&lt;=15,W76&gt;0,SUM($B$79:V79)&lt;10),1,0)</f>
        <v>0</v>
      </c>
    </row>
    <row r="80" spans="2:23">
      <c r="B80" s="150" t="s">
        <v>164</v>
      </c>
      <c r="C80" s="427"/>
      <c r="D80" s="126">
        <f t="shared" ref="D80:W80" ca="1" si="39">D76*D79</f>
        <v>0</v>
      </c>
      <c r="E80" s="126">
        <f t="shared" ca="1" si="39"/>
        <v>0</v>
      </c>
      <c r="F80" s="126">
        <f t="shared" ca="1" si="39"/>
        <v>0</v>
      </c>
      <c r="G80" s="126">
        <f t="shared" ca="1" si="39"/>
        <v>0</v>
      </c>
      <c r="H80" s="126">
        <f t="shared" ca="1" si="39"/>
        <v>125.07371606107017</v>
      </c>
      <c r="I80" s="126">
        <f t="shared" ca="1" si="39"/>
        <v>1148.9985920812908</v>
      </c>
      <c r="J80" s="126">
        <f t="shared" ca="1" si="39"/>
        <v>1404.9001276006229</v>
      </c>
      <c r="K80" s="126">
        <f t="shared" ca="1" si="39"/>
        <v>1633.366987369254</v>
      </c>
      <c r="L80" s="126">
        <f t="shared" ca="1" si="39"/>
        <v>1812.1422466121762</v>
      </c>
      <c r="M80" s="126">
        <f t="shared" ca="1" si="39"/>
        <v>1973.471997729938</v>
      </c>
      <c r="N80" s="126">
        <f t="shared" ca="1" si="39"/>
        <v>2324.9261216245673</v>
      </c>
      <c r="O80" s="126">
        <f t="shared" ca="1" si="39"/>
        <v>2455.2584179662972</v>
      </c>
      <c r="P80" s="126">
        <f t="shared" ca="1" si="39"/>
        <v>2045.1798030611244</v>
      </c>
      <c r="Q80" s="126">
        <f t="shared" ca="1" si="39"/>
        <v>2133.8971494361617</v>
      </c>
      <c r="R80" s="126">
        <f t="shared" ca="1" si="39"/>
        <v>0</v>
      </c>
      <c r="S80" s="126">
        <f t="shared" ca="1" si="39"/>
        <v>0</v>
      </c>
      <c r="T80" s="126">
        <f t="shared" ca="1" si="39"/>
        <v>0</v>
      </c>
      <c r="U80" s="126">
        <f t="shared" ca="1" si="39"/>
        <v>0</v>
      </c>
      <c r="V80" s="126">
        <f t="shared" ca="1" si="39"/>
        <v>0</v>
      </c>
      <c r="W80" s="127">
        <f t="shared" ca="1" si="39"/>
        <v>0</v>
      </c>
    </row>
    <row r="81" spans="2:23">
      <c r="B81" s="150" t="s">
        <v>159</v>
      </c>
      <c r="C81" s="427"/>
      <c r="D81" s="126">
        <f ca="1">MAX((D76-D80),0)</f>
        <v>0</v>
      </c>
      <c r="E81" s="126">
        <f t="shared" ref="E81:W81" ca="1" si="40">MAX((E76-E80),0)</f>
        <v>0</v>
      </c>
      <c r="F81" s="126">
        <f t="shared" ca="1" si="40"/>
        <v>0</v>
      </c>
      <c r="G81" s="126">
        <f t="shared" ca="1" si="40"/>
        <v>0</v>
      </c>
      <c r="H81" s="126">
        <f t="shared" ca="1" si="40"/>
        <v>0</v>
      </c>
      <c r="I81" s="126">
        <f t="shared" ca="1" si="40"/>
        <v>0</v>
      </c>
      <c r="J81" s="126">
        <f t="shared" ca="1" si="40"/>
        <v>0</v>
      </c>
      <c r="K81" s="126">
        <f t="shared" ca="1" si="40"/>
        <v>0</v>
      </c>
      <c r="L81" s="126">
        <f t="shared" ca="1" si="40"/>
        <v>0</v>
      </c>
      <c r="M81" s="126">
        <f t="shared" ca="1" si="40"/>
        <v>0</v>
      </c>
      <c r="N81" s="126">
        <f t="shared" ca="1" si="40"/>
        <v>0</v>
      </c>
      <c r="O81" s="126">
        <f t="shared" ca="1" si="40"/>
        <v>0</v>
      </c>
      <c r="P81" s="126">
        <f t="shared" ca="1" si="40"/>
        <v>0</v>
      </c>
      <c r="Q81" s="126">
        <f t="shared" ca="1" si="40"/>
        <v>0</v>
      </c>
      <c r="R81" s="126">
        <f t="shared" ca="1" si="40"/>
        <v>2370.0907293448172</v>
      </c>
      <c r="S81" s="126">
        <f t="shared" ca="1" si="40"/>
        <v>2647.5935358143606</v>
      </c>
      <c r="T81" s="126">
        <f t="shared" ca="1" si="40"/>
        <v>2640.7810737751633</v>
      </c>
      <c r="U81" s="126">
        <f t="shared" ca="1" si="40"/>
        <v>2647.0173208031911</v>
      </c>
      <c r="V81" s="126">
        <f t="shared" ca="1" si="40"/>
        <v>2653.61028116125</v>
      </c>
      <c r="W81" s="127">
        <f t="shared" ca="1" si="40"/>
        <v>2675.3131660406571</v>
      </c>
    </row>
    <row r="82" spans="2:23">
      <c r="B82" s="150" t="s">
        <v>165</v>
      </c>
      <c r="C82" s="427"/>
      <c r="D82" s="126">
        <f ca="1">D81*Input!$D$74</f>
        <v>0</v>
      </c>
      <c r="E82" s="126">
        <f ca="1">E81*Input!$D$74</f>
        <v>0</v>
      </c>
      <c r="F82" s="126">
        <f ca="1">F81*Input!$D$74</f>
        <v>0</v>
      </c>
      <c r="G82" s="126">
        <f ca="1">G81*Input!$D$74</f>
        <v>0</v>
      </c>
      <c r="H82" s="126">
        <f ca="1">H81*Input!$D$74</f>
        <v>0</v>
      </c>
      <c r="I82" s="126">
        <f ca="1">I81*Input!$D$74</f>
        <v>0</v>
      </c>
      <c r="J82" s="126">
        <f ca="1">J81*Input!$D$74</f>
        <v>0</v>
      </c>
      <c r="K82" s="126">
        <f ca="1">K81*Input!$D$74</f>
        <v>0</v>
      </c>
      <c r="L82" s="126">
        <f ca="1">L81*Input!$D$74</f>
        <v>0</v>
      </c>
      <c r="M82" s="126">
        <f ca="1">M81*Input!$D$74</f>
        <v>0</v>
      </c>
      <c r="N82" s="126">
        <f ca="1">N81*Input!$D$74</f>
        <v>0</v>
      </c>
      <c r="O82" s="126">
        <f ca="1">O81*Input!$D$74</f>
        <v>0</v>
      </c>
      <c r="P82" s="126">
        <f ca="1">P81*Input!$D$74</f>
        <v>0</v>
      </c>
      <c r="Q82" s="126">
        <f ca="1">Q81*Input!$D$74</f>
        <v>0</v>
      </c>
      <c r="R82" s="126">
        <f ca="1">R81*Input!$D$74</f>
        <v>805.59383890430331</v>
      </c>
      <c r="S82" s="126">
        <f ca="1">S81*Input!$D$74</f>
        <v>899.91704282330113</v>
      </c>
      <c r="T82" s="126">
        <f ca="1">T81*Input!$D$74</f>
        <v>897.60148697617797</v>
      </c>
      <c r="U82" s="126">
        <f ca="1">U81*Input!$D$74</f>
        <v>899.72118734100457</v>
      </c>
      <c r="V82" s="126">
        <f ca="1">V81*Input!$D$74</f>
        <v>901.96213456670887</v>
      </c>
      <c r="W82" s="127">
        <f ca="1">W81*Input!$D$74</f>
        <v>909.3389451372193</v>
      </c>
    </row>
    <row r="83" spans="2:23">
      <c r="B83" s="150" t="s">
        <v>166</v>
      </c>
      <c r="C83" s="427"/>
      <c r="D83" s="126">
        <f ca="1">MAX(D70*Input!$D$75,0)</f>
        <v>256.16768020397308</v>
      </c>
      <c r="E83" s="126">
        <f ca="1">MAX(E70*Input!$D$75,0)</f>
        <v>256.60304946229661</v>
      </c>
      <c r="F83" s="126">
        <f ca="1">MAX(F70*Input!$D$75,0)</f>
        <v>257.06332184219593</v>
      </c>
      <c r="G83" s="126">
        <f ca="1">MAX(G70*Input!$D$75,0)</f>
        <v>258.94008204391281</v>
      </c>
      <c r="H83" s="126">
        <f ca="1">MAX(H70*Input!$D$75,0)</f>
        <v>258.06435527997132</v>
      </c>
      <c r="I83" s="126">
        <f ca="1">MAX(I70*Input!$D$75,0)</f>
        <v>258.60821435264245</v>
      </c>
      <c r="J83" s="126">
        <f ca="1">MAX(J70*Input!$D$75,0)</f>
        <v>259.18318216427065</v>
      </c>
      <c r="K83" s="126">
        <f ca="1">MAX(K70*Input!$D$75,0)</f>
        <v>261.3574930800491</v>
      </c>
      <c r="L83" s="126">
        <f ca="1">MAX(L70*Input!$D$75,0)</f>
        <v>260.43366346668631</v>
      </c>
      <c r="M83" s="126">
        <f ca="1">MAX(M70*Input!$D$75,0)</f>
        <v>261.11304696763807</v>
      </c>
      <c r="N83" s="126">
        <f ca="1">MAX(N70*Input!$D$75,0)</f>
        <v>298.0159136048423</v>
      </c>
      <c r="O83" s="126">
        <f ca="1">MAX(O70*Input!$D$75,0)</f>
        <v>300.66105795064402</v>
      </c>
      <c r="P83" s="126">
        <f ca="1">MAX(P70*Input!$D$75,0)</f>
        <v>299.57800277058368</v>
      </c>
      <c r="Q83" s="126">
        <f ca="1">MAX(Q70*Input!$D$75,0)</f>
        <v>300.42668207843695</v>
      </c>
      <c r="R83" s="126">
        <f ca="1">MAX(R70*Input!$D$75,0)</f>
        <v>301.32390584270098</v>
      </c>
      <c r="S83" s="126">
        <f ca="1">MAX(S70*Input!$D$75,0)</f>
        <v>304.43337108844128</v>
      </c>
      <c r="T83" s="126">
        <f ca="1">MAX(T70*Input!$D$75,0)</f>
        <v>303.27525254177777</v>
      </c>
      <c r="U83" s="126">
        <f ca="1">MAX(U70*Input!$D$75,0)</f>
        <v>304.33541453654249</v>
      </c>
      <c r="V83" s="126">
        <f ca="1">MAX(V70*Input!$D$75,0)</f>
        <v>305.45621779741248</v>
      </c>
      <c r="W83" s="127">
        <f ca="1">MAX(W70*Input!$D$75,0)</f>
        <v>309.14570822691167</v>
      </c>
    </row>
    <row r="84" spans="2:23">
      <c r="B84" s="150"/>
      <c r="C84" s="427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7"/>
    </row>
    <row r="85" spans="2:23">
      <c r="B85" s="155" t="s">
        <v>196</v>
      </c>
      <c r="C85" s="428"/>
      <c r="D85" s="129">
        <f t="shared" ref="D85:W85" ca="1" si="41">MAX(D82,D83)</f>
        <v>256.16768020397308</v>
      </c>
      <c r="E85" s="129">
        <f t="shared" ca="1" si="41"/>
        <v>256.60304946229661</v>
      </c>
      <c r="F85" s="129">
        <f t="shared" ca="1" si="41"/>
        <v>257.06332184219593</v>
      </c>
      <c r="G85" s="129">
        <f t="shared" ca="1" si="41"/>
        <v>258.94008204391281</v>
      </c>
      <c r="H85" s="129">
        <f t="shared" ca="1" si="41"/>
        <v>258.06435527997132</v>
      </c>
      <c r="I85" s="129">
        <f t="shared" ca="1" si="41"/>
        <v>258.60821435264245</v>
      </c>
      <c r="J85" s="129">
        <f t="shared" ca="1" si="41"/>
        <v>259.18318216427065</v>
      </c>
      <c r="K85" s="129">
        <f t="shared" ca="1" si="41"/>
        <v>261.3574930800491</v>
      </c>
      <c r="L85" s="129">
        <f t="shared" ca="1" si="41"/>
        <v>260.43366346668631</v>
      </c>
      <c r="M85" s="129">
        <f t="shared" ca="1" si="41"/>
        <v>261.11304696763807</v>
      </c>
      <c r="N85" s="129">
        <f t="shared" ca="1" si="41"/>
        <v>298.0159136048423</v>
      </c>
      <c r="O85" s="129">
        <f t="shared" ca="1" si="41"/>
        <v>300.66105795064402</v>
      </c>
      <c r="P85" s="129">
        <f ca="1">MAX(P82,P83)</f>
        <v>299.57800277058368</v>
      </c>
      <c r="Q85" s="129">
        <f t="shared" ca="1" si="41"/>
        <v>300.42668207843695</v>
      </c>
      <c r="R85" s="129">
        <f t="shared" ca="1" si="41"/>
        <v>805.59383890430331</v>
      </c>
      <c r="S85" s="129">
        <f t="shared" ca="1" si="41"/>
        <v>899.91704282330113</v>
      </c>
      <c r="T85" s="129">
        <f t="shared" ca="1" si="41"/>
        <v>897.60148697617797</v>
      </c>
      <c r="U85" s="129">
        <f t="shared" ca="1" si="41"/>
        <v>899.72118734100457</v>
      </c>
      <c r="V85" s="129">
        <f t="shared" ca="1" si="41"/>
        <v>901.96213456670887</v>
      </c>
      <c r="W85" s="130">
        <f t="shared" ca="1" si="41"/>
        <v>909.3389451372193</v>
      </c>
    </row>
    <row r="86" spans="2:23">
      <c r="B86" s="133"/>
      <c r="C86" s="163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</row>
    <row r="87" spans="2:23">
      <c r="B87" s="174" t="s">
        <v>197</v>
      </c>
      <c r="C87" s="426" t="s">
        <v>237</v>
      </c>
      <c r="D87" s="123">
        <v>0</v>
      </c>
      <c r="E87" s="123">
        <f ca="1">D87+D88-D89-D90</f>
        <v>256.16768020397308</v>
      </c>
      <c r="F87" s="123">
        <f t="shared" ref="F87:W87" ca="1" si="42">E87+E88-E89-E90</f>
        <v>512.77072966626974</v>
      </c>
      <c r="G87" s="123">
        <f t="shared" ca="1" si="42"/>
        <v>769.83405150846568</v>
      </c>
      <c r="H87" s="123">
        <f t="shared" ca="1" si="42"/>
        <v>1028.7741335523785</v>
      </c>
      <c r="I87" s="123">
        <f t="shared" ca="1" si="42"/>
        <v>1286.8384888323499</v>
      </c>
      <c r="J87" s="123">
        <f t="shared" ca="1" si="42"/>
        <v>1545.4467031849922</v>
      </c>
      <c r="K87" s="123">
        <f t="shared" ca="1" si="42"/>
        <v>1804.6298853492628</v>
      </c>
      <c r="L87" s="123">
        <f t="shared" ca="1" si="42"/>
        <v>1809.8196982253387</v>
      </c>
      <c r="M87" s="123">
        <f t="shared" ca="1" si="42"/>
        <v>1813.6503122297283</v>
      </c>
      <c r="N87" s="123">
        <f t="shared" ca="1" si="42"/>
        <v>1817.7000373551705</v>
      </c>
      <c r="O87" s="123">
        <f t="shared" ca="1" si="42"/>
        <v>1856.7758689161001</v>
      </c>
      <c r="P87" s="123">
        <f t="shared" ca="1" si="42"/>
        <v>1899.3725715867729</v>
      </c>
      <c r="Q87" s="123">
        <f t="shared" ca="1" si="42"/>
        <v>1940.342360004714</v>
      </c>
      <c r="R87" s="123">
        <f t="shared" ca="1" si="42"/>
        <v>1981.5858599188803</v>
      </c>
      <c r="S87" s="123">
        <f t="shared" ca="1" si="42"/>
        <v>1477.3159268572779</v>
      </c>
      <c r="T87" s="123">
        <f t="shared" ca="1" si="42"/>
        <v>881.83225512241802</v>
      </c>
      <c r="U87" s="123">
        <f t="shared" ca="1" si="42"/>
        <v>287.50602068801777</v>
      </c>
      <c r="V87" s="123">
        <f t="shared" ca="1" si="42"/>
        <v>0</v>
      </c>
      <c r="W87" s="124">
        <f t="shared" ca="1" si="42"/>
        <v>0</v>
      </c>
    </row>
    <row r="88" spans="2:23">
      <c r="B88" s="150" t="s">
        <v>198</v>
      </c>
      <c r="C88" s="427"/>
      <c r="D88" s="126">
        <f ca="1">D85-D82</f>
        <v>256.16768020397308</v>
      </c>
      <c r="E88" s="126">
        <f t="shared" ref="E88:W88" ca="1" si="43">E85-E82</f>
        <v>256.60304946229661</v>
      </c>
      <c r="F88" s="126">
        <f t="shared" ca="1" si="43"/>
        <v>257.06332184219593</v>
      </c>
      <c r="G88" s="126">
        <f t="shared" ca="1" si="43"/>
        <v>258.94008204391281</v>
      </c>
      <c r="H88" s="126">
        <f t="shared" ca="1" si="43"/>
        <v>258.06435527997132</v>
      </c>
      <c r="I88" s="126">
        <f t="shared" ca="1" si="43"/>
        <v>258.60821435264245</v>
      </c>
      <c r="J88" s="126">
        <f t="shared" ca="1" si="43"/>
        <v>259.18318216427065</v>
      </c>
      <c r="K88" s="126">
        <f t="shared" ca="1" si="43"/>
        <v>261.3574930800491</v>
      </c>
      <c r="L88" s="126">
        <f t="shared" ca="1" si="43"/>
        <v>260.43366346668631</v>
      </c>
      <c r="M88" s="126">
        <f t="shared" ca="1" si="43"/>
        <v>261.11304696763807</v>
      </c>
      <c r="N88" s="126">
        <f t="shared" ca="1" si="43"/>
        <v>298.0159136048423</v>
      </c>
      <c r="O88" s="126">
        <f t="shared" ca="1" si="43"/>
        <v>300.66105795064402</v>
      </c>
      <c r="P88" s="126">
        <f t="shared" ca="1" si="43"/>
        <v>299.57800277058368</v>
      </c>
      <c r="Q88" s="126">
        <f t="shared" ca="1" si="43"/>
        <v>300.42668207843695</v>
      </c>
      <c r="R88" s="126">
        <f t="shared" ca="1" si="43"/>
        <v>0</v>
      </c>
      <c r="S88" s="126">
        <f t="shared" ca="1" si="43"/>
        <v>0</v>
      </c>
      <c r="T88" s="126">
        <f t="shared" ca="1" si="43"/>
        <v>0</v>
      </c>
      <c r="U88" s="126">
        <f t="shared" ca="1" si="43"/>
        <v>0</v>
      </c>
      <c r="V88" s="126">
        <f t="shared" ca="1" si="43"/>
        <v>0</v>
      </c>
      <c r="W88" s="127">
        <f t="shared" ca="1" si="43"/>
        <v>0</v>
      </c>
    </row>
    <row r="89" spans="2:23">
      <c r="B89" s="150" t="s">
        <v>199</v>
      </c>
      <c r="C89" s="427"/>
      <c r="D89" s="126">
        <f t="shared" ref="D89:W89" ca="1" si="44">MIN(D87,D85-D83)</f>
        <v>0</v>
      </c>
      <c r="E89" s="126">
        <f t="shared" ca="1" si="44"/>
        <v>0</v>
      </c>
      <c r="F89" s="126">
        <f t="shared" ca="1" si="44"/>
        <v>0</v>
      </c>
      <c r="G89" s="126">
        <f t="shared" ca="1" si="44"/>
        <v>0</v>
      </c>
      <c r="H89" s="126">
        <f t="shared" ca="1" si="44"/>
        <v>0</v>
      </c>
      <c r="I89" s="126">
        <f t="shared" ca="1" si="44"/>
        <v>0</v>
      </c>
      <c r="J89" s="126">
        <f t="shared" ca="1" si="44"/>
        <v>0</v>
      </c>
      <c r="K89" s="126">
        <f t="shared" ca="1" si="44"/>
        <v>0</v>
      </c>
      <c r="L89" s="126">
        <f t="shared" ca="1" si="44"/>
        <v>0</v>
      </c>
      <c r="M89" s="126">
        <f t="shared" ca="1" si="44"/>
        <v>0</v>
      </c>
      <c r="N89" s="126">
        <f t="shared" ca="1" si="44"/>
        <v>0</v>
      </c>
      <c r="O89" s="126">
        <f t="shared" ca="1" si="44"/>
        <v>0</v>
      </c>
      <c r="P89" s="126">
        <f t="shared" ca="1" si="44"/>
        <v>0</v>
      </c>
      <c r="Q89" s="126">
        <f t="shared" ca="1" si="44"/>
        <v>0</v>
      </c>
      <c r="R89" s="126">
        <f t="shared" ca="1" si="44"/>
        <v>504.26993306160233</v>
      </c>
      <c r="S89" s="126">
        <f t="shared" ca="1" si="44"/>
        <v>595.48367173485985</v>
      </c>
      <c r="T89" s="126">
        <f t="shared" ca="1" si="44"/>
        <v>594.32623443440025</v>
      </c>
      <c r="U89" s="126">
        <f t="shared" ca="1" si="44"/>
        <v>287.50602068801777</v>
      </c>
      <c r="V89" s="126">
        <f t="shared" ca="1" si="44"/>
        <v>0</v>
      </c>
      <c r="W89" s="126">
        <f t="shared" ca="1" si="44"/>
        <v>0</v>
      </c>
    </row>
    <row r="90" spans="2:23">
      <c r="B90" s="150" t="s">
        <v>200</v>
      </c>
      <c r="C90" s="427"/>
      <c r="D90" s="126">
        <v>0</v>
      </c>
      <c r="E90" s="126">
        <v>0</v>
      </c>
      <c r="F90" s="126">
        <v>0</v>
      </c>
      <c r="G90" s="126">
        <v>0</v>
      </c>
      <c r="H90" s="126">
        <v>0</v>
      </c>
      <c r="I90" s="126">
        <v>0</v>
      </c>
      <c r="J90" s="126">
        <v>0</v>
      </c>
      <c r="K90" s="126">
        <f ca="1">MAX((SUM($D$88:D88)-SUM($D$89:K89)-SUM($D$90:J90)),0)</f>
        <v>256.16768020397308</v>
      </c>
      <c r="L90" s="126">
        <f ca="1">MAX((SUM($D$88:E88)-SUM($D$89:L89)-SUM($D$90:K90)),0)</f>
        <v>256.60304946229667</v>
      </c>
      <c r="M90" s="126">
        <f ca="1">MAX((SUM($D$88:F88)-SUM($D$89:M89)-SUM($D$90:L90)),0)</f>
        <v>257.06332184219593</v>
      </c>
      <c r="N90" s="126">
        <f ca="1">MAX((SUM($D$88:G88)-SUM($D$89:N89)-SUM($D$90:M90)),0)</f>
        <v>258.94008204391287</v>
      </c>
      <c r="O90" s="126">
        <f ca="1">MAX((SUM($D$88:H88)-SUM($D$89:O89)-SUM($D$90:N90)),0)</f>
        <v>258.06435527997132</v>
      </c>
      <c r="P90" s="126">
        <f ca="1">MAX((SUM($D$88:I88)-SUM($D$89:P89)-SUM($D$90:O90)),0)</f>
        <v>258.60821435264234</v>
      </c>
      <c r="Q90" s="126">
        <f ca="1">MAX((SUM($D$88:J88)-SUM($D$89:Q89)-SUM($D$90:P90)),0)</f>
        <v>259.18318216427065</v>
      </c>
      <c r="R90" s="126">
        <f ca="1">MAX((SUM($D$88:K88)-SUM($D$89:R89)-SUM($D$90:Q90)),0)</f>
        <v>0</v>
      </c>
      <c r="S90" s="126">
        <f ca="1">MAX((SUM($D$88:L88)-SUM($D$89:S89)-SUM($D$90:R90)),0)</f>
        <v>0</v>
      </c>
      <c r="T90" s="126">
        <f ca="1">MAX((SUM($D$88:M88)-SUM($D$89:T89)-SUM($D$90:S90)),0)</f>
        <v>0</v>
      </c>
      <c r="U90" s="126">
        <f ca="1">MAX((SUM($D$88:N88)-SUM($D$89:U89)-SUM($D$90:T90)),0)</f>
        <v>0</v>
      </c>
      <c r="V90" s="126">
        <f ca="1">MAX((SUM($D$88:O88)-SUM($D$89:V89)-SUM($D$90:U90)),0)</f>
        <v>0</v>
      </c>
      <c r="W90" s="126">
        <f ca="1">MAX((SUM($D$88:P88)-SUM($D$89:W89)-SUM($D$90:V90)),0)</f>
        <v>0</v>
      </c>
    </row>
    <row r="91" spans="2:23">
      <c r="B91" s="152" t="s">
        <v>201</v>
      </c>
      <c r="C91" s="428"/>
      <c r="D91" s="175">
        <f ca="1">D85</f>
        <v>256.16768020397308</v>
      </c>
      <c r="E91" s="175">
        <f t="shared" ref="E91:W91" ca="1" si="45">MAX(E83,E82-E89)</f>
        <v>256.60304946229661</v>
      </c>
      <c r="F91" s="175">
        <f t="shared" ca="1" si="45"/>
        <v>257.06332184219593</v>
      </c>
      <c r="G91" s="175">
        <f t="shared" ca="1" si="45"/>
        <v>258.94008204391281</v>
      </c>
      <c r="H91" s="175">
        <f t="shared" ca="1" si="45"/>
        <v>258.06435527997132</v>
      </c>
      <c r="I91" s="175">
        <f t="shared" ca="1" si="45"/>
        <v>258.60821435264245</v>
      </c>
      <c r="J91" s="175">
        <f t="shared" ca="1" si="45"/>
        <v>259.18318216427065</v>
      </c>
      <c r="K91" s="175">
        <f t="shared" ca="1" si="45"/>
        <v>261.3574930800491</v>
      </c>
      <c r="L91" s="175">
        <f t="shared" ca="1" si="45"/>
        <v>260.43366346668631</v>
      </c>
      <c r="M91" s="175">
        <f t="shared" ca="1" si="45"/>
        <v>261.11304696763807</v>
      </c>
      <c r="N91" s="175">
        <f t="shared" ca="1" si="45"/>
        <v>298.0159136048423</v>
      </c>
      <c r="O91" s="175">
        <f t="shared" ca="1" si="45"/>
        <v>300.66105795064402</v>
      </c>
      <c r="P91" s="175">
        <f t="shared" ca="1" si="45"/>
        <v>299.57800277058368</v>
      </c>
      <c r="Q91" s="175">
        <f t="shared" ca="1" si="45"/>
        <v>300.42668207843695</v>
      </c>
      <c r="R91" s="175">
        <f t="shared" ca="1" si="45"/>
        <v>301.32390584270098</v>
      </c>
      <c r="S91" s="175">
        <f t="shared" ca="1" si="45"/>
        <v>304.43337108844128</v>
      </c>
      <c r="T91" s="175">
        <f t="shared" ca="1" si="45"/>
        <v>303.27525254177777</v>
      </c>
      <c r="U91" s="175">
        <f t="shared" ca="1" si="45"/>
        <v>612.2151666529868</v>
      </c>
      <c r="V91" s="175">
        <f t="shared" ca="1" si="45"/>
        <v>901.96213456670887</v>
      </c>
      <c r="W91" s="175">
        <f t="shared" ca="1" si="45"/>
        <v>909.3389451372193</v>
      </c>
    </row>
    <row r="92" spans="2:23">
      <c r="B92" s="163"/>
      <c r="C92" s="163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</row>
    <row r="93" spans="2:23">
      <c r="B93" s="163"/>
      <c r="C93" s="163"/>
    </row>
    <row r="94" spans="2:23">
      <c r="B94" s="164" t="s">
        <v>177</v>
      </c>
      <c r="C94" s="15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6"/>
    </row>
    <row r="95" spans="2:23">
      <c r="B95" s="144" t="s">
        <v>171</v>
      </c>
      <c r="C95" s="426" t="s">
        <v>237</v>
      </c>
      <c r="D95" s="126">
        <f>Input!$D$20</f>
        <v>26100</v>
      </c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8"/>
    </row>
    <row r="96" spans="2:23">
      <c r="B96" s="144" t="s">
        <v>162</v>
      </c>
      <c r="C96" s="42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8"/>
    </row>
    <row r="97" spans="2:23">
      <c r="B97" s="144" t="s">
        <v>35</v>
      </c>
      <c r="C97" s="427"/>
      <c r="D97" s="76">
        <f t="shared" ref="D97:W97" si="46">D69</f>
        <v>41364</v>
      </c>
      <c r="E97" s="76">
        <f t="shared" si="46"/>
        <v>41729</v>
      </c>
      <c r="F97" s="76">
        <f t="shared" si="46"/>
        <v>42094</v>
      </c>
      <c r="G97" s="76">
        <f t="shared" si="46"/>
        <v>42460</v>
      </c>
      <c r="H97" s="76">
        <f t="shared" si="46"/>
        <v>42825</v>
      </c>
      <c r="I97" s="76">
        <f t="shared" si="46"/>
        <v>43190</v>
      </c>
      <c r="J97" s="76">
        <f t="shared" si="46"/>
        <v>43555</v>
      </c>
      <c r="K97" s="76">
        <f t="shared" si="46"/>
        <v>43921</v>
      </c>
      <c r="L97" s="76">
        <f t="shared" si="46"/>
        <v>44286</v>
      </c>
      <c r="M97" s="76">
        <f t="shared" si="46"/>
        <v>44651</v>
      </c>
      <c r="N97" s="76">
        <f t="shared" si="46"/>
        <v>45016</v>
      </c>
      <c r="O97" s="76">
        <f t="shared" si="46"/>
        <v>45382</v>
      </c>
      <c r="P97" s="76">
        <f t="shared" si="46"/>
        <v>45747</v>
      </c>
      <c r="Q97" s="76">
        <f t="shared" si="46"/>
        <v>46112</v>
      </c>
      <c r="R97" s="76">
        <f t="shared" si="46"/>
        <v>46477</v>
      </c>
      <c r="S97" s="76">
        <f t="shared" si="46"/>
        <v>46843</v>
      </c>
      <c r="T97" s="76">
        <f t="shared" si="46"/>
        <v>47208</v>
      </c>
      <c r="U97" s="76">
        <f t="shared" si="46"/>
        <v>47573</v>
      </c>
      <c r="V97" s="76">
        <f t="shared" si="46"/>
        <v>47938</v>
      </c>
      <c r="W97" s="78">
        <f t="shared" si="46"/>
        <v>48304</v>
      </c>
    </row>
    <row r="98" spans="2:23">
      <c r="B98" s="169"/>
      <c r="C98" s="428"/>
      <c r="D98" s="161">
        <f>IF((D97-Input!$D$27)&gt;180,D95*Input!$D$77,D95*Input!$D$77*50%)</f>
        <v>3807.9900000000002</v>
      </c>
      <c r="E98" s="161">
        <f>MIN(($D$95-SUM($D$98:D98))*Input!$D$77,$D$95*90%-SUM($D$98:D$98))</f>
        <v>3252.4042589999999</v>
      </c>
      <c r="F98" s="161">
        <f>MIN(($D$95-SUM($D$98:E98))*Input!$D$77,$D$95*90%-SUM($D$98:E$98))</f>
        <v>2777.8784776119001</v>
      </c>
      <c r="G98" s="161">
        <f>MIN(($D$95-SUM($D$98:F98))*Input!$D$77,$D$95*90%-SUM($D$98:F$98))</f>
        <v>2372.5860077283237</v>
      </c>
      <c r="H98" s="161">
        <f>MIN(($D$95-SUM($D$98:G98))*Input!$D$77,$D$95*90%-SUM($D$98:G$98))</f>
        <v>2026.4257092007615</v>
      </c>
      <c r="I98" s="161">
        <f>MIN(($D$95-SUM($D$98:H98))*Input!$D$77,$D$95*90%-SUM($D$98:H$98))</f>
        <v>1730.7701982283704</v>
      </c>
      <c r="J98" s="161">
        <f>MIN(($D$95-SUM($D$98:I98))*Input!$D$77,$D$95*90%-SUM($D$98:I$98))</f>
        <v>1478.2508263068512</v>
      </c>
      <c r="K98" s="161">
        <f>MIN(($D$95-SUM($D$98:J98))*Input!$D$77,$D$95*90%-SUM($D$98:J$98))</f>
        <v>1262.5740307486815</v>
      </c>
      <c r="L98" s="161">
        <f>MIN(($D$95-SUM($D$98:K98))*Input!$D$77,$D$95*90%-SUM($D$98:K$98))</f>
        <v>1078.364479662449</v>
      </c>
      <c r="M98" s="161">
        <f>MIN(($D$95-SUM($D$98:L98))*Input!$D$77,$D$95*90%-SUM($D$98:L$98))</f>
        <v>921.03110207969735</v>
      </c>
      <c r="N98" s="161">
        <f>MIN(($D$95-SUM($D$98:M98))*Input!$D$77,$D$95*90%-SUM($D$98:M$98))</f>
        <v>786.65266428626944</v>
      </c>
      <c r="O98" s="161">
        <f>MIN(($D$95-SUM($D$98:N98))*Input!$D$77,$D$95*90%-SUM($D$98:N$98))</f>
        <v>671.88004056690261</v>
      </c>
      <c r="P98" s="161">
        <f>MIN(($D$95-SUM($D$98:O98))*Input!$D$77,$D$95*90%-SUM($D$98:O$98))</f>
        <v>573.85274264819157</v>
      </c>
      <c r="Q98" s="161">
        <f>MIN(($D$95-SUM($D$98:P98))*Input!$D$77,$D$95*90%-SUM($D$98:P$98))</f>
        <v>490.12762749582026</v>
      </c>
      <c r="R98" s="161">
        <f>MIN(($D$95-SUM($D$98:Q98))*Input!$D$77,$D$95*90%-SUM($D$98:Q$98))</f>
        <v>259.21183443577684</v>
      </c>
      <c r="S98" s="161">
        <f>MIN(($D$95-SUM($D$98:R98))*Input!$D$77,$D$95*90%-SUM($D$98:R$98))</f>
        <v>0</v>
      </c>
      <c r="T98" s="161">
        <f>MIN(($D$95-SUM($D$98:S98))*Input!$D$77,$D$95*90%-SUM($D$98:S$98))</f>
        <v>0</v>
      </c>
      <c r="U98" s="161">
        <f>MIN(($D$95-SUM($D$98:T98))*Input!$D$77,$D$95*90%-SUM($D$98:T$98))</f>
        <v>0</v>
      </c>
      <c r="V98" s="161">
        <f>MIN(($D$95-SUM($D$98:U98))*Input!$D$77,$D$95*90%-SUM($D$98:U$98))</f>
        <v>0</v>
      </c>
      <c r="W98" s="162">
        <f>MIN(($D$95-SUM($D$98:V98))*Input!$D$77,$D$95*90%-SUM($D$98:V$98))</f>
        <v>0</v>
      </c>
    </row>
  </sheetData>
  <mergeCells count="12">
    <mergeCell ref="C78:C85"/>
    <mergeCell ref="C87:C91"/>
    <mergeCell ref="C95:C98"/>
    <mergeCell ref="C51:C57"/>
    <mergeCell ref="C61:C63"/>
    <mergeCell ref="C70:C76"/>
    <mergeCell ref="C67:C68"/>
    <mergeCell ref="C10:C13"/>
    <mergeCell ref="C16:C18"/>
    <mergeCell ref="C28:C34"/>
    <mergeCell ref="C37:C39"/>
    <mergeCell ref="C42:C4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X27"/>
  <sheetViews>
    <sheetView workbookViewId="0">
      <selection activeCell="B10" sqref="B10"/>
    </sheetView>
  </sheetViews>
  <sheetFormatPr defaultRowHeight="12.75"/>
  <cols>
    <col min="1" max="1" width="9.140625" style="312"/>
    <col min="2" max="2" width="48.5703125" style="312" customWidth="1"/>
    <col min="3" max="3" width="12.28515625" style="312" customWidth="1"/>
    <col min="4" max="15" width="9.28515625" style="312" bestFit="1" customWidth="1"/>
    <col min="16" max="16" width="12.42578125" style="312" bestFit="1" customWidth="1"/>
    <col min="17" max="23" width="9.28515625" style="312" bestFit="1" customWidth="1"/>
    <col min="24" max="16384" width="9.140625" style="312"/>
  </cols>
  <sheetData>
    <row r="3" spans="2:24">
      <c r="B3" s="311"/>
    </row>
    <row r="4" spans="2:24">
      <c r="B4" s="313" t="str">
        <f>'P&amp;L'!B2</f>
        <v>Owner:            Lanco Kondapalli Power Private Limited</v>
      </c>
    </row>
    <row r="5" spans="2:24">
      <c r="B5" s="313" t="str">
        <f>'P&amp;L'!B3</f>
        <v xml:space="preserve">Project:           742 MW </v>
      </c>
    </row>
    <row r="6" spans="2:24">
      <c r="B6" s="314" t="str">
        <f>'P&amp;L'!B4</f>
        <v>Location :        Andhrapradesh</v>
      </c>
    </row>
    <row r="7" spans="2:24">
      <c r="B7" s="315"/>
      <c r="C7" s="315"/>
    </row>
    <row r="10" spans="2:24">
      <c r="B10" s="316" t="s">
        <v>137</v>
      </c>
      <c r="C10" s="316"/>
      <c r="D10" s="317">
        <f>'P&amp;L'!D10</f>
        <v>1</v>
      </c>
      <c r="E10" s="318">
        <f>'P&amp;L'!E10</f>
        <v>2</v>
      </c>
      <c r="F10" s="318">
        <f>'P&amp;L'!F10</f>
        <v>3</v>
      </c>
      <c r="G10" s="318">
        <f>'P&amp;L'!G10</f>
        <v>4</v>
      </c>
      <c r="H10" s="318">
        <f>'P&amp;L'!H10</f>
        <v>5</v>
      </c>
      <c r="I10" s="318">
        <f>'P&amp;L'!I10</f>
        <v>6</v>
      </c>
      <c r="J10" s="318">
        <f>'P&amp;L'!J10</f>
        <v>7</v>
      </c>
      <c r="K10" s="318">
        <f>'P&amp;L'!K10</f>
        <v>8</v>
      </c>
      <c r="L10" s="318">
        <f>'P&amp;L'!L10</f>
        <v>9</v>
      </c>
      <c r="M10" s="318">
        <f>'P&amp;L'!M10</f>
        <v>10</v>
      </c>
      <c r="N10" s="318">
        <f>'P&amp;L'!N10</f>
        <v>11</v>
      </c>
      <c r="O10" s="318">
        <f>'P&amp;L'!O10</f>
        <v>12</v>
      </c>
      <c r="P10" s="318">
        <f>'P&amp;L'!P10</f>
        <v>13</v>
      </c>
      <c r="Q10" s="318">
        <f>'P&amp;L'!Q10</f>
        <v>14</v>
      </c>
      <c r="R10" s="318">
        <f>'P&amp;L'!R10</f>
        <v>15</v>
      </c>
      <c r="S10" s="318">
        <f>'P&amp;L'!S10</f>
        <v>16</v>
      </c>
      <c r="T10" s="318">
        <f>'P&amp;L'!T10</f>
        <v>17</v>
      </c>
      <c r="U10" s="318">
        <f>'P&amp;L'!U10</f>
        <v>18</v>
      </c>
      <c r="V10" s="318">
        <f>'P&amp;L'!V10</f>
        <v>19</v>
      </c>
      <c r="W10" s="319">
        <f>'P&amp;L'!W10</f>
        <v>20</v>
      </c>
      <c r="X10" s="320"/>
    </row>
    <row r="11" spans="2:24">
      <c r="B11" s="321" t="s">
        <v>34</v>
      </c>
      <c r="C11" s="321"/>
      <c r="D11" s="322">
        <f>'P&amp;L'!D11</f>
        <v>41000</v>
      </c>
      <c r="E11" s="322">
        <f>'P&amp;L'!E11</f>
        <v>41365</v>
      </c>
      <c r="F11" s="322">
        <f>'P&amp;L'!F11</f>
        <v>41730</v>
      </c>
      <c r="G11" s="322">
        <f>'P&amp;L'!G11</f>
        <v>42095</v>
      </c>
      <c r="H11" s="322">
        <f>'P&amp;L'!H11</f>
        <v>42461</v>
      </c>
      <c r="I11" s="322">
        <f>'P&amp;L'!I11</f>
        <v>42826</v>
      </c>
      <c r="J11" s="322">
        <f>'P&amp;L'!J11</f>
        <v>43191</v>
      </c>
      <c r="K11" s="322">
        <f>'P&amp;L'!K11</f>
        <v>43556</v>
      </c>
      <c r="L11" s="322">
        <f>'P&amp;L'!L11</f>
        <v>43922</v>
      </c>
      <c r="M11" s="322">
        <f>'P&amp;L'!M11</f>
        <v>44287</v>
      </c>
      <c r="N11" s="322">
        <f>'P&amp;L'!N11</f>
        <v>44652</v>
      </c>
      <c r="O11" s="322">
        <f>'P&amp;L'!O11</f>
        <v>45017</v>
      </c>
      <c r="P11" s="322">
        <f>'P&amp;L'!P11</f>
        <v>45383</v>
      </c>
      <c r="Q11" s="322">
        <f>'P&amp;L'!Q11</f>
        <v>45748</v>
      </c>
      <c r="R11" s="322">
        <f>'P&amp;L'!R11</f>
        <v>46113</v>
      </c>
      <c r="S11" s="322">
        <f>'P&amp;L'!S11</f>
        <v>46478</v>
      </c>
      <c r="T11" s="322">
        <f>'P&amp;L'!T11</f>
        <v>46844</v>
      </c>
      <c r="U11" s="322">
        <f>'P&amp;L'!U11</f>
        <v>47209</v>
      </c>
      <c r="V11" s="322">
        <f>'P&amp;L'!V11</f>
        <v>47574</v>
      </c>
      <c r="W11" s="323">
        <f>'P&amp;L'!W11</f>
        <v>47939</v>
      </c>
    </row>
    <row r="12" spans="2:24">
      <c r="B12" s="324" t="s">
        <v>35</v>
      </c>
      <c r="C12" s="325"/>
      <c r="D12" s="326">
        <f>'P&amp;L'!D12</f>
        <v>41364</v>
      </c>
      <c r="E12" s="327">
        <f>'P&amp;L'!E12</f>
        <v>41729</v>
      </c>
      <c r="F12" s="327">
        <f>'P&amp;L'!F12</f>
        <v>42094</v>
      </c>
      <c r="G12" s="327">
        <f>'P&amp;L'!G12</f>
        <v>42460</v>
      </c>
      <c r="H12" s="327">
        <f>'P&amp;L'!H12</f>
        <v>42825</v>
      </c>
      <c r="I12" s="327">
        <f>'P&amp;L'!I12</f>
        <v>43190</v>
      </c>
      <c r="J12" s="327">
        <f>'P&amp;L'!J12</f>
        <v>43555</v>
      </c>
      <c r="K12" s="327">
        <f>'P&amp;L'!K12</f>
        <v>43921</v>
      </c>
      <c r="L12" s="327">
        <f>'P&amp;L'!L12</f>
        <v>44286</v>
      </c>
      <c r="M12" s="327">
        <f>'P&amp;L'!M12</f>
        <v>44651</v>
      </c>
      <c r="N12" s="327">
        <f>'P&amp;L'!N12</f>
        <v>45016</v>
      </c>
      <c r="O12" s="327">
        <f>'P&amp;L'!O12</f>
        <v>45382</v>
      </c>
      <c r="P12" s="327">
        <f>'P&amp;L'!P12</f>
        <v>45747</v>
      </c>
      <c r="Q12" s="327">
        <f>'P&amp;L'!Q12</f>
        <v>46112</v>
      </c>
      <c r="R12" s="327">
        <f>'P&amp;L'!R12</f>
        <v>46477</v>
      </c>
      <c r="S12" s="327">
        <f>'P&amp;L'!S12</f>
        <v>46843</v>
      </c>
      <c r="T12" s="327">
        <f>'P&amp;L'!T12</f>
        <v>47208</v>
      </c>
      <c r="U12" s="327">
        <f>'P&amp;L'!U12</f>
        <v>47573</v>
      </c>
      <c r="V12" s="327">
        <f>'P&amp;L'!V12</f>
        <v>47938</v>
      </c>
      <c r="W12" s="328">
        <f>'P&amp;L'!W12</f>
        <v>48304</v>
      </c>
    </row>
    <row r="14" spans="2:24">
      <c r="B14" s="371" t="s">
        <v>242</v>
      </c>
      <c r="C14" s="329">
        <f>Input!D35</f>
        <v>18270</v>
      </c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1"/>
    </row>
    <row r="15" spans="2:24">
      <c r="B15" s="332" t="s">
        <v>243</v>
      </c>
      <c r="C15" s="321" t="s">
        <v>237</v>
      </c>
      <c r="D15" s="333">
        <f>C14</f>
        <v>18270</v>
      </c>
      <c r="E15" s="333">
        <f>D23</f>
        <v>17475.65217391304</v>
      </c>
      <c r="F15" s="333">
        <f t="shared" ref="F15:W15" si="0">E23</f>
        <v>15886.956521739125</v>
      </c>
      <c r="G15" s="333">
        <f t="shared" si="0"/>
        <v>14298.260869565212</v>
      </c>
      <c r="H15" s="333">
        <f t="shared" si="0"/>
        <v>12709.5652173913</v>
      </c>
      <c r="I15" s="333">
        <f t="shared" si="0"/>
        <v>11120.869565217388</v>
      </c>
      <c r="J15" s="333">
        <f t="shared" si="0"/>
        <v>9532.1739130434762</v>
      </c>
      <c r="K15" s="333">
        <f t="shared" si="0"/>
        <v>7943.4782608695641</v>
      </c>
      <c r="L15" s="333">
        <f t="shared" si="0"/>
        <v>6354.782608695652</v>
      </c>
      <c r="M15" s="333">
        <f t="shared" si="0"/>
        <v>4766.0869565217399</v>
      </c>
      <c r="N15" s="333">
        <f t="shared" si="0"/>
        <v>3177.3913043478278</v>
      </c>
      <c r="O15" s="333">
        <f t="shared" si="0"/>
        <v>1588.6956521739153</v>
      </c>
      <c r="P15" s="333">
        <f t="shared" si="0"/>
        <v>2.2737367544323206E-12</v>
      </c>
      <c r="Q15" s="333">
        <f t="shared" si="0"/>
        <v>0</v>
      </c>
      <c r="R15" s="333">
        <f t="shared" si="0"/>
        <v>0</v>
      </c>
      <c r="S15" s="333">
        <f t="shared" si="0"/>
        <v>0</v>
      </c>
      <c r="T15" s="333">
        <f t="shared" si="0"/>
        <v>0</v>
      </c>
      <c r="U15" s="333">
        <f t="shared" si="0"/>
        <v>0</v>
      </c>
      <c r="V15" s="333">
        <f t="shared" si="0"/>
        <v>0</v>
      </c>
      <c r="W15" s="334">
        <f t="shared" si="0"/>
        <v>0</v>
      </c>
    </row>
    <row r="16" spans="2:24">
      <c r="B16" s="332" t="s">
        <v>105</v>
      </c>
      <c r="C16" s="321" t="s">
        <v>237</v>
      </c>
      <c r="D16" s="333">
        <f>MIN(IF(EDATE(Input!$D$27,Input!$D$38)&lt;EDATE('Term Loan'!D12,-9),'Term Loan'!$C$14/(Input!$D$36*4-Input!$D$38/3),0),D15)</f>
        <v>0</v>
      </c>
      <c r="E16" s="333">
        <f>MIN(IF(EDATE(Input!$D$27,Input!$D$38)&lt;EDATE('Term Loan'!E12,-9),'Term Loan'!$C$14/(Input!$D$36*4-Input!$D$38/3),0),E15)</f>
        <v>397.17391304347825</v>
      </c>
      <c r="F16" s="333">
        <f>MIN(IF(EDATE(Input!$D$27,Input!$D$38)&lt;EDATE('Term Loan'!F12,-9),'Term Loan'!$C$14/(Input!$D$36*4-Input!$D$38/3),0),F15)</f>
        <v>397.17391304347825</v>
      </c>
      <c r="G16" s="333">
        <f>MIN(IF(EDATE(Input!$D$27,Input!$D$38)&lt;EDATE('Term Loan'!G12,-9),'Term Loan'!$C$14/(Input!$D$36*4-Input!$D$38/3),0),G15)</f>
        <v>397.17391304347825</v>
      </c>
      <c r="H16" s="333">
        <f>MIN(IF(EDATE(Input!$D$27,Input!$D$38)&lt;EDATE('Term Loan'!H12,-9),'Term Loan'!$C$14/(Input!$D$36*4-Input!$D$38/3),0),H15)</f>
        <v>397.17391304347825</v>
      </c>
      <c r="I16" s="333">
        <f>MIN(IF(EDATE(Input!$D$27,Input!$D$38)&lt;EDATE('Term Loan'!I12,-9),'Term Loan'!$C$14/(Input!$D$36*4-Input!$D$38/3),0),I15)</f>
        <v>397.17391304347825</v>
      </c>
      <c r="J16" s="333">
        <f>MIN(IF(EDATE(Input!$D$27,Input!$D$38)&lt;EDATE('Term Loan'!J12,-9),'Term Loan'!$C$14/(Input!$D$36*4-Input!$D$38/3),0),J15)</f>
        <v>397.17391304347825</v>
      </c>
      <c r="K16" s="333">
        <f>MIN(IF(EDATE(Input!$D$27,Input!$D$38)&lt;EDATE('Term Loan'!K12,-9),'Term Loan'!$C$14/(Input!$D$36*4-Input!$D$38/3),0),K15)</f>
        <v>397.17391304347825</v>
      </c>
      <c r="L16" s="333">
        <f>MIN(IF(EDATE(Input!$D$27,Input!$D$38)&lt;EDATE('Term Loan'!L12,-9),'Term Loan'!$C$14/(Input!$D$36*4-Input!$D$38/3),0),L15)</f>
        <v>397.17391304347825</v>
      </c>
      <c r="M16" s="333">
        <f>MIN(IF(EDATE(Input!$D$27,Input!$D$38)&lt;EDATE('Term Loan'!M12,-9),'Term Loan'!$C$14/(Input!$D$36*4-Input!$D$38/3),0),M15)</f>
        <v>397.17391304347825</v>
      </c>
      <c r="N16" s="333">
        <f>MIN(IF(EDATE(Input!$D$27,Input!$D$38)&lt;EDATE('Term Loan'!N12,-9),'Term Loan'!$C$14/(Input!$D$36*4-Input!$D$38/3),0),N15)</f>
        <v>397.17391304347825</v>
      </c>
      <c r="O16" s="333">
        <f>MIN(IF(EDATE(Input!$D$27,Input!$D$38)&lt;EDATE('Term Loan'!O12,-9),'Term Loan'!$C$14/(Input!$D$36*4-Input!$D$38/3),0),O15)</f>
        <v>397.17391304347825</v>
      </c>
      <c r="P16" s="333">
        <f>MIN(IF(EDATE(Input!$D$27,Input!$D$38)&lt;EDATE('Term Loan'!P12,-9),'Term Loan'!$C$14/(Input!$D$36*4-Input!$D$38/3),0),P15)</f>
        <v>2.2737367544323206E-12</v>
      </c>
      <c r="Q16" s="333">
        <f>MIN(IF(EDATE(Input!$D$27,Input!$D$38)&lt;EDATE('Term Loan'!Q12,-9),'Term Loan'!$C$14/(Input!$D$36*4-Input!$D$38/3),0),Q15)</f>
        <v>0</v>
      </c>
      <c r="R16" s="333">
        <f>MIN(IF(EDATE(Input!$D$27,Input!$D$38)&lt;EDATE('Term Loan'!R12,-9),'Term Loan'!$C$14/(Input!$D$36*4-Input!$D$38/3),0),R15)</f>
        <v>0</v>
      </c>
      <c r="S16" s="333">
        <f>MIN(IF(EDATE(Input!$D$27,Input!$D$38)&lt;EDATE('Term Loan'!S12,-9),'Term Loan'!$C$14/(Input!$D$36*4-Input!$D$38/3),0),S15)</f>
        <v>0</v>
      </c>
      <c r="T16" s="333">
        <f>MIN(IF(EDATE(Input!$D$27,Input!$D$38)&lt;EDATE('Term Loan'!T12,-9),'Term Loan'!$C$14/(Input!$D$36*4-Input!$D$38/3),0),T15)</f>
        <v>0</v>
      </c>
      <c r="U16" s="333">
        <f>MIN(IF(EDATE(Input!$D$27,Input!$D$38)&lt;EDATE('Term Loan'!U12,-9),'Term Loan'!$C$14/(Input!$D$36*4-Input!$D$38/3),0),U15)</f>
        <v>0</v>
      </c>
      <c r="V16" s="333">
        <f>MIN(IF(EDATE(Input!$D$27,Input!$D$38)&lt;EDATE('Term Loan'!V12,-9),'Term Loan'!$C$14/(Input!$D$36*4-Input!$D$38/3),0),V15)</f>
        <v>0</v>
      </c>
      <c r="W16" s="334">
        <f>MIN(IF(EDATE(Input!$D$27,Input!$D$38)&lt;EDATE('Term Loan'!W12,-9),'Term Loan'!$C$14/(Input!$D$36*4-Input!$D$38/3),0),W15)</f>
        <v>0</v>
      </c>
    </row>
    <row r="17" spans="2:23">
      <c r="B17" s="332" t="s">
        <v>106</v>
      </c>
      <c r="C17" s="321" t="s">
        <v>237</v>
      </c>
      <c r="D17" s="333">
        <f>D15-D16</f>
        <v>18270</v>
      </c>
      <c r="E17" s="333">
        <f>E15-E16</f>
        <v>17078.47826086956</v>
      </c>
      <c r="F17" s="333">
        <f t="shared" ref="F17:W17" si="1">F15-F16</f>
        <v>15489.782608695647</v>
      </c>
      <c r="G17" s="333">
        <f t="shared" si="1"/>
        <v>13901.086956521734</v>
      </c>
      <c r="H17" s="333">
        <f t="shared" si="1"/>
        <v>12312.391304347822</v>
      </c>
      <c r="I17" s="333">
        <f t="shared" si="1"/>
        <v>10723.69565217391</v>
      </c>
      <c r="J17" s="333">
        <f t="shared" si="1"/>
        <v>9134.9999999999982</v>
      </c>
      <c r="K17" s="333">
        <f t="shared" si="1"/>
        <v>7546.3043478260861</v>
      </c>
      <c r="L17" s="333">
        <f t="shared" si="1"/>
        <v>5957.608695652174</v>
      </c>
      <c r="M17" s="333">
        <f t="shared" si="1"/>
        <v>4368.9130434782619</v>
      </c>
      <c r="N17" s="333">
        <f t="shared" si="1"/>
        <v>2780.2173913043498</v>
      </c>
      <c r="O17" s="333">
        <f t="shared" si="1"/>
        <v>1191.521739130437</v>
      </c>
      <c r="P17" s="333">
        <f t="shared" si="1"/>
        <v>0</v>
      </c>
      <c r="Q17" s="333">
        <f t="shared" si="1"/>
        <v>0</v>
      </c>
      <c r="R17" s="333">
        <f t="shared" si="1"/>
        <v>0</v>
      </c>
      <c r="S17" s="333">
        <f t="shared" si="1"/>
        <v>0</v>
      </c>
      <c r="T17" s="333">
        <f t="shared" si="1"/>
        <v>0</v>
      </c>
      <c r="U17" s="333">
        <f t="shared" si="1"/>
        <v>0</v>
      </c>
      <c r="V17" s="333">
        <f t="shared" si="1"/>
        <v>0</v>
      </c>
      <c r="W17" s="334">
        <f t="shared" si="1"/>
        <v>0</v>
      </c>
    </row>
    <row r="18" spans="2:23">
      <c r="B18" s="332" t="s">
        <v>108</v>
      </c>
      <c r="C18" s="321" t="s">
        <v>237</v>
      </c>
      <c r="D18" s="333">
        <f>MIN(IF(EDATE(Input!$D$27,Input!$D$38)&lt;EDATE('Term Loan'!D12,-6),'Term Loan'!$C$14/(Input!$D$36*4-Input!$D$38/3),0),D17)</f>
        <v>0</v>
      </c>
      <c r="E18" s="333">
        <f>MIN(IF(EDATE(Input!$D$27,Input!$D$38)&lt;EDATE('Term Loan'!E12,-6),'Term Loan'!$C$14/(Input!$D$36*4-Input!$D$38/3),0),E17)</f>
        <v>397.17391304347825</v>
      </c>
      <c r="F18" s="333">
        <f>MIN(IF(EDATE(Input!$D$27,Input!$D$38)&lt;EDATE('Term Loan'!F12,-6),'Term Loan'!$C$14/(Input!$D$36*4-Input!$D$38/3),0),F17)</f>
        <v>397.17391304347825</v>
      </c>
      <c r="G18" s="333">
        <f>MIN(IF(EDATE(Input!$D$27,Input!$D$38)&lt;EDATE('Term Loan'!G12,-6),'Term Loan'!$C$14/(Input!$D$36*4-Input!$D$38/3),0),G17)</f>
        <v>397.17391304347825</v>
      </c>
      <c r="H18" s="333">
        <f>MIN(IF(EDATE(Input!$D$27,Input!$D$38)&lt;EDATE('Term Loan'!H12,-6),'Term Loan'!$C$14/(Input!$D$36*4-Input!$D$38/3),0),H17)</f>
        <v>397.17391304347825</v>
      </c>
      <c r="I18" s="333">
        <f>MIN(IF(EDATE(Input!$D$27,Input!$D$38)&lt;EDATE('Term Loan'!I12,-6),'Term Loan'!$C$14/(Input!$D$36*4-Input!$D$38/3),0),I17)</f>
        <v>397.17391304347825</v>
      </c>
      <c r="J18" s="333">
        <f>MIN(IF(EDATE(Input!$D$27,Input!$D$38)&lt;EDATE('Term Loan'!J12,-6),'Term Loan'!$C$14/(Input!$D$36*4-Input!$D$38/3),0),J17)</f>
        <v>397.17391304347825</v>
      </c>
      <c r="K18" s="333">
        <f>MIN(IF(EDATE(Input!$D$27,Input!$D$38)&lt;EDATE('Term Loan'!K12,-6),'Term Loan'!$C$14/(Input!$D$36*4-Input!$D$38/3),0),K17)</f>
        <v>397.17391304347825</v>
      </c>
      <c r="L18" s="333">
        <f>MIN(IF(EDATE(Input!$D$27,Input!$D$38)&lt;EDATE('Term Loan'!L12,-6),'Term Loan'!$C$14/(Input!$D$36*4-Input!$D$38/3),0),L17)</f>
        <v>397.17391304347825</v>
      </c>
      <c r="M18" s="333">
        <f>MIN(IF(EDATE(Input!$D$27,Input!$D$38)&lt;EDATE('Term Loan'!M12,-6),'Term Loan'!$C$14/(Input!$D$36*4-Input!$D$38/3),0),M17)</f>
        <v>397.17391304347825</v>
      </c>
      <c r="N18" s="333">
        <f>MIN(IF(EDATE(Input!$D$27,Input!$D$38)&lt;EDATE('Term Loan'!N12,-6),'Term Loan'!$C$14/(Input!$D$36*4-Input!$D$38/3),0),N17)</f>
        <v>397.17391304347825</v>
      </c>
      <c r="O18" s="333">
        <f>MIN(IF(EDATE(Input!$D$27,Input!$D$38)&lt;EDATE('Term Loan'!O12,-6),'Term Loan'!$C$14/(Input!$D$36*4-Input!$D$38/3),0),O17)</f>
        <v>397.17391304347825</v>
      </c>
      <c r="P18" s="333">
        <f>MIN(IF(EDATE(Input!$D$27,Input!$D$38)&lt;EDATE('Term Loan'!P12,-6),'Term Loan'!$C$14/(Input!$D$36*4-Input!$D$38/3),0),P17)</f>
        <v>0</v>
      </c>
      <c r="Q18" s="333">
        <f>MIN(IF(EDATE(Input!$D$27,Input!$D$38)&lt;EDATE('Term Loan'!Q12,-6),'Term Loan'!$C$14/(Input!$D$36*4-Input!$D$38/3),0),Q17)</f>
        <v>0</v>
      </c>
      <c r="R18" s="333">
        <f>MIN(IF(EDATE(Input!$D$27,Input!$D$38)&lt;EDATE('Term Loan'!R12,-6),'Term Loan'!$C$14/(Input!$D$36*4-Input!$D$38/3),0),R17)</f>
        <v>0</v>
      </c>
      <c r="S18" s="333">
        <f>MIN(IF(EDATE(Input!$D$27,Input!$D$38)&lt;EDATE('Term Loan'!S12,-6),'Term Loan'!$C$14/(Input!$D$36*4-Input!$D$38/3),0),S17)</f>
        <v>0</v>
      </c>
      <c r="T18" s="333">
        <f>MIN(IF(EDATE(Input!$D$27,Input!$D$38)&lt;EDATE('Term Loan'!T12,-6),'Term Loan'!$C$14/(Input!$D$36*4-Input!$D$38/3),0),T17)</f>
        <v>0</v>
      </c>
      <c r="U18" s="333">
        <f>MIN(IF(EDATE(Input!$D$27,Input!$D$38)&lt;EDATE('Term Loan'!U12,-6),'Term Loan'!$C$14/(Input!$D$36*4-Input!$D$38/3),0),U17)</f>
        <v>0</v>
      </c>
      <c r="V18" s="333">
        <f>MIN(IF(EDATE(Input!$D$27,Input!$D$38)&lt;EDATE('Term Loan'!V12,-6),'Term Loan'!$C$14/(Input!$D$36*4-Input!$D$38/3),0),V17)</f>
        <v>0</v>
      </c>
      <c r="W18" s="334">
        <f>MIN(IF(EDATE(Input!$D$27,Input!$D$38)&lt;EDATE('Term Loan'!W12,-6),'Term Loan'!$C$14/(Input!$D$36*4-Input!$D$38/3),0),W17)</f>
        <v>0</v>
      </c>
    </row>
    <row r="19" spans="2:23">
      <c r="B19" s="332" t="s">
        <v>109</v>
      </c>
      <c r="C19" s="321" t="s">
        <v>237</v>
      </c>
      <c r="D19" s="333">
        <f>D17-D18</f>
        <v>18270</v>
      </c>
      <c r="E19" s="333">
        <f>E17-E18</f>
        <v>16681.304347826081</v>
      </c>
      <c r="F19" s="333">
        <f t="shared" ref="F19:W19" si="2">F17-F18</f>
        <v>15092.608695652169</v>
      </c>
      <c r="G19" s="333">
        <f t="shared" si="2"/>
        <v>13503.913043478256</v>
      </c>
      <c r="H19" s="333">
        <f t="shared" si="2"/>
        <v>11915.217391304344</v>
      </c>
      <c r="I19" s="333">
        <f t="shared" si="2"/>
        <v>10326.521739130432</v>
      </c>
      <c r="J19" s="333">
        <f t="shared" si="2"/>
        <v>8737.8260869565202</v>
      </c>
      <c r="K19" s="333">
        <f t="shared" si="2"/>
        <v>7149.1304347826081</v>
      </c>
      <c r="L19" s="333">
        <f t="shared" si="2"/>
        <v>5560.434782608696</v>
      </c>
      <c r="M19" s="333">
        <f t="shared" si="2"/>
        <v>3971.7391304347839</v>
      </c>
      <c r="N19" s="333">
        <f t="shared" si="2"/>
        <v>2383.0434782608718</v>
      </c>
      <c r="O19" s="333">
        <f t="shared" si="2"/>
        <v>794.34782608695878</v>
      </c>
      <c r="P19" s="333">
        <f t="shared" si="2"/>
        <v>0</v>
      </c>
      <c r="Q19" s="333">
        <f t="shared" si="2"/>
        <v>0</v>
      </c>
      <c r="R19" s="333">
        <f t="shared" si="2"/>
        <v>0</v>
      </c>
      <c r="S19" s="333">
        <f t="shared" si="2"/>
        <v>0</v>
      </c>
      <c r="T19" s="333">
        <f t="shared" si="2"/>
        <v>0</v>
      </c>
      <c r="U19" s="333">
        <f t="shared" si="2"/>
        <v>0</v>
      </c>
      <c r="V19" s="333">
        <f t="shared" si="2"/>
        <v>0</v>
      </c>
      <c r="W19" s="334">
        <f t="shared" si="2"/>
        <v>0</v>
      </c>
    </row>
    <row r="20" spans="2:23">
      <c r="B20" s="332" t="s">
        <v>110</v>
      </c>
      <c r="C20" s="321" t="s">
        <v>237</v>
      </c>
      <c r="D20" s="333">
        <f>MIN(IF(EDATE(Input!$D$27,Input!$D$38)&lt;EDATE('Term Loan'!D12,-3),'Term Loan'!$C$14/(Input!$D$36*4-Input!$D$38/3),0),D19)</f>
        <v>397.17391304347825</v>
      </c>
      <c r="E20" s="333">
        <f>MIN(IF(EDATE(Input!$D$27,Input!$D$38)&lt;EDATE('Term Loan'!E12,-3),'Term Loan'!$C$14/(Input!$D$36*4-Input!$D$38/3),0),E19)</f>
        <v>397.17391304347825</v>
      </c>
      <c r="F20" s="333">
        <f>MIN(IF(EDATE(Input!$D$27,Input!$D$38)&lt;EDATE('Term Loan'!F12,-3),'Term Loan'!$C$14/(Input!$D$36*4-Input!$D$38/3),0),F19)</f>
        <v>397.17391304347825</v>
      </c>
      <c r="G20" s="333">
        <f>MIN(IF(EDATE(Input!$D$27,Input!$D$38)&lt;EDATE('Term Loan'!G12,-3),'Term Loan'!$C$14/(Input!$D$36*4-Input!$D$38/3),0),G19)</f>
        <v>397.17391304347825</v>
      </c>
      <c r="H20" s="333">
        <f>MIN(IF(EDATE(Input!$D$27,Input!$D$38)&lt;EDATE('Term Loan'!H12,-3),'Term Loan'!$C$14/(Input!$D$36*4-Input!$D$38/3),0),H19)</f>
        <v>397.17391304347825</v>
      </c>
      <c r="I20" s="333">
        <f>MIN(IF(EDATE(Input!$D$27,Input!$D$38)&lt;EDATE('Term Loan'!I12,-3),'Term Loan'!$C$14/(Input!$D$36*4-Input!$D$38/3),0),I19)</f>
        <v>397.17391304347825</v>
      </c>
      <c r="J20" s="333">
        <f>MIN(IF(EDATE(Input!$D$27,Input!$D$38)&lt;EDATE('Term Loan'!J12,-3),'Term Loan'!$C$14/(Input!$D$36*4-Input!$D$38/3),0),J19)</f>
        <v>397.17391304347825</v>
      </c>
      <c r="K20" s="333">
        <f>MIN(IF(EDATE(Input!$D$27,Input!$D$38)&lt;EDATE('Term Loan'!K12,-3),'Term Loan'!$C$14/(Input!$D$36*4-Input!$D$38/3),0),K19)</f>
        <v>397.17391304347825</v>
      </c>
      <c r="L20" s="333">
        <f>MIN(IF(EDATE(Input!$D$27,Input!$D$38)&lt;EDATE('Term Loan'!L12,-3),'Term Loan'!$C$14/(Input!$D$36*4-Input!$D$38/3),0),L19)</f>
        <v>397.17391304347825</v>
      </c>
      <c r="M20" s="333">
        <f>MIN(IF(EDATE(Input!$D$27,Input!$D$38)&lt;EDATE('Term Loan'!M12,-3),'Term Loan'!$C$14/(Input!$D$36*4-Input!$D$38/3),0),M19)</f>
        <v>397.17391304347825</v>
      </c>
      <c r="N20" s="333">
        <f>MIN(IF(EDATE(Input!$D$27,Input!$D$38)&lt;EDATE('Term Loan'!N12,-3),'Term Loan'!$C$14/(Input!$D$36*4-Input!$D$38/3),0),N19)</f>
        <v>397.17391304347825</v>
      </c>
      <c r="O20" s="333">
        <f>MIN(IF(EDATE(Input!$D$27,Input!$D$38)&lt;EDATE('Term Loan'!O12,-3),'Term Loan'!$C$14/(Input!$D$36*4-Input!$D$38/3),0),O19)</f>
        <v>397.17391304347825</v>
      </c>
      <c r="P20" s="333">
        <f>MIN(IF(EDATE(Input!$D$27,Input!$D$38)&lt;EDATE('Term Loan'!P12,-3),'Term Loan'!$C$14/(Input!$D$36*4-Input!$D$38/3),0),P19)</f>
        <v>0</v>
      </c>
      <c r="Q20" s="333">
        <f>MIN(IF(EDATE(Input!$D$27,Input!$D$38)&lt;EDATE('Term Loan'!Q12,-3),'Term Loan'!$C$14/(Input!$D$36*4-Input!$D$38/3),0),Q19)</f>
        <v>0</v>
      </c>
      <c r="R20" s="333">
        <f>MIN(IF(EDATE(Input!$D$27,Input!$D$38)&lt;EDATE('Term Loan'!R12,-3),'Term Loan'!$C$14/(Input!$D$36*4-Input!$D$38/3),0),R19)</f>
        <v>0</v>
      </c>
      <c r="S20" s="333">
        <f>MIN(IF(EDATE(Input!$D$27,Input!$D$38)&lt;EDATE('Term Loan'!S12,-3),'Term Loan'!$C$14/(Input!$D$36*4-Input!$D$38/3),0),S19)</f>
        <v>0</v>
      </c>
      <c r="T20" s="333">
        <f>MIN(IF(EDATE(Input!$D$27,Input!$D$38)&lt;EDATE('Term Loan'!T12,-3),'Term Loan'!$C$14/(Input!$D$36*4-Input!$D$38/3),0),T19)</f>
        <v>0</v>
      </c>
      <c r="U20" s="333">
        <f>MIN(IF(EDATE(Input!$D$27,Input!$D$38)&lt;EDATE('Term Loan'!U12,-3),'Term Loan'!$C$14/(Input!$D$36*4-Input!$D$38/3),0),U19)</f>
        <v>0</v>
      </c>
      <c r="V20" s="333">
        <f>MIN(IF(EDATE(Input!$D$27,Input!$D$38)&lt;EDATE('Term Loan'!V12,-3),'Term Loan'!$C$14/(Input!$D$36*4-Input!$D$38/3),0),V19)</f>
        <v>0</v>
      </c>
      <c r="W20" s="334">
        <f>MIN(IF(EDATE(Input!$D$27,Input!$D$38)&lt;EDATE('Term Loan'!W12,-3),'Term Loan'!$C$14/(Input!$D$36*4-Input!$D$38/3),0),W19)</f>
        <v>0</v>
      </c>
    </row>
    <row r="21" spans="2:23">
      <c r="B21" s="332" t="s">
        <v>111</v>
      </c>
      <c r="C21" s="321" t="s">
        <v>237</v>
      </c>
      <c r="D21" s="333">
        <f>D19-D20</f>
        <v>17872.82608695652</v>
      </c>
      <c r="E21" s="333">
        <f>E19-E20</f>
        <v>16284.130434782603</v>
      </c>
      <c r="F21" s="333">
        <f t="shared" ref="F21:W21" si="3">F19-F20</f>
        <v>14695.434782608691</v>
      </c>
      <c r="G21" s="333">
        <f t="shared" si="3"/>
        <v>13106.739130434778</v>
      </c>
      <c r="H21" s="333">
        <f t="shared" si="3"/>
        <v>11518.043478260866</v>
      </c>
      <c r="I21" s="333">
        <f t="shared" si="3"/>
        <v>9929.3478260869542</v>
      </c>
      <c r="J21" s="333">
        <f t="shared" si="3"/>
        <v>8340.6521739130421</v>
      </c>
      <c r="K21" s="333">
        <f t="shared" si="3"/>
        <v>6751.95652173913</v>
      </c>
      <c r="L21" s="333">
        <f t="shared" si="3"/>
        <v>5163.2608695652179</v>
      </c>
      <c r="M21" s="333">
        <f t="shared" si="3"/>
        <v>3574.5652173913059</v>
      </c>
      <c r="N21" s="333">
        <f t="shared" si="3"/>
        <v>1985.8695652173935</v>
      </c>
      <c r="O21" s="333">
        <f t="shared" si="3"/>
        <v>397.17391304348052</v>
      </c>
      <c r="P21" s="333">
        <f t="shared" si="3"/>
        <v>0</v>
      </c>
      <c r="Q21" s="333">
        <f t="shared" si="3"/>
        <v>0</v>
      </c>
      <c r="R21" s="333">
        <f t="shared" si="3"/>
        <v>0</v>
      </c>
      <c r="S21" s="333">
        <f t="shared" si="3"/>
        <v>0</v>
      </c>
      <c r="T21" s="333">
        <f t="shared" si="3"/>
        <v>0</v>
      </c>
      <c r="U21" s="333">
        <f t="shared" si="3"/>
        <v>0</v>
      </c>
      <c r="V21" s="333">
        <f t="shared" si="3"/>
        <v>0</v>
      </c>
      <c r="W21" s="334">
        <f t="shared" si="3"/>
        <v>0</v>
      </c>
    </row>
    <row r="22" spans="2:23">
      <c r="B22" s="332" t="s">
        <v>112</v>
      </c>
      <c r="C22" s="321" t="s">
        <v>237</v>
      </c>
      <c r="D22" s="333">
        <f>MIN(IF(EDATE(Input!$D$27,Input!$D$38)&lt;EDATE('Term Loan'!D12,0),'Term Loan'!$C$14/(Input!$D$36*4-Input!$D$38/3),0),D21)</f>
        <v>397.17391304347825</v>
      </c>
      <c r="E22" s="333">
        <f>MIN(IF(EDATE(Input!$D$27,Input!$D$38)&lt;EDATE('Term Loan'!E12,0),'Term Loan'!$C$14/(Input!$D$36*4-Input!$D$38/3),0),E21)</f>
        <v>397.17391304347825</v>
      </c>
      <c r="F22" s="333">
        <f>MIN(IF(EDATE(Input!$D$27,Input!$D$38)&lt;EDATE('Term Loan'!F12,0),'Term Loan'!$C$14/(Input!$D$36*4-Input!$D$38/3),0),F21)</f>
        <v>397.17391304347825</v>
      </c>
      <c r="G22" s="333">
        <f>MIN(IF(EDATE(Input!$D$27,Input!$D$38)&lt;EDATE('Term Loan'!G12,0),'Term Loan'!$C$14/(Input!$D$36*4-Input!$D$38/3),0),G21)</f>
        <v>397.17391304347825</v>
      </c>
      <c r="H22" s="333">
        <f>MIN(IF(EDATE(Input!$D$27,Input!$D$38)&lt;EDATE('Term Loan'!H12,0),'Term Loan'!$C$14/(Input!$D$36*4-Input!$D$38/3),0),H21)</f>
        <v>397.17391304347825</v>
      </c>
      <c r="I22" s="333">
        <f>MIN(IF(EDATE(Input!$D$27,Input!$D$38)&lt;EDATE('Term Loan'!I12,0),'Term Loan'!$C$14/(Input!$D$36*4-Input!$D$38/3),0),I21)</f>
        <v>397.17391304347825</v>
      </c>
      <c r="J22" s="333">
        <f>MIN(IF(EDATE(Input!$D$27,Input!$D$38)&lt;EDATE('Term Loan'!J12,0),'Term Loan'!$C$14/(Input!$D$36*4-Input!$D$38/3),0),J21)</f>
        <v>397.17391304347825</v>
      </c>
      <c r="K22" s="333">
        <f>MIN(IF(EDATE(Input!$D$27,Input!$D$38)&lt;EDATE('Term Loan'!K12,0),'Term Loan'!$C$14/(Input!$D$36*4-Input!$D$38/3),0),K21)</f>
        <v>397.17391304347825</v>
      </c>
      <c r="L22" s="333">
        <f>MIN(IF(EDATE(Input!$D$27,Input!$D$38)&lt;EDATE('Term Loan'!L12,0),'Term Loan'!$C$14/(Input!$D$36*4-Input!$D$38/3),0),L21)</f>
        <v>397.17391304347825</v>
      </c>
      <c r="M22" s="333">
        <f>MIN(IF(EDATE(Input!$D$27,Input!$D$38)&lt;EDATE('Term Loan'!M12,0),'Term Loan'!$C$14/(Input!$D$36*4-Input!$D$38/3),0),M21)</f>
        <v>397.17391304347825</v>
      </c>
      <c r="N22" s="333">
        <f>MIN(IF(EDATE(Input!$D$27,Input!$D$38)&lt;EDATE('Term Loan'!N12,0),'Term Loan'!$C$14/(Input!$D$36*4-Input!$D$38/3),0),N21)</f>
        <v>397.17391304347825</v>
      </c>
      <c r="O22" s="333">
        <f>MIN(IF(EDATE(Input!$D$27,Input!$D$38)&lt;EDATE('Term Loan'!O12,0),'Term Loan'!$C$14/(Input!$D$36*4-Input!$D$38/3),0),O21)</f>
        <v>397.17391304347825</v>
      </c>
      <c r="P22" s="333">
        <f>MIN(IF(EDATE(Input!$D$27,Input!$D$38)&lt;EDATE('Term Loan'!P12,0),'Term Loan'!$C$14/(Input!$D$36*4-Input!$D$38/3),0),P21)</f>
        <v>0</v>
      </c>
      <c r="Q22" s="333">
        <f>MIN(IF(EDATE(Input!$D$27,Input!$D$38)&lt;EDATE('Term Loan'!Q12,0),'Term Loan'!$C$14/(Input!$D$36*4-Input!$D$38/3),0),Q21)</f>
        <v>0</v>
      </c>
      <c r="R22" s="333">
        <f>MIN(IF(EDATE(Input!$D$27,Input!$D$38)&lt;EDATE('Term Loan'!R12,0),'Term Loan'!$C$14/(Input!$D$36*4-Input!$D$38/3),0),R21)</f>
        <v>0</v>
      </c>
      <c r="S22" s="333">
        <f>MIN(IF(EDATE(Input!$D$27,Input!$D$38)&lt;EDATE('Term Loan'!S12,0),'Term Loan'!$C$14/(Input!$D$36*4-Input!$D$38/3),0),S21)</f>
        <v>0</v>
      </c>
      <c r="T22" s="333">
        <f>MIN(IF(EDATE(Input!$D$27,Input!$D$38)&lt;EDATE('Term Loan'!T12,0),'Term Loan'!$C$14/(Input!$D$36*4-Input!$D$38/3),0),T21)</f>
        <v>0</v>
      </c>
      <c r="U22" s="333">
        <f>MIN(IF(EDATE(Input!$D$27,Input!$D$38)&lt;EDATE('Term Loan'!U12,0),'Term Loan'!$C$14/(Input!$D$36*4-Input!$D$38/3),0),U21)</f>
        <v>0</v>
      </c>
      <c r="V22" s="333">
        <f>MIN(IF(EDATE(Input!$D$27,Input!$D$38)&lt;EDATE('Term Loan'!V12,0),'Term Loan'!$C$14/(Input!$D$36*4-Input!$D$38/3),0),V21)</f>
        <v>0</v>
      </c>
      <c r="W22" s="334">
        <f>MIN(IF(EDATE(Input!$D$27,Input!$D$38)&lt;EDATE('Term Loan'!W12,0),'Term Loan'!$C$14/(Input!$D$36*4-Input!$D$38/3),0),W21)</f>
        <v>0</v>
      </c>
    </row>
    <row r="23" spans="2:23">
      <c r="B23" s="332" t="s">
        <v>48</v>
      </c>
      <c r="C23" s="321" t="s">
        <v>237</v>
      </c>
      <c r="D23" s="333">
        <f>D21-D22</f>
        <v>17475.65217391304</v>
      </c>
      <c r="E23" s="333">
        <f>E21-E22</f>
        <v>15886.956521739125</v>
      </c>
      <c r="F23" s="333">
        <f t="shared" ref="F23:W23" si="4">F21-F22</f>
        <v>14298.260869565212</v>
      </c>
      <c r="G23" s="333">
        <f t="shared" si="4"/>
        <v>12709.5652173913</v>
      </c>
      <c r="H23" s="333">
        <f t="shared" si="4"/>
        <v>11120.869565217388</v>
      </c>
      <c r="I23" s="333">
        <f t="shared" si="4"/>
        <v>9532.1739130434762</v>
      </c>
      <c r="J23" s="333">
        <f t="shared" si="4"/>
        <v>7943.4782608695641</v>
      </c>
      <c r="K23" s="333">
        <f t="shared" si="4"/>
        <v>6354.782608695652</v>
      </c>
      <c r="L23" s="333">
        <f t="shared" si="4"/>
        <v>4766.0869565217399</v>
      </c>
      <c r="M23" s="333">
        <f t="shared" si="4"/>
        <v>3177.3913043478278</v>
      </c>
      <c r="N23" s="333">
        <f t="shared" si="4"/>
        <v>1588.6956521739153</v>
      </c>
      <c r="O23" s="333">
        <f t="shared" si="4"/>
        <v>2.2737367544323206E-12</v>
      </c>
      <c r="P23" s="333">
        <f t="shared" si="4"/>
        <v>0</v>
      </c>
      <c r="Q23" s="333">
        <f t="shared" si="4"/>
        <v>0</v>
      </c>
      <c r="R23" s="333">
        <f t="shared" si="4"/>
        <v>0</v>
      </c>
      <c r="S23" s="333">
        <f t="shared" si="4"/>
        <v>0</v>
      </c>
      <c r="T23" s="333">
        <f t="shared" si="4"/>
        <v>0</v>
      </c>
      <c r="U23" s="333">
        <f t="shared" si="4"/>
        <v>0</v>
      </c>
      <c r="V23" s="333">
        <f t="shared" si="4"/>
        <v>0</v>
      </c>
      <c r="W23" s="334">
        <f t="shared" si="4"/>
        <v>0</v>
      </c>
    </row>
    <row r="24" spans="2:23">
      <c r="B24" s="335" t="s">
        <v>115</v>
      </c>
      <c r="C24" s="321" t="s">
        <v>237</v>
      </c>
      <c r="D24" s="336">
        <f>(D15+D17+D19+D21)*Input!$D$37/4</f>
        <v>2089.6312499999999</v>
      </c>
      <c r="E24" s="337">
        <f>(E15+E17+E19+E21)*Input!$D$37/4</f>
        <v>1941.1874999999995</v>
      </c>
      <c r="F24" s="337">
        <f>(F15+F17+F19+F21)*Input!$D$37/4</f>
        <v>1758.4874999999993</v>
      </c>
      <c r="G24" s="337">
        <f>(G15+G17+G19+G21)*Input!$D$37/4</f>
        <v>1575.7874999999995</v>
      </c>
      <c r="H24" s="337">
        <f>(H15+H17+H19+H21)*Input!$D$37/4</f>
        <v>1393.0874999999996</v>
      </c>
      <c r="I24" s="337">
        <f>(I15+I17+I19+I21)*Input!$D$37/4</f>
        <v>1210.3874999999996</v>
      </c>
      <c r="J24" s="337">
        <f>(J15+J17+J19+J21)*Input!$D$37/4</f>
        <v>1027.6874999999998</v>
      </c>
      <c r="K24" s="337">
        <f>(K15+K17+K19+K21)*Input!$D$37/4</f>
        <v>844.98749999999984</v>
      </c>
      <c r="L24" s="337">
        <f>(L15+L17+L19+L21)*Input!$D$37/4</f>
        <v>662.28749999999991</v>
      </c>
      <c r="M24" s="337">
        <f>(M15+M17+M19+M21)*Input!$D$37/4</f>
        <v>479.58750000000015</v>
      </c>
      <c r="N24" s="337">
        <f>(N15+N17+N19+N21)*Input!$D$37/4</f>
        <v>296.88750000000027</v>
      </c>
      <c r="O24" s="337">
        <f>(O15+O17+O19+O21)*Input!$D$37/4</f>
        <v>114.18750000000027</v>
      </c>
      <c r="P24" s="337">
        <f>(P15+P17+P19+P21)*Input!$D$37/4</f>
        <v>6.5369931689929225E-14</v>
      </c>
      <c r="Q24" s="337">
        <f>(Q15+Q17+Q19+Q21)*Input!$D$37/4</f>
        <v>0</v>
      </c>
      <c r="R24" s="337">
        <f>(R15+R17+R19+R21)*Input!$D$37/4</f>
        <v>0</v>
      </c>
      <c r="S24" s="337">
        <f>(S15+S17+S19+S21)*Input!$D$37/4</f>
        <v>0</v>
      </c>
      <c r="T24" s="337">
        <f>(T15+T17+T19+T21)*Input!$D$37/4</f>
        <v>0</v>
      </c>
      <c r="U24" s="337">
        <f>(U15+U17+U19+U21)*Input!$D$37/4</f>
        <v>0</v>
      </c>
      <c r="V24" s="337">
        <f>(V15+V17+V19+V21)*Input!$D$37/4</f>
        <v>0</v>
      </c>
      <c r="W24" s="338">
        <f>(W15+W17+W19+W21)*Input!$D$37/4</f>
        <v>0</v>
      </c>
    </row>
    <row r="25" spans="2:23">
      <c r="B25" s="335" t="s">
        <v>116</v>
      </c>
      <c r="C25" s="321" t="s">
        <v>237</v>
      </c>
      <c r="D25" s="336">
        <f t="shared" ref="D25:W25" si="5">D16+D18+D20+D22</f>
        <v>794.3478260869565</v>
      </c>
      <c r="E25" s="337">
        <f t="shared" si="5"/>
        <v>1588.695652173913</v>
      </c>
      <c r="F25" s="337">
        <f t="shared" si="5"/>
        <v>1588.695652173913</v>
      </c>
      <c r="G25" s="337">
        <f t="shared" si="5"/>
        <v>1588.695652173913</v>
      </c>
      <c r="H25" s="337">
        <f t="shared" si="5"/>
        <v>1588.695652173913</v>
      </c>
      <c r="I25" s="337">
        <f t="shared" si="5"/>
        <v>1588.695652173913</v>
      </c>
      <c r="J25" s="337">
        <f t="shared" si="5"/>
        <v>1588.695652173913</v>
      </c>
      <c r="K25" s="337">
        <f t="shared" si="5"/>
        <v>1588.695652173913</v>
      </c>
      <c r="L25" s="337">
        <f t="shared" si="5"/>
        <v>1588.695652173913</v>
      </c>
      <c r="M25" s="337">
        <f t="shared" si="5"/>
        <v>1588.695652173913</v>
      </c>
      <c r="N25" s="337">
        <f t="shared" si="5"/>
        <v>1588.695652173913</v>
      </c>
      <c r="O25" s="337">
        <f t="shared" si="5"/>
        <v>1588.695652173913</v>
      </c>
      <c r="P25" s="337">
        <f t="shared" si="5"/>
        <v>2.2737367544323206E-12</v>
      </c>
      <c r="Q25" s="337">
        <f t="shared" si="5"/>
        <v>0</v>
      </c>
      <c r="R25" s="337">
        <f t="shared" si="5"/>
        <v>0</v>
      </c>
      <c r="S25" s="337">
        <f t="shared" si="5"/>
        <v>0</v>
      </c>
      <c r="T25" s="337">
        <f t="shared" si="5"/>
        <v>0</v>
      </c>
      <c r="U25" s="337">
        <f t="shared" si="5"/>
        <v>0</v>
      </c>
      <c r="V25" s="337">
        <f t="shared" si="5"/>
        <v>0</v>
      </c>
      <c r="W25" s="338">
        <f t="shared" si="5"/>
        <v>0</v>
      </c>
    </row>
    <row r="26" spans="2:23">
      <c r="B26" s="339" t="s">
        <v>118</v>
      </c>
      <c r="C26" s="340"/>
      <c r="D26" s="341">
        <f>IF(SUM($C$26:C$26)&gt;0,0,(SUM($D$25:D25)=$C$14)*1)</f>
        <v>0</v>
      </c>
      <c r="E26" s="341">
        <f>IF(SUM($C$26:D$26)&gt;0,0,(SUM($D$25:E25)=$C$14)*1)</f>
        <v>0</v>
      </c>
      <c r="F26" s="341">
        <f>IF(SUM($C$26:E$26)&gt;0,0,(SUM($D$25:F25)=$C$14)*1)</f>
        <v>0</v>
      </c>
      <c r="G26" s="341">
        <f>IF(SUM($C$26:F$26)&gt;0,0,(SUM($D$25:G25)=$C$14)*1)</f>
        <v>0</v>
      </c>
      <c r="H26" s="341">
        <f>IF(SUM($C$26:G$26)&gt;0,0,(SUM($D$25:H25)=$C$14)*1)</f>
        <v>0</v>
      </c>
      <c r="I26" s="341">
        <f>IF(SUM($C$26:H$26)&gt;0,0,(SUM($D$25:I25)=$C$14)*1)</f>
        <v>0</v>
      </c>
      <c r="J26" s="341">
        <f>IF(SUM($C$26:I$26)&gt;0,0,(SUM($D$25:J25)=$C$14)*1)</f>
        <v>0</v>
      </c>
      <c r="K26" s="341">
        <f>IF(SUM($C$26:J$26)&gt;0,0,(SUM($D$25:K25)=$C$14)*1)</f>
        <v>0</v>
      </c>
      <c r="L26" s="341">
        <f>IF(SUM($C$26:K$26)&gt;0,0,(SUM($D$25:L25)=$C$14)*1)</f>
        <v>0</v>
      </c>
      <c r="M26" s="341">
        <f>IF(SUM($C$26:L$26)&gt;0,0,(SUM($D$25:M25)=$C$14)*1)</f>
        <v>0</v>
      </c>
      <c r="N26" s="341">
        <f>IF(SUM($C$26:M$26)&gt;0,0,(SUM($D$25:N25)=$C$14)*1)</f>
        <v>0</v>
      </c>
      <c r="O26" s="341">
        <f>IF(SUM($C$26:N$26)&gt;0,0,(SUM($D$25:O25)=$C$14)*1)</f>
        <v>1</v>
      </c>
      <c r="P26" s="341">
        <f>IF(SUM($C$26:O$26)&gt;0,0,(SUM($D$25:P25)=$C$14)*1)</f>
        <v>0</v>
      </c>
      <c r="Q26" s="341">
        <f>IF(SUM($C$26:P$26)&gt;0,0,(SUM($D$25:Q25)=$C$14)*1)</f>
        <v>0</v>
      </c>
      <c r="R26" s="341">
        <f>IF(SUM($C$26:Q$26)&gt;0,0,(SUM($D$25:R25)=$C$14)*1)</f>
        <v>0</v>
      </c>
      <c r="S26" s="341">
        <f>IF(SUM($C$26:R$26)&gt;0,0,(SUM($D$25:S25)=$C$14)*1)</f>
        <v>0</v>
      </c>
      <c r="T26" s="341">
        <f>IF(SUM($C$26:S$26)&gt;0,0,(SUM($D$25:T25)=$C$14)*1)</f>
        <v>0</v>
      </c>
      <c r="U26" s="341">
        <f>IF(SUM($C$26:T$26)&gt;0,0,(SUM($D$25:U25)=$C$14)*1)</f>
        <v>0</v>
      </c>
      <c r="V26" s="341">
        <f>IF(SUM($C$26:U$26)&gt;0,0,(SUM($D$25:V25)=$C$14)*1)</f>
        <v>0</v>
      </c>
      <c r="W26" s="342">
        <f>IF(SUM($C$26:V$26)&gt;0,0,(SUM($D$25:W25)=$C$14)*1)</f>
        <v>0</v>
      </c>
    </row>
    <row r="27" spans="2:23">
      <c r="E27" s="343"/>
      <c r="F27" s="343"/>
      <c r="G27" s="343"/>
      <c r="H27" s="343"/>
      <c r="I27" s="343"/>
      <c r="J27" s="343"/>
      <c r="K27" s="343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43"/>
      <c r="W27" s="343"/>
    </row>
  </sheetData>
  <pageMargins left="0.7" right="0.7" top="0.75" bottom="0.75" header="0.3" footer="0.3"/>
  <pageSetup orientation="portrait" r:id="rId1"/>
  <ignoredErrors>
    <ignoredError sqref="D18 D20:D22 E18:W22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3:Y20"/>
  <sheetViews>
    <sheetView workbookViewId="0">
      <selection activeCell="D16" sqref="D16"/>
    </sheetView>
  </sheetViews>
  <sheetFormatPr defaultRowHeight="12.75"/>
  <cols>
    <col min="1" max="1" width="9.140625" style="312"/>
    <col min="2" max="2" width="44" style="312" customWidth="1"/>
    <col min="3" max="3" width="26.28515625" style="312" customWidth="1"/>
    <col min="4" max="5" width="12.7109375" style="312" customWidth="1"/>
    <col min="6" max="6" width="10.85546875" style="312" bestFit="1" customWidth="1"/>
    <col min="7" max="25" width="9.28515625" style="312" bestFit="1" customWidth="1"/>
    <col min="26" max="16384" width="9.140625" style="312"/>
  </cols>
  <sheetData>
    <row r="3" spans="1:25">
      <c r="A3" s="344"/>
    </row>
    <row r="4" spans="1:25" ht="13.5" thickBot="1"/>
    <row r="5" spans="1:25" ht="13.5" thickBot="1">
      <c r="B5" s="345" t="s">
        <v>168</v>
      </c>
      <c r="C5" s="346"/>
      <c r="D5" s="346"/>
      <c r="E5" s="346"/>
    </row>
    <row r="7" spans="1:25">
      <c r="B7" s="316" t="str">
        <f>'P&amp;L'!B10</f>
        <v>Year Count</v>
      </c>
      <c r="C7" s="432"/>
      <c r="D7" s="347"/>
      <c r="E7" s="347"/>
      <c r="F7" s="348">
        <f>'P&amp;L'!D10</f>
        <v>1</v>
      </c>
      <c r="G7" s="348">
        <f>'P&amp;L'!E10</f>
        <v>2</v>
      </c>
      <c r="H7" s="348">
        <f>'P&amp;L'!F10</f>
        <v>3</v>
      </c>
      <c r="I7" s="348">
        <f>'P&amp;L'!G10</f>
        <v>4</v>
      </c>
      <c r="J7" s="348">
        <f>'P&amp;L'!H10</f>
        <v>5</v>
      </c>
      <c r="K7" s="348">
        <f>'P&amp;L'!I10</f>
        <v>6</v>
      </c>
      <c r="L7" s="348">
        <f>'P&amp;L'!J10</f>
        <v>7</v>
      </c>
      <c r="M7" s="348">
        <f>'P&amp;L'!K10</f>
        <v>8</v>
      </c>
      <c r="N7" s="348">
        <f>'P&amp;L'!L10</f>
        <v>9</v>
      </c>
      <c r="O7" s="348">
        <f>'P&amp;L'!M10</f>
        <v>10</v>
      </c>
      <c r="P7" s="348">
        <f>'P&amp;L'!N10</f>
        <v>11</v>
      </c>
      <c r="Q7" s="348">
        <f>'P&amp;L'!O10</f>
        <v>12</v>
      </c>
      <c r="R7" s="348">
        <f>'P&amp;L'!P10</f>
        <v>13</v>
      </c>
      <c r="S7" s="348">
        <f>'P&amp;L'!Q10</f>
        <v>14</v>
      </c>
      <c r="T7" s="348">
        <f>'P&amp;L'!R10</f>
        <v>15</v>
      </c>
      <c r="U7" s="348">
        <f>'P&amp;L'!S10</f>
        <v>16</v>
      </c>
      <c r="V7" s="348">
        <f>'P&amp;L'!T10</f>
        <v>17</v>
      </c>
      <c r="W7" s="348">
        <f>'P&amp;L'!U10</f>
        <v>18</v>
      </c>
      <c r="X7" s="348">
        <f>'P&amp;L'!V10</f>
        <v>19</v>
      </c>
      <c r="Y7" s="349">
        <f>'P&amp;L'!W10</f>
        <v>20</v>
      </c>
    </row>
    <row r="8" spans="1:25">
      <c r="B8" s="321" t="str">
        <f>'P&amp;L'!B11</f>
        <v>Period Beginning</v>
      </c>
      <c r="C8" s="433"/>
      <c r="D8" s="350">
        <v>39904</v>
      </c>
      <c r="E8" s="350">
        <v>40269</v>
      </c>
      <c r="F8" s="350">
        <f>'P&amp;L'!D11</f>
        <v>41000</v>
      </c>
      <c r="G8" s="350">
        <f>'P&amp;L'!E11</f>
        <v>41365</v>
      </c>
      <c r="H8" s="350">
        <f>'P&amp;L'!F11</f>
        <v>41730</v>
      </c>
      <c r="I8" s="350">
        <f>'P&amp;L'!G11</f>
        <v>42095</v>
      </c>
      <c r="J8" s="350">
        <f>'P&amp;L'!H11</f>
        <v>42461</v>
      </c>
      <c r="K8" s="350">
        <f>'P&amp;L'!I11</f>
        <v>42826</v>
      </c>
      <c r="L8" s="350">
        <f>'P&amp;L'!J11</f>
        <v>43191</v>
      </c>
      <c r="M8" s="350">
        <f>'P&amp;L'!K11</f>
        <v>43556</v>
      </c>
      <c r="N8" s="350">
        <f>'P&amp;L'!L11</f>
        <v>43922</v>
      </c>
      <c r="O8" s="350">
        <f>'P&amp;L'!M11</f>
        <v>44287</v>
      </c>
      <c r="P8" s="350">
        <f>'P&amp;L'!N11</f>
        <v>44652</v>
      </c>
      <c r="Q8" s="350">
        <f>'P&amp;L'!O11</f>
        <v>45017</v>
      </c>
      <c r="R8" s="350">
        <f>'P&amp;L'!P11</f>
        <v>45383</v>
      </c>
      <c r="S8" s="350">
        <f>'P&amp;L'!Q11</f>
        <v>45748</v>
      </c>
      <c r="T8" s="350">
        <f>'P&amp;L'!R11</f>
        <v>46113</v>
      </c>
      <c r="U8" s="350">
        <f>'P&amp;L'!S11</f>
        <v>46478</v>
      </c>
      <c r="V8" s="350">
        <f>'P&amp;L'!T11</f>
        <v>46844</v>
      </c>
      <c r="W8" s="350">
        <f>'P&amp;L'!U11</f>
        <v>47209</v>
      </c>
      <c r="X8" s="350">
        <f>'P&amp;L'!V11</f>
        <v>47574</v>
      </c>
      <c r="Y8" s="351">
        <f>'P&amp;L'!W11</f>
        <v>47939</v>
      </c>
    </row>
    <row r="9" spans="1:25">
      <c r="B9" s="321" t="str">
        <f>'P&amp;L'!B12:W12</f>
        <v>Period Ending</v>
      </c>
      <c r="C9" s="433"/>
      <c r="D9" s="350">
        <v>40268</v>
      </c>
      <c r="E9" s="350">
        <v>40633</v>
      </c>
      <c r="F9" s="350">
        <f>'P&amp;L'!D12</f>
        <v>41364</v>
      </c>
      <c r="G9" s="350">
        <f>'P&amp;L'!E12</f>
        <v>41729</v>
      </c>
      <c r="H9" s="350">
        <f>'P&amp;L'!F12</f>
        <v>42094</v>
      </c>
      <c r="I9" s="350">
        <f>'P&amp;L'!G12</f>
        <v>42460</v>
      </c>
      <c r="J9" s="350">
        <f>'P&amp;L'!H12</f>
        <v>42825</v>
      </c>
      <c r="K9" s="350">
        <f>'P&amp;L'!I12</f>
        <v>43190</v>
      </c>
      <c r="L9" s="350">
        <f>'P&amp;L'!J12</f>
        <v>43555</v>
      </c>
      <c r="M9" s="350">
        <f>'P&amp;L'!K12</f>
        <v>43921</v>
      </c>
      <c r="N9" s="350">
        <f>'P&amp;L'!L12</f>
        <v>44286</v>
      </c>
      <c r="O9" s="350">
        <f>'P&amp;L'!M12</f>
        <v>44651</v>
      </c>
      <c r="P9" s="350">
        <f>'P&amp;L'!N12</f>
        <v>45016</v>
      </c>
      <c r="Q9" s="350">
        <f>'P&amp;L'!O12</f>
        <v>45382</v>
      </c>
      <c r="R9" s="350">
        <f>'P&amp;L'!P12</f>
        <v>45747</v>
      </c>
      <c r="S9" s="350">
        <f>'P&amp;L'!Q12</f>
        <v>46112</v>
      </c>
      <c r="T9" s="350">
        <f>'P&amp;L'!R12</f>
        <v>46477</v>
      </c>
      <c r="U9" s="350">
        <f>'P&amp;L'!S12</f>
        <v>46843</v>
      </c>
      <c r="V9" s="350">
        <f>'P&amp;L'!T12</f>
        <v>47208</v>
      </c>
      <c r="W9" s="350">
        <f>'P&amp;L'!U12</f>
        <v>47573</v>
      </c>
      <c r="X9" s="350">
        <f>'P&amp;L'!V12</f>
        <v>47938</v>
      </c>
      <c r="Y9" s="351">
        <f>'P&amp;L'!W12</f>
        <v>48304</v>
      </c>
    </row>
    <row r="10" spans="1:25">
      <c r="B10" s="325" t="str">
        <f>'P&amp;L'!B13:W13</f>
        <v>Days of operation</v>
      </c>
      <c r="C10" s="434"/>
      <c r="D10" s="352"/>
      <c r="E10" s="353"/>
      <c r="F10" s="354">
        <f>'P&amp;L'!D13:X13</f>
        <v>365</v>
      </c>
      <c r="G10" s="354">
        <f>'P&amp;L'!E13:Y13</f>
        <v>366</v>
      </c>
      <c r="H10" s="354">
        <f>'P&amp;L'!F13:Z13</f>
        <v>365</v>
      </c>
      <c r="I10" s="354">
        <f>'P&amp;L'!G13:AA13</f>
        <v>365</v>
      </c>
      <c r="J10" s="354">
        <f>'P&amp;L'!H13:AB13</f>
        <v>365</v>
      </c>
      <c r="K10" s="354">
        <f>'P&amp;L'!I13:AC13</f>
        <v>366</v>
      </c>
      <c r="L10" s="354">
        <f>'P&amp;L'!J13:AD13</f>
        <v>365</v>
      </c>
      <c r="M10" s="354">
        <f>'P&amp;L'!K13:AE13</f>
        <v>365</v>
      </c>
      <c r="N10" s="354">
        <f>'P&amp;L'!L13:AF13</f>
        <v>365</v>
      </c>
      <c r="O10" s="354">
        <f>'P&amp;L'!M13:AG13</f>
        <v>366</v>
      </c>
      <c r="P10" s="354">
        <f>'P&amp;L'!N13:AH13</f>
        <v>365</v>
      </c>
      <c r="Q10" s="354">
        <f>'P&amp;L'!O13:AI13</f>
        <v>365</v>
      </c>
      <c r="R10" s="354">
        <f>'P&amp;L'!P13:AJ13</f>
        <v>365</v>
      </c>
      <c r="S10" s="354">
        <f>'P&amp;L'!Q13:AK13</f>
        <v>366</v>
      </c>
      <c r="T10" s="354">
        <f>'P&amp;L'!R13:AL13</f>
        <v>365</v>
      </c>
      <c r="U10" s="354">
        <f>'P&amp;L'!S13:AM13</f>
        <v>365</v>
      </c>
      <c r="V10" s="354">
        <f>'P&amp;L'!T13:AN13</f>
        <v>365</v>
      </c>
      <c r="W10" s="354">
        <f>'P&amp;L'!U13:AO13</f>
        <v>366</v>
      </c>
      <c r="X10" s="354">
        <f>'P&amp;L'!V13:AP13</f>
        <v>0</v>
      </c>
      <c r="Y10" s="355">
        <f>'P&amp;L'!W13:AQ13</f>
        <v>0</v>
      </c>
    </row>
    <row r="11" spans="1:25">
      <c r="B11" s="321" t="s">
        <v>178</v>
      </c>
      <c r="C11" s="432"/>
      <c r="D11" s="356">
        <f>-60%*Input!D20</f>
        <v>-15660</v>
      </c>
      <c r="E11" s="356">
        <f>-(Input!D20+D11)</f>
        <v>-10440</v>
      </c>
      <c r="F11" s="356"/>
      <c r="G11" s="357"/>
      <c r="H11" s="358"/>
      <c r="I11" s="358"/>
      <c r="J11" s="358"/>
      <c r="K11" s="358"/>
      <c r="L11" s="358"/>
      <c r="M11" s="358"/>
      <c r="N11" s="358"/>
      <c r="O11" s="358"/>
      <c r="P11" s="358"/>
      <c r="Q11" s="358"/>
      <c r="R11" s="358"/>
      <c r="S11" s="358"/>
      <c r="T11" s="358"/>
      <c r="U11" s="358"/>
      <c r="V11" s="358"/>
      <c r="W11" s="358"/>
      <c r="X11" s="358"/>
      <c r="Y11" s="359"/>
    </row>
    <row r="12" spans="1:25">
      <c r="B12" s="321" t="s">
        <v>179</v>
      </c>
      <c r="C12" s="433"/>
      <c r="D12" s="358">
        <v>0</v>
      </c>
      <c r="E12" s="358">
        <v>0</v>
      </c>
      <c r="F12" s="360">
        <f ca="1">'P&amp;L'!D39</f>
        <v>1250.7010268782212</v>
      </c>
      <c r="G12" s="360">
        <f ca="1">'P&amp;L'!E39</f>
        <v>1252.8266532570949</v>
      </c>
      <c r="H12" s="360">
        <f ca="1">'P&amp;L'!F39</f>
        <v>1255.0738654648389</v>
      </c>
      <c r="I12" s="360">
        <f ca="1">'P&amp;L'!G39</f>
        <v>1264.2368711555741</v>
      </c>
      <c r="J12" s="360">
        <f ca="1">'P&amp;L'!H39</f>
        <v>1259.9612640139774</v>
      </c>
      <c r="K12" s="360">
        <f ca="1">'P&amp;L'!I39</f>
        <v>1262.616575957019</v>
      </c>
      <c r="L12" s="360">
        <f ca="1">'P&amp;L'!J39</f>
        <v>1265.4237717432036</v>
      </c>
      <c r="M12" s="360">
        <f ca="1">'P&amp;L'!K39</f>
        <v>1276.0395250378865</v>
      </c>
      <c r="N12" s="360">
        <f ca="1">'P&amp;L'!L39</f>
        <v>1271.529062807939</v>
      </c>
      <c r="O12" s="360">
        <f ca="1">'P&amp;L'!M39</f>
        <v>1274.8460528419973</v>
      </c>
      <c r="P12" s="360">
        <f ca="1">'P&amp;L'!N39</f>
        <v>1455.0188723059946</v>
      </c>
      <c r="Q12" s="360">
        <f ca="1">'P&amp;L'!O39</f>
        <v>1467.9334005825558</v>
      </c>
      <c r="R12" s="360">
        <f ca="1">'P&amp;L'!P39</f>
        <v>1462.645542938732</v>
      </c>
      <c r="S12" s="360">
        <f ca="1">'P&amp;L'!Q39</f>
        <v>1466.7890948535451</v>
      </c>
      <c r="T12" s="360">
        <f ca="1">'P&amp;L'!R39</f>
        <v>1471.1696579378929</v>
      </c>
      <c r="U12" s="360">
        <f ca="1">'P&amp;L'!S39</f>
        <v>1486.3511647259193</v>
      </c>
      <c r="V12" s="360">
        <f ca="1">'P&amp;L'!T39</f>
        <v>1480.6968212333854</v>
      </c>
      <c r="W12" s="360">
        <f ca="1">'P&amp;L'!U39</f>
        <v>1177.9931541502042</v>
      </c>
      <c r="X12" s="360">
        <f ca="1">'P&amp;L'!V39</f>
        <v>894.83914659454092</v>
      </c>
      <c r="Y12" s="361">
        <f ca="1">'P&amp;L'!W39</f>
        <v>909.16522090343756</v>
      </c>
    </row>
    <row r="13" spans="1:25">
      <c r="B13" s="321" t="s">
        <v>180</v>
      </c>
      <c r="C13" s="433"/>
      <c r="D13" s="358"/>
      <c r="E13" s="358"/>
      <c r="F13" s="360">
        <f>'P&amp;L'!D29</f>
        <v>2089.6312499999999</v>
      </c>
      <c r="G13" s="360">
        <f>'P&amp;L'!E29</f>
        <v>1941.1874999999995</v>
      </c>
      <c r="H13" s="360">
        <f>'P&amp;L'!F29</f>
        <v>1758.4874999999993</v>
      </c>
      <c r="I13" s="360">
        <f>'P&amp;L'!G29</f>
        <v>1575.7874999999995</v>
      </c>
      <c r="J13" s="360">
        <f>'P&amp;L'!H29</f>
        <v>1393.0874999999996</v>
      </c>
      <c r="K13" s="360">
        <f>'P&amp;L'!I29</f>
        <v>1210.3874999999996</v>
      </c>
      <c r="L13" s="360">
        <f>'P&amp;L'!J29</f>
        <v>1027.6874999999998</v>
      </c>
      <c r="M13" s="360">
        <f>'P&amp;L'!K29</f>
        <v>844.98749999999984</v>
      </c>
      <c r="N13" s="360">
        <f>'P&amp;L'!L29</f>
        <v>662.28749999999991</v>
      </c>
      <c r="O13" s="360">
        <f>'P&amp;L'!M29</f>
        <v>479.58750000000015</v>
      </c>
      <c r="P13" s="360">
        <f>'P&amp;L'!N29</f>
        <v>296.88750000000027</v>
      </c>
      <c r="Q13" s="360">
        <f>'P&amp;L'!O29</f>
        <v>114.18750000000027</v>
      </c>
      <c r="R13" s="360">
        <f>'P&amp;L'!P29</f>
        <v>6.5369931689929225E-14</v>
      </c>
      <c r="S13" s="360">
        <f>'P&amp;L'!Q29</f>
        <v>0</v>
      </c>
      <c r="T13" s="360">
        <f>'P&amp;L'!R29</f>
        <v>0</v>
      </c>
      <c r="U13" s="360">
        <f>'P&amp;L'!S29</f>
        <v>0</v>
      </c>
      <c r="V13" s="360">
        <f>'P&amp;L'!T29</f>
        <v>0</v>
      </c>
      <c r="W13" s="360">
        <f>'P&amp;L'!U29</f>
        <v>0</v>
      </c>
      <c r="X13" s="360">
        <f>'P&amp;L'!V29</f>
        <v>0</v>
      </c>
      <c r="Y13" s="361">
        <f>'P&amp;L'!W29</f>
        <v>0</v>
      </c>
    </row>
    <row r="14" spans="1:25">
      <c r="B14" s="321" t="s">
        <v>236</v>
      </c>
      <c r="C14" s="433"/>
      <c r="D14" s="358"/>
      <c r="E14" s="358"/>
      <c r="F14" s="360">
        <f>'P&amp;L'!D33</f>
        <v>1358.5440000000001</v>
      </c>
      <c r="G14" s="360">
        <f>'P&amp;L'!E33</f>
        <v>1358.5440000000001</v>
      </c>
      <c r="H14" s="360">
        <f>'P&amp;L'!F33</f>
        <v>1358.5440000000001</v>
      </c>
      <c r="I14" s="360">
        <f>'P&amp;L'!G33</f>
        <v>1358.5440000000001</v>
      </c>
      <c r="J14" s="360">
        <f>'P&amp;L'!H33</f>
        <v>1358.5440000000001</v>
      </c>
      <c r="K14" s="360">
        <f>'P&amp;L'!I33</f>
        <v>1358.5440000000001</v>
      </c>
      <c r="L14" s="360">
        <f>'P&amp;L'!J33</f>
        <v>1358.5440000000001</v>
      </c>
      <c r="M14" s="360">
        <f>'P&amp;L'!K33</f>
        <v>1358.5440000000001</v>
      </c>
      <c r="N14" s="360">
        <f>'P&amp;L'!L33</f>
        <v>1358.5440000000001</v>
      </c>
      <c r="O14" s="360">
        <f>'P&amp;L'!M33</f>
        <v>1358.5440000000001</v>
      </c>
      <c r="P14" s="360">
        <f>'P&amp;L'!N33</f>
        <v>1358.5440000000001</v>
      </c>
      <c r="Q14" s="360">
        <f>'P&amp;L'!O33</f>
        <v>1358.5440000000001</v>
      </c>
      <c r="R14" s="360">
        <f>'P&amp;L'!P33</f>
        <v>856.80900000000031</v>
      </c>
      <c r="S14" s="360">
        <f>'P&amp;L'!Q33</f>
        <v>856.80900000000031</v>
      </c>
      <c r="T14" s="360">
        <f>'P&amp;L'!R33</f>
        <v>856.80900000000031</v>
      </c>
      <c r="U14" s="360">
        <f>'P&amp;L'!S33</f>
        <v>856.80900000000031</v>
      </c>
      <c r="V14" s="360">
        <f>'P&amp;L'!T33</f>
        <v>856.80900000000031</v>
      </c>
      <c r="W14" s="360">
        <f>'P&amp;L'!U33</f>
        <v>856.80900000000031</v>
      </c>
      <c r="X14" s="360">
        <f>'P&amp;L'!V33</f>
        <v>856.80900000000031</v>
      </c>
      <c r="Y14" s="361">
        <f>'P&amp;L'!W33</f>
        <v>856.80900000000031</v>
      </c>
    </row>
    <row r="15" spans="1:25">
      <c r="B15" s="321" t="s">
        <v>45</v>
      </c>
      <c r="C15" s="433"/>
      <c r="D15" s="360">
        <f t="shared" ref="D15:X15" si="0">SUM(D11:D14)</f>
        <v>-15660</v>
      </c>
      <c r="E15" s="360">
        <f t="shared" si="0"/>
        <v>-10440</v>
      </c>
      <c r="F15" s="360">
        <f t="shared" ca="1" si="0"/>
        <v>4698.8762768782208</v>
      </c>
      <c r="G15" s="360">
        <f t="shared" ca="1" si="0"/>
        <v>4552.5581532570941</v>
      </c>
      <c r="H15" s="360">
        <f t="shared" ca="1" si="0"/>
        <v>4372.1053654648385</v>
      </c>
      <c r="I15" s="360">
        <f t="shared" ca="1" si="0"/>
        <v>4198.5683711555739</v>
      </c>
      <c r="J15" s="360">
        <f t="shared" ca="1" si="0"/>
        <v>4011.5927640139771</v>
      </c>
      <c r="K15" s="360">
        <f t="shared" ca="1" si="0"/>
        <v>3831.5480759570182</v>
      </c>
      <c r="L15" s="360">
        <f t="shared" ca="1" si="0"/>
        <v>3651.6552717432032</v>
      </c>
      <c r="M15" s="360">
        <f t="shared" ca="1" si="0"/>
        <v>3479.5710250378861</v>
      </c>
      <c r="N15" s="360">
        <f t="shared" ca="1" si="0"/>
        <v>3292.360562807939</v>
      </c>
      <c r="O15" s="360">
        <f t="shared" ca="1" si="0"/>
        <v>3112.9775528419977</v>
      </c>
      <c r="P15" s="360">
        <f t="shared" ca="1" si="0"/>
        <v>3110.4503723059952</v>
      </c>
      <c r="Q15" s="360">
        <f t="shared" ca="1" si="0"/>
        <v>2940.6649005825561</v>
      </c>
      <c r="R15" s="360">
        <f t="shared" ca="1" si="0"/>
        <v>2319.4545429387322</v>
      </c>
      <c r="S15" s="360">
        <f t="shared" ca="1" si="0"/>
        <v>2323.5980948535453</v>
      </c>
      <c r="T15" s="360">
        <f t="shared" ca="1" si="0"/>
        <v>2327.9786579378933</v>
      </c>
      <c r="U15" s="360">
        <f t="shared" ca="1" si="0"/>
        <v>2343.1601647259195</v>
      </c>
      <c r="V15" s="360">
        <f t="shared" ca="1" si="0"/>
        <v>2337.5058212333856</v>
      </c>
      <c r="W15" s="360">
        <f t="shared" ca="1" si="0"/>
        <v>2034.8021541502044</v>
      </c>
      <c r="X15" s="360">
        <f t="shared" ca="1" si="0"/>
        <v>1751.6481465945412</v>
      </c>
      <c r="Y15" s="361">
        <f ca="1">SUM(Y11:Y14)+ 10%*(Input!D20-Input!D15)+Input!D15</f>
        <v>4708.9742209034375</v>
      </c>
    </row>
    <row r="16" spans="1:25" ht="17.25" customHeight="1">
      <c r="B16" s="362" t="s">
        <v>185</v>
      </c>
      <c r="C16" s="434"/>
      <c r="D16" s="363">
        <f ca="1">IRR(D15:Y15)</f>
        <v>0.11909412372341108</v>
      </c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5"/>
    </row>
    <row r="18" spans="4:25">
      <c r="D18" s="320"/>
      <c r="E18" s="320"/>
      <c r="F18" s="320"/>
      <c r="G18" s="320"/>
      <c r="H18" s="320"/>
      <c r="I18" s="320"/>
      <c r="J18" s="320"/>
      <c r="K18" s="320"/>
      <c r="L18" s="320"/>
      <c r="M18" s="320"/>
      <c r="N18" s="320"/>
      <c r="O18" s="320"/>
      <c r="P18" s="320"/>
      <c r="Q18" s="320"/>
      <c r="R18" s="320"/>
      <c r="S18" s="320"/>
      <c r="T18" s="320"/>
      <c r="U18" s="320"/>
      <c r="V18" s="320"/>
      <c r="W18" s="320"/>
      <c r="X18" s="320"/>
      <c r="Y18" s="320"/>
    </row>
    <row r="19" spans="4:25">
      <c r="F19" s="320"/>
    </row>
    <row r="20" spans="4:25">
      <c r="D20" s="320"/>
      <c r="E20" s="320"/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</row>
  </sheetData>
  <mergeCells count="2">
    <mergeCell ref="C11:C16"/>
    <mergeCell ref="C7:C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NG prices</vt:lpstr>
      <vt:lpstr>Input</vt:lpstr>
      <vt:lpstr>Tariff</vt:lpstr>
      <vt:lpstr>pool cost</vt:lpstr>
      <vt:lpstr>P&amp;L</vt:lpstr>
      <vt:lpstr>Term Loan</vt:lpstr>
      <vt:lpstr>Cash Flow</vt:lpstr>
      <vt:lpstr>Input!Print_Area</vt:lpstr>
    </vt:vector>
  </TitlesOfParts>
  <Company>Crisil 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afzalm</dc:creator>
  <cp:lastModifiedBy>vikramkumars034</cp:lastModifiedBy>
  <cp:lastPrinted>2009-07-23T04:10:33Z</cp:lastPrinted>
  <dcterms:created xsi:type="dcterms:W3CDTF">2005-09-20T04:28:43Z</dcterms:created>
  <dcterms:modified xsi:type="dcterms:W3CDTF">2013-01-31T10:54:40Z</dcterms:modified>
</cp:coreProperties>
</file>