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440" windowHeight="12240" firstSheet="1" activeTab="4"/>
  </bookViews>
  <sheets>
    <sheet name="DATA &amp; OM" sheetId="1" r:id="rId1"/>
    <sheet name="BM" sheetId="2" r:id="rId2"/>
    <sheet name="CM" sheetId="3" r:id="rId3"/>
    <sheet name="COEF" sheetId="4" r:id="rId4"/>
    <sheet name="Renew. share" sheetId="6" r:id="rId5"/>
    <sheet name="Dynamic Table" sheetId="14" r:id="rId6"/>
    <sheet name="Graphs" sheetId="10" r:id="rId7"/>
    <sheet name="Data" sheetId="13" r:id="rId8"/>
  </sheets>
  <definedNames>
    <definedName name="_xlnm._FilterDatabase" localSheetId="0" hidden="1">'DATA &amp; OM'!$A$4:$T$118</definedName>
    <definedName name="_ftn1" localSheetId="2">CM!$H$14</definedName>
    <definedName name="_ftn2" localSheetId="2">CM!$H$15</definedName>
    <definedName name="_ftnref1" localSheetId="2">CM!$E$2</definedName>
    <definedName name="_ftnref2" localSheetId="2">CM!$F$2</definedName>
    <definedName name="coal">COEF!#REF!</definedName>
    <definedName name="data">'DATA &amp; OM'!$B$5:$T$122</definedName>
    <definedName name="datos">'DATA &amp; OM'!$F$33:$N$88</definedName>
    <definedName name="diesel">COEF!$E$21</definedName>
    <definedName name="fuel">'DATA &amp; OM'!$F$33:$F$88</definedName>
    <definedName name="fueloil">COEF!$D$21</definedName>
  </definedNames>
  <calcPr calcId="125725"/>
  <pivotCaches>
    <pivotCache cacheId="0" r:id="rId9"/>
  </pivotCaches>
</workbook>
</file>

<file path=xl/calcChain.xml><?xml version="1.0" encoding="utf-8"?>
<calcChain xmlns="http://schemas.openxmlformats.org/spreadsheetml/2006/main">
  <c r="I4" i="10"/>
  <c r="I3"/>
  <c r="G43" i="2"/>
  <c r="I5" i="10" l="1"/>
  <c r="H21" i="2"/>
  <c r="H22"/>
  <c r="J123" i="1"/>
  <c r="N5"/>
  <c r="H123" l="1"/>
  <c r="E4" i="3"/>
  <c r="D4"/>
  <c r="J129" i="13" l="1"/>
  <c r="I129"/>
  <c r="H129"/>
  <c r="G129"/>
  <c r="F129"/>
  <c r="E129"/>
  <c r="D129"/>
  <c r="C129"/>
  <c r="B129"/>
  <c r="J128"/>
  <c r="I128"/>
  <c r="H128"/>
  <c r="G128"/>
  <c r="F128"/>
  <c r="E128"/>
  <c r="D128"/>
  <c r="C128"/>
  <c r="B128"/>
  <c r="J127"/>
  <c r="I127"/>
  <c r="H127"/>
  <c r="G127"/>
  <c r="F127"/>
  <c r="E127"/>
  <c r="D127"/>
  <c r="C127"/>
  <c r="B127"/>
  <c r="J126"/>
  <c r="I126"/>
  <c r="H126"/>
  <c r="G126"/>
  <c r="F126"/>
  <c r="E126"/>
  <c r="D126"/>
  <c r="C126"/>
  <c r="B126"/>
  <c r="J121"/>
  <c r="I121"/>
  <c r="H121"/>
  <c r="G121"/>
  <c r="F121"/>
  <c r="E121"/>
  <c r="D121"/>
  <c r="C121"/>
  <c r="B121"/>
  <c r="J120"/>
  <c r="I120"/>
  <c r="H120"/>
  <c r="G120"/>
  <c r="F120"/>
  <c r="E120"/>
  <c r="D120"/>
  <c r="C120"/>
  <c r="B120"/>
  <c r="J119"/>
  <c r="I119"/>
  <c r="H119"/>
  <c r="G119"/>
  <c r="F119"/>
  <c r="E119"/>
  <c r="D119"/>
  <c r="C119"/>
  <c r="B119"/>
  <c r="I118"/>
  <c r="H118"/>
  <c r="G118"/>
  <c r="F118"/>
  <c r="E118"/>
  <c r="D118"/>
  <c r="C118"/>
  <c r="B118"/>
  <c r="I117"/>
  <c r="H117"/>
  <c r="G117"/>
  <c r="F117"/>
  <c r="E117"/>
  <c r="D117"/>
  <c r="C117"/>
  <c r="B117"/>
  <c r="I116"/>
  <c r="H116"/>
  <c r="G116"/>
  <c r="F116"/>
  <c r="E116"/>
  <c r="D116"/>
  <c r="C116"/>
  <c r="B116"/>
  <c r="J115"/>
  <c r="I115"/>
  <c r="H115"/>
  <c r="G115"/>
  <c r="F115"/>
  <c r="E115"/>
  <c r="D115"/>
  <c r="C115"/>
  <c r="B115"/>
  <c r="J114"/>
  <c r="I114"/>
  <c r="H114"/>
  <c r="G114"/>
  <c r="F114"/>
  <c r="E114"/>
  <c r="D114"/>
  <c r="C114"/>
  <c r="B114"/>
  <c r="H113"/>
  <c r="G113"/>
  <c r="F113"/>
  <c r="E113"/>
  <c r="D113"/>
  <c r="C113"/>
  <c r="B113"/>
  <c r="I112"/>
  <c r="H112"/>
  <c r="G112"/>
  <c r="F112"/>
  <c r="E112"/>
  <c r="D112"/>
  <c r="C112"/>
  <c r="B112"/>
  <c r="I111"/>
  <c r="H111"/>
  <c r="G111"/>
  <c r="F111"/>
  <c r="E111"/>
  <c r="D111"/>
  <c r="C111"/>
  <c r="B111"/>
  <c r="I110"/>
  <c r="H110"/>
  <c r="G110"/>
  <c r="F110"/>
  <c r="E110"/>
  <c r="D110"/>
  <c r="C110"/>
  <c r="B110"/>
  <c r="I109"/>
  <c r="H109"/>
  <c r="G109"/>
  <c r="F109"/>
  <c r="E109"/>
  <c r="D109"/>
  <c r="C109"/>
  <c r="B109"/>
  <c r="I108"/>
  <c r="H108"/>
  <c r="G108"/>
  <c r="F108"/>
  <c r="E108"/>
  <c r="D108"/>
  <c r="C108"/>
  <c r="B108"/>
  <c r="I107"/>
  <c r="H107"/>
  <c r="G107"/>
  <c r="F107"/>
  <c r="E107"/>
  <c r="D107"/>
  <c r="C107"/>
  <c r="B107"/>
  <c r="I106"/>
  <c r="H106"/>
  <c r="G106"/>
  <c r="F106"/>
  <c r="E106"/>
  <c r="D106"/>
  <c r="C106"/>
  <c r="B106"/>
  <c r="I105"/>
  <c r="H105"/>
  <c r="G105"/>
  <c r="F105"/>
  <c r="E105"/>
  <c r="D105"/>
  <c r="C105"/>
  <c r="B105"/>
  <c r="I104"/>
  <c r="H104"/>
  <c r="G104"/>
  <c r="F104"/>
  <c r="E104"/>
  <c r="D104"/>
  <c r="C104"/>
  <c r="B104"/>
  <c r="J103"/>
  <c r="I103"/>
  <c r="H103"/>
  <c r="G103"/>
  <c r="F103"/>
  <c r="E103"/>
  <c r="D103"/>
  <c r="C103"/>
  <c r="B103"/>
  <c r="I102"/>
  <c r="H102"/>
  <c r="G102"/>
  <c r="F102"/>
  <c r="E102"/>
  <c r="D102"/>
  <c r="C102"/>
  <c r="B102"/>
  <c r="I101"/>
  <c r="H101"/>
  <c r="G101"/>
  <c r="F101"/>
  <c r="E101"/>
  <c r="D101"/>
  <c r="C101"/>
  <c r="B101"/>
  <c r="I100"/>
  <c r="H100"/>
  <c r="G100"/>
  <c r="F100"/>
  <c r="E100"/>
  <c r="D100"/>
  <c r="C100"/>
  <c r="B100"/>
  <c r="I99"/>
  <c r="H99"/>
  <c r="G99"/>
  <c r="F99"/>
  <c r="E99"/>
  <c r="D99"/>
  <c r="C99"/>
  <c r="B99"/>
  <c r="I98"/>
  <c r="H98"/>
  <c r="G98"/>
  <c r="F98"/>
  <c r="E98"/>
  <c r="D98"/>
  <c r="C98"/>
  <c r="B98"/>
  <c r="I97"/>
  <c r="H97"/>
  <c r="G97"/>
  <c r="F97"/>
  <c r="E97"/>
  <c r="D97"/>
  <c r="C97"/>
  <c r="B97"/>
  <c r="J96"/>
  <c r="I96"/>
  <c r="H96"/>
  <c r="G96"/>
  <c r="F96"/>
  <c r="E96"/>
  <c r="D96"/>
  <c r="C96"/>
  <c r="B96"/>
  <c r="I95"/>
  <c r="H95"/>
  <c r="G95"/>
  <c r="F95"/>
  <c r="E95"/>
  <c r="D95"/>
  <c r="C95"/>
  <c r="B95"/>
  <c r="J94"/>
  <c r="I94"/>
  <c r="H94"/>
  <c r="G94"/>
  <c r="F94"/>
  <c r="E94"/>
  <c r="D94"/>
  <c r="C94"/>
  <c r="B94"/>
  <c r="J93"/>
  <c r="I93"/>
  <c r="H93"/>
  <c r="G93"/>
  <c r="F93"/>
  <c r="E93"/>
  <c r="D93"/>
  <c r="C93"/>
  <c r="B93"/>
  <c r="J92"/>
  <c r="I92"/>
  <c r="H92"/>
  <c r="G92"/>
  <c r="F92"/>
  <c r="E92"/>
  <c r="D92"/>
  <c r="C92"/>
  <c r="B92"/>
  <c r="J91"/>
  <c r="I91"/>
  <c r="H91"/>
  <c r="G91"/>
  <c r="F91"/>
  <c r="E91"/>
  <c r="D91"/>
  <c r="C91"/>
  <c r="B91"/>
  <c r="J90"/>
  <c r="I90"/>
  <c r="H90"/>
  <c r="G90"/>
  <c r="F90"/>
  <c r="E90"/>
  <c r="D90"/>
  <c r="C90"/>
  <c r="B90"/>
  <c r="I89"/>
  <c r="H89"/>
  <c r="G89"/>
  <c r="F89"/>
  <c r="E89"/>
  <c r="D89"/>
  <c r="C89"/>
  <c r="B89"/>
  <c r="J88"/>
  <c r="I88"/>
  <c r="H88"/>
  <c r="G88"/>
  <c r="F88"/>
  <c r="E88"/>
  <c r="D88"/>
  <c r="C88"/>
  <c r="B88"/>
  <c r="I87"/>
  <c r="H87"/>
  <c r="G87"/>
  <c r="F87"/>
  <c r="E87"/>
  <c r="D87"/>
  <c r="C87"/>
  <c r="B87"/>
  <c r="J86"/>
  <c r="I86"/>
  <c r="H86"/>
  <c r="G86"/>
  <c r="F86"/>
  <c r="E86"/>
  <c r="D86"/>
  <c r="C86"/>
  <c r="B86"/>
  <c r="I85"/>
  <c r="H85"/>
  <c r="G85"/>
  <c r="F85"/>
  <c r="E85"/>
  <c r="D85"/>
  <c r="C85"/>
  <c r="B85"/>
  <c r="J80"/>
  <c r="J74"/>
  <c r="J73"/>
  <c r="J72"/>
  <c r="J71"/>
  <c r="J70"/>
  <c r="J69"/>
  <c r="J68"/>
  <c r="J66"/>
  <c r="J64"/>
  <c r="J62"/>
  <c r="J60"/>
  <c r="J59"/>
  <c r="J54"/>
  <c r="J53"/>
  <c r="J52"/>
  <c r="J50"/>
  <c r="J48"/>
  <c r="J46"/>
  <c r="J44"/>
  <c r="J38"/>
  <c r="J36"/>
  <c r="J34"/>
  <c r="J32"/>
  <c r="J30"/>
  <c r="J29"/>
  <c r="J27"/>
  <c r="J25"/>
  <c r="J23"/>
  <c r="J21"/>
  <c r="J19"/>
  <c r="J17"/>
  <c r="J15"/>
  <c r="J13"/>
  <c r="J3"/>
  <c r="E38" i="10"/>
  <c r="D38"/>
  <c r="C38"/>
  <c r="F37"/>
  <c r="F36"/>
  <c r="D16"/>
  <c r="D15"/>
  <c r="D14"/>
  <c r="D13"/>
  <c r="D12"/>
  <c r="D11"/>
  <c r="C17"/>
  <c r="B17"/>
  <c r="H5"/>
  <c r="G5"/>
  <c r="F5"/>
  <c r="E5"/>
  <c r="D5"/>
  <c r="C5"/>
  <c r="F38" l="1"/>
  <c r="D17"/>
  <c r="F10" i="6"/>
  <c r="F11" s="1"/>
  <c r="F7"/>
  <c r="C123" i="1"/>
  <c r="E7" i="6"/>
  <c r="D7"/>
  <c r="D10" s="1"/>
  <c r="D11" s="1"/>
  <c r="E10"/>
  <c r="E11" s="1"/>
  <c r="C7"/>
  <c r="C10" s="1"/>
  <c r="C11" s="1"/>
  <c r="G42" i="2" l="1"/>
  <c r="H42"/>
  <c r="I42"/>
  <c r="G41"/>
  <c r="H41"/>
  <c r="I41"/>
  <c r="J41" s="1"/>
  <c r="H40"/>
  <c r="H39"/>
  <c r="H38"/>
  <c r="H37"/>
  <c r="J125" i="1"/>
  <c r="H125"/>
  <c r="H36" i="2"/>
  <c r="H35"/>
  <c r="H34"/>
  <c r="H33"/>
  <c r="I32"/>
  <c r="H32"/>
  <c r="G32"/>
  <c r="J32" s="1"/>
  <c r="I31"/>
  <c r="H31"/>
  <c r="G31"/>
  <c r="H30"/>
  <c r="H29"/>
  <c r="H28"/>
  <c r="H27"/>
  <c r="H26"/>
  <c r="H25"/>
  <c r="H24"/>
  <c r="H23"/>
  <c r="J124" i="1"/>
  <c r="H124"/>
  <c r="I4" i="2"/>
  <c r="S15" i="1"/>
  <c r="R15"/>
  <c r="R32"/>
  <c r="S14"/>
  <c r="R14"/>
  <c r="S13"/>
  <c r="R13"/>
  <c r="S12"/>
  <c r="R12"/>
  <c r="S11"/>
  <c r="R11"/>
  <c r="S10"/>
  <c r="R10"/>
  <c r="S9"/>
  <c r="R9"/>
  <c r="S8"/>
  <c r="R8"/>
  <c r="S7"/>
  <c r="R7"/>
  <c r="S6"/>
  <c r="R6"/>
  <c r="S5"/>
  <c r="R5"/>
  <c r="R30"/>
  <c r="R28"/>
  <c r="R26"/>
  <c r="R24"/>
  <c r="R22"/>
  <c r="R20"/>
  <c r="R18"/>
  <c r="R16"/>
  <c r="K41" i="2" l="1"/>
  <c r="J42"/>
  <c r="K42" s="1"/>
  <c r="J31"/>
  <c r="K31" s="1"/>
  <c r="K32"/>
  <c r="N112" i="1" l="1"/>
  <c r="J118" i="13" s="1"/>
  <c r="N111" i="1"/>
  <c r="J117" i="13" s="1"/>
  <c r="N110" i="1"/>
  <c r="J116" i="13" s="1"/>
  <c r="N107" i="1"/>
  <c r="J113" i="13" s="1"/>
  <c r="N106" i="1"/>
  <c r="J112" i="13" s="1"/>
  <c r="N105" i="1"/>
  <c r="J111" i="13" s="1"/>
  <c r="N104" i="1"/>
  <c r="J110" i="13" s="1"/>
  <c r="N103" i="1"/>
  <c r="J109" i="13" s="1"/>
  <c r="N102" i="1"/>
  <c r="J108" i="13" s="1"/>
  <c r="N101" i="1"/>
  <c r="J107" i="13" s="1"/>
  <c r="N100" i="1"/>
  <c r="J106" i="13" s="1"/>
  <c r="N99" i="1"/>
  <c r="J105" i="13" s="1"/>
  <c r="N98" i="1"/>
  <c r="J104" i="13" s="1"/>
  <c r="N96" i="1"/>
  <c r="J102" i="13" s="1"/>
  <c r="N95" i="1"/>
  <c r="J101" i="13" s="1"/>
  <c r="N94" i="1"/>
  <c r="J100" i="13" s="1"/>
  <c r="N93" i="1"/>
  <c r="J99" i="13" s="1"/>
  <c r="N92" i="1"/>
  <c r="J98" i="13" s="1"/>
  <c r="N91" i="1"/>
  <c r="J97" i="13" s="1"/>
  <c r="N89" i="1"/>
  <c r="J95" i="13" s="1"/>
  <c r="N83" i="1"/>
  <c r="J89" i="13" s="1"/>
  <c r="N81" i="1"/>
  <c r="J87" i="13" s="1"/>
  <c r="N79" i="1"/>
  <c r="J85" i="13" s="1"/>
  <c r="N77" i="1"/>
  <c r="J79" i="13" s="1"/>
  <c r="N76" i="1"/>
  <c r="J78" i="13" s="1"/>
  <c r="N75" i="1"/>
  <c r="J77" i="13" s="1"/>
  <c r="N74" i="1"/>
  <c r="J76" i="13" s="1"/>
  <c r="N73" i="1"/>
  <c r="J75" i="13" s="1"/>
  <c r="N65" i="1"/>
  <c r="N63"/>
  <c r="N61"/>
  <c r="N59"/>
  <c r="N56"/>
  <c r="N55"/>
  <c r="N54"/>
  <c r="N53"/>
  <c r="N49"/>
  <c r="N47"/>
  <c r="N45"/>
  <c r="N43"/>
  <c r="N41"/>
  <c r="N39"/>
  <c r="N37"/>
  <c r="N35"/>
  <c r="N33"/>
  <c r="N14"/>
  <c r="N13"/>
  <c r="N12"/>
  <c r="N11"/>
  <c r="N10"/>
  <c r="N9"/>
  <c r="N8"/>
  <c r="N7"/>
  <c r="N6"/>
  <c r="N30"/>
  <c r="N28"/>
  <c r="N26"/>
  <c r="N24"/>
  <c r="N22"/>
  <c r="N20"/>
  <c r="N18"/>
  <c r="N16"/>
  <c r="L62"/>
  <c r="L53"/>
  <c r="L107"/>
  <c r="I113" i="13" s="1"/>
  <c r="L50" i="1"/>
  <c r="L48"/>
  <c r="L46"/>
  <c r="L44"/>
  <c r="L42"/>
  <c r="L40"/>
  <c r="L38"/>
  <c r="L36"/>
  <c r="L34"/>
  <c r="L56"/>
  <c r="L55"/>
  <c r="L54"/>
  <c r="L49"/>
  <c r="L47"/>
  <c r="L45"/>
  <c r="L43"/>
  <c r="L41"/>
  <c r="L39"/>
  <c r="L37"/>
  <c r="L35"/>
  <c r="L33"/>
  <c r="D5" i="3" l="1"/>
  <c r="E5"/>
  <c r="J14" i="13"/>
  <c r="I14" i="2"/>
  <c r="J18" i="13"/>
  <c r="I16" i="2"/>
  <c r="J22" i="13"/>
  <c r="I18" i="2"/>
  <c r="J26" i="13"/>
  <c r="I20" i="2"/>
  <c r="D6" i="3"/>
  <c r="J4" i="13"/>
  <c r="I5" i="2"/>
  <c r="J6" i="13"/>
  <c r="I7" i="2"/>
  <c r="J8" i="13"/>
  <c r="I9" i="2"/>
  <c r="J10" i="13"/>
  <c r="I11" i="2"/>
  <c r="J12" i="13"/>
  <c r="I13" i="2"/>
  <c r="J33" i="13"/>
  <c r="I23" i="2"/>
  <c r="J37" i="13"/>
  <c r="I25" i="2"/>
  <c r="J45" i="13"/>
  <c r="I27" i="2"/>
  <c r="J49" i="13"/>
  <c r="I29" i="2"/>
  <c r="E6" i="3"/>
  <c r="J55" i="13"/>
  <c r="I33" i="2"/>
  <c r="J57" i="13"/>
  <c r="I35" i="2"/>
  <c r="J61" i="13"/>
  <c r="I37" i="2"/>
  <c r="J65" i="13"/>
  <c r="I39" i="2"/>
  <c r="J16" i="13"/>
  <c r="I15" i="2"/>
  <c r="J20" i="13"/>
  <c r="I17" i="2"/>
  <c r="J24" i="13"/>
  <c r="I19" i="2"/>
  <c r="J28" i="13"/>
  <c r="I21" i="2"/>
  <c r="J5" i="13"/>
  <c r="I6" i="2"/>
  <c r="J7" i="13"/>
  <c r="I8" i="2"/>
  <c r="J9" i="13"/>
  <c r="I10" i="2"/>
  <c r="J11" i="13"/>
  <c r="I12" i="2"/>
  <c r="J31" i="13"/>
  <c r="I22" i="2"/>
  <c r="J35" i="13"/>
  <c r="I24" i="2"/>
  <c r="J39" i="13"/>
  <c r="I26" i="2"/>
  <c r="J47" i="13"/>
  <c r="I28" i="2"/>
  <c r="J51" i="13"/>
  <c r="I30" i="2"/>
  <c r="J56" i="13"/>
  <c r="I34" i="2"/>
  <c r="J58" i="13"/>
  <c r="I36" i="2"/>
  <c r="J63" i="13"/>
  <c r="I38" i="2"/>
  <c r="J67" i="13"/>
  <c r="I40" i="2"/>
  <c r="G15" i="1"/>
  <c r="G32"/>
  <c r="I49"/>
  <c r="I47"/>
  <c r="I45"/>
  <c r="I43"/>
  <c r="I41"/>
  <c r="I39"/>
  <c r="I37"/>
  <c r="I35"/>
  <c r="I33"/>
  <c r="I56"/>
  <c r="I55"/>
  <c r="I54"/>
  <c r="I53"/>
  <c r="I123" l="1"/>
  <c r="E8" i="3"/>
  <c r="D8"/>
  <c r="O15" i="1"/>
  <c r="Q15"/>
  <c r="T15" s="1"/>
  <c r="P15"/>
  <c r="Q32"/>
  <c r="T32" s="1"/>
  <c r="O32"/>
  <c r="P32"/>
  <c r="S32" s="1"/>
  <c r="I80" i="13"/>
  <c r="H80"/>
  <c r="G80"/>
  <c r="F80"/>
  <c r="E80"/>
  <c r="D80"/>
  <c r="C80"/>
  <c r="B80"/>
  <c r="I79"/>
  <c r="H79"/>
  <c r="G79"/>
  <c r="F79"/>
  <c r="E79"/>
  <c r="D79"/>
  <c r="C79"/>
  <c r="B79"/>
  <c r="I78"/>
  <c r="H78"/>
  <c r="G78"/>
  <c r="F78"/>
  <c r="E78"/>
  <c r="D78"/>
  <c r="C78"/>
  <c r="B78"/>
  <c r="I77"/>
  <c r="H77"/>
  <c r="G77"/>
  <c r="F77"/>
  <c r="E77"/>
  <c r="D77"/>
  <c r="C77"/>
  <c r="B77"/>
  <c r="I76"/>
  <c r="H76"/>
  <c r="G76"/>
  <c r="F76"/>
  <c r="E76"/>
  <c r="D76"/>
  <c r="C76"/>
  <c r="B76"/>
  <c r="I75"/>
  <c r="H75"/>
  <c r="G75"/>
  <c r="F75"/>
  <c r="E75"/>
  <c r="D75"/>
  <c r="C75"/>
  <c r="B75"/>
  <c r="I74"/>
  <c r="H74"/>
  <c r="G74"/>
  <c r="F74"/>
  <c r="E74"/>
  <c r="D74"/>
  <c r="C74"/>
  <c r="B74"/>
  <c r="I73"/>
  <c r="H73"/>
  <c r="G73"/>
  <c r="F73"/>
  <c r="E73"/>
  <c r="D73"/>
  <c r="C73"/>
  <c r="B73"/>
  <c r="I72"/>
  <c r="H72"/>
  <c r="G72"/>
  <c r="F72"/>
  <c r="E72"/>
  <c r="D72"/>
  <c r="C72"/>
  <c r="B72"/>
  <c r="I71"/>
  <c r="H71"/>
  <c r="G71"/>
  <c r="F71"/>
  <c r="E71"/>
  <c r="D71"/>
  <c r="C71"/>
  <c r="B71"/>
  <c r="I70"/>
  <c r="H70"/>
  <c r="G70"/>
  <c r="F70"/>
  <c r="E70"/>
  <c r="D70"/>
  <c r="C70"/>
  <c r="B70"/>
  <c r="I69"/>
  <c r="H69"/>
  <c r="G69"/>
  <c r="F69"/>
  <c r="E69"/>
  <c r="D69"/>
  <c r="C69"/>
  <c r="B69"/>
  <c r="I68"/>
  <c r="H68"/>
  <c r="G68"/>
  <c r="F68"/>
  <c r="E68"/>
  <c r="D68"/>
  <c r="C68"/>
  <c r="B68"/>
  <c r="I67"/>
  <c r="H67"/>
  <c r="G67"/>
  <c r="F67"/>
  <c r="E67"/>
  <c r="D67"/>
  <c r="C67"/>
  <c r="B67"/>
  <c r="I66"/>
  <c r="H66"/>
  <c r="G66"/>
  <c r="F66"/>
  <c r="E66"/>
  <c r="D66"/>
  <c r="C66"/>
  <c r="B66"/>
  <c r="I65"/>
  <c r="H65"/>
  <c r="G65"/>
  <c r="F65"/>
  <c r="E65"/>
  <c r="D65"/>
  <c r="C65"/>
  <c r="B65"/>
  <c r="I64"/>
  <c r="H64"/>
  <c r="G64"/>
  <c r="F64"/>
  <c r="E64"/>
  <c r="D64"/>
  <c r="C64"/>
  <c r="B64"/>
  <c r="I63"/>
  <c r="H63"/>
  <c r="G63"/>
  <c r="F63"/>
  <c r="E63"/>
  <c r="D63"/>
  <c r="C63"/>
  <c r="B63"/>
  <c r="I62"/>
  <c r="H62"/>
  <c r="G62"/>
  <c r="F62"/>
  <c r="E62"/>
  <c r="D62"/>
  <c r="C62"/>
  <c r="B62"/>
  <c r="I61"/>
  <c r="H61"/>
  <c r="G61"/>
  <c r="F61"/>
  <c r="E61"/>
  <c r="D61"/>
  <c r="C61"/>
  <c r="B61"/>
  <c r="I60"/>
  <c r="H60"/>
  <c r="G60"/>
  <c r="F60"/>
  <c r="E60"/>
  <c r="D60"/>
  <c r="C60"/>
  <c r="B60"/>
  <c r="I59"/>
  <c r="H59"/>
  <c r="G59"/>
  <c r="F59"/>
  <c r="E59"/>
  <c r="D59"/>
  <c r="C59"/>
  <c r="B59"/>
  <c r="I58"/>
  <c r="H58"/>
  <c r="G58"/>
  <c r="F58"/>
  <c r="E58"/>
  <c r="D58"/>
  <c r="C58"/>
  <c r="B58"/>
  <c r="I57"/>
  <c r="H57"/>
  <c r="G57"/>
  <c r="F57"/>
  <c r="E57"/>
  <c r="D57"/>
  <c r="C57"/>
  <c r="B57"/>
  <c r="I56"/>
  <c r="H56"/>
  <c r="G56"/>
  <c r="F56"/>
  <c r="E56"/>
  <c r="D56"/>
  <c r="C56"/>
  <c r="B56"/>
  <c r="I55"/>
  <c r="H55"/>
  <c r="G55"/>
  <c r="F55"/>
  <c r="E55"/>
  <c r="D55"/>
  <c r="C55"/>
  <c r="B55"/>
  <c r="I54"/>
  <c r="H54"/>
  <c r="G54"/>
  <c r="F54"/>
  <c r="E54"/>
  <c r="D54"/>
  <c r="C54"/>
  <c r="B54"/>
  <c r="I53"/>
  <c r="H53"/>
  <c r="G53"/>
  <c r="F53"/>
  <c r="E53"/>
  <c r="D53"/>
  <c r="C53"/>
  <c r="B53"/>
  <c r="I52"/>
  <c r="H52"/>
  <c r="G52"/>
  <c r="F52"/>
  <c r="E52"/>
  <c r="D52"/>
  <c r="C52"/>
  <c r="B52"/>
  <c r="I51"/>
  <c r="H51"/>
  <c r="G51"/>
  <c r="F51"/>
  <c r="E51"/>
  <c r="D51"/>
  <c r="C51"/>
  <c r="B51"/>
  <c r="I50"/>
  <c r="H50"/>
  <c r="G50"/>
  <c r="F50"/>
  <c r="E50"/>
  <c r="D50"/>
  <c r="C50"/>
  <c r="B50"/>
  <c r="I49"/>
  <c r="H49"/>
  <c r="G49"/>
  <c r="F49"/>
  <c r="E49"/>
  <c r="D49"/>
  <c r="C49"/>
  <c r="B49"/>
  <c r="I48"/>
  <c r="H48"/>
  <c r="G48"/>
  <c r="F48"/>
  <c r="E48"/>
  <c r="D48"/>
  <c r="C48"/>
  <c r="B48"/>
  <c r="I47"/>
  <c r="H47"/>
  <c r="G47"/>
  <c r="F47"/>
  <c r="E47"/>
  <c r="D47"/>
  <c r="C47"/>
  <c r="B47"/>
  <c r="I46"/>
  <c r="H46"/>
  <c r="G46"/>
  <c r="F46"/>
  <c r="E46"/>
  <c r="D46"/>
  <c r="C46"/>
  <c r="B46"/>
  <c r="I45"/>
  <c r="H45"/>
  <c r="G45"/>
  <c r="F45"/>
  <c r="E45"/>
  <c r="D45"/>
  <c r="C45"/>
  <c r="B45"/>
  <c r="I44"/>
  <c r="H44"/>
  <c r="G44"/>
  <c r="F44"/>
  <c r="E44"/>
  <c r="D44"/>
  <c r="C44"/>
  <c r="B44"/>
  <c r="I39"/>
  <c r="H39"/>
  <c r="G39"/>
  <c r="F39"/>
  <c r="E39"/>
  <c r="D39"/>
  <c r="C39"/>
  <c r="I38"/>
  <c r="H38"/>
  <c r="G38"/>
  <c r="F38"/>
  <c r="E38"/>
  <c r="D38"/>
  <c r="C38"/>
  <c r="I37"/>
  <c r="H37"/>
  <c r="G37"/>
  <c r="F37"/>
  <c r="E37"/>
  <c r="D37"/>
  <c r="C37"/>
  <c r="I36"/>
  <c r="H36"/>
  <c r="G36"/>
  <c r="F36"/>
  <c r="E36"/>
  <c r="D36"/>
  <c r="C36"/>
  <c r="I35"/>
  <c r="H35"/>
  <c r="G35"/>
  <c r="F35"/>
  <c r="E35"/>
  <c r="D35"/>
  <c r="C35"/>
  <c r="I34"/>
  <c r="H34"/>
  <c r="G34"/>
  <c r="F34"/>
  <c r="E34"/>
  <c r="D34"/>
  <c r="C34"/>
  <c r="I33"/>
  <c r="H33"/>
  <c r="G33"/>
  <c r="F33"/>
  <c r="E33"/>
  <c r="D33"/>
  <c r="C33"/>
  <c r="I32"/>
  <c r="H32"/>
  <c r="G32"/>
  <c r="F32"/>
  <c r="E32"/>
  <c r="D32"/>
  <c r="C32"/>
  <c r="I31"/>
  <c r="H31"/>
  <c r="G31"/>
  <c r="F31"/>
  <c r="E31"/>
  <c r="D31"/>
  <c r="C31"/>
  <c r="I30"/>
  <c r="H30"/>
  <c r="G30"/>
  <c r="F30"/>
  <c r="E30"/>
  <c r="D30"/>
  <c r="C30"/>
  <c r="I29"/>
  <c r="H29"/>
  <c r="G29"/>
  <c r="F29"/>
  <c r="E29"/>
  <c r="D29"/>
  <c r="C29"/>
  <c r="I28"/>
  <c r="H28"/>
  <c r="G28"/>
  <c r="F28"/>
  <c r="E28"/>
  <c r="D28"/>
  <c r="C28"/>
  <c r="I27"/>
  <c r="H27"/>
  <c r="G27"/>
  <c r="F27"/>
  <c r="E27"/>
  <c r="D27"/>
  <c r="C27"/>
  <c r="I26"/>
  <c r="H26"/>
  <c r="G26"/>
  <c r="F26"/>
  <c r="E26"/>
  <c r="D26"/>
  <c r="C26"/>
  <c r="I25"/>
  <c r="H25"/>
  <c r="G25"/>
  <c r="F25"/>
  <c r="E25"/>
  <c r="D25"/>
  <c r="C25"/>
  <c r="I24"/>
  <c r="H24"/>
  <c r="G24"/>
  <c r="F24"/>
  <c r="E24"/>
  <c r="D24"/>
  <c r="C24"/>
  <c r="I23"/>
  <c r="H23"/>
  <c r="G23"/>
  <c r="F23"/>
  <c r="E23"/>
  <c r="D23"/>
  <c r="C23"/>
  <c r="I22"/>
  <c r="H22"/>
  <c r="G22"/>
  <c r="F22"/>
  <c r="E22"/>
  <c r="D22"/>
  <c r="C22"/>
  <c r="I21"/>
  <c r="H21"/>
  <c r="G21"/>
  <c r="F21"/>
  <c r="E21"/>
  <c r="D21"/>
  <c r="C21"/>
  <c r="I20"/>
  <c r="H20"/>
  <c r="G20"/>
  <c r="F20"/>
  <c r="E20"/>
  <c r="D20"/>
  <c r="C20"/>
  <c r="I19"/>
  <c r="H19"/>
  <c r="G19"/>
  <c r="F19"/>
  <c r="E19"/>
  <c r="D19"/>
  <c r="C19"/>
  <c r="I18"/>
  <c r="H18"/>
  <c r="G18"/>
  <c r="F18"/>
  <c r="E18"/>
  <c r="D18"/>
  <c r="C18"/>
  <c r="I17"/>
  <c r="H17"/>
  <c r="G17"/>
  <c r="F17"/>
  <c r="E17"/>
  <c r="D17"/>
  <c r="C17"/>
  <c r="I16"/>
  <c r="H16"/>
  <c r="G16"/>
  <c r="F16"/>
  <c r="E16"/>
  <c r="D16"/>
  <c r="C16"/>
  <c r="I15"/>
  <c r="H15"/>
  <c r="G15"/>
  <c r="F15"/>
  <c r="E15"/>
  <c r="D15"/>
  <c r="C15"/>
  <c r="I14"/>
  <c r="H14"/>
  <c r="G14"/>
  <c r="F14"/>
  <c r="E14"/>
  <c r="D14"/>
  <c r="C14"/>
  <c r="I13"/>
  <c r="H13"/>
  <c r="G13"/>
  <c r="F13"/>
  <c r="E13"/>
  <c r="D13"/>
  <c r="C13"/>
  <c r="I12"/>
  <c r="H12"/>
  <c r="G12"/>
  <c r="F12"/>
  <c r="E12"/>
  <c r="D12"/>
  <c r="C12"/>
  <c r="I11"/>
  <c r="H11"/>
  <c r="G11"/>
  <c r="F11"/>
  <c r="E11"/>
  <c r="D11"/>
  <c r="C11"/>
  <c r="I10"/>
  <c r="H10"/>
  <c r="G10"/>
  <c r="F10"/>
  <c r="E10"/>
  <c r="D10"/>
  <c r="C10"/>
  <c r="I9"/>
  <c r="H9"/>
  <c r="G9"/>
  <c r="F9"/>
  <c r="E9"/>
  <c r="D9"/>
  <c r="C9"/>
  <c r="I8"/>
  <c r="H8"/>
  <c r="G8"/>
  <c r="F8"/>
  <c r="E8"/>
  <c r="D8"/>
  <c r="C8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I4"/>
  <c r="H4"/>
  <c r="G4"/>
  <c r="F4"/>
  <c r="E4"/>
  <c r="D4"/>
  <c r="C4"/>
  <c r="I3"/>
  <c r="H3"/>
  <c r="G3"/>
  <c r="F3"/>
  <c r="E3"/>
  <c r="D3"/>
  <c r="C3"/>
  <c r="B3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I124" i="1" l="1"/>
  <c r="I125"/>
  <c r="B132" i="13"/>
  <c r="F132"/>
  <c r="F131" s="1"/>
  <c r="E132"/>
  <c r="E131" s="1"/>
  <c r="G132"/>
  <c r="G131" s="1"/>
  <c r="D7" i="3"/>
  <c r="H20" i="2"/>
  <c r="H19"/>
  <c r="H18"/>
  <c r="H17"/>
  <c r="H16"/>
  <c r="H15"/>
  <c r="H14"/>
  <c r="H13"/>
  <c r="H12"/>
  <c r="H11"/>
  <c r="H10"/>
  <c r="H9"/>
  <c r="H8"/>
  <c r="H7"/>
  <c r="H6"/>
  <c r="H5"/>
  <c r="H4"/>
  <c r="H45" s="1"/>
  <c r="F8" i="3" s="1"/>
  <c r="F44" i="10" l="1"/>
  <c r="E44"/>
  <c r="D44"/>
  <c r="C44"/>
  <c r="F43"/>
  <c r="E43"/>
  <c r="D43"/>
  <c r="C43"/>
  <c r="F42"/>
  <c r="E42"/>
  <c r="D42"/>
  <c r="C42"/>
  <c r="H46" i="2" l="1"/>
  <c r="T85" i="1" l="1"/>
  <c r="T114"/>
  <c r="S114"/>
  <c r="T109"/>
  <c r="T118"/>
  <c r="S118"/>
  <c r="R118"/>
  <c r="T116"/>
  <c r="S116"/>
  <c r="R116"/>
  <c r="G109" l="1"/>
  <c r="G108"/>
  <c r="G72"/>
  <c r="G88"/>
  <c r="G70"/>
  <c r="G71"/>
  <c r="G67"/>
  <c r="G85"/>
  <c r="G86"/>
  <c r="G87"/>
  <c r="G68"/>
  <c r="G69"/>
  <c r="G57"/>
  <c r="G58"/>
  <c r="G51"/>
  <c r="G52"/>
  <c r="Q52" l="1"/>
  <c r="T52" s="1"/>
  <c r="O52"/>
  <c r="P52"/>
  <c r="S52" s="1"/>
  <c r="Q58"/>
  <c r="T58" s="1"/>
  <c r="O58"/>
  <c r="R58" s="1"/>
  <c r="P58"/>
  <c r="S58" s="1"/>
  <c r="Q69"/>
  <c r="T69" s="1"/>
  <c r="O69"/>
  <c r="R69" s="1"/>
  <c r="P69"/>
  <c r="S69" s="1"/>
  <c r="Q87"/>
  <c r="T87" s="1"/>
  <c r="O87"/>
  <c r="R87" s="1"/>
  <c r="P87"/>
  <c r="S87" s="1"/>
  <c r="Q85"/>
  <c r="O85"/>
  <c r="R85" s="1"/>
  <c r="P85"/>
  <c r="S85" s="1"/>
  <c r="Q71"/>
  <c r="T71" s="1"/>
  <c r="O71"/>
  <c r="P71"/>
  <c r="S71" s="1"/>
  <c r="Q88"/>
  <c r="T88" s="1"/>
  <c r="O88"/>
  <c r="R88" s="1"/>
  <c r="P88"/>
  <c r="S88" s="1"/>
  <c r="P108"/>
  <c r="S108" s="1"/>
  <c r="Q108"/>
  <c r="T108" s="1"/>
  <c r="O108"/>
  <c r="R108" s="1"/>
  <c r="P51"/>
  <c r="S51" s="1"/>
  <c r="Q51"/>
  <c r="T51" s="1"/>
  <c r="O51"/>
  <c r="P57"/>
  <c r="S57" s="1"/>
  <c r="Q57"/>
  <c r="T57" s="1"/>
  <c r="O57"/>
  <c r="R57" s="1"/>
  <c r="P68"/>
  <c r="S68" s="1"/>
  <c r="Q68"/>
  <c r="T68" s="1"/>
  <c r="O68"/>
  <c r="R68" s="1"/>
  <c r="P86"/>
  <c r="S86" s="1"/>
  <c r="Q86"/>
  <c r="T86" s="1"/>
  <c r="O86"/>
  <c r="R86" s="1"/>
  <c r="P67"/>
  <c r="S67" s="1"/>
  <c r="Q67"/>
  <c r="T67" s="1"/>
  <c r="O67"/>
  <c r="R67" s="1"/>
  <c r="P70"/>
  <c r="S70" s="1"/>
  <c r="Q70"/>
  <c r="T70" s="1"/>
  <c r="O70"/>
  <c r="Q72"/>
  <c r="T72" s="1"/>
  <c r="O72"/>
  <c r="P72"/>
  <c r="S72" s="1"/>
  <c r="Q109"/>
  <c r="O109"/>
  <c r="R109" s="1"/>
  <c r="P109"/>
  <c r="S109" s="1"/>
  <c r="R52" l="1"/>
  <c r="R51"/>
  <c r="E7" i="3"/>
  <c r="F4"/>
  <c r="F6"/>
  <c r="F5"/>
  <c r="R72" i="1"/>
  <c r="R70"/>
  <c r="R71"/>
  <c r="F7" i="3" l="1"/>
  <c r="G117" i="1"/>
  <c r="G116"/>
  <c r="E10" i="4"/>
  <c r="D10"/>
  <c r="I12"/>
  <c r="I13" s="1"/>
  <c r="I14" s="1"/>
  <c r="E17" s="1"/>
  <c r="H12"/>
  <c r="H13" s="1"/>
  <c r="H14" s="1"/>
  <c r="D17" s="1"/>
  <c r="G6"/>
  <c r="P117" i="1" l="1"/>
  <c r="S117" s="1"/>
  <c r="Q117"/>
  <c r="T117" s="1"/>
  <c r="O117"/>
  <c r="R117" s="1"/>
  <c r="Q116"/>
  <c r="O116"/>
  <c r="P116"/>
  <c r="G115"/>
  <c r="O115" s="1"/>
  <c r="D21" i="4"/>
  <c r="G8" i="3" s="1"/>
  <c r="H8" s="1"/>
  <c r="E21" i="4"/>
  <c r="G24" i="2" l="1"/>
  <c r="J24" s="1"/>
  <c r="K24" s="1"/>
  <c r="G21"/>
  <c r="J21" s="1"/>
  <c r="K21" s="1"/>
  <c r="G28" i="1"/>
  <c r="G24"/>
  <c r="G20"/>
  <c r="G40" i="2"/>
  <c r="J40" s="1"/>
  <c r="K40" s="1"/>
  <c r="G38"/>
  <c r="J38" s="1"/>
  <c r="K38" s="1"/>
  <c r="G29"/>
  <c r="J29" s="1"/>
  <c r="K29" s="1"/>
  <c r="G27"/>
  <c r="J27" s="1"/>
  <c r="K27" s="1"/>
  <c r="G25"/>
  <c r="J25" s="1"/>
  <c r="K25" s="1"/>
  <c r="G23"/>
  <c r="J23" s="1"/>
  <c r="K23" s="1"/>
  <c r="G22"/>
  <c r="J22" s="1"/>
  <c r="K22" s="1"/>
  <c r="G39"/>
  <c r="J39" s="1"/>
  <c r="K39" s="1"/>
  <c r="G37"/>
  <c r="J37" s="1"/>
  <c r="K37" s="1"/>
  <c r="G30"/>
  <c r="J30" s="1"/>
  <c r="K30" s="1"/>
  <c r="G28"/>
  <c r="J28" s="1"/>
  <c r="K28" s="1"/>
  <c r="G26"/>
  <c r="J26" s="1"/>
  <c r="K26" s="1"/>
  <c r="G30" i="1"/>
  <c r="G26"/>
  <c r="G22"/>
  <c r="G18"/>
  <c r="G13"/>
  <c r="G6"/>
  <c r="G8"/>
  <c r="G10"/>
  <c r="G11"/>
  <c r="G16"/>
  <c r="G12"/>
  <c r="G14"/>
  <c r="G7"/>
  <c r="G9"/>
  <c r="G5"/>
  <c r="G18" i="2"/>
  <c r="J18" s="1"/>
  <c r="K18" s="1"/>
  <c r="G35"/>
  <c r="J35" s="1"/>
  <c r="K35" s="1"/>
  <c r="G33"/>
  <c r="J33" s="1"/>
  <c r="K33" s="1"/>
  <c r="G31" i="1"/>
  <c r="G29"/>
  <c r="G27"/>
  <c r="G25"/>
  <c r="G23"/>
  <c r="G21"/>
  <c r="G19"/>
  <c r="G17"/>
  <c r="G36" i="2"/>
  <c r="J36" s="1"/>
  <c r="K36" s="1"/>
  <c r="G34"/>
  <c r="J34" s="1"/>
  <c r="K34" s="1"/>
  <c r="G5" i="3"/>
  <c r="H5" s="1"/>
  <c r="G4"/>
  <c r="H4" s="1"/>
  <c r="G6"/>
  <c r="G10" i="2"/>
  <c r="G12"/>
  <c r="G8"/>
  <c r="G6"/>
  <c r="G4"/>
  <c r="G79" i="1"/>
  <c r="G81"/>
  <c r="G83"/>
  <c r="G91"/>
  <c r="G111"/>
  <c r="G89"/>
  <c r="G92"/>
  <c r="G94"/>
  <c r="G110"/>
  <c r="G93"/>
  <c r="G98"/>
  <c r="G65"/>
  <c r="G59"/>
  <c r="G45"/>
  <c r="G96"/>
  <c r="G112"/>
  <c r="G103"/>
  <c r="G97"/>
  <c r="G61"/>
  <c r="G47"/>
  <c r="G33"/>
  <c r="Q33" s="1"/>
  <c r="G106"/>
  <c r="G20" i="2"/>
  <c r="G19"/>
  <c r="G11"/>
  <c r="G13"/>
  <c r="G16"/>
  <c r="G15"/>
  <c r="G17"/>
  <c r="G7"/>
  <c r="G14"/>
  <c r="G5"/>
  <c r="G9"/>
  <c r="G90" i="1"/>
  <c r="G48"/>
  <c r="G44"/>
  <c r="G40"/>
  <c r="G36"/>
  <c r="G113"/>
  <c r="G62"/>
  <c r="G50"/>
  <c r="G46"/>
  <c r="G42"/>
  <c r="G38"/>
  <c r="G34"/>
  <c r="G78"/>
  <c r="G80"/>
  <c r="G82"/>
  <c r="G84"/>
  <c r="G64"/>
  <c r="G60"/>
  <c r="G114"/>
  <c r="G66"/>
  <c r="G56"/>
  <c r="G54"/>
  <c r="G95"/>
  <c r="G55"/>
  <c r="G53"/>
  <c r="G107"/>
  <c r="R115"/>
  <c r="G74"/>
  <c r="G105"/>
  <c r="G63"/>
  <c r="G73"/>
  <c r="G102"/>
  <c r="G100"/>
  <c r="G49"/>
  <c r="G43"/>
  <c r="G37"/>
  <c r="G76"/>
  <c r="G101"/>
  <c r="G99"/>
  <c r="G41"/>
  <c r="G39"/>
  <c r="G35"/>
  <c r="G77"/>
  <c r="G75"/>
  <c r="G104"/>
  <c r="G118"/>
  <c r="P115"/>
  <c r="S115" s="1"/>
  <c r="Q115"/>
  <c r="G7" i="3" l="1"/>
  <c r="Q19" i="1"/>
  <c r="P19"/>
  <c r="O19"/>
  <c r="Q23"/>
  <c r="P23"/>
  <c r="O23"/>
  <c r="Q27"/>
  <c r="P27"/>
  <c r="O27"/>
  <c r="Q31"/>
  <c r="P31"/>
  <c r="O31"/>
  <c r="Q5"/>
  <c r="P5"/>
  <c r="O5"/>
  <c r="O7"/>
  <c r="Q7"/>
  <c r="T7" s="1"/>
  <c r="P7"/>
  <c r="Q12"/>
  <c r="T12" s="1"/>
  <c r="O12"/>
  <c r="P12"/>
  <c r="O11"/>
  <c r="Q11"/>
  <c r="T11" s="1"/>
  <c r="P11"/>
  <c r="Q8"/>
  <c r="T8" s="1"/>
  <c r="O8"/>
  <c r="P8"/>
  <c r="O13"/>
  <c r="Q13"/>
  <c r="T13" s="1"/>
  <c r="P13"/>
  <c r="P22"/>
  <c r="S22" s="1"/>
  <c r="O22"/>
  <c r="Q22"/>
  <c r="T22" s="1"/>
  <c r="P30"/>
  <c r="O30"/>
  <c r="Q30"/>
  <c r="T30" s="1"/>
  <c r="P24"/>
  <c r="O24"/>
  <c r="Q24"/>
  <c r="P17"/>
  <c r="Q17"/>
  <c r="O17"/>
  <c r="P21"/>
  <c r="Q21"/>
  <c r="O21"/>
  <c r="P25"/>
  <c r="Q25"/>
  <c r="O25"/>
  <c r="P29"/>
  <c r="Q29"/>
  <c r="O29"/>
  <c r="Q9"/>
  <c r="T9" s="1"/>
  <c r="P9"/>
  <c r="O9"/>
  <c r="O14"/>
  <c r="P14"/>
  <c r="Q14"/>
  <c r="T14" s="1"/>
  <c r="Q16"/>
  <c r="P16"/>
  <c r="O16"/>
  <c r="O10"/>
  <c r="P10"/>
  <c r="Q10"/>
  <c r="T10" s="1"/>
  <c r="Q6"/>
  <c r="T6" s="1"/>
  <c r="O6"/>
  <c r="P6"/>
  <c r="P18"/>
  <c r="S18" s="1"/>
  <c r="O18"/>
  <c r="Q18"/>
  <c r="T18" s="1"/>
  <c r="P26"/>
  <c r="S26" s="1"/>
  <c r="O26"/>
  <c r="Q26"/>
  <c r="T26" s="1"/>
  <c r="P20"/>
  <c r="S20" s="1"/>
  <c r="O20"/>
  <c r="Q20"/>
  <c r="T20" s="1"/>
  <c r="P28"/>
  <c r="S28" s="1"/>
  <c r="O28"/>
  <c r="Q28"/>
  <c r="T28" s="1"/>
  <c r="H7" i="3"/>
  <c r="H6"/>
  <c r="P53" i="1"/>
  <c r="S53" s="1"/>
  <c r="Q53"/>
  <c r="T53" s="1"/>
  <c r="O53"/>
  <c r="P95"/>
  <c r="S95" s="1"/>
  <c r="O95"/>
  <c r="R95" s="1"/>
  <c r="Q95"/>
  <c r="T95" s="1"/>
  <c r="P56"/>
  <c r="S56" s="1"/>
  <c r="O56"/>
  <c r="Q56"/>
  <c r="T56" s="1"/>
  <c r="O114"/>
  <c r="R114" s="1"/>
  <c r="Q114"/>
  <c r="P114"/>
  <c r="O64"/>
  <c r="Q64"/>
  <c r="P64"/>
  <c r="Q82"/>
  <c r="P82"/>
  <c r="O82"/>
  <c r="Q78"/>
  <c r="P78"/>
  <c r="O78"/>
  <c r="O38"/>
  <c r="J9" i="2" s="1"/>
  <c r="K9" s="1"/>
  <c r="Q38" i="1"/>
  <c r="P38"/>
  <c r="O46"/>
  <c r="J15" i="2" s="1"/>
  <c r="K15" s="1"/>
  <c r="Q46" i="1"/>
  <c r="P46"/>
  <c r="Q62"/>
  <c r="P62"/>
  <c r="O62"/>
  <c r="P36"/>
  <c r="O36"/>
  <c r="J7" i="2" s="1"/>
  <c r="K7" s="1"/>
  <c r="Q36" i="1"/>
  <c r="Q44"/>
  <c r="O44"/>
  <c r="J14" i="2" s="1"/>
  <c r="K14" s="1"/>
  <c r="P44" i="1"/>
  <c r="Q90"/>
  <c r="O90"/>
  <c r="P90"/>
  <c r="P106"/>
  <c r="S106" s="1"/>
  <c r="O106"/>
  <c r="R106" s="1"/>
  <c r="Q106"/>
  <c r="T106" s="1"/>
  <c r="Q47"/>
  <c r="P47"/>
  <c r="O47"/>
  <c r="Q97"/>
  <c r="T97" s="1"/>
  <c r="P97"/>
  <c r="S97" s="1"/>
  <c r="O97"/>
  <c r="R97" s="1"/>
  <c r="Q112"/>
  <c r="P112"/>
  <c r="O112"/>
  <c r="P45"/>
  <c r="O45"/>
  <c r="Q45"/>
  <c r="T45" s="1"/>
  <c r="P65"/>
  <c r="O65"/>
  <c r="Q65"/>
  <c r="O93"/>
  <c r="R93" s="1"/>
  <c r="Q93"/>
  <c r="T93" s="1"/>
  <c r="P93"/>
  <c r="S93" s="1"/>
  <c r="Q94"/>
  <c r="T94" s="1"/>
  <c r="P94"/>
  <c r="S94" s="1"/>
  <c r="O94"/>
  <c r="R94" s="1"/>
  <c r="P89"/>
  <c r="O89"/>
  <c r="Q89"/>
  <c r="P91"/>
  <c r="S91" s="1"/>
  <c r="O91"/>
  <c r="R91" s="1"/>
  <c r="Q91"/>
  <c r="T91" s="1"/>
  <c r="O81"/>
  <c r="Q81"/>
  <c r="P81"/>
  <c r="P107"/>
  <c r="S107" s="1"/>
  <c r="O107"/>
  <c r="R107" s="1"/>
  <c r="Q107"/>
  <c r="T107" s="1"/>
  <c r="Q55"/>
  <c r="T55" s="1"/>
  <c r="P55"/>
  <c r="S55" s="1"/>
  <c r="O55"/>
  <c r="Q54"/>
  <c r="T54" s="1"/>
  <c r="P54"/>
  <c r="S54" s="1"/>
  <c r="O54"/>
  <c r="O66"/>
  <c r="Q66"/>
  <c r="P66"/>
  <c r="Q60"/>
  <c r="P60"/>
  <c r="O60"/>
  <c r="P84"/>
  <c r="O84"/>
  <c r="Q84"/>
  <c r="P80"/>
  <c r="O80"/>
  <c r="Q80"/>
  <c r="Q34"/>
  <c r="P34"/>
  <c r="O34"/>
  <c r="J5" i="2" s="1"/>
  <c r="K5" s="1"/>
  <c r="Q42" i="1"/>
  <c r="P42"/>
  <c r="O42"/>
  <c r="J13" i="2" s="1"/>
  <c r="K13" s="1"/>
  <c r="O50" i="1"/>
  <c r="J17" i="2" s="1"/>
  <c r="K17" s="1"/>
  <c r="Q50" i="1"/>
  <c r="P50"/>
  <c r="O113"/>
  <c r="Q113"/>
  <c r="P113"/>
  <c r="Q40"/>
  <c r="P40"/>
  <c r="O40"/>
  <c r="J11" i="2" s="1"/>
  <c r="K11" s="1"/>
  <c r="Q48" i="1"/>
  <c r="P48"/>
  <c r="O48"/>
  <c r="J16" i="2" s="1"/>
  <c r="K16" s="1"/>
  <c r="P33" i="1"/>
  <c r="O33"/>
  <c r="Q61"/>
  <c r="P61"/>
  <c r="O61"/>
  <c r="Q103"/>
  <c r="T103" s="1"/>
  <c r="P103"/>
  <c r="S103" s="1"/>
  <c r="O103"/>
  <c r="R103" s="1"/>
  <c r="O96"/>
  <c r="R96" s="1"/>
  <c r="Q96"/>
  <c r="T96" s="1"/>
  <c r="P96"/>
  <c r="S96" s="1"/>
  <c r="O59"/>
  <c r="Q59"/>
  <c r="P59"/>
  <c r="S59" s="1"/>
  <c r="P98"/>
  <c r="S98" s="1"/>
  <c r="O98"/>
  <c r="R98" s="1"/>
  <c r="Q98"/>
  <c r="T98" s="1"/>
  <c r="O110"/>
  <c r="R110" s="1"/>
  <c r="Q110"/>
  <c r="T110" s="1"/>
  <c r="P110"/>
  <c r="S110" s="1"/>
  <c r="O92"/>
  <c r="R92" s="1"/>
  <c r="Q92"/>
  <c r="T92" s="1"/>
  <c r="P92"/>
  <c r="S92" s="1"/>
  <c r="P111"/>
  <c r="S111" s="1"/>
  <c r="O111"/>
  <c r="R111" s="1"/>
  <c r="Q111"/>
  <c r="T111" s="1"/>
  <c r="O83"/>
  <c r="Q83"/>
  <c r="P83"/>
  <c r="O79"/>
  <c r="Q79"/>
  <c r="P79"/>
  <c r="Q118"/>
  <c r="O118"/>
  <c r="P118"/>
  <c r="P35"/>
  <c r="Q35"/>
  <c r="O35"/>
  <c r="Q104"/>
  <c r="T104" s="1"/>
  <c r="O104"/>
  <c r="R104" s="1"/>
  <c r="P104"/>
  <c r="S104" s="1"/>
  <c r="Q77"/>
  <c r="O77"/>
  <c r="P77"/>
  <c r="P39"/>
  <c r="Q39"/>
  <c r="O39"/>
  <c r="P99"/>
  <c r="S99" s="1"/>
  <c r="Q99"/>
  <c r="T99" s="1"/>
  <c r="O99"/>
  <c r="R99" s="1"/>
  <c r="P76"/>
  <c r="S76" s="1"/>
  <c r="Q76"/>
  <c r="T76" s="1"/>
  <c r="O76"/>
  <c r="P43"/>
  <c r="Q43"/>
  <c r="O43"/>
  <c r="Q100"/>
  <c r="T100" s="1"/>
  <c r="O100"/>
  <c r="R100" s="1"/>
  <c r="P100"/>
  <c r="S100" s="1"/>
  <c r="Q73"/>
  <c r="T73" s="1"/>
  <c r="O73"/>
  <c r="P73"/>
  <c r="S73" s="1"/>
  <c r="P105"/>
  <c r="S105" s="1"/>
  <c r="Q105"/>
  <c r="T105" s="1"/>
  <c r="O105"/>
  <c r="R105" s="1"/>
  <c r="T115"/>
  <c r="Q75"/>
  <c r="T75" s="1"/>
  <c r="O75"/>
  <c r="P75"/>
  <c r="S75" s="1"/>
  <c r="P41"/>
  <c r="Q41"/>
  <c r="O41"/>
  <c r="P101"/>
  <c r="S101" s="1"/>
  <c r="Q101"/>
  <c r="T101" s="1"/>
  <c r="O101"/>
  <c r="R101" s="1"/>
  <c r="P37"/>
  <c r="Q37"/>
  <c r="O37"/>
  <c r="P49"/>
  <c r="Q49"/>
  <c r="O49"/>
  <c r="Q102"/>
  <c r="T102" s="1"/>
  <c r="O102"/>
  <c r="R102" s="1"/>
  <c r="P102"/>
  <c r="S102" s="1"/>
  <c r="P63"/>
  <c r="Q63"/>
  <c r="O63"/>
  <c r="P74"/>
  <c r="S74" s="1"/>
  <c r="Q74"/>
  <c r="T74" s="1"/>
  <c r="O74"/>
  <c r="T16" l="1"/>
  <c r="S30"/>
  <c r="R112"/>
  <c r="S16"/>
  <c r="P123"/>
  <c r="T24"/>
  <c r="S24"/>
  <c r="Q123"/>
  <c r="T123" s="1"/>
  <c r="T5"/>
  <c r="T63"/>
  <c r="S37"/>
  <c r="S41"/>
  <c r="S43"/>
  <c r="T39"/>
  <c r="S77"/>
  <c r="T83"/>
  <c r="R33"/>
  <c r="S63"/>
  <c r="T37"/>
  <c r="T41"/>
  <c r="S39"/>
  <c r="T35"/>
  <c r="T79"/>
  <c r="T59"/>
  <c r="O123"/>
  <c r="O124" s="1"/>
  <c r="T33"/>
  <c r="Q124"/>
  <c r="P124"/>
  <c r="S49"/>
  <c r="R61"/>
  <c r="S33"/>
  <c r="S35"/>
  <c r="S45"/>
  <c r="S47"/>
  <c r="R63"/>
  <c r="R49"/>
  <c r="J10" i="2"/>
  <c r="K10" s="1"/>
  <c r="R39" i="1"/>
  <c r="J8" i="2"/>
  <c r="K8" s="1"/>
  <c r="R37" i="1"/>
  <c r="J12" i="2"/>
  <c r="K12" s="1"/>
  <c r="R41" i="1"/>
  <c r="R43"/>
  <c r="J6" i="2"/>
  <c r="K6" s="1"/>
  <c r="R35" i="1"/>
  <c r="R59"/>
  <c r="J4" i="2"/>
  <c r="R55" i="1"/>
  <c r="R65"/>
  <c r="J20" i="2"/>
  <c r="K20" s="1"/>
  <c r="R56" i="1"/>
  <c r="J19" i="2"/>
  <c r="K19" s="1"/>
  <c r="R54" i="1"/>
  <c r="R45"/>
  <c r="R47"/>
  <c r="R53"/>
  <c r="T49"/>
  <c r="T77"/>
  <c r="S79"/>
  <c r="S61"/>
  <c r="S81"/>
  <c r="T89"/>
  <c r="S89"/>
  <c r="S112"/>
  <c r="R79"/>
  <c r="R81"/>
  <c r="R83"/>
  <c r="T43"/>
  <c r="S83"/>
  <c r="T61"/>
  <c r="T81"/>
  <c r="R89"/>
  <c r="T65"/>
  <c r="S65"/>
  <c r="T112"/>
  <c r="T47"/>
  <c r="R73"/>
  <c r="R76"/>
  <c r="R77"/>
  <c r="R74"/>
  <c r="R75"/>
  <c r="V124" l="1"/>
  <c r="K4" i="2"/>
  <c r="J45"/>
  <c r="K45" s="1"/>
  <c r="S124" i="1"/>
  <c r="S123"/>
  <c r="R123"/>
  <c r="T124"/>
  <c r="J13" i="3" l="1"/>
  <c r="J11"/>
  <c r="R124" i="1"/>
  <c r="J15" i="3" l="1"/>
</calcChain>
</file>

<file path=xl/comments1.xml><?xml version="1.0" encoding="utf-8"?>
<comments xmlns="http://schemas.openxmlformats.org/spreadsheetml/2006/main">
  <authors>
    <author>Martin ROMA</author>
    <author>Martin Roma</author>
  </authors>
  <commentList>
    <comment ref="H4" authorId="0">
      <text>
        <r>
          <rPr>
            <sz val="8"/>
            <color indexed="81"/>
            <rFont val="Tahoma"/>
            <family val="2"/>
          </rPr>
          <t xml:space="preserve">
http://www.ine.gob.ni/DGE/estadisticas/2008/00%20Estadisticas%20Electricas%202008%20Gen_Neta.pdf - imports available at http://ine.gob.ni/DGE/estadisticas/2008/Estadisticas%20Electricas_2008_Resumen.pdf</t>
        </r>
      </text>
    </comment>
    <comment ref="I4" authorId="0">
      <text>
        <r>
          <rPr>
            <sz val="8"/>
            <color indexed="81"/>
            <rFont val="Tahoma"/>
            <family val="2"/>
          </rPr>
          <t xml:space="preserve">
http://ine.gob.ni/DGE/estadisticas/2009/anual/Generacion_Neta_2009_2.pdf (imports available at from http://ine.gob.ni/DGE/estadisticas/2009/anual/Resumen_2009_02.pdf)</t>
        </r>
      </text>
    </comment>
    <comment ref="J4" authorId="1">
      <text>
        <r>
          <rPr>
            <sz val="9"/>
            <color indexed="81"/>
            <rFont val="Tahoma"/>
            <family val="2"/>
          </rPr>
          <t xml:space="preserve">
Net gen: http://ine.gob.ni/DGE/estadisticas/2010/GeneracionNeta_2010.pdf (imports: http://ine.gob.ni/DGE/estadisticas/2010/Resumen_2010.pdf)</t>
        </r>
      </text>
    </comment>
    <comment ref="K4" authorId="0">
      <text>
        <r>
          <rPr>
            <sz val="8"/>
            <color indexed="81"/>
            <rFont val="Tahoma"/>
            <family val="2"/>
          </rPr>
          <t xml:space="preserve">
http://www.ine.gob.ni/DGE/estadisticas/2008/00%20Estadisticas%20Electricas%202008%20Cons_Combust.pdf</t>
        </r>
      </text>
    </comment>
    <comment ref="L4" authorId="1">
      <text>
        <r>
          <rPr>
            <sz val="9"/>
            <color indexed="81"/>
            <rFont val="Tahoma"/>
            <family val="2"/>
          </rPr>
          <t xml:space="preserve">
http://ine.gob.ni/DGE/estadisticas/2009/anual/Consumo_Energia_2009_2.pdf</t>
        </r>
      </text>
    </comment>
    <comment ref="M4" authorId="1">
      <text>
        <r>
          <rPr>
            <sz val="9"/>
            <color indexed="81"/>
            <rFont val="Tahoma"/>
            <family val="2"/>
          </rPr>
          <t xml:space="preserve">
Since 2010, fuel efficiencies (consump. per MWh) are reported in INE statistics insted of fuel consumption. Available at: 
http://ine.gob.ni/DGE/estadisticas/2010/Rendimiento_2010.pdf</t>
        </r>
      </text>
    </comment>
    <comment ref="L29" authorId="1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No separation between U1 and U2's diesel consumption is provided in INE statistics; hence, all consumption was included in U1.</t>
        </r>
      </text>
    </comment>
    <comment ref="L31" authorId="1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No separation between U1 and U2's diesel consumption is provided in INE statistics; hence, all consumption was included in U1.</t>
        </r>
      </text>
    </comment>
    <comment ref="L53" authorId="1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includes "other uses"</t>
        </r>
      </text>
    </comment>
    <comment ref="A59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Became public in 2007</t>
        </r>
      </text>
    </comment>
    <comment ref="A60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Became public in 2007</t>
        </r>
      </text>
    </comment>
    <comment ref="A61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Became public in 2007</t>
        </r>
      </text>
    </comment>
    <comment ref="A62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Became public in 2007</t>
        </r>
      </text>
    </comment>
    <comment ref="L62" authorId="1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includes "other uses"</t>
        </r>
      </text>
    </comment>
    <comment ref="A63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Became public in 2007</t>
        </r>
      </text>
    </comment>
    <comment ref="A64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Became public in 2007</t>
        </r>
      </text>
    </comment>
    <comment ref="A65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Became public in 2007</t>
        </r>
      </text>
    </comment>
    <comment ref="A66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Became public in 2007</t>
        </r>
      </text>
    </comment>
    <comment ref="L90" authorId="1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includes "other uses"</t>
        </r>
      </text>
    </comment>
    <comment ref="L107" authorId="1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includes "other uses"</t>
        </r>
      </text>
    </comment>
    <comment ref="L113" authorId="1">
      <text>
        <r>
          <rPr>
            <b/>
            <sz val="9"/>
            <color indexed="81"/>
            <rFont val="Tahoma"/>
            <family val="2"/>
          </rPr>
          <t>Martin Roma:</t>
        </r>
        <r>
          <rPr>
            <sz val="9"/>
            <color indexed="81"/>
            <rFont val="Tahoma"/>
            <family val="2"/>
          </rPr>
          <t xml:space="preserve">
includes "other uses"</t>
        </r>
      </text>
    </comment>
    <comment ref="B115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Net generation from U1 and U2 is included here because INE does not present net generation for each plant separately</t>
        </r>
      </text>
    </comment>
    <comment ref="B117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Net generation from U1 and U2 is included here because INE does not present net generation for each plant separately</t>
        </r>
      </text>
    </comment>
    <comment ref="B122" authorId="0">
      <text>
        <r>
          <rPr>
            <b/>
            <sz val="8"/>
            <color indexed="81"/>
            <rFont val="Tahoma"/>
            <family val="2"/>
          </rPr>
          <t>Martin ROMA:</t>
        </r>
        <r>
          <rPr>
            <sz val="8"/>
            <color indexed="81"/>
            <rFont val="Tahoma"/>
            <family val="2"/>
          </rPr>
          <t xml:space="preserve">
http://www.ine.gob.ni/DGE/estadisticas/1991_2007/07%20Serie%20Historica%201991%20al%202008%20para%20Web%20Imp_Exp_Dem.pdf</t>
        </r>
      </text>
    </comment>
  </commentList>
</comments>
</file>

<file path=xl/sharedStrings.xml><?xml version="1.0" encoding="utf-8"?>
<sst xmlns="http://schemas.openxmlformats.org/spreadsheetml/2006/main" count="1079" uniqueCount="242">
  <si>
    <t>#</t>
  </si>
  <si>
    <t>IPCC 2006</t>
  </si>
  <si>
    <t>Fuel Oil</t>
  </si>
  <si>
    <t>Diesel</t>
  </si>
  <si>
    <t>NCV</t>
  </si>
  <si>
    <t>Value</t>
  </si>
  <si>
    <t>Measured in</t>
  </si>
  <si>
    <t>TJ/10³ tons</t>
  </si>
  <si>
    <t>Source</t>
  </si>
  <si>
    <t>IPCC Guidelines (2006)</t>
  </si>
  <si>
    <t>CEF</t>
  </si>
  <si>
    <t>tCO2/TJ</t>
  </si>
  <si>
    <t>gal/lts</t>
  </si>
  <si>
    <t>lts/gal</t>
  </si>
  <si>
    <t>COEF</t>
  </si>
  <si>
    <r>
      <t>tCO2/10</t>
    </r>
    <r>
      <rPr>
        <i/>
        <sz val="11"/>
        <color indexed="8"/>
        <rFont val="Calibri"/>
        <family val="2"/>
      </rPr>
      <t>³</t>
    </r>
    <r>
      <rPr>
        <i/>
        <sz val="11"/>
        <color indexed="8"/>
        <rFont val="Calibri"/>
        <family val="2"/>
      </rPr>
      <t xml:space="preserve"> tons</t>
    </r>
  </si>
  <si>
    <t>tCO2/10³ tons</t>
  </si>
  <si>
    <t xml:space="preserve">Calculated </t>
  </si>
  <si>
    <t>kg/lt</t>
  </si>
  <si>
    <r>
      <t>(</t>
    </r>
    <r>
      <rPr>
        <i/>
        <sz val="11"/>
        <color indexed="8"/>
        <rFont val="Calibri"/>
        <family val="2"/>
      </rPr>
      <t>source:</t>
    </r>
    <r>
      <rPr>
        <sz val="10"/>
        <rFont val="Calibri"/>
        <family val="2"/>
      </rPr>
      <t xml:space="preserve"> EIA)</t>
    </r>
  </si>
  <si>
    <t>kg/gal</t>
  </si>
  <si>
    <t>Density (tons/gal)</t>
  </si>
  <si>
    <t>FUEL OIL</t>
  </si>
  <si>
    <t>DIESEL</t>
  </si>
  <si>
    <t>API</t>
  </si>
  <si>
    <t>Low Cost/Must-Run</t>
  </si>
  <si>
    <t>Fossil Fuel</t>
  </si>
  <si>
    <t>TOTAL</t>
  </si>
  <si>
    <t>CDM</t>
  </si>
  <si>
    <t>Operating Margin</t>
  </si>
  <si>
    <t>Build Margin</t>
  </si>
  <si>
    <t>Factor (I)</t>
  </si>
  <si>
    <t>Weight (II)</t>
  </si>
  <si>
    <t>Factor (III)</t>
  </si>
  <si>
    <t>Weight (IV)</t>
  </si>
  <si>
    <t>Combined Margin = (I)*(II)+(III)*(IV)</t>
  </si>
  <si>
    <t xml:space="preserve">HIDROGESA-Centro América-U#1 </t>
  </si>
  <si>
    <t xml:space="preserve">HIDROGESA-Centro América-U#2 </t>
  </si>
  <si>
    <t xml:space="preserve">HIDROGESA-Santa Bárbara-U#1 </t>
  </si>
  <si>
    <t xml:space="preserve">HIDROGESA-Santa Bárbara-U#2 </t>
  </si>
  <si>
    <t xml:space="preserve">GECSA-Managua-U#3 </t>
  </si>
  <si>
    <t xml:space="preserve">GECSA-Managua--U#4 </t>
  </si>
  <si>
    <t xml:space="preserve">GECSA-Managua-U#5 </t>
  </si>
  <si>
    <t xml:space="preserve">GECSA-Las brisas-U#1 </t>
  </si>
  <si>
    <t xml:space="preserve">GECSA-Las brisas-U#2 </t>
  </si>
  <si>
    <t xml:space="preserve">GE San Rafael SA-U#1 </t>
  </si>
  <si>
    <t xml:space="preserve">GE San Rafael SA-U#4 </t>
  </si>
  <si>
    <t xml:space="preserve">CENSA-Cat-No.1 </t>
  </si>
  <si>
    <t xml:space="preserve">CENSA-Cat-No.2 </t>
  </si>
  <si>
    <t xml:space="preserve">CENSA-Cat-No.3 </t>
  </si>
  <si>
    <t xml:space="preserve">CENSA-Cat-No.4 </t>
  </si>
  <si>
    <t xml:space="preserve">CENSA-Cat-No.5 </t>
  </si>
  <si>
    <t xml:space="preserve">CENSA-Cat-No.6 </t>
  </si>
  <si>
    <t xml:space="preserve">CENSA-Cat-No.7 </t>
  </si>
  <si>
    <t xml:space="preserve">CENSA-Cat-No.8 </t>
  </si>
  <si>
    <t xml:space="preserve">CENSA-Cat-No.9 </t>
  </si>
  <si>
    <t xml:space="preserve">CENSA-Mak-No.1 </t>
  </si>
  <si>
    <t xml:space="preserve">CENSA-Mak-No.2 </t>
  </si>
  <si>
    <t xml:space="preserve">CENSA-Mak-No.3 </t>
  </si>
  <si>
    <t xml:space="preserve">CENSA-Mak-No.4 </t>
  </si>
  <si>
    <t xml:space="preserve">EE Corinto-U#1 </t>
  </si>
  <si>
    <t xml:space="preserve">EE Corinto-U#2 </t>
  </si>
  <si>
    <t xml:space="preserve">EE Corinto-U#3 </t>
  </si>
  <si>
    <t xml:space="preserve">EE Corinto-U#4 </t>
  </si>
  <si>
    <t xml:space="preserve">O Momotombo PC-U#1 </t>
  </si>
  <si>
    <t xml:space="preserve">O Momotombo PC-U#2 </t>
  </si>
  <si>
    <t xml:space="preserve">O Momotombo PC-U#3 </t>
  </si>
  <si>
    <t xml:space="preserve">Tipitapa PC-U#1 </t>
  </si>
  <si>
    <t xml:space="preserve">Tipitapa PC-U#2 </t>
  </si>
  <si>
    <t xml:space="preserve">Tipitapa PC-U#3 </t>
  </si>
  <si>
    <t xml:space="preserve">Tipitapa PC-U#4 </t>
  </si>
  <si>
    <t xml:space="preserve">Tipitapa PC-U#5 </t>
  </si>
  <si>
    <t xml:space="preserve">GEOSA-Nicaragua-U#1 </t>
  </si>
  <si>
    <t xml:space="preserve">GEOSA-Nicaragua-U#2 </t>
  </si>
  <si>
    <t xml:space="preserve">GEOSA-Chinandega </t>
  </si>
  <si>
    <t xml:space="preserve">NSEL-U#1 </t>
  </si>
  <si>
    <t xml:space="preserve">NSEL-U#2 </t>
  </si>
  <si>
    <t xml:space="preserve">NSEL-U#3 </t>
  </si>
  <si>
    <t xml:space="preserve">Monte Rosa-U#1 </t>
  </si>
  <si>
    <t xml:space="preserve">Monte Rosa-U#3 </t>
  </si>
  <si>
    <t xml:space="preserve">Monte Rosa-U#5 </t>
  </si>
  <si>
    <t xml:space="preserve">Monte Rosa-U#6 </t>
  </si>
  <si>
    <t xml:space="preserve">Monte Rosa-U#7 </t>
  </si>
  <si>
    <t xml:space="preserve">Monte Rosa-U#8 </t>
  </si>
  <si>
    <t xml:space="preserve">Polaris (PENSA)-U#1 </t>
  </si>
  <si>
    <t xml:space="preserve">Polaris (PENSA)-U#2 </t>
  </si>
  <si>
    <t xml:space="preserve">El Bote-Atder-U#1 </t>
  </si>
  <si>
    <t xml:space="preserve">El Bote-Atder-U#2 </t>
  </si>
  <si>
    <t>P</t>
  </si>
  <si>
    <t>IMPORTS</t>
  </si>
  <si>
    <t>S</t>
  </si>
  <si>
    <t>Water</t>
  </si>
  <si>
    <t>Fuel</t>
  </si>
  <si>
    <t>Steam</t>
  </si>
  <si>
    <t>GE San Rafael SA-U#3</t>
  </si>
  <si>
    <t>Bagasse</t>
  </si>
  <si>
    <t>Total</t>
  </si>
  <si>
    <t>Total exc. Low cost/must-run &amp; CDM</t>
  </si>
  <si>
    <t>Net Generation (MWh)</t>
  </si>
  <si>
    <t>Biomass</t>
  </si>
  <si>
    <t>Hydro</t>
  </si>
  <si>
    <t>Geothermal</t>
  </si>
  <si>
    <t>Source:</t>
  </si>
  <si>
    <t>Total (Inc. imports)</t>
  </si>
  <si>
    <t>Fuel Oil &amp; Diesel</t>
  </si>
  <si>
    <t>Plant Type</t>
  </si>
  <si>
    <t>Year</t>
  </si>
  <si>
    <t>Unit Name</t>
  </si>
  <si>
    <t xml:space="preserve">Net Capacity 2008 (MW) </t>
  </si>
  <si>
    <t>Entry date</t>
  </si>
  <si>
    <t>Category</t>
  </si>
  <si>
    <t>Fossil Fuel Consumption (Thousand gals)</t>
  </si>
  <si>
    <t>Emissions (tCO2)</t>
  </si>
  <si>
    <t>Emission Factor  (tCO2/MWh)</t>
  </si>
  <si>
    <t>GE San Rafael SA-U#2 aux</t>
  </si>
  <si>
    <t>GE San Rafael SA-U#3 aux</t>
  </si>
  <si>
    <t>GE San Rafael SA-U#4 aux</t>
  </si>
  <si>
    <t>EE Corinto-U#1 aux</t>
  </si>
  <si>
    <t>EE Corinto-U#2 aux</t>
  </si>
  <si>
    <t>EE Corinto-U#3 aux</t>
  </si>
  <si>
    <t>EE Corinto-U#4 aux</t>
  </si>
  <si>
    <t>Tipitapa PC-U#1 aux</t>
  </si>
  <si>
    <t>GECSA-Managua-U#3 aux</t>
  </si>
  <si>
    <t>Ownership</t>
  </si>
  <si>
    <t>Private</t>
  </si>
  <si>
    <t>Public</t>
  </si>
  <si>
    <t>Low Cost /Must-Run</t>
  </si>
  <si>
    <t>Overall</t>
  </si>
  <si>
    <t>Private vs Public</t>
  </si>
  <si>
    <t>GE San Rafael SA-U#1 aux</t>
  </si>
  <si>
    <t>GE San Rafael SA-U#2</t>
  </si>
  <si>
    <t>Generation (MWh)</t>
  </si>
  <si>
    <t>Fuel Cons. (thousand gals)</t>
  </si>
  <si>
    <t>Imports</t>
  </si>
  <si>
    <t>Sub Total</t>
  </si>
  <si>
    <t>Total Inc. Imports</t>
  </si>
  <si>
    <t>Worksheet - Nicaragua National Interconnected System</t>
  </si>
  <si>
    <t>Weighted average OM:</t>
  </si>
  <si>
    <t>Factor</t>
  </si>
  <si>
    <t>Emission Factor (tCO2/MWh)</t>
  </si>
  <si>
    <r>
      <t>Fuel Consumption (10</t>
    </r>
    <r>
      <rPr>
        <vertAlign val="superscript"/>
        <sz val="10"/>
        <color rgb="FF000000"/>
        <rFont val="Calibri"/>
        <family val="2"/>
        <scheme val="minor"/>
      </rPr>
      <t>3</t>
    </r>
    <r>
      <rPr>
        <sz val="10"/>
        <color rgb="FF000000"/>
        <rFont val="Calibri"/>
        <family val="2"/>
        <scheme val="minor"/>
      </rPr>
      <t xml:space="preserve"> gals)</t>
    </r>
  </si>
  <si>
    <t>Fuel Type</t>
  </si>
  <si>
    <t xml:space="preserve">ALBANISA - Che Guevara IV (Masaya)-U1 </t>
  </si>
  <si>
    <t xml:space="preserve">ALBANISA - Che Guevara V (Masaya)-U1 </t>
  </si>
  <si>
    <t xml:space="preserve">ALBANISA - Che Guevara VI (Nagarote)-U1 </t>
  </si>
  <si>
    <t xml:space="preserve">ALBANISA - Che Guevara VII (Nagarote)-U1 </t>
  </si>
  <si>
    <t xml:space="preserve">ALBANISA - Che Guevara VIII (León)-U1 </t>
  </si>
  <si>
    <t>Consorcio eólico AMAYO I</t>
  </si>
  <si>
    <t>Consorcio eólico AMAYO II</t>
  </si>
  <si>
    <t>ALBANISA - Che Guevara VII (Nagarote)-U2</t>
  </si>
  <si>
    <t>ALBANISA - Che Guevara VII (Nagarote)-U3</t>
  </si>
  <si>
    <t>ALBANISA - Che Guevara VII (Nagarote)-U4</t>
  </si>
  <si>
    <t>ALBANISA - Che Guevara VII (Nagarote)-U5</t>
  </si>
  <si>
    <t>ALBANISA - Che Guevara VII (Nagarote)-U6</t>
  </si>
  <si>
    <t>ALBANISA - Che Guevara VI (Nagarote)-U2</t>
  </si>
  <si>
    <t>ALBANISA - Che Guevara V (Masaya)-U2</t>
  </si>
  <si>
    <t>ALBANISA - Che Guevara V (Masaya)-U3</t>
  </si>
  <si>
    <t>ALBANISA - Che Guevara IV (Masaya)-U2</t>
  </si>
  <si>
    <t>ALBANISA - Che Guevara IV (Masaya)-U3</t>
  </si>
  <si>
    <t>ALBANISA - Che Guevara VIII (León)-U2</t>
  </si>
  <si>
    <t>ALBANISA - Che Guevara VIII (León)-U3</t>
  </si>
  <si>
    <t>ALBANISA - Che Guevara VIII (León)-U4</t>
  </si>
  <si>
    <t>Wind</t>
  </si>
  <si>
    <t xml:space="preserve">Nominal Capacity 2010 (MW) </t>
  </si>
  <si>
    <t>ALBANISA - Che Guevara IV (Masaya)-U1 aux</t>
  </si>
  <si>
    <t>ALBANISA - Che Guevara IV (Masaya)-U2 aux</t>
  </si>
  <si>
    <t>ALBANISA - Che Guevara IV (Masaya)-U3 aux</t>
  </si>
  <si>
    <t>ALBANISA - Che Guevara V (Masaya)-U1 aux</t>
  </si>
  <si>
    <t>ALBANISA - Che Guevara V (Masaya)-U2 aux</t>
  </si>
  <si>
    <t>ALBANISA - Che Guevara V (Masaya)-U3 aux</t>
  </si>
  <si>
    <t>ALBANISA - Che Guevara VI (Nagarote)-U1 aux</t>
  </si>
  <si>
    <t>ALBANISA - Che Guevara VI (Nagarote)-U2 aux</t>
  </si>
  <si>
    <t>2008 (thousand gals)</t>
  </si>
  <si>
    <t>2009 (thousand gals)</t>
  </si>
  <si>
    <t>% total gen in 2010</t>
  </si>
  <si>
    <t>Total project electricity system exc. CDM</t>
  </si>
  <si>
    <t>2010 (MWh per thousand gals of fuel)</t>
  </si>
  <si>
    <t>Fossil Fuel Consumption</t>
  </si>
  <si>
    <t>Share Renewables</t>
  </si>
  <si>
    <t>Capacity by plant type (MW)</t>
  </si>
  <si>
    <t>(2010 data that excludes CDM projects obtained from the "DATA &amp; OM" sheet)</t>
  </si>
  <si>
    <r>
      <t xml:space="preserve">2010 </t>
    </r>
    <r>
      <rPr>
        <sz val="8"/>
        <color theme="1"/>
        <rFont val="Calibri"/>
        <family val="2"/>
        <scheme val="minor"/>
      </rPr>
      <t>(no CDM)</t>
    </r>
  </si>
  <si>
    <t>2010 generation data</t>
  </si>
  <si>
    <t>2010 capacity data</t>
  </si>
  <si>
    <t>Capacity additions (last 5 years / 2006-2010) (2010 capacity, in MW)</t>
  </si>
  <si>
    <t>2010 - no CDM</t>
  </si>
  <si>
    <t xml:space="preserve">Net Capacity 2010 (MW) </t>
  </si>
  <si>
    <t>tot/avg (2008-2010)</t>
  </si>
  <si>
    <t xml:space="preserve">ALBANISA - Che Guevara I (Tipitapa)-U1 </t>
  </si>
  <si>
    <t>ALBANISA - Che Guevara I (Tipitapa)-U1 aux</t>
  </si>
  <si>
    <t xml:space="preserve">ALBANISA - Che Guevara I (Tipitapa)-U2 </t>
  </si>
  <si>
    <t>ALBANISA - Che Guevara I (Tipitapa)-U2 aux</t>
  </si>
  <si>
    <t xml:space="preserve">ALBANISA - Che Guevara I (Tipitapa)-U3 </t>
  </si>
  <si>
    <t>ALBANISA - Che Guevara I (Tipitapa)-U3 aux</t>
  </si>
  <si>
    <t xml:space="preserve">ALBANISA - Che Guevara II (Masaya)-U1 </t>
  </si>
  <si>
    <t>ALBANISA - Che Guevara II (Masaya)-U1 aux</t>
  </si>
  <si>
    <t xml:space="preserve">ALBANISA - Che Guevara II (Masaya)-U2 </t>
  </si>
  <si>
    <t>ALBANISA - Che Guevara II (Masaya)-U2 aux</t>
  </si>
  <si>
    <t xml:space="preserve">ALBANISA - Che Guevara II (Masaya)-U3 </t>
  </si>
  <si>
    <t>ALBANISA - Che Guevara II (Masaya)-U3 aux</t>
  </si>
  <si>
    <t xml:space="preserve">ALBANISA - Che Guevara III (Managua)-U1 </t>
  </si>
  <si>
    <t>ALBANISA - Che Guevara III (Managua)-U1 aux</t>
  </si>
  <si>
    <t xml:space="preserve">ALBANISA - Che Guevara III (Managua)-U2 </t>
  </si>
  <si>
    <t>ALBANISA - Che Guevara III (Managua)-U2 aux</t>
  </si>
  <si>
    <t xml:space="preserve">ALBANISA - Che Guevara III (Managua)-U3 </t>
  </si>
  <si>
    <t>ALBANISA - Che Guevara III (Managua)-U3 aux</t>
  </si>
  <si>
    <t xml:space="preserve">ALBANISA-Hugo Chavez-U1 </t>
  </si>
  <si>
    <t xml:space="preserve">ALBANISA-Hugo Chavez-U2 </t>
  </si>
  <si>
    <t xml:space="preserve">ALBANISA-Hugo Chavez-U3 </t>
  </si>
  <si>
    <t xml:space="preserve">ALBANISA-Hugo Chavez-U4 </t>
  </si>
  <si>
    <t>2010 (thousand gals)</t>
  </si>
  <si>
    <t>Coeficient (tCO2/10³ gals)</t>
  </si>
  <si>
    <t>Calculation of densities</t>
  </si>
  <si>
    <t>Density</t>
  </si>
  <si>
    <t>tons per gal</t>
  </si>
  <si>
    <t>Row Labels</t>
  </si>
  <si>
    <t>Grand Total</t>
  </si>
  <si>
    <t>(blank)</t>
  </si>
  <si>
    <t>Sum of Entry date</t>
  </si>
  <si>
    <t xml:space="preserve">GECSA - Che Guevara I (Tipitapa)-U1 </t>
  </si>
  <si>
    <t>GECSA - Che Guevara I (Tipitapa)-U1 aux</t>
  </si>
  <si>
    <t xml:space="preserve">GECSA - Che Guevara I (Tipitapa)-U2 </t>
  </si>
  <si>
    <t>GECSA - Che Guevara I (Tipitapa)-U2 aux</t>
  </si>
  <si>
    <t xml:space="preserve">GECSA - Che Guevara I (Tipitapa)-U3 </t>
  </si>
  <si>
    <t>GECSA - Che Guevara I (Tipitapa)-U3 aux</t>
  </si>
  <si>
    <t xml:space="preserve">GECSA - Che Guevara II (Masaya)-U1 </t>
  </si>
  <si>
    <t>GECSA - Che Guevara II (Masaya)-U1 aux</t>
  </si>
  <si>
    <t xml:space="preserve">GECSA - Che Guevara II (Masaya)-U2 </t>
  </si>
  <si>
    <t>GECSA - Che Guevara II (Masaya)-U2 aux</t>
  </si>
  <si>
    <t xml:space="preserve">GECSA - Che Guevara II (Masaya)-U3 </t>
  </si>
  <si>
    <t>GECSA - Che Guevara II (Masaya)-U3 aux</t>
  </si>
  <si>
    <t xml:space="preserve">GECSA - Che Guevara III (Managua)-U1 </t>
  </si>
  <si>
    <t>GECSA - Che Guevara III (Managua)-U1 aux</t>
  </si>
  <si>
    <t xml:space="preserve">GECSA - Che Guevara III (Managua)-U2 </t>
  </si>
  <si>
    <t>GECSA - Che Guevara III (Managua)-U2 aux</t>
  </si>
  <si>
    <t xml:space="preserve">GECSA - Che Guevara III (Managua)-U3 </t>
  </si>
  <si>
    <t>GECSA - Che Guevara III (Managua)-U3 aux</t>
  </si>
  <si>
    <t xml:space="preserve">GECSA-Hugo Chavez-U1 </t>
  </si>
  <si>
    <t xml:space="preserve">GECSA-Hugo Chavez-U2 </t>
  </si>
  <si>
    <t xml:space="preserve">GECSA-Hugo Chavez-U3 </t>
  </si>
  <si>
    <t xml:space="preserve">GECSA-Hugo Chavez-U4 </t>
  </si>
  <si>
    <t>http://www.ine.gob.ni/DGE/estadisticas/1991_2007/04%20Serie%20Historica%201991%20al%202008%20para%20Web%20Gen_Neta.pdf</t>
  </si>
</sst>
</file>

<file path=xl/styles.xml><?xml version="1.0" encoding="utf-8"?>
<styleSheet xmlns="http://schemas.openxmlformats.org/spreadsheetml/2006/main">
  <numFmts count="7">
    <numFmt numFmtId="164" formatCode="0.0"/>
    <numFmt numFmtId="165" formatCode="0.0000"/>
    <numFmt numFmtId="166" formatCode="_ [$€]\ * #,##0.00_ ;_ [$€]\ * \-#,##0.00_ ;_ [$€]\ * &quot;-&quot;??_ ;_ @_ "/>
    <numFmt numFmtId="167" formatCode="#,##0.0000"/>
    <numFmt numFmtId="168" formatCode="#,##0.0"/>
    <numFmt numFmtId="169" formatCode="0.0%"/>
    <numFmt numFmtId="172" formatCode="[&lt;=9999999]###\-####;\(###\)\ ###\-####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1"/>
      <color indexed="8"/>
      <name val="Calibri"/>
      <family val="2"/>
    </font>
    <font>
      <i/>
      <sz val="11"/>
      <color indexed="8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6" fontId="9" fillId="0" borderId="0" applyFont="0" applyFill="0" applyBorder="0" applyAlignment="0" applyProtection="0"/>
    <xf numFmtId="0" fontId="9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360">
    <xf numFmtId="0" fontId="0" fillId="0" borderId="0" xfId="0"/>
    <xf numFmtId="0" fontId="6" fillId="0" borderId="0" xfId="1" applyFont="1"/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6" xfId="1" applyBorder="1"/>
    <xf numFmtId="0" fontId="1" fillId="0" borderId="7" xfId="1" applyBorder="1"/>
    <xf numFmtId="164" fontId="1" fillId="0" borderId="8" xfId="1" applyNumberFormat="1" applyBorder="1"/>
    <xf numFmtId="0" fontId="2" fillId="0" borderId="0" xfId="1" applyFont="1"/>
    <xf numFmtId="0" fontId="1" fillId="0" borderId="10" xfId="1" applyBorder="1"/>
    <xf numFmtId="0" fontId="7" fillId="0" borderId="11" xfId="1" applyFont="1" applyBorder="1" applyAlignment="1">
      <alignment horizontal="center"/>
    </xf>
    <xf numFmtId="0" fontId="7" fillId="0" borderId="12" xfId="1" applyFont="1" applyBorder="1" applyAlignment="1">
      <alignment horizontal="center"/>
    </xf>
    <xf numFmtId="0" fontId="1" fillId="0" borderId="8" xfId="1" applyBorder="1"/>
    <xf numFmtId="0" fontId="1" fillId="0" borderId="15" xfId="1" applyBorder="1"/>
    <xf numFmtId="0" fontId="1" fillId="0" borderId="0" xfId="1" applyAlignment="1">
      <alignment horizontal="right"/>
    </xf>
    <xf numFmtId="1" fontId="1" fillId="0" borderId="7" xfId="1" applyNumberFormat="1" applyBorder="1"/>
    <xf numFmtId="1" fontId="1" fillId="0" borderId="8" xfId="1" applyNumberFormat="1" applyBorder="1"/>
    <xf numFmtId="0" fontId="1" fillId="0" borderId="16" xfId="1" applyBorder="1"/>
    <xf numFmtId="0" fontId="1" fillId="0" borderId="20" xfId="1" applyBorder="1"/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" fillId="0" borderId="23" xfId="1" applyBorder="1"/>
    <xf numFmtId="0" fontId="1" fillId="0" borderId="24" xfId="1" applyBorder="1"/>
    <xf numFmtId="0" fontId="1" fillId="0" borderId="18" xfId="1" applyBorder="1"/>
    <xf numFmtId="0" fontId="1" fillId="0" borderId="0" xfId="1" applyBorder="1"/>
    <xf numFmtId="0" fontId="1" fillId="0" borderId="25" xfId="1" applyBorder="1"/>
    <xf numFmtId="0" fontId="1" fillId="0" borderId="0" xfId="1" applyFont="1"/>
    <xf numFmtId="0" fontId="1" fillId="2" borderId="26" xfId="1" applyFill="1" applyBorder="1"/>
    <xf numFmtId="0" fontId="1" fillId="2" borderId="28" xfId="1" applyFill="1" applyBorder="1"/>
    <xf numFmtId="0" fontId="10" fillId="0" borderId="0" xfId="1" applyFont="1"/>
    <xf numFmtId="0" fontId="0" fillId="0" borderId="23" xfId="1" applyFont="1" applyBorder="1"/>
    <xf numFmtId="0" fontId="0" fillId="0" borderId="25" xfId="1" applyFont="1" applyBorder="1"/>
    <xf numFmtId="165" fontId="1" fillId="0" borderId="0" xfId="1" applyNumberFormat="1" applyBorder="1"/>
    <xf numFmtId="165" fontId="1" fillId="0" borderId="25" xfId="1" applyNumberFormat="1" applyBorder="1"/>
    <xf numFmtId="165" fontId="1" fillId="0" borderId="27" xfId="1" applyNumberFormat="1" applyBorder="1"/>
    <xf numFmtId="165" fontId="1" fillId="0" borderId="28" xfId="1" applyNumberFormat="1" applyBorder="1"/>
    <xf numFmtId="0" fontId="0" fillId="0" borderId="26" xfId="1" applyFont="1" applyBorder="1"/>
    <xf numFmtId="3" fontId="0" fillId="0" borderId="0" xfId="0" applyNumberFormat="1"/>
    <xf numFmtId="0" fontId="0" fillId="0" borderId="29" xfId="0" applyBorder="1"/>
    <xf numFmtId="4" fontId="0" fillId="0" borderId="29" xfId="0" applyNumberFormat="1" applyBorder="1" applyAlignment="1">
      <alignment horizontal="center" vertical="center"/>
    </xf>
    <xf numFmtId="3" fontId="0" fillId="0" borderId="29" xfId="0" applyNumberFormat="1" applyBorder="1"/>
    <xf numFmtId="2" fontId="0" fillId="0" borderId="0" xfId="0" applyNumberFormat="1"/>
    <xf numFmtId="2" fontId="0" fillId="3" borderId="0" xfId="0" applyNumberFormat="1" applyFill="1" applyAlignment="1">
      <alignment horizontal="center"/>
    </xf>
    <xf numFmtId="0" fontId="0" fillId="0" borderId="24" xfId="0" applyBorder="1"/>
    <xf numFmtId="0" fontId="0" fillId="0" borderId="31" xfId="0" applyBorder="1"/>
    <xf numFmtId="3" fontId="0" fillId="0" borderId="31" xfId="0" applyNumberFormat="1" applyBorder="1"/>
    <xf numFmtId="3" fontId="0" fillId="0" borderId="17" xfId="0" applyNumberFormat="1" applyBorder="1"/>
    <xf numFmtId="3" fontId="0" fillId="0" borderId="31" xfId="0" applyNumberFormat="1" applyBorder="1" applyAlignment="1"/>
    <xf numFmtId="4" fontId="0" fillId="0" borderId="17" xfId="0" applyNumberFormat="1" applyBorder="1" applyAlignment="1">
      <alignment horizontal="center" vertical="center"/>
    </xf>
    <xf numFmtId="2" fontId="0" fillId="3" borderId="31" xfId="0" applyNumberFormat="1" applyFill="1" applyBorder="1" applyAlignment="1">
      <alignment horizontal="center"/>
    </xf>
    <xf numFmtId="0" fontId="0" fillId="0" borderId="25" xfId="0" applyBorder="1"/>
    <xf numFmtId="4" fontId="0" fillId="0" borderId="2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3" xfId="0" applyBorder="1"/>
    <xf numFmtId="0" fontId="0" fillId="0" borderId="23" xfId="0" applyBorder="1" applyAlignment="1"/>
    <xf numFmtId="0" fontId="0" fillId="0" borderId="23" xfId="0" applyFill="1" applyBorder="1"/>
    <xf numFmtId="0" fontId="0" fillId="0" borderId="23" xfId="0" applyFill="1" applyBorder="1" applyAlignment="1"/>
    <xf numFmtId="0" fontId="3" fillId="0" borderId="24" xfId="0" applyFont="1" applyBorder="1"/>
    <xf numFmtId="0" fontId="0" fillId="0" borderId="26" xfId="0" applyBorder="1"/>
    <xf numFmtId="0" fontId="0" fillId="0" borderId="28" xfId="0" applyBorder="1"/>
    <xf numFmtId="165" fontId="0" fillId="0" borderId="24" xfId="0" applyNumberFormat="1" applyBorder="1"/>
    <xf numFmtId="3" fontId="0" fillId="0" borderId="0" xfId="0" applyNumberFormat="1" applyBorder="1"/>
    <xf numFmtId="0" fontId="0" fillId="0" borderId="0" xfId="0" applyBorder="1"/>
    <xf numFmtId="3" fontId="0" fillId="0" borderId="25" xfId="0" applyNumberFormat="1" applyBorder="1"/>
    <xf numFmtId="167" fontId="0" fillId="0" borderId="23" xfId="0" applyNumberFormat="1" applyBorder="1"/>
    <xf numFmtId="4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Border="1" applyAlignment="1"/>
    <xf numFmtId="0" fontId="0" fillId="0" borderId="27" xfId="0" applyBorder="1"/>
    <xf numFmtId="3" fontId="0" fillId="0" borderId="27" xfId="0" applyNumberFormat="1" applyBorder="1"/>
    <xf numFmtId="3" fontId="0" fillId="0" borderId="28" xfId="0" applyNumberFormat="1" applyBorder="1"/>
    <xf numFmtId="0" fontId="0" fillId="6" borderId="33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3" fontId="0" fillId="0" borderId="31" xfId="0" applyNumberFormat="1" applyFill="1" applyBorder="1"/>
    <xf numFmtId="0" fontId="0" fillId="0" borderId="0" xfId="0" applyFill="1" applyBorder="1"/>
    <xf numFmtId="3" fontId="0" fillId="0" borderId="0" xfId="0" applyNumberFormat="1" applyFill="1" applyBorder="1"/>
    <xf numFmtId="0" fontId="0" fillId="5" borderId="17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3" fontId="0" fillId="0" borderId="0" xfId="0" applyNumberFormat="1" applyBorder="1" applyAlignment="1"/>
    <xf numFmtId="3" fontId="0" fillId="0" borderId="25" xfId="0" applyNumberFormat="1" applyBorder="1" applyAlignment="1"/>
    <xf numFmtId="3" fontId="0" fillId="0" borderId="25" xfId="0" applyNumberFormat="1" applyFill="1" applyBorder="1"/>
    <xf numFmtId="0" fontId="0" fillId="4" borderId="23" xfId="0" applyFill="1" applyBorder="1"/>
    <xf numFmtId="0" fontId="0" fillId="4" borderId="0" xfId="0" applyFill="1" applyBorder="1"/>
    <xf numFmtId="3" fontId="0" fillId="4" borderId="31" xfId="0" applyNumberFormat="1" applyFill="1" applyBorder="1"/>
    <xf numFmtId="3" fontId="0" fillId="4" borderId="0" xfId="0" applyNumberFormat="1" applyFill="1" applyBorder="1"/>
    <xf numFmtId="3" fontId="0" fillId="4" borderId="0" xfId="0" applyNumberFormat="1" applyFill="1"/>
    <xf numFmtId="3" fontId="0" fillId="4" borderId="25" xfId="0" applyNumberFormat="1" applyFill="1" applyBorder="1"/>
    <xf numFmtId="4" fontId="0" fillId="4" borderId="0" xfId="0" applyNumberFormat="1" applyFill="1" applyBorder="1" applyAlignment="1">
      <alignment horizontal="center" vertical="center"/>
    </xf>
    <xf numFmtId="4" fontId="0" fillId="4" borderId="25" xfId="0" applyNumberFormat="1" applyFill="1" applyBorder="1" applyAlignment="1">
      <alignment horizontal="center" vertical="center"/>
    </xf>
    <xf numFmtId="3" fontId="0" fillId="4" borderId="0" xfId="0" applyNumberFormat="1" applyFill="1" applyBorder="1" applyAlignment="1"/>
    <xf numFmtId="3" fontId="0" fillId="4" borderId="31" xfId="0" applyNumberFormat="1" applyFill="1" applyBorder="1" applyAlignment="1"/>
    <xf numFmtId="3" fontId="0" fillId="4" borderId="25" xfId="0" applyNumberFormat="1" applyFill="1" applyBorder="1" applyAlignment="1"/>
    <xf numFmtId="167" fontId="0" fillId="4" borderId="23" xfId="0" applyNumberFormat="1" applyFill="1" applyBorder="1"/>
    <xf numFmtId="3" fontId="0" fillId="0" borderId="33" xfId="0" applyNumberFormat="1" applyBorder="1"/>
    <xf numFmtId="3" fontId="3" fillId="0" borderId="17" xfId="0" applyNumberFormat="1" applyFont="1" applyBorder="1"/>
    <xf numFmtId="3" fontId="3" fillId="0" borderId="29" xfId="0" applyNumberFormat="1" applyFont="1" applyBorder="1"/>
    <xf numFmtId="0" fontId="0" fillId="6" borderId="26" xfId="0" applyFill="1" applyBorder="1" applyAlignment="1">
      <alignment horizontal="center" vertical="center" wrapText="1"/>
    </xf>
    <xf numFmtId="0" fontId="0" fillId="4" borderId="23" xfId="0" applyFill="1" applyBorder="1" applyAlignment="1"/>
    <xf numFmtId="0" fontId="0" fillId="0" borderId="23" xfId="0" applyFont="1" applyBorder="1"/>
    <xf numFmtId="2" fontId="0" fillId="3" borderId="0" xfId="0" applyNumberForma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/>
    <xf numFmtId="4" fontId="0" fillId="0" borderId="31" xfId="0" applyNumberFormat="1" applyBorder="1" applyAlignment="1">
      <alignment horizontal="center" vertical="center"/>
    </xf>
    <xf numFmtId="4" fontId="0" fillId="4" borderId="31" xfId="0" applyNumberFormat="1" applyFill="1" applyBorder="1" applyAlignment="1">
      <alignment horizontal="center" vertical="center"/>
    </xf>
    <xf numFmtId="3" fontId="0" fillId="0" borderId="29" xfId="0" applyNumberFormat="1" applyFill="1" applyBorder="1"/>
    <xf numFmtId="0" fontId="0" fillId="0" borderId="17" xfId="0" applyBorder="1"/>
    <xf numFmtId="0" fontId="0" fillId="0" borderId="33" xfId="0" applyBorder="1"/>
    <xf numFmtId="3" fontId="0" fillId="0" borderId="28" xfId="0" applyNumberFormat="1" applyFill="1" applyBorder="1"/>
    <xf numFmtId="168" fontId="0" fillId="0" borderId="0" xfId="0" applyNumberFormat="1" applyBorder="1"/>
    <xf numFmtId="4" fontId="0" fillId="0" borderId="0" xfId="0" applyNumberFormat="1" applyBorder="1"/>
    <xf numFmtId="0" fontId="0" fillId="0" borderId="25" xfId="0" applyFill="1" applyBorder="1"/>
    <xf numFmtId="0" fontId="0" fillId="4" borderId="31" xfId="0" applyFill="1" applyBorder="1"/>
    <xf numFmtId="0" fontId="0" fillId="4" borderId="25" xfId="0" applyFill="1" applyBorder="1"/>
    <xf numFmtId="0" fontId="0" fillId="0" borderId="31" xfId="0" applyFill="1" applyBorder="1"/>
    <xf numFmtId="0" fontId="12" fillId="0" borderId="0" xfId="0" applyFont="1"/>
    <xf numFmtId="0" fontId="13" fillId="0" borderId="0" xfId="4" applyAlignment="1" applyProtection="1"/>
    <xf numFmtId="0" fontId="14" fillId="0" borderId="0" xfId="0" applyFont="1"/>
    <xf numFmtId="9" fontId="0" fillId="0" borderId="28" xfId="0" applyNumberFormat="1" applyBorder="1"/>
    <xf numFmtId="0" fontId="0" fillId="0" borderId="28" xfId="0" applyBorder="1" applyAlignment="1">
      <alignment horizontal="center"/>
    </xf>
    <xf numFmtId="0" fontId="0" fillId="0" borderId="33" xfId="0" applyBorder="1" applyAlignment="1">
      <alignment horizontal="center"/>
    </xf>
    <xf numFmtId="9" fontId="0" fillId="0" borderId="33" xfId="0" applyNumberFormat="1" applyBorder="1"/>
    <xf numFmtId="0" fontId="0" fillId="7" borderId="31" xfId="0" applyFill="1" applyBorder="1"/>
    <xf numFmtId="4" fontId="0" fillId="0" borderId="17" xfId="0" applyNumberFormat="1" applyBorder="1"/>
    <xf numFmtId="4" fontId="0" fillId="0" borderId="29" xfId="0" applyNumberFormat="1" applyBorder="1"/>
    <xf numFmtId="4" fontId="0" fillId="0" borderId="18" xfId="0" applyNumberFormat="1" applyBorder="1"/>
    <xf numFmtId="0" fontId="15" fillId="0" borderId="0" xfId="0" applyFont="1"/>
    <xf numFmtId="0" fontId="0" fillId="6" borderId="18" xfId="0" applyFill="1" applyBorder="1" applyAlignment="1">
      <alignment horizontal="center" wrapText="1"/>
    </xf>
    <xf numFmtId="0" fontId="0" fillId="6" borderId="16" xfId="0" applyFill="1" applyBorder="1" applyAlignment="1">
      <alignment horizontal="center" wrapText="1"/>
    </xf>
    <xf numFmtId="0" fontId="0" fillId="6" borderId="24" xfId="0" applyFill="1" applyBorder="1" applyAlignment="1">
      <alignment horizontal="center" wrapText="1"/>
    </xf>
    <xf numFmtId="0" fontId="0" fillId="6" borderId="26" xfId="0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wrapText="1"/>
    </xf>
    <xf numFmtId="0" fontId="11" fillId="6" borderId="29" xfId="0" applyFont="1" applyFill="1" applyBorder="1" applyAlignment="1">
      <alignment horizont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29" xfId="0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13" xfId="0" applyBorder="1"/>
    <xf numFmtId="3" fontId="0" fillId="0" borderId="26" xfId="0" applyNumberFormat="1" applyBorder="1"/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4" xfId="0" applyBorder="1"/>
    <xf numFmtId="3" fontId="0" fillId="0" borderId="16" xfId="0" applyNumberFormat="1" applyBorder="1"/>
    <xf numFmtId="3" fontId="0" fillId="0" borderId="37" xfId="0" applyNumberFormat="1" applyBorder="1"/>
    <xf numFmtId="0" fontId="0" fillId="0" borderId="40" xfId="0" applyBorder="1" applyAlignment="1">
      <alignment horizontal="center"/>
    </xf>
    <xf numFmtId="3" fontId="0" fillId="0" borderId="32" xfId="0" applyNumberFormat="1" applyBorder="1"/>
    <xf numFmtId="3" fontId="0" fillId="0" borderId="40" xfId="0" applyNumberFormat="1" applyBorder="1"/>
    <xf numFmtId="0" fontId="0" fillId="0" borderId="3" xfId="0" applyBorder="1" applyAlignment="1">
      <alignment horizontal="center"/>
    </xf>
    <xf numFmtId="3" fontId="0" fillId="0" borderId="7" xfId="0" applyNumberFormat="1" applyBorder="1"/>
    <xf numFmtId="3" fontId="0" fillId="0" borderId="41" xfId="0" applyNumberFormat="1" applyBorder="1"/>
    <xf numFmtId="3" fontId="0" fillId="0" borderId="3" xfId="0" applyNumberFormat="1" applyBorder="1"/>
    <xf numFmtId="0" fontId="0" fillId="0" borderId="42" xfId="0" applyBorder="1" applyAlignment="1">
      <alignment horizontal="center"/>
    </xf>
    <xf numFmtId="3" fontId="0" fillId="0" borderId="34" xfId="0" applyNumberFormat="1" applyBorder="1"/>
    <xf numFmtId="3" fontId="0" fillId="0" borderId="42" xfId="0" applyNumberFormat="1" applyBorder="1"/>
    <xf numFmtId="0" fontId="0" fillId="0" borderId="7" xfId="0" applyBorder="1"/>
    <xf numFmtId="0" fontId="0" fillId="0" borderId="41" xfId="0" applyBorder="1"/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7" xfId="0" applyBorder="1" applyAlignment="1">
      <alignment horizontal="center" wrapText="1"/>
    </xf>
    <xf numFmtId="0" fontId="0" fillId="0" borderId="38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9" fontId="0" fillId="0" borderId="0" xfId="0" applyNumberFormat="1"/>
    <xf numFmtId="9" fontId="0" fillId="0" borderId="37" xfId="0" applyNumberFormat="1" applyBorder="1"/>
    <xf numFmtId="9" fontId="0" fillId="0" borderId="38" xfId="0" applyNumberFormat="1" applyBorder="1"/>
    <xf numFmtId="169" fontId="0" fillId="0" borderId="26" xfId="0" applyNumberFormat="1" applyBorder="1"/>
    <xf numFmtId="169" fontId="0" fillId="0" borderId="35" xfId="0" applyNumberFormat="1" applyBorder="1"/>
    <xf numFmtId="169" fontId="0" fillId="0" borderId="16" xfId="0" applyNumberFormat="1" applyBorder="1"/>
    <xf numFmtId="169" fontId="0" fillId="0" borderId="39" xfId="0" applyNumberFormat="1" applyBorder="1"/>
    <xf numFmtId="0" fontId="0" fillId="0" borderId="1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8" xfId="0" applyBorder="1"/>
    <xf numFmtId="0" fontId="15" fillId="6" borderId="27" xfId="0" applyFont="1" applyFill="1" applyBorder="1" applyAlignment="1">
      <alignment horizontal="center" vertical="center" wrapText="1"/>
    </xf>
    <xf numFmtId="0" fontId="15" fillId="6" borderId="33" xfId="0" applyFont="1" applyFill="1" applyBorder="1" applyAlignment="1">
      <alignment horizontal="center" vertical="center" wrapText="1"/>
    </xf>
    <xf numFmtId="0" fontId="15" fillId="0" borderId="23" xfId="0" applyFont="1" applyBorder="1"/>
    <xf numFmtId="0" fontId="15" fillId="0" borderId="23" xfId="0" applyFont="1" applyBorder="1" applyAlignment="1">
      <alignment horizontal="center"/>
    </xf>
    <xf numFmtId="0" fontId="15" fillId="0" borderId="23" xfId="0" applyFont="1" applyFill="1" applyBorder="1" applyAlignment="1">
      <alignment horizontal="center"/>
    </xf>
    <xf numFmtId="3" fontId="15" fillId="0" borderId="0" xfId="0" applyNumberFormat="1" applyFont="1" applyBorder="1"/>
    <xf numFmtId="0" fontId="15" fillId="0" borderId="0" xfId="0" applyFont="1" applyBorder="1"/>
    <xf numFmtId="3" fontId="15" fillId="0" borderId="31" xfId="0" applyNumberFormat="1" applyFont="1" applyBorder="1"/>
    <xf numFmtId="3" fontId="15" fillId="0" borderId="25" xfId="0" applyNumberFormat="1" applyFont="1" applyBorder="1"/>
    <xf numFmtId="0" fontId="15" fillId="0" borderId="23" xfId="0" applyFont="1" applyFill="1" applyBorder="1" applyAlignment="1"/>
    <xf numFmtId="3" fontId="15" fillId="0" borderId="0" xfId="0" applyNumberFormat="1" applyFont="1" applyBorder="1" applyAlignment="1"/>
    <xf numFmtId="3" fontId="15" fillId="0" borderId="31" xfId="0" applyNumberFormat="1" applyFont="1" applyFill="1" applyBorder="1"/>
    <xf numFmtId="3" fontId="15" fillId="0" borderId="0" xfId="0" applyNumberFormat="1" applyFont="1" applyFill="1" applyBorder="1"/>
    <xf numFmtId="3" fontId="15" fillId="0" borderId="25" xfId="0" applyNumberFormat="1" applyFont="1" applyFill="1" applyBorder="1"/>
    <xf numFmtId="0" fontId="15" fillId="0" borderId="23" xfId="0" applyFont="1" applyFill="1" applyBorder="1"/>
    <xf numFmtId="0" fontId="15" fillId="0" borderId="26" xfId="0" applyFont="1" applyFill="1" applyBorder="1"/>
    <xf numFmtId="0" fontId="15" fillId="0" borderId="26" xfId="0" applyFont="1" applyBorder="1" applyAlignment="1">
      <alignment horizontal="center"/>
    </xf>
    <xf numFmtId="0" fontId="15" fillId="0" borderId="26" xfId="0" applyFont="1" applyFill="1" applyBorder="1" applyAlignment="1">
      <alignment horizontal="center"/>
    </xf>
    <xf numFmtId="3" fontId="15" fillId="0" borderId="27" xfId="0" applyNumberFormat="1" applyFont="1" applyBorder="1"/>
    <xf numFmtId="3" fontId="15" fillId="0" borderId="33" xfId="0" applyNumberFormat="1" applyFont="1" applyBorder="1"/>
    <xf numFmtId="0" fontId="15" fillId="0" borderId="0" xfId="0" applyFont="1" applyFill="1" applyBorder="1"/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8" fontId="15" fillId="0" borderId="0" xfId="0" applyNumberFormat="1" applyFont="1" applyBorder="1"/>
    <xf numFmtId="168" fontId="15" fillId="0" borderId="0" xfId="0" applyNumberFormat="1" applyFont="1" applyFill="1" applyBorder="1"/>
    <xf numFmtId="0" fontId="15" fillId="6" borderId="24" xfId="0" applyFont="1" applyFill="1" applyBorder="1" applyAlignment="1">
      <alignment horizontal="center" vertical="center" wrapText="1"/>
    </xf>
    <xf numFmtId="0" fontId="16" fillId="0" borderId="24" xfId="0" applyFont="1" applyBorder="1"/>
    <xf numFmtId="0" fontId="15" fillId="0" borderId="24" xfId="0" applyFont="1" applyBorder="1"/>
    <xf numFmtId="3" fontId="15" fillId="0" borderId="29" xfId="0" applyNumberFormat="1" applyFont="1" applyBorder="1"/>
    <xf numFmtId="3" fontId="15" fillId="0" borderId="17" xfId="0" applyNumberFormat="1" applyFont="1" applyBorder="1"/>
    <xf numFmtId="3" fontId="15" fillId="0" borderId="18" xfId="0" applyNumberFormat="1" applyFont="1" applyBorder="1"/>
    <xf numFmtId="0" fontId="16" fillId="0" borderId="24" xfId="0" applyFont="1" applyFill="1" applyBorder="1"/>
    <xf numFmtId="0" fontId="0" fillId="0" borderId="24" xfId="0" applyBorder="1" applyAlignment="1">
      <alignment horizontal="center"/>
    </xf>
    <xf numFmtId="0" fontId="0" fillId="5" borderId="26" xfId="0" applyFill="1" applyBorder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/>
    </xf>
    <xf numFmtId="3" fontId="17" fillId="0" borderId="27" xfId="0" applyNumberFormat="1" applyFont="1" applyBorder="1" applyAlignment="1">
      <alignment horizontal="center" vertical="center"/>
    </xf>
    <xf numFmtId="3" fontId="17" fillId="0" borderId="30" xfId="0" applyNumberFormat="1" applyFont="1" applyBorder="1" applyAlignment="1">
      <alignment horizontal="center" vertical="center"/>
    </xf>
    <xf numFmtId="3" fontId="17" fillId="0" borderId="16" xfId="0" applyNumberFormat="1" applyFont="1" applyBorder="1" applyAlignment="1">
      <alignment horizontal="center" vertical="center"/>
    </xf>
    <xf numFmtId="3" fontId="17" fillId="0" borderId="23" xfId="0" applyNumberFormat="1" applyFont="1" applyBorder="1" applyAlignment="1">
      <alignment horizontal="center" vertical="center"/>
    </xf>
    <xf numFmtId="3" fontId="17" fillId="0" borderId="26" xfId="0" applyNumberFormat="1" applyFont="1" applyBorder="1" applyAlignment="1">
      <alignment horizontal="center" vertical="center"/>
    </xf>
    <xf numFmtId="165" fontId="17" fillId="0" borderId="16" xfId="0" applyNumberFormat="1" applyFont="1" applyBorder="1" applyAlignment="1">
      <alignment horizontal="center" vertical="center"/>
    </xf>
    <xf numFmtId="165" fontId="17" fillId="0" borderId="23" xfId="0" applyNumberFormat="1" applyFont="1" applyBorder="1" applyAlignment="1">
      <alignment horizontal="center" vertical="center"/>
    </xf>
    <xf numFmtId="165" fontId="17" fillId="0" borderId="26" xfId="0" applyNumberFormat="1" applyFont="1" applyBorder="1" applyAlignment="1">
      <alignment horizontal="center" vertical="center"/>
    </xf>
    <xf numFmtId="3" fontId="17" fillId="0" borderId="34" xfId="0" applyNumberFormat="1" applyFont="1" applyBorder="1" applyAlignment="1">
      <alignment horizontal="center" vertical="center"/>
    </xf>
    <xf numFmtId="3" fontId="17" fillId="0" borderId="25" xfId="0" applyNumberFormat="1" applyFont="1" applyBorder="1" applyAlignment="1">
      <alignment horizontal="center" vertical="center"/>
    </xf>
    <xf numFmtId="3" fontId="17" fillId="0" borderId="28" xfId="0" applyNumberFormat="1" applyFont="1" applyBorder="1" applyAlignment="1">
      <alignment horizontal="center" vertical="center"/>
    </xf>
    <xf numFmtId="3" fontId="17" fillId="0" borderId="32" xfId="0" applyNumberFormat="1" applyFont="1" applyBorder="1" applyAlignment="1">
      <alignment horizontal="center" vertical="center"/>
    </xf>
    <xf numFmtId="3" fontId="17" fillId="0" borderId="31" xfId="0" applyNumberFormat="1" applyFont="1" applyBorder="1" applyAlignment="1">
      <alignment horizontal="center" vertical="center"/>
    </xf>
    <xf numFmtId="3" fontId="17" fillId="0" borderId="33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8" fillId="0" borderId="3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0" fillId="5" borderId="16" xfId="0" applyFill="1" applyBorder="1" applyAlignment="1">
      <alignment vertical="center" wrapText="1"/>
    </xf>
    <xf numFmtId="0" fontId="0" fillId="0" borderId="18" xfId="0" applyBorder="1" applyAlignment="1">
      <alignment horizontal="center" vertical="center"/>
    </xf>
    <xf numFmtId="0" fontId="0" fillId="5" borderId="18" xfId="0" applyFill="1" applyBorder="1" applyAlignment="1">
      <alignment horizontal="center" vertical="center" wrapText="1"/>
    </xf>
    <xf numFmtId="0" fontId="0" fillId="0" borderId="16" xfId="0" applyBorder="1"/>
    <xf numFmtId="3" fontId="0" fillId="0" borderId="33" xfId="0" applyNumberFormat="1" applyFill="1" applyBorder="1"/>
    <xf numFmtId="0" fontId="20" fillId="0" borderId="23" xfId="0" applyFont="1" applyFill="1" applyBorder="1"/>
    <xf numFmtId="4" fontId="0" fillId="4" borderId="0" xfId="0" applyNumberFormat="1" applyFill="1" applyBorder="1"/>
    <xf numFmtId="4" fontId="0" fillId="0" borderId="0" xfId="0" applyNumberFormat="1" applyFill="1" applyBorder="1"/>
    <xf numFmtId="4" fontId="0" fillId="0" borderId="27" xfId="0" applyNumberFormat="1" applyBorder="1"/>
    <xf numFmtId="0" fontId="20" fillId="4" borderId="23" xfId="0" applyFont="1" applyFill="1" applyBorder="1"/>
    <xf numFmtId="3" fontId="0" fillId="0" borderId="0" xfId="0" applyNumberFormat="1" applyFill="1" applyBorder="1" applyAlignment="1"/>
    <xf numFmtId="167" fontId="0" fillId="0" borderId="16" xfId="0" applyNumberFormat="1" applyBorder="1"/>
    <xf numFmtId="167" fontId="0" fillId="0" borderId="23" xfId="0" applyNumberFormat="1" applyFill="1" applyBorder="1"/>
    <xf numFmtId="0" fontId="20" fillId="0" borderId="0" xfId="0" applyFont="1" applyFill="1" applyBorder="1"/>
    <xf numFmtId="10" fontId="0" fillId="0" borderId="29" xfId="0" applyNumberFormat="1" applyFill="1" applyBorder="1"/>
    <xf numFmtId="3" fontId="0" fillId="0" borderId="24" xfId="0" applyNumberFormat="1" applyFill="1" applyBorder="1"/>
    <xf numFmtId="3" fontId="0" fillId="0" borderId="17" xfId="0" applyNumberFormat="1" applyFill="1" applyBorder="1"/>
    <xf numFmtId="4" fontId="0" fillId="0" borderId="16" xfId="0" applyNumberFormat="1" applyBorder="1" applyAlignment="1">
      <alignment horizontal="center" vertical="center"/>
    </xf>
    <xf numFmtId="4" fontId="0" fillId="0" borderId="23" xfId="0" applyNumberFormat="1" applyFill="1" applyBorder="1" applyAlignment="1">
      <alignment horizontal="center" vertical="center"/>
    </xf>
    <xf numFmtId="4" fontId="0" fillId="0" borderId="23" xfId="0" applyNumberFormat="1" applyFill="1" applyBorder="1"/>
    <xf numFmtId="3" fontId="0" fillId="0" borderId="23" xfId="0" applyNumberFormat="1" applyFill="1" applyBorder="1"/>
    <xf numFmtId="1" fontId="0" fillId="0" borderId="23" xfId="0" applyNumberFormat="1" applyFill="1" applyBorder="1"/>
    <xf numFmtId="4" fontId="0" fillId="0" borderId="23" xfId="0" applyNumberFormat="1" applyFill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8" borderId="0" xfId="0" applyFill="1" applyBorder="1"/>
    <xf numFmtId="165" fontId="3" fillId="8" borderId="0" xfId="0" applyNumberFormat="1" applyFont="1" applyFill="1" applyBorder="1"/>
    <xf numFmtId="4" fontId="0" fillId="0" borderId="24" xfId="0" applyNumberFormat="1" applyBorder="1"/>
    <xf numFmtId="9" fontId="0" fillId="0" borderId="26" xfId="0" applyNumberFormat="1" applyBorder="1"/>
    <xf numFmtId="0" fontId="0" fillId="0" borderId="0" xfId="0" applyNumberFormat="1"/>
    <xf numFmtId="0" fontId="0" fillId="0" borderId="43" xfId="0" applyBorder="1" applyAlignment="1">
      <alignment horizontal="center"/>
    </xf>
    <xf numFmtId="3" fontId="0" fillId="0" borderId="30" xfId="0" applyNumberFormat="1" applyBorder="1"/>
    <xf numFmtId="3" fontId="0" fillId="0" borderId="43" xfId="0" applyNumberFormat="1" applyBorder="1"/>
    <xf numFmtId="168" fontId="0" fillId="0" borderId="26" xfId="0" applyNumberFormat="1" applyBorder="1"/>
    <xf numFmtId="168" fontId="0" fillId="0" borderId="16" xfId="0" applyNumberFormat="1" applyBorder="1"/>
    <xf numFmtId="168" fontId="0" fillId="0" borderId="35" xfId="0" applyNumberFormat="1" applyBorder="1"/>
    <xf numFmtId="168" fontId="0" fillId="0" borderId="39" xfId="0" applyNumberFormat="1" applyBorder="1"/>
    <xf numFmtId="168" fontId="0" fillId="0" borderId="37" xfId="0" applyNumberFormat="1" applyBorder="1"/>
    <xf numFmtId="168" fontId="0" fillId="0" borderId="38" xfId="0" applyNumberFormat="1" applyBorder="1"/>
    <xf numFmtId="1" fontId="0" fillId="7" borderId="31" xfId="0" applyNumberFormat="1" applyFill="1" applyBorder="1"/>
    <xf numFmtId="1" fontId="0" fillId="7" borderId="23" xfId="0" applyNumberFormat="1" applyFill="1" applyBorder="1"/>
    <xf numFmtId="1" fontId="0" fillId="7" borderId="25" xfId="0" applyNumberFormat="1" applyFill="1" applyBorder="1"/>
    <xf numFmtId="1" fontId="0" fillId="0" borderId="31" xfId="0" applyNumberFormat="1" applyBorder="1"/>
    <xf numFmtId="1" fontId="0" fillId="0" borderId="23" xfId="0" applyNumberFormat="1" applyBorder="1"/>
    <xf numFmtId="1" fontId="0" fillId="0" borderId="25" xfId="0" applyNumberFormat="1" applyBorder="1"/>
    <xf numFmtId="3" fontId="15" fillId="0" borderId="28" xfId="0" applyNumberFormat="1" applyFont="1" applyFill="1" applyBorder="1"/>
    <xf numFmtId="3" fontId="15" fillId="0" borderId="31" xfId="0" applyNumberFormat="1" applyFont="1" applyBorder="1" applyAlignment="1"/>
    <xf numFmtId="0" fontId="15" fillId="0" borderId="16" xfId="0" applyFont="1" applyBorder="1" applyAlignment="1">
      <alignment horizontal="center"/>
    </xf>
    <xf numFmtId="0" fontId="15" fillId="0" borderId="16" xfId="0" applyFont="1" applyFill="1" applyBorder="1" applyAlignment="1">
      <alignment horizontal="center"/>
    </xf>
    <xf numFmtId="3" fontId="15" fillId="0" borderId="32" xfId="0" applyNumberFormat="1" applyFont="1" applyBorder="1"/>
    <xf numFmtId="3" fontId="15" fillId="0" borderId="30" xfId="0" applyNumberFormat="1" applyFont="1" applyBorder="1"/>
    <xf numFmtId="3" fontId="15" fillId="0" borderId="34" xfId="0" applyNumberFormat="1" applyFont="1" applyFill="1" applyBorder="1"/>
    <xf numFmtId="168" fontId="15" fillId="0" borderId="24" xfId="0" applyNumberFormat="1" applyFont="1" applyBorder="1" applyAlignment="1">
      <alignment horizontal="center"/>
    </xf>
    <xf numFmtId="0" fontId="15" fillId="6" borderId="18" xfId="0" applyFont="1" applyFill="1" applyBorder="1" applyAlignment="1">
      <alignment horizontal="center" vertical="center" wrapText="1"/>
    </xf>
    <xf numFmtId="3" fontId="15" fillId="0" borderId="23" xfId="0" applyNumberFormat="1" applyFont="1" applyBorder="1"/>
    <xf numFmtId="3" fontId="15" fillId="0" borderId="23" xfId="0" applyNumberFormat="1" applyFont="1" applyBorder="1" applyAlignment="1"/>
    <xf numFmtId="3" fontId="15" fillId="0" borderId="26" xfId="0" applyNumberFormat="1" applyFont="1" applyBorder="1"/>
    <xf numFmtId="0" fontId="15" fillId="6" borderId="28" xfId="0" applyFont="1" applyFill="1" applyBorder="1" applyAlignment="1">
      <alignment horizontal="center" vertical="center" wrapText="1"/>
    </xf>
    <xf numFmtId="3" fontId="15" fillId="0" borderId="23" xfId="0" applyNumberFormat="1" applyFont="1" applyFill="1" applyBorder="1"/>
    <xf numFmtId="3" fontId="15" fillId="0" borderId="16" xfId="0" applyNumberFormat="1" applyFont="1" applyBorder="1"/>
    <xf numFmtId="3" fontId="15" fillId="0" borderId="24" xfId="0" applyNumberFormat="1" applyFont="1" applyBorder="1"/>
    <xf numFmtId="0" fontId="15" fillId="0" borderId="32" xfId="0" applyFont="1" applyFill="1" applyBorder="1" applyAlignment="1"/>
    <xf numFmtId="0" fontId="15" fillId="0" borderId="31" xfId="0" applyFont="1" applyFill="1" applyBorder="1"/>
    <xf numFmtId="0" fontId="15" fillId="0" borderId="31" xfId="0" applyFont="1" applyFill="1" applyBorder="1" applyAlignment="1"/>
    <xf numFmtId="0" fontId="15" fillId="0" borderId="30" xfId="0" applyFont="1" applyBorder="1" applyAlignment="1">
      <alignment horizontal="center"/>
    </xf>
    <xf numFmtId="3" fontId="15" fillId="0" borderId="30" xfId="0" applyNumberFormat="1" applyFont="1" applyBorder="1" applyAlignment="1"/>
    <xf numFmtId="165" fontId="0" fillId="0" borderId="0" xfId="0" applyNumberFormat="1" applyFill="1" applyBorder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11" fillId="5" borderId="29" xfId="0" applyFont="1" applyFill="1" applyBorder="1" applyAlignment="1">
      <alignment horizontal="center"/>
    </xf>
    <xf numFmtId="0" fontId="11" fillId="5" borderId="18" xfId="0" applyFont="1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11" fillId="5" borderId="17" xfId="0" applyFont="1" applyFill="1" applyBorder="1" applyAlignment="1">
      <alignment horizontal="center"/>
    </xf>
    <xf numFmtId="0" fontId="0" fillId="5" borderId="16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18" fillId="0" borderId="32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3" fillId="0" borderId="17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0" fillId="0" borderId="17" xfId="1" applyFont="1" applyBorder="1" applyAlignment="1">
      <alignment horizontal="center"/>
    </xf>
    <xf numFmtId="0" fontId="1" fillId="0" borderId="18" xfId="1" applyBorder="1" applyAlignment="1">
      <alignment horizontal="center"/>
    </xf>
    <xf numFmtId="0" fontId="3" fillId="0" borderId="17" xfId="1" applyFont="1" applyBorder="1" applyAlignment="1">
      <alignment horizontal="center" wrapText="1"/>
    </xf>
    <xf numFmtId="0" fontId="3" fillId="0" borderId="18" xfId="1" applyFont="1" applyBorder="1" applyAlignment="1">
      <alignment horizont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8" xfId="0" applyBorder="1" applyAlignment="1">
      <alignment horizontal="center"/>
    </xf>
    <xf numFmtId="0" fontId="15" fillId="6" borderId="17" xfId="0" applyFont="1" applyFill="1" applyBorder="1" applyAlignment="1">
      <alignment horizontal="center"/>
    </xf>
    <xf numFmtId="0" fontId="15" fillId="6" borderId="29" xfId="0" applyFont="1" applyFill="1" applyBorder="1" applyAlignment="1">
      <alignment horizontal="center"/>
    </xf>
    <xf numFmtId="0" fontId="15" fillId="6" borderId="18" xfId="0" applyFont="1" applyFill="1" applyBorder="1" applyAlignment="1">
      <alignment horizontal="center"/>
    </xf>
    <xf numFmtId="0" fontId="15" fillId="6" borderId="16" xfId="0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  <xf numFmtId="172" fontId="15" fillId="9" borderId="16" xfId="0" applyNumberFormat="1" applyFont="1" applyFill="1" applyBorder="1" applyAlignment="1">
      <alignment horizontal="center" vertical="center" wrapText="1"/>
    </xf>
    <xf numFmtId="172" fontId="15" fillId="9" borderId="17" xfId="0" applyNumberFormat="1" applyFont="1" applyFill="1" applyBorder="1" applyAlignment="1">
      <alignment horizontal="center"/>
    </xf>
    <xf numFmtId="172" fontId="15" fillId="9" borderId="29" xfId="0" applyNumberFormat="1" applyFont="1" applyFill="1" applyBorder="1" applyAlignment="1">
      <alignment horizontal="center"/>
    </xf>
    <xf numFmtId="172" fontId="15" fillId="9" borderId="18" xfId="0" applyNumberFormat="1" applyFont="1" applyFill="1" applyBorder="1" applyAlignment="1">
      <alignment horizontal="center"/>
    </xf>
    <xf numFmtId="172" fontId="15" fillId="9" borderId="26" xfId="0" applyNumberFormat="1" applyFont="1" applyFill="1" applyBorder="1" applyAlignment="1">
      <alignment horizontal="center" vertical="center" wrapText="1"/>
    </xf>
    <xf numFmtId="172" fontId="15" fillId="9" borderId="17" xfId="0" applyNumberFormat="1" applyFont="1" applyFill="1" applyBorder="1" applyAlignment="1">
      <alignment horizontal="center" vertical="center" wrapText="1"/>
    </xf>
    <xf numFmtId="172" fontId="15" fillId="9" borderId="24" xfId="0" applyNumberFormat="1" applyFont="1" applyFill="1" applyBorder="1" applyAlignment="1">
      <alignment horizontal="center" vertical="center" wrapText="1"/>
    </xf>
    <xf numFmtId="172" fontId="15" fillId="9" borderId="18" xfId="0" applyNumberFormat="1" applyFont="1" applyFill="1" applyBorder="1" applyAlignment="1">
      <alignment horizontal="center" vertical="center" wrapText="1"/>
    </xf>
    <xf numFmtId="172" fontId="15" fillId="9" borderId="27" xfId="0" applyNumberFormat="1" applyFont="1" applyFill="1" applyBorder="1" applyAlignment="1">
      <alignment horizontal="center" vertical="center" wrapText="1"/>
    </xf>
    <xf numFmtId="172" fontId="15" fillId="9" borderId="28" xfId="0" applyNumberFormat="1" applyFont="1" applyFill="1" applyBorder="1" applyAlignment="1">
      <alignment horizontal="center" vertical="center" wrapText="1"/>
    </xf>
  </cellXfs>
  <cellStyles count="5">
    <cellStyle name="Euro" xfId="2"/>
    <cellStyle name="Hyperlink" xfId="4" builtinId="8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colors>
    <mruColors>
      <color rgb="FFCC6600"/>
      <color rgb="FFFF9933"/>
      <color rgb="FF00FF00"/>
      <color rgb="FFFFFF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chemeClr val="bg2"/>
              </a:solidFill>
              <a:ln>
                <a:solidFill>
                  <a:schemeClr val="bg1"/>
                </a:solidFill>
              </a:ln>
            </c:spPr>
          </c:dPt>
          <c:dLbls>
            <c:dLbl>
              <c:idx val="0"/>
              <c:layout>
                <c:manualLayout>
                  <c:x val="-0.1670623051313222"/>
                  <c:y val="-1.2684884977613105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2.4937906251651432E-2"/>
                  <c:y val="0.1161387631975867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0.11664323838714792"/>
                  <c:y val="0.1548765454091994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4.5131850129472066E-2"/>
                  <c:y val="-6.7011080628496134E-3"/>
                </c:manualLayout>
              </c:layout>
              <c:showCatName val="1"/>
              <c:showPercent val="1"/>
            </c:dLbl>
            <c:numFmt formatCode="0.0%" sourceLinked="0"/>
            <c:txPr>
              <a:bodyPr/>
              <a:lstStyle/>
              <a:p>
                <a:pPr>
                  <a:defRPr lang="es-ES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Graphs!$C$2:$H$2</c:f>
              <c:strCache>
                <c:ptCount val="6"/>
                <c:pt idx="0">
                  <c:v>Biomass</c:v>
                </c:pt>
                <c:pt idx="1">
                  <c:v>Diesel</c:v>
                </c:pt>
                <c:pt idx="2">
                  <c:v>Fuel Oil</c:v>
                </c:pt>
                <c:pt idx="3">
                  <c:v>Steam</c:v>
                </c:pt>
                <c:pt idx="4">
                  <c:v>Water</c:v>
                </c:pt>
                <c:pt idx="5">
                  <c:v>Wind</c:v>
                </c:pt>
              </c:strCache>
            </c:strRef>
          </c:cat>
          <c:val>
            <c:numRef>
              <c:f>Graphs!$C$5:$H$5</c:f>
              <c:numCache>
                <c:formatCode>#,##0</c:formatCode>
                <c:ptCount val="6"/>
                <c:pt idx="0">
                  <c:v>224559.39</c:v>
                </c:pt>
                <c:pt idx="1">
                  <c:v>13957.01</c:v>
                </c:pt>
                <c:pt idx="2">
                  <c:v>2154611.9200000004</c:v>
                </c:pt>
                <c:pt idx="3">
                  <c:v>268246.31999999995</c:v>
                </c:pt>
                <c:pt idx="4">
                  <c:v>499246.95</c:v>
                </c:pt>
                <c:pt idx="5">
                  <c:v>160296.14000000001</c:v>
                </c:pt>
              </c:numCache>
            </c:numRef>
          </c:val>
        </c:ser>
        <c:firstSliceAng val="81"/>
      </c:pieChart>
    </c:plotArea>
    <c:plotVisOnly val="1"/>
    <c:dispBlanksAs val="zero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20686536666138214"/>
          <c:y val="0.11076543033930711"/>
          <c:w val="0.5996924377741375"/>
          <c:h val="0.80863505184023943"/>
        </c:manualLayout>
      </c:layout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chemeClr val="bg2"/>
              </a:solidFill>
              <a:ln>
                <a:solidFill>
                  <a:schemeClr val="bg1"/>
                </a:solidFill>
              </a:ln>
            </c:spPr>
          </c:dPt>
          <c:dLbls>
            <c:dLbl>
              <c:idx val="0"/>
              <c:layout>
                <c:manualLayout>
                  <c:x val="-0.16706230513132231"/>
                  <c:y val="-1.2684884977613105E-2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lang="es-ES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Graphs!$A$11:$A$15</c:f>
              <c:strCache>
                <c:ptCount val="5"/>
                <c:pt idx="0">
                  <c:v>Biomass</c:v>
                </c:pt>
                <c:pt idx="1">
                  <c:v>Diesel</c:v>
                </c:pt>
                <c:pt idx="2">
                  <c:v>Fuel Oil</c:v>
                </c:pt>
                <c:pt idx="3">
                  <c:v>Steam</c:v>
                </c:pt>
                <c:pt idx="4">
                  <c:v>Water</c:v>
                </c:pt>
              </c:strCache>
            </c:strRef>
          </c:cat>
          <c:val>
            <c:numRef>
              <c:f>Graphs!$D$11:$D$15</c:f>
              <c:numCache>
                <c:formatCode>General</c:formatCode>
                <c:ptCount val="5"/>
                <c:pt idx="0">
                  <c:v>121.8</c:v>
                </c:pt>
                <c:pt idx="1">
                  <c:v>139</c:v>
                </c:pt>
                <c:pt idx="2">
                  <c:v>543.5</c:v>
                </c:pt>
                <c:pt idx="3">
                  <c:v>87.5</c:v>
                </c:pt>
                <c:pt idx="4">
                  <c:v>105.30000000000001</c:v>
                </c:pt>
              </c:numCache>
            </c:numRef>
          </c:val>
        </c:ser>
        <c:firstSliceAng val="81"/>
      </c:pieChart>
    </c:plotArea>
    <c:plotVisOnly val="1"/>
    <c:dispBlanksAs val="zero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2672327334415487"/>
          <c:y val="7.8217031047219748E-2"/>
          <c:w val="0.732468571390548"/>
          <c:h val="0.8173708002181419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1"/>
            <c:spPr>
              <a:solidFill>
                <a:schemeClr val="bg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0.2387369186857857"/>
                  <c:y val="0.1773117930922391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Hydro </a:t>
                    </a:r>
                  </a:p>
                  <a:p>
                    <a:r>
                      <a:rPr lang="en-US"/>
                      <a:t>108 MW </a:t>
                    </a:r>
                  </a:p>
                  <a:p>
                    <a:r>
                      <a:rPr lang="en-US"/>
                      <a:t>(29%)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0.18765313404499387"/>
                  <c:y val="-0.22631980179149996"/>
                </c:manualLayout>
              </c:layout>
              <c:tx>
                <c:rich>
                  <a:bodyPr anchor="ctr" anchorCtr="0"/>
                  <a:lstStyle/>
                  <a:p>
                    <a:pPr>
                      <a:defRPr lang="es-AR"/>
                    </a:pPr>
                    <a:r>
                      <a:rPr lang="en-US"/>
                      <a:t>Geother. </a:t>
                    </a:r>
                  </a:p>
                  <a:p>
                    <a:pPr>
                      <a:defRPr lang="es-AR"/>
                    </a:pPr>
                    <a:r>
                      <a:rPr lang="en-US"/>
                      <a:t>70 MW </a:t>
                    </a:r>
                  </a:p>
                  <a:p>
                    <a:pPr>
                      <a:defRPr lang="es-AR"/>
                    </a:pPr>
                    <a:r>
                      <a:rPr lang="en-US"/>
                      <a:t>(19%)</a:t>
                    </a:r>
                  </a:p>
                </c:rich>
              </c:tx>
              <c:spPr/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8730030621172358"/>
                  <c:y val="-1.73797025371828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Fuel Oil &amp; Diesel </a:t>
                    </a:r>
                  </a:p>
                  <a:p>
                    <a:r>
                      <a:rPr lang="en-US"/>
                      <a:t>195 MW </a:t>
                    </a:r>
                  </a:p>
                  <a:p>
                    <a:r>
                      <a:rPr lang="en-US"/>
                      <a:t>(52%)</a:t>
                    </a:r>
                  </a:p>
                </c:rich>
              </c:tx>
              <c:showCatName val="1"/>
              <c:showPercent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 lang="es-AR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'Renew. share'!$B$5:$B$9</c:f>
              <c:strCache>
                <c:ptCount val="5"/>
                <c:pt idx="0">
                  <c:v>Hydro</c:v>
                </c:pt>
                <c:pt idx="1">
                  <c:v>Geothermal</c:v>
                </c:pt>
                <c:pt idx="2">
                  <c:v>Fuel Oil &amp; Diesel</c:v>
                </c:pt>
                <c:pt idx="3">
                  <c:v>Biomass</c:v>
                </c:pt>
                <c:pt idx="4">
                  <c:v>Wind</c:v>
                </c:pt>
              </c:strCache>
            </c:strRef>
          </c:cat>
          <c:val>
            <c:numRef>
              <c:f>'Renew. share'!$C$5:$C$9</c:f>
              <c:numCache>
                <c:formatCode>0</c:formatCode>
                <c:ptCount val="5"/>
                <c:pt idx="0">
                  <c:v>107.81</c:v>
                </c:pt>
                <c:pt idx="1">
                  <c:v>70</c:v>
                </c:pt>
                <c:pt idx="2">
                  <c:v>195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firstSliceAng val="0"/>
      </c:pieChart>
    </c:plotArea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2672327334415487"/>
          <c:y val="7.8217031047219748E-2"/>
          <c:w val="0.732468571390548"/>
          <c:h val="0.8173708002181419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1"/>
            <c:spPr>
              <a:solidFill>
                <a:schemeClr val="bg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3"/>
            <c:spPr>
              <a:solidFill>
                <a:schemeClr val="accent3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Hydro
(17%)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0.17010850448000422"/>
                  <c:y val="-5.149922817161239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Geoth.</a:t>
                    </a:r>
                  </a:p>
                  <a:p>
                    <a:r>
                      <a:rPr lang="en-US"/>
                      <a:t>(11%)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24979154527906608"/>
                  <c:y val="-0.1816849372595513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Fuel Oil &amp; Diesel
(68%)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-1.803648143284518E-2"/>
                  <c:y val="6.41780873341765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Biomass
(4%)</a:t>
                    </a:r>
                  </a:p>
                </c:rich>
              </c:tx>
              <c:showCatName val="1"/>
              <c:showPercent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 lang="es-AR"/>
                </a:pPr>
                <a:endParaRPr lang="de-DE"/>
              </a:p>
            </c:txPr>
            <c:showCatName val="1"/>
            <c:showPercent val="1"/>
          </c:dLbls>
          <c:cat>
            <c:strRef>
              <c:f>'Renew. share'!$B$5:$B$9</c:f>
              <c:strCache>
                <c:ptCount val="5"/>
                <c:pt idx="0">
                  <c:v>Hydro</c:v>
                </c:pt>
                <c:pt idx="1">
                  <c:v>Geothermal</c:v>
                </c:pt>
                <c:pt idx="2">
                  <c:v>Fuel Oil &amp; Diesel</c:v>
                </c:pt>
                <c:pt idx="3">
                  <c:v>Biomass</c:v>
                </c:pt>
                <c:pt idx="4">
                  <c:v>Wind</c:v>
                </c:pt>
              </c:strCache>
            </c:strRef>
          </c:cat>
          <c:val>
            <c:numRef>
              <c:f>'Renew. share'!$D$5:$D$9</c:f>
              <c:numCache>
                <c:formatCode>0</c:formatCode>
                <c:ptCount val="5"/>
                <c:pt idx="0">
                  <c:v>107.81</c:v>
                </c:pt>
                <c:pt idx="1">
                  <c:v>70</c:v>
                </c:pt>
                <c:pt idx="2">
                  <c:v>432.5</c:v>
                </c:pt>
                <c:pt idx="3">
                  <c:v>27.8</c:v>
                </c:pt>
                <c:pt idx="4">
                  <c:v>0</c:v>
                </c:pt>
              </c:numCache>
            </c:numRef>
          </c:val>
        </c:ser>
        <c:firstSliceAng val="12"/>
      </c:pieChart>
    </c:plotArea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2672327334415487"/>
          <c:y val="7.8217031047219748E-2"/>
          <c:w val="0.732468571390548"/>
          <c:h val="0.8173708002181419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1"/>
            <c:spPr>
              <a:solidFill>
                <a:schemeClr val="bg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3"/>
            <c:spPr>
              <a:solidFill>
                <a:schemeClr val="accent3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4"/>
            <c:spPr>
              <a:solidFill>
                <a:srgbClr val="CC660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0.17474041901593176"/>
                  <c:y val="0.1022674676190970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Hydro
(10%)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0.16532670509210154"/>
                  <c:y val="-4.017962851582064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Geoth.
(8%)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21116345078139306"/>
                  <c:y val="-0.2305704269683686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Fuel Oil &amp; Diesel
(64%)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Biomass
(12%)</a:t>
                    </a:r>
                  </a:p>
                </c:rich>
              </c:tx>
              <c:showCatName val="1"/>
              <c:showPercent val="1"/>
            </c:dLbl>
            <c:dLbl>
              <c:idx val="4"/>
              <c:layout>
                <c:manualLayout>
                  <c:x val="-8.86633039347475E-2"/>
                  <c:y val="0.137524472858949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Wind
(6%)</a:t>
                    </a:r>
                  </a:p>
                </c:rich>
              </c:tx>
              <c:showCatName val="1"/>
              <c:showPercent val="1"/>
            </c:dLbl>
            <c:txPr>
              <a:bodyPr/>
              <a:lstStyle/>
              <a:p>
                <a:pPr>
                  <a:defRPr lang="es-AR"/>
                </a:pPr>
                <a:endParaRPr lang="de-DE"/>
              </a:p>
            </c:txPr>
            <c:showCatName val="1"/>
            <c:showPercent val="1"/>
          </c:dLbls>
          <c:cat>
            <c:strRef>
              <c:f>'Renew. share'!$B$5:$B$9</c:f>
              <c:strCache>
                <c:ptCount val="5"/>
                <c:pt idx="0">
                  <c:v>Hydro</c:v>
                </c:pt>
                <c:pt idx="1">
                  <c:v>Geothermal</c:v>
                </c:pt>
                <c:pt idx="2">
                  <c:v>Fuel Oil &amp; Diesel</c:v>
                </c:pt>
                <c:pt idx="3">
                  <c:v>Biomass</c:v>
                </c:pt>
                <c:pt idx="4">
                  <c:v>Wind</c:v>
                </c:pt>
              </c:strCache>
            </c:strRef>
          </c:cat>
          <c:val>
            <c:numRef>
              <c:f>'Renew. share'!$E$5:$E$9</c:f>
              <c:numCache>
                <c:formatCode>0</c:formatCode>
                <c:ptCount val="5"/>
                <c:pt idx="0">
                  <c:v>105.3</c:v>
                </c:pt>
                <c:pt idx="1">
                  <c:v>87.5</c:v>
                </c:pt>
                <c:pt idx="2">
                  <c:v>682.5</c:v>
                </c:pt>
                <c:pt idx="3">
                  <c:v>121.8</c:v>
                </c:pt>
                <c:pt idx="4">
                  <c:v>63</c:v>
                </c:pt>
              </c:numCache>
            </c:numRef>
          </c:val>
        </c:ser>
        <c:firstSliceAng val="45"/>
      </c:pieChart>
    </c:plotArea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2672327334415487"/>
          <c:y val="7.8217031047219748E-2"/>
          <c:w val="0.732468571390548"/>
          <c:h val="0.8173708002181419"/>
        </c:manualLayout>
      </c:layout>
      <c:pie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1"/>
            <c:spPr>
              <a:solidFill>
                <a:schemeClr val="bg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3"/>
            <c:spPr>
              <a:solidFill>
                <a:schemeClr val="accent3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0.1352180790838389"/>
                  <c:y val="0.1008471548780296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Hydro
(11%)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0.15366606870262514"/>
                  <c:y val="1.67694258603349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Geoth.
(8%)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26490898546184471"/>
                  <c:y val="-0.2194253240565419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Fuel Oil &amp; Diesel
(74%)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-0.12386025060477189"/>
                  <c:y val="0.1196016358966616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Biomass
(7%)</a:t>
                    </a:r>
                  </a:p>
                </c:rich>
              </c:tx>
              <c:showCatName val="1"/>
              <c:showPercent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 lang="es-AR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'Renew. share'!$B$5:$B$9</c:f>
              <c:strCache>
                <c:ptCount val="5"/>
                <c:pt idx="0">
                  <c:v>Hydro</c:v>
                </c:pt>
                <c:pt idx="1">
                  <c:v>Geothermal</c:v>
                </c:pt>
                <c:pt idx="2">
                  <c:v>Fuel Oil &amp; Diesel</c:v>
                </c:pt>
                <c:pt idx="3">
                  <c:v>Biomass</c:v>
                </c:pt>
                <c:pt idx="4">
                  <c:v>Wind</c:v>
                </c:pt>
              </c:strCache>
            </c:strRef>
          </c:cat>
          <c:val>
            <c:numRef>
              <c:f>'Renew. share'!$F$5:$F$9</c:f>
              <c:numCache>
                <c:formatCode>0</c:formatCode>
                <c:ptCount val="5"/>
                <c:pt idx="0">
                  <c:v>105.3</c:v>
                </c:pt>
                <c:pt idx="1">
                  <c:v>77.5</c:v>
                </c:pt>
                <c:pt idx="2">
                  <c:v>682.5</c:v>
                </c:pt>
                <c:pt idx="3">
                  <c:v>59.3</c:v>
                </c:pt>
                <c:pt idx="4">
                  <c:v>0</c:v>
                </c:pt>
              </c:numCache>
            </c:numRef>
          </c:val>
        </c:ser>
        <c:firstSliceAng val="35"/>
      </c:pieChart>
    </c:plotArea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chemeClr val="bg2"/>
              </a:solidFill>
              <a:ln>
                <a:solidFill>
                  <a:schemeClr val="bg1"/>
                </a:solidFill>
              </a:ln>
            </c:spPr>
          </c:dPt>
          <c:dLbls>
            <c:dLbl>
              <c:idx val="0"/>
              <c:layout>
                <c:manualLayout>
                  <c:x val="-0.1670623051313222"/>
                  <c:y val="-1.2684884977613105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2.4937906251651432E-2"/>
                  <c:y val="0.1161387631975867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0.11664323838714792"/>
                  <c:y val="0.1548765454091994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4.5131850129472066E-2"/>
                  <c:y val="-6.7011080628496134E-3"/>
                </c:manualLayout>
              </c:layout>
              <c:showCatName val="1"/>
              <c:showPercent val="1"/>
            </c:dLbl>
            <c:numFmt formatCode="0.0%" sourceLinked="0"/>
            <c:txPr>
              <a:bodyPr/>
              <a:lstStyle/>
              <a:p>
                <a:pPr>
                  <a:defRPr lang="es-ES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Graphs!$C$2:$H$2</c:f>
              <c:strCache>
                <c:ptCount val="6"/>
                <c:pt idx="0">
                  <c:v>Biomass</c:v>
                </c:pt>
                <c:pt idx="1">
                  <c:v>Diesel</c:v>
                </c:pt>
                <c:pt idx="2">
                  <c:v>Fuel Oil</c:v>
                </c:pt>
                <c:pt idx="3">
                  <c:v>Steam</c:v>
                </c:pt>
                <c:pt idx="4">
                  <c:v>Water</c:v>
                </c:pt>
                <c:pt idx="5">
                  <c:v>Wind</c:v>
                </c:pt>
              </c:strCache>
            </c:strRef>
          </c:cat>
          <c:val>
            <c:numRef>
              <c:f>Graphs!$C$5:$H$5</c:f>
              <c:numCache>
                <c:formatCode>#,##0</c:formatCode>
                <c:ptCount val="6"/>
                <c:pt idx="0">
                  <c:v>224559.39</c:v>
                </c:pt>
                <c:pt idx="1">
                  <c:v>13957.01</c:v>
                </c:pt>
                <c:pt idx="2">
                  <c:v>2154611.9200000004</c:v>
                </c:pt>
                <c:pt idx="3">
                  <c:v>268246.31999999995</c:v>
                </c:pt>
                <c:pt idx="4">
                  <c:v>499246.95</c:v>
                </c:pt>
                <c:pt idx="5">
                  <c:v>160296.14000000001</c:v>
                </c:pt>
              </c:numCache>
            </c:numRef>
          </c:val>
        </c:ser>
        <c:firstSliceAng val="81"/>
      </c:pieChart>
    </c:plotArea>
    <c:plotVisOnly val="1"/>
    <c:dispBlanksAs val="zero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3"/>
            <c:spPr>
              <a:solidFill>
                <a:schemeClr val="bg2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0.16706230513132231"/>
                  <c:y val="-1.2684884977613105E-2"/>
                </c:manualLayout>
              </c:layout>
              <c:showCatName val="1"/>
              <c:showPercent val="1"/>
            </c:dLbl>
            <c:dLbl>
              <c:idx val="1"/>
              <c:delete val="1"/>
            </c:dLbl>
            <c:dLbl>
              <c:idx val="2"/>
              <c:layout>
                <c:manualLayout>
                  <c:x val="0.22692103084429893"/>
                  <c:y val="-0.10459258203584283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0.10921524071236065"/>
                  <c:y val="0.16744504222040127"/>
                </c:manualLayout>
              </c:layout>
              <c:showCatName val="1"/>
              <c:showPercent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Water
0.2%</a:t>
                    </a:r>
                  </a:p>
                </c:rich>
              </c:tx>
              <c:showCatName val="1"/>
              <c:showPercent val="1"/>
            </c:dLbl>
            <c:dLbl>
              <c:idx val="5"/>
              <c:layout>
                <c:manualLayout>
                  <c:x val="-0.116399795663126"/>
                  <c:y val="6.5514661346064804E-2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lang="es-ES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Graphs!$C$2:$H$2</c:f>
              <c:strCache>
                <c:ptCount val="6"/>
                <c:pt idx="0">
                  <c:v>Biomass</c:v>
                </c:pt>
                <c:pt idx="1">
                  <c:v>Diesel</c:v>
                </c:pt>
                <c:pt idx="2">
                  <c:v>Fuel Oil</c:v>
                </c:pt>
                <c:pt idx="3">
                  <c:v>Steam</c:v>
                </c:pt>
                <c:pt idx="4">
                  <c:v>Water</c:v>
                </c:pt>
                <c:pt idx="5">
                  <c:v>Wind</c:v>
                </c:pt>
              </c:strCache>
            </c:strRef>
          </c:cat>
          <c:val>
            <c:numRef>
              <c:f>Graphs!$C$3:$H$3</c:f>
              <c:numCache>
                <c:formatCode>#,##0</c:formatCode>
                <c:ptCount val="6"/>
                <c:pt idx="0">
                  <c:v>224559.39</c:v>
                </c:pt>
                <c:pt idx="1">
                  <c:v>0</c:v>
                </c:pt>
                <c:pt idx="2">
                  <c:v>1496653.9200000002</c:v>
                </c:pt>
                <c:pt idx="3">
                  <c:v>268246.31999999995</c:v>
                </c:pt>
                <c:pt idx="4">
                  <c:v>3391.07</c:v>
                </c:pt>
                <c:pt idx="5">
                  <c:v>160296.14000000001</c:v>
                </c:pt>
              </c:numCache>
            </c:numRef>
          </c:val>
        </c:ser>
        <c:firstSliceAng val="81"/>
      </c:pieChart>
    </c:plotArea>
    <c:plotVisOnly val="1"/>
    <c:dispBlanksAs val="zero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</c:spPr>
          </c:dPt>
          <c:dPt>
            <c:idx val="1"/>
            <c:spPr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3"/>
            <c:spPr>
              <a:solidFill>
                <a:schemeClr val="bg2"/>
              </a:solidFill>
              <a:ln>
                <a:solidFill>
                  <a:schemeClr val="bg1"/>
                </a:solidFill>
              </a:ln>
            </c:spPr>
          </c:dPt>
          <c:dPt>
            <c:idx val="4"/>
            <c:spPr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0.16706230513132231"/>
                  <c:y val="-1.2684884977613105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8.4263066110024848E-2"/>
                  <c:y val="-0.13176470588235326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lang="es-ES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Graphs!$C$2:$H$2</c:f>
              <c:strCache>
                <c:ptCount val="6"/>
                <c:pt idx="0">
                  <c:v>Biomass</c:v>
                </c:pt>
                <c:pt idx="1">
                  <c:v>Diesel</c:v>
                </c:pt>
                <c:pt idx="2">
                  <c:v>Fuel Oil</c:v>
                </c:pt>
                <c:pt idx="3">
                  <c:v>Steam</c:v>
                </c:pt>
                <c:pt idx="4">
                  <c:v>Water</c:v>
                </c:pt>
                <c:pt idx="5">
                  <c:v>Wind</c:v>
                </c:pt>
              </c:strCache>
            </c:strRef>
          </c:cat>
          <c:val>
            <c:numRef>
              <c:f>Graphs!$C$4:$H$4</c:f>
              <c:numCache>
                <c:formatCode>#,##0</c:formatCode>
                <c:ptCount val="6"/>
                <c:pt idx="1">
                  <c:v>13957.01</c:v>
                </c:pt>
                <c:pt idx="2">
                  <c:v>657958.00000000012</c:v>
                </c:pt>
                <c:pt idx="4">
                  <c:v>495855.88</c:v>
                </c:pt>
              </c:numCache>
            </c:numRef>
          </c:val>
        </c:ser>
        <c:firstSliceAng val="187"/>
      </c:pieChart>
    </c:plotArea>
    <c:plotVisOnly val="1"/>
    <c:dispBlanksAs val="zero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Pt>
            <c:idx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-0.18048512392326799"/>
                  <c:y val="-0.19971354259450599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lang="es-ES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Graphs!$B$3:$B$4</c:f>
              <c:strCache>
                <c:ptCount val="2"/>
                <c:pt idx="0">
                  <c:v>Private</c:v>
                </c:pt>
                <c:pt idx="1">
                  <c:v>Public</c:v>
                </c:pt>
              </c:strCache>
            </c:strRef>
          </c:cat>
          <c:val>
            <c:numRef>
              <c:f>Graphs!$I$3:$I$4</c:f>
              <c:numCache>
                <c:formatCode>#,##0</c:formatCode>
                <c:ptCount val="2"/>
                <c:pt idx="0">
                  <c:v>2153146.84</c:v>
                </c:pt>
                <c:pt idx="1">
                  <c:v>1167770.8900000001</c:v>
                </c:pt>
              </c:numCache>
            </c:numRef>
          </c:val>
        </c:ser>
        <c:firstSliceAng val="0"/>
      </c:pieChart>
    </c:plotArea>
    <c:plotVisOnly val="1"/>
    <c:dispBlanksAs val="zero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721179</xdr:colOff>
      <xdr:row>0</xdr:row>
      <xdr:rowOff>258535</xdr:rowOff>
    </xdr:from>
    <xdr:to>
      <xdr:col>7</xdr:col>
      <xdr:colOff>530678</xdr:colOff>
      <xdr:row>0</xdr:row>
      <xdr:rowOff>449035</xdr:rowOff>
    </xdr:to>
    <xdr:sp macro="" textlink="">
      <xdr:nvSpPr>
        <xdr:cNvPr id="5" name="4 Rectángulo"/>
        <xdr:cNvSpPr/>
      </xdr:nvSpPr>
      <xdr:spPr>
        <a:xfrm>
          <a:off x="7388679" y="258535"/>
          <a:ext cx="653142" cy="190500"/>
        </a:xfrm>
        <a:prstGeom prst="rect">
          <a:avLst/>
        </a:prstGeom>
        <a:solidFill>
          <a:srgbClr val="FFFFCC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721179</xdr:colOff>
      <xdr:row>0</xdr:row>
      <xdr:rowOff>517071</xdr:rowOff>
    </xdr:from>
    <xdr:to>
      <xdr:col>7</xdr:col>
      <xdr:colOff>530678</xdr:colOff>
      <xdr:row>0</xdr:row>
      <xdr:rowOff>707571</xdr:rowOff>
    </xdr:to>
    <xdr:sp macro="" textlink="">
      <xdr:nvSpPr>
        <xdr:cNvPr id="6" name="5 Rectángulo"/>
        <xdr:cNvSpPr/>
      </xdr:nvSpPr>
      <xdr:spPr>
        <a:xfrm>
          <a:off x="7388679" y="517071"/>
          <a:ext cx="653142" cy="1905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oneCellAnchor>
    <xdr:from>
      <xdr:col>6</xdr:col>
      <xdr:colOff>40823</xdr:colOff>
      <xdr:row>0</xdr:row>
      <xdr:rowOff>27216</xdr:rowOff>
    </xdr:from>
    <xdr:ext cx="906274" cy="264560"/>
    <xdr:sp macro="" textlink="">
      <xdr:nvSpPr>
        <xdr:cNvPr id="7" name="6 CuadroTexto"/>
        <xdr:cNvSpPr txBox="1"/>
      </xdr:nvSpPr>
      <xdr:spPr>
        <a:xfrm>
          <a:off x="6708323" y="27216"/>
          <a:ext cx="90627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s-ES" sz="1100" b="1" u="sng"/>
            <a:t>References:</a:t>
          </a:r>
        </a:p>
      </xdr:txBody>
    </xdr:sp>
    <xdr:clientData/>
  </xdr:oneCellAnchor>
  <xdr:oneCellAnchor>
    <xdr:from>
      <xdr:col>7</xdr:col>
      <xdr:colOff>571501</xdr:colOff>
      <xdr:row>0</xdr:row>
      <xdr:rowOff>231320</xdr:rowOff>
    </xdr:from>
    <xdr:ext cx="1958678" cy="264560"/>
    <xdr:sp macro="" textlink="">
      <xdr:nvSpPr>
        <xdr:cNvPr id="8" name="7 CuadroTexto"/>
        <xdr:cNvSpPr txBox="1"/>
      </xdr:nvSpPr>
      <xdr:spPr>
        <a:xfrm>
          <a:off x="7991476" y="231320"/>
          <a:ext cx="19586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ES" sz="1100" b="0" u="none"/>
            <a:t>Cells to be completed</a:t>
          </a:r>
          <a:r>
            <a:rPr lang="es-ES" sz="1100" b="0" u="none" baseline="0"/>
            <a:t> by </a:t>
          </a:r>
          <a:r>
            <a:rPr lang="es-ES" sz="1100" b="0" u="none"/>
            <a:t>user</a:t>
          </a:r>
        </a:p>
      </xdr:txBody>
    </xdr:sp>
    <xdr:clientData/>
  </xdr:oneCellAnchor>
  <xdr:oneCellAnchor>
    <xdr:from>
      <xdr:col>7</xdr:col>
      <xdr:colOff>574223</xdr:colOff>
      <xdr:row>0</xdr:row>
      <xdr:rowOff>478969</xdr:rowOff>
    </xdr:from>
    <xdr:ext cx="5004705" cy="264560"/>
    <xdr:sp macro="" textlink="">
      <xdr:nvSpPr>
        <xdr:cNvPr id="9" name="8 CuadroTexto"/>
        <xdr:cNvSpPr txBox="1"/>
      </xdr:nvSpPr>
      <xdr:spPr>
        <a:xfrm>
          <a:off x="7994198" y="478969"/>
          <a:ext cx="500470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ES" sz="1100" b="0" u="none"/>
            <a:t>Cells that are automatically updated (Should not be modified by user)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161925</xdr:colOff>
      <xdr:row>3</xdr:row>
      <xdr:rowOff>76200</xdr:rowOff>
    </xdr:from>
    <xdr:to>
      <xdr:col>15</xdr:col>
      <xdr:colOff>714375</xdr:colOff>
      <xdr:row>14</xdr:row>
      <xdr:rowOff>85725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638176</xdr:colOff>
      <xdr:row>18</xdr:row>
      <xdr:rowOff>61912</xdr:rowOff>
    </xdr:from>
    <xdr:to>
      <xdr:col>3</xdr:col>
      <xdr:colOff>638175</xdr:colOff>
      <xdr:row>31</xdr:row>
      <xdr:rowOff>9526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8</xdr:col>
      <xdr:colOff>638174</xdr:colOff>
      <xdr:row>30</xdr:row>
      <xdr:rowOff>138114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13</xdr:col>
      <xdr:colOff>676274</xdr:colOff>
      <xdr:row>30</xdr:row>
      <xdr:rowOff>138114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18</xdr:col>
      <xdr:colOff>676274</xdr:colOff>
      <xdr:row>30</xdr:row>
      <xdr:rowOff>138114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2</xdr:row>
      <xdr:rowOff>76200</xdr:rowOff>
    </xdr:from>
    <xdr:to>
      <xdr:col>14</xdr:col>
      <xdr:colOff>600075</xdr:colOff>
      <xdr:row>13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</xdr:colOff>
      <xdr:row>13</xdr:row>
      <xdr:rowOff>133350</xdr:rowOff>
    </xdr:from>
    <xdr:to>
      <xdr:col>14</xdr:col>
      <xdr:colOff>609600</xdr:colOff>
      <xdr:row>24</xdr:row>
      <xdr:rowOff>142875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47625</xdr:colOff>
      <xdr:row>13</xdr:row>
      <xdr:rowOff>133350</xdr:rowOff>
    </xdr:from>
    <xdr:to>
      <xdr:col>18</xdr:col>
      <xdr:colOff>600075</xdr:colOff>
      <xdr:row>24</xdr:row>
      <xdr:rowOff>142875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38100</xdr:colOff>
      <xdr:row>2</xdr:row>
      <xdr:rowOff>76200</xdr:rowOff>
    </xdr:from>
    <xdr:to>
      <xdr:col>18</xdr:col>
      <xdr:colOff>590550</xdr:colOff>
      <xdr:row>13</xdr:row>
      <xdr:rowOff>66675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171450</xdr:colOff>
      <xdr:row>17</xdr:row>
      <xdr:rowOff>114300</xdr:rowOff>
    </xdr:from>
    <xdr:to>
      <xdr:col>3</xdr:col>
      <xdr:colOff>723900</xdr:colOff>
      <xdr:row>28</xdr:row>
      <xdr:rowOff>123825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tin Roma" refreshedDate="40736.748029050927" createdVersion="3" refreshedVersion="4" minRefreshableVersion="3" recordCount="114">
  <cacheSource type="worksheet">
    <worksheetSource ref="A4:J118" sheet="DATA &amp; OM"/>
  </cacheSource>
  <cacheFields count="10">
    <cacheField name="#" numFmtId="0">
      <sharedItems count="2">
        <s v="P"/>
        <s v="S"/>
      </sharedItems>
    </cacheField>
    <cacheField name="Unit Name" numFmtId="0">
      <sharedItems count="114">
        <s v="ALBANISA - Che Guevara VII (Nagarote)-U1 "/>
        <s v="ALBANISA - Che Guevara VII (Nagarote)-U2"/>
        <s v="ALBANISA - Che Guevara VII (Nagarote)-U3"/>
        <s v="ALBANISA - Che Guevara VII (Nagarote)-U4"/>
        <s v="ALBANISA - Che Guevara VII (Nagarote)-U5"/>
        <s v="ALBANISA - Che Guevara VII (Nagarote)-U6"/>
        <s v="ALBANISA - Che Guevara VIII (León)-U1 "/>
        <s v="ALBANISA - Che Guevara VIII (León)-U2"/>
        <s v="ALBANISA - Che Guevara VIII (León)-U3"/>
        <s v="ALBANISA - Che Guevara VIII (León)-U4"/>
        <s v="Consorcio eólico AMAYO II"/>
        <s v="ALBANISA - Che Guevara IV (Masaya)-U1 "/>
        <s v="ALBANISA - Che Guevara IV (Masaya)-U1 aux"/>
        <s v="ALBANISA - Che Guevara IV (Masaya)-U2"/>
        <s v="ALBANISA - Che Guevara IV (Masaya)-U2 aux"/>
        <s v="ALBANISA - Che Guevara IV (Masaya)-U3"/>
        <s v="ALBANISA - Che Guevara IV (Masaya)-U3 aux"/>
        <s v="ALBANISA - Che Guevara V (Masaya)-U1 "/>
        <s v="ALBANISA - Che Guevara V (Masaya)-U1 aux"/>
        <s v="ALBANISA - Che Guevara V (Masaya)-U2"/>
        <s v="ALBANISA - Che Guevara V (Masaya)-U2 aux"/>
        <s v="ALBANISA - Che Guevara V (Masaya)-U3"/>
        <s v="ALBANISA - Che Guevara V (Masaya)-U3 aux"/>
        <s v="ALBANISA - Che Guevara VI (Nagarote)-U1 "/>
        <s v="ALBANISA - Che Guevara VI (Nagarote)-U1 aux"/>
        <s v="ALBANISA - Che Guevara VI (Nagarote)-U2"/>
        <s v="ALBANISA - Che Guevara VI (Nagarote)-U2 aux"/>
        <s v="Consorcio eólico AMAYO I"/>
        <s v="GECSA - Che Guevara I (Tipitapa)-U1 "/>
        <s v="GECSA - Che Guevara I (Tipitapa)-U1 aux"/>
        <s v="GECSA - Che Guevara I (Tipitapa)-U2 "/>
        <s v="GECSA - Che Guevara I (Tipitapa)-U2 aux"/>
        <s v="GECSA - Che Guevara I (Tipitapa)-U3 "/>
        <s v="GECSA - Che Guevara I (Tipitapa)-U3 aux"/>
        <s v="GECSA - Che Guevara II (Masaya)-U1 "/>
        <s v="GECSA - Che Guevara II (Masaya)-U1 aux"/>
        <s v="GECSA - Che Guevara II (Masaya)-U2 "/>
        <s v="GECSA - Che Guevara II (Masaya)-U2 aux"/>
        <s v="GECSA - Che Guevara II (Masaya)-U3 "/>
        <s v="GECSA - Che Guevara II (Masaya)-U3 aux"/>
        <s v="GECSA - Che Guevara III (Managua)-U1 "/>
        <s v="GECSA - Che Guevara III (Managua)-U1 aux"/>
        <s v="GECSA - Che Guevara III (Managua)-U2 "/>
        <s v="GECSA - Che Guevara III (Managua)-U2 aux"/>
        <s v="GECSA - Che Guevara III (Managua)-U3 "/>
        <s v="GECSA - Che Guevara III (Managua)-U3 aux"/>
        <s v="El Bote-Atder-U#1 "/>
        <s v="El Bote-Atder-U#2 "/>
        <s v="GECSA-Hugo Chavez-U1 "/>
        <s v="GECSA-Hugo Chavez-U2 "/>
        <s v="GECSA-Hugo Chavez-U3 "/>
        <s v="GECSA-Hugo Chavez-U4 "/>
        <s v="Polaris (PENSA)-U#1 "/>
        <s v="Polaris (PENSA)-U#2 "/>
        <s v="GE San Rafael SA-U#1 "/>
        <s v="GE San Rafael SA-U#1 aux"/>
        <s v="GE San Rafael SA-U#2"/>
        <s v="GE San Rafael SA-U#2 aux"/>
        <s v="GE San Rafael SA-U#3"/>
        <s v="GE San Rafael SA-U#3 aux"/>
        <s v="GE San Rafael SA-U#4 "/>
        <s v="GE San Rafael SA-U#4 aux"/>
        <s v="Monte Rosa-U#1 "/>
        <s v="Monte Rosa-U#7 "/>
        <s v="Monte Rosa-U#8 "/>
        <s v="NSEL-U#2 "/>
        <s v="NSEL-U#3 "/>
        <s v="O Momotombo PC-U#3 "/>
        <s v="CENSA-Mak-No.1 "/>
        <s v="CENSA-Mak-No.2 "/>
        <s v="CENSA-Mak-No.3 "/>
        <s v="CENSA-Mak-No.4 "/>
        <s v="EE Corinto-U#1 "/>
        <s v="EE Corinto-U#1 aux"/>
        <s v="EE Corinto-U#2 "/>
        <s v="EE Corinto-U#2 aux"/>
        <s v="EE Corinto-U#3 "/>
        <s v="EE Corinto-U#3 aux"/>
        <s v="EE Corinto-U#4 "/>
        <s v="EE Corinto-U#4 aux"/>
        <s v="Monte Rosa-U#3 "/>
        <s v="Monte Rosa-U#5 "/>
        <s v="Monte Rosa-U#6 "/>
        <s v="NSEL-U#1 "/>
        <s v="Tipitapa PC-U#1 "/>
        <s v="Tipitapa PC-U#1 aux"/>
        <s v="Tipitapa PC-U#2 "/>
        <s v="Tipitapa PC-U#3 "/>
        <s v="Tipitapa PC-U#4 "/>
        <s v="Tipitapa PC-U#5 "/>
        <s v="GECSA-Las brisas-U#2 "/>
        <s v="GECSA-Managua-U#5 "/>
        <s v="CENSA-Cat-No.1 "/>
        <s v="CENSA-Cat-No.2 "/>
        <s v="CENSA-Cat-No.3 "/>
        <s v="CENSA-Cat-No.4 "/>
        <s v="CENSA-Cat-No.5 "/>
        <s v="CENSA-Cat-No.6 "/>
        <s v="CENSA-Cat-No.7 "/>
        <s v="CENSA-Cat-No.8 "/>
        <s v="CENSA-Cat-No.9 "/>
        <s v="GECSA-Managua--U#4 "/>
        <s v="GECSA-Las brisas-U#1 "/>
        <s v="O Momotombo PC-U#2 "/>
        <s v="O Momotombo PC-U#1 "/>
        <s v="GEOSA-Nicaragua-U#2 "/>
        <s v="GEOSA-Nicaragua-U#1 "/>
        <s v="GECSA-Managua-U#3 "/>
        <s v="GECSA-Managua-U#3 aux"/>
        <s v="GEOSA-Chinandega "/>
        <s v="HIDROGESA-Centro América-U#1 "/>
        <s v="HIDROGESA-Centro América-U#2 "/>
        <s v="HIDROGESA-Santa Bárbara-U#1 "/>
        <s v="HIDROGESA-Santa Bárbara-U#2 "/>
      </sharedItems>
    </cacheField>
    <cacheField name="Nominal Capacity 2010 (MW) " numFmtId="0">
      <sharedItems containsString="0" containsBlank="1" containsNumber="1" minValue="0.45" maxValue="53" count="25">
        <n v="6.8"/>
        <n v="23"/>
        <m/>
        <n v="40"/>
        <n v="0.45"/>
        <n v="15"/>
        <n v="5"/>
        <n v="1.6"/>
        <n v="16.5"/>
        <n v="20"/>
        <n v="7.5"/>
        <n v="7.2"/>
        <n v="18.5"/>
        <n v="3"/>
        <n v="4"/>
        <n v="19.3"/>
        <n v="10.44"/>
        <n v="6.2"/>
        <n v="3.9"/>
        <n v="25"/>
        <n v="35"/>
        <n v="53"/>
        <n v="45"/>
        <n v="14"/>
        <n v="27.2"/>
      </sharedItems>
    </cacheField>
    <cacheField name="Entry date" numFmtId="0">
      <sharedItems containsSemiMixedTypes="0" containsString="0" containsNumber="1" containsInteger="1" minValue="1965" maxValue="2010" count="20">
        <n v="2010"/>
        <n v="2009"/>
        <n v="2008"/>
        <n v="2007"/>
        <n v="2005"/>
        <n v="2004"/>
        <n v="2002"/>
        <n v="2000"/>
        <n v="1999"/>
        <n v="1998"/>
        <n v="1997"/>
        <n v="1994"/>
        <n v="1992"/>
        <n v="1989"/>
        <n v="1983"/>
        <n v="1977"/>
        <n v="1976"/>
        <n v="1971"/>
        <n v="1967"/>
        <n v="1965"/>
      </sharedItems>
    </cacheField>
    <cacheField name="Category" numFmtId="0">
      <sharedItems containsBlank="1" count="4">
        <s v="Fossil Fuel"/>
        <s v="CDM"/>
        <m/>
        <s v="Low Cost/Must-Run"/>
      </sharedItems>
    </cacheField>
    <cacheField name="Fuel" numFmtId="0">
      <sharedItems count="6">
        <s v="Fuel Oil"/>
        <s v="Wind"/>
        <s v="Diesel"/>
        <s v="Water"/>
        <s v="Steam"/>
        <s v="Bagasse"/>
      </sharedItems>
    </cacheField>
    <cacheField name="COEF" numFmtId="167">
      <sharedItems containsSemiMixedTypes="0" containsString="0" containsNumber="1" minValue="0" maxValue="11.294960827527854"/>
    </cacheField>
    <cacheField name="2008" numFmtId="3">
      <sharedItems containsString="0" containsBlank="1" containsNumber="1" minValue="0" maxValue="294816.11" count="61">
        <m/>
        <n v="16130.27"/>
        <n v="17472.28"/>
        <n v="15024.89"/>
        <n v="15385.06"/>
        <n v="14408.54"/>
        <n v="15485.3"/>
        <n v="5886.26"/>
        <n v="5988.31"/>
        <n v="6110.84"/>
        <n v="1614.63"/>
        <n v="2070.23"/>
        <n v="12614.17"/>
        <n v="13152.67"/>
        <n v="11188.62"/>
        <n v="10600.82"/>
        <n v="35877.89"/>
        <n v="35578.5"/>
        <n v="987.24"/>
        <n v="2544.21"/>
        <n v="3990.53"/>
        <n v="4078.02"/>
        <n v="32002.33"/>
        <n v="37875.46"/>
        <n v="29253.21"/>
        <n v="31296.3"/>
        <n v="36218.42"/>
        <n v="43619.22"/>
        <n v="12138.51"/>
        <n v="29580.66"/>
        <n v="31940.11"/>
        <n v="30569.26"/>
        <n v="133158.47"/>
        <n v="133171.09"/>
        <n v="127900.08"/>
        <n v="124611"/>
        <n v="0"/>
        <n v="116.36"/>
        <n v="124.52"/>
        <n v="30737.83"/>
        <n v="79498.05"/>
        <n v="78660"/>
        <n v="78491.490000000005"/>
        <n v="78346.490000000005"/>
        <n v="77965.929999999993"/>
        <n v="12540.81"/>
        <n v="22746.25"/>
        <n v="352.36"/>
        <n v="12342.61"/>
        <n v="9374.9"/>
        <n v="5703.73"/>
        <n v="927.94"/>
        <n v="20574.189999999999"/>
        <n v="19889.95"/>
        <n v="1510.05"/>
        <n v="174764.45"/>
        <n v="269247.21000000002"/>
        <n v="290354.38"/>
        <n v="166471.15"/>
        <n v="294816.11"/>
        <n v="230967.39"/>
      </sharedItems>
    </cacheField>
    <cacheField name="2009" numFmtId="3">
      <sharedItems containsString="0" containsBlank="1" containsNumber="1" minValue="0" maxValue="249714.19" count="67">
        <m/>
        <n v="29482.400000000001"/>
        <n v="29478.95"/>
        <n v="30964.92"/>
        <n v="29702.3"/>
        <n v="29160.21"/>
        <n v="26158.66"/>
        <n v="1523.29"/>
        <n v="1827.95"/>
        <n v="109845.58"/>
        <n v="32815.040000000001"/>
        <n v="33574.99"/>
        <n v="32559.659999999996"/>
        <n v="31489.81"/>
        <n v="31739.919999999998"/>
        <n v="30811.63"/>
        <n v="35098.589999999997"/>
        <n v="33355.479999999996"/>
        <n v="33727.53"/>
        <n v="1419.52"/>
        <n v="1675.79"/>
        <n v="10235.73"/>
        <n v="10039.59"/>
        <n v="8052.3899999999994"/>
        <n v="10846.28"/>
        <n v="38612.07"/>
        <n v="34265.919999999998"/>
        <n v="0"/>
        <n v="2959.48"/>
        <n v="3063.7"/>
        <n v="2957.88"/>
        <n v="40249.78"/>
        <n v="40178.49"/>
        <n v="37611.75"/>
        <n v="29973.119999999999"/>
        <n v="33181.769999999997"/>
        <n v="38488.53"/>
        <n v="27699.31"/>
        <n v="30533.72"/>
        <n v="37984.03"/>
        <n v="131933.21"/>
        <n v="135301.32"/>
        <n v="124567.28"/>
        <n v="119375.86"/>
        <n v="2.73"/>
        <n v="15.1"/>
        <n v="16.809999999999999"/>
        <n v="24772.68"/>
        <n v="79667.360000000001"/>
        <n v="76662.600000000006"/>
        <n v="80865.570000000007"/>
        <n v="75518.789999999994"/>
        <n v="77898"/>
        <n v="7339.1"/>
        <n v="21316.65"/>
        <n v="13809.72"/>
        <n v="14793.14"/>
        <n v="6348.15"/>
        <n v="19800.91"/>
        <n v="9168.0499999999993"/>
        <n v="924.49"/>
        <n v="151473.37"/>
        <n v="249714.19"/>
        <n v="246714.09"/>
        <n v="131475.01"/>
        <n v="178999.58"/>
        <n v="108064.65"/>
      </sharedItems>
    </cacheField>
    <cacheField name="2010" numFmtId="3">
      <sharedItems containsString="0" containsBlank="1" containsNumber="1" minValue="0" maxValue="269778.52" count="81">
        <n v="24545.51"/>
        <n v="23593.33"/>
        <n v="23153.22"/>
        <n v="22970.53"/>
        <n v="22509.3"/>
        <n v="21394.880000000001"/>
        <n v="15640.5"/>
        <n v="16269.67"/>
        <n v="18234.21"/>
        <n v="17627.47"/>
        <n v="49712.81"/>
        <n v="15561.87"/>
        <m/>
        <n v="15408.67"/>
        <n v="12903.04"/>
        <n v="10086.31"/>
        <n v="12859.91"/>
        <n v="9966.4699999999993"/>
        <n v="31022.880000000001"/>
        <n v="32588.02"/>
        <n v="110583.33"/>
        <n v="15173.71"/>
        <n v="15257.08"/>
        <n v="14498.4"/>
        <n v="18034.009999999998"/>
        <n v="13235.44"/>
        <n v="12938.57"/>
        <n v="19685.72"/>
        <n v="19051.240000000002"/>
        <n v="18998.88"/>
        <n v="1507.14"/>
        <n v="1883.93"/>
        <n v="2184.21"/>
        <n v="2751.32"/>
        <n v="2698.91"/>
        <n v="2713.55"/>
        <n v="35174.35"/>
        <n v="33454.300000000003"/>
        <n v="396.47"/>
        <n v="624.9"/>
        <n v="580.58000000000004"/>
        <n v="638.1"/>
        <n v="38905.15"/>
        <n v="35327.89"/>
        <n v="36847.870000000003"/>
        <n v="31551.84"/>
        <n v="38937.35"/>
        <n v="44357.120000000003"/>
        <n v="30845.25"/>
        <n v="32805.86"/>
        <n v="29660.15"/>
        <n v="27303.8"/>
        <n v="129898.58"/>
        <n v="127105.79"/>
        <n v="123384.24"/>
        <n v="128221.81"/>
        <n v="42989.29"/>
        <n v="74899.59"/>
        <n v="75038.98"/>
        <n v="76935.73"/>
        <n v="73549.320000000007"/>
        <n v="76273.97"/>
        <n v="3390.2"/>
        <n v="22541.66"/>
        <n v="0"/>
        <n v="18243.060000000001"/>
        <n v="16412.54"/>
        <n v="18178.509999999998"/>
        <n v="2453.7800000000002"/>
        <n v="11784.37"/>
        <n v="14749.06"/>
        <n v="19254.25"/>
        <n v="18994.48"/>
        <n v="13699.54"/>
        <n v="218.82"/>
        <n v="155260.54999999999"/>
        <n v="193572.1"/>
        <n v="177088.7"/>
        <n v="126267.91"/>
        <n v="269778.52"/>
        <n v="226077.3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4">
  <r>
    <x v="0"/>
    <x v="0"/>
    <x v="0"/>
    <x v="0"/>
    <x v="0"/>
    <x v="0"/>
    <n v="11.294960827527854"/>
    <x v="0"/>
    <x v="0"/>
    <x v="0"/>
  </r>
  <r>
    <x v="0"/>
    <x v="1"/>
    <x v="0"/>
    <x v="0"/>
    <x v="0"/>
    <x v="0"/>
    <n v="11.294960827527854"/>
    <x v="0"/>
    <x v="0"/>
    <x v="1"/>
  </r>
  <r>
    <x v="0"/>
    <x v="2"/>
    <x v="0"/>
    <x v="0"/>
    <x v="0"/>
    <x v="0"/>
    <n v="11.294960827527854"/>
    <x v="0"/>
    <x v="0"/>
    <x v="2"/>
  </r>
  <r>
    <x v="0"/>
    <x v="3"/>
    <x v="0"/>
    <x v="0"/>
    <x v="0"/>
    <x v="0"/>
    <n v="11.294960827527854"/>
    <x v="0"/>
    <x v="0"/>
    <x v="3"/>
  </r>
  <r>
    <x v="0"/>
    <x v="4"/>
    <x v="0"/>
    <x v="0"/>
    <x v="0"/>
    <x v="0"/>
    <n v="11.294960827527854"/>
    <x v="0"/>
    <x v="0"/>
    <x v="4"/>
  </r>
  <r>
    <x v="0"/>
    <x v="5"/>
    <x v="0"/>
    <x v="0"/>
    <x v="0"/>
    <x v="0"/>
    <n v="11.294960827527854"/>
    <x v="0"/>
    <x v="0"/>
    <x v="5"/>
  </r>
  <r>
    <x v="0"/>
    <x v="6"/>
    <x v="0"/>
    <x v="0"/>
    <x v="0"/>
    <x v="0"/>
    <n v="11.294960827527854"/>
    <x v="0"/>
    <x v="0"/>
    <x v="6"/>
  </r>
  <r>
    <x v="0"/>
    <x v="7"/>
    <x v="0"/>
    <x v="0"/>
    <x v="0"/>
    <x v="0"/>
    <n v="11.294960827527854"/>
    <x v="0"/>
    <x v="0"/>
    <x v="7"/>
  </r>
  <r>
    <x v="0"/>
    <x v="8"/>
    <x v="0"/>
    <x v="0"/>
    <x v="0"/>
    <x v="0"/>
    <n v="11.294960827527854"/>
    <x v="0"/>
    <x v="0"/>
    <x v="8"/>
  </r>
  <r>
    <x v="0"/>
    <x v="9"/>
    <x v="0"/>
    <x v="0"/>
    <x v="0"/>
    <x v="0"/>
    <n v="11.294960827527854"/>
    <x v="0"/>
    <x v="0"/>
    <x v="9"/>
  </r>
  <r>
    <x v="0"/>
    <x v="10"/>
    <x v="1"/>
    <x v="0"/>
    <x v="1"/>
    <x v="1"/>
    <n v="0"/>
    <x v="0"/>
    <x v="0"/>
    <x v="10"/>
  </r>
  <r>
    <x v="0"/>
    <x v="11"/>
    <x v="0"/>
    <x v="1"/>
    <x v="0"/>
    <x v="0"/>
    <n v="11.294960827527854"/>
    <x v="0"/>
    <x v="1"/>
    <x v="11"/>
  </r>
  <r>
    <x v="0"/>
    <x v="12"/>
    <x v="2"/>
    <x v="1"/>
    <x v="0"/>
    <x v="2"/>
    <n v="9.6402891520401734"/>
    <x v="0"/>
    <x v="0"/>
    <x v="12"/>
  </r>
  <r>
    <x v="0"/>
    <x v="13"/>
    <x v="0"/>
    <x v="1"/>
    <x v="0"/>
    <x v="0"/>
    <n v="11.294960827527854"/>
    <x v="0"/>
    <x v="2"/>
    <x v="13"/>
  </r>
  <r>
    <x v="0"/>
    <x v="14"/>
    <x v="2"/>
    <x v="1"/>
    <x v="2"/>
    <x v="2"/>
    <n v="9.6402891520401734"/>
    <x v="0"/>
    <x v="0"/>
    <x v="12"/>
  </r>
  <r>
    <x v="0"/>
    <x v="15"/>
    <x v="0"/>
    <x v="1"/>
    <x v="0"/>
    <x v="0"/>
    <n v="11.294960827527854"/>
    <x v="0"/>
    <x v="3"/>
    <x v="14"/>
  </r>
  <r>
    <x v="0"/>
    <x v="16"/>
    <x v="2"/>
    <x v="1"/>
    <x v="2"/>
    <x v="2"/>
    <n v="9.6402891520401734"/>
    <x v="0"/>
    <x v="0"/>
    <x v="12"/>
  </r>
  <r>
    <x v="0"/>
    <x v="17"/>
    <x v="0"/>
    <x v="1"/>
    <x v="0"/>
    <x v="0"/>
    <n v="11.294960827527854"/>
    <x v="0"/>
    <x v="4"/>
    <x v="15"/>
  </r>
  <r>
    <x v="0"/>
    <x v="18"/>
    <x v="2"/>
    <x v="1"/>
    <x v="2"/>
    <x v="2"/>
    <n v="9.6402891520401734"/>
    <x v="0"/>
    <x v="0"/>
    <x v="12"/>
  </r>
  <r>
    <x v="0"/>
    <x v="19"/>
    <x v="0"/>
    <x v="1"/>
    <x v="0"/>
    <x v="0"/>
    <n v="11.294960827527854"/>
    <x v="0"/>
    <x v="5"/>
    <x v="16"/>
  </r>
  <r>
    <x v="0"/>
    <x v="20"/>
    <x v="2"/>
    <x v="1"/>
    <x v="2"/>
    <x v="2"/>
    <n v="9.6402891520401734"/>
    <x v="0"/>
    <x v="0"/>
    <x v="12"/>
  </r>
  <r>
    <x v="0"/>
    <x v="21"/>
    <x v="0"/>
    <x v="1"/>
    <x v="0"/>
    <x v="0"/>
    <n v="11.294960827527854"/>
    <x v="0"/>
    <x v="6"/>
    <x v="17"/>
  </r>
  <r>
    <x v="0"/>
    <x v="22"/>
    <x v="2"/>
    <x v="1"/>
    <x v="2"/>
    <x v="2"/>
    <n v="9.6402891520401734"/>
    <x v="0"/>
    <x v="0"/>
    <x v="12"/>
  </r>
  <r>
    <x v="0"/>
    <x v="23"/>
    <x v="0"/>
    <x v="1"/>
    <x v="0"/>
    <x v="0"/>
    <n v="11.294960827527854"/>
    <x v="0"/>
    <x v="7"/>
    <x v="18"/>
  </r>
  <r>
    <x v="0"/>
    <x v="24"/>
    <x v="2"/>
    <x v="1"/>
    <x v="2"/>
    <x v="2"/>
    <n v="9.6402891520401734"/>
    <x v="0"/>
    <x v="0"/>
    <x v="12"/>
  </r>
  <r>
    <x v="0"/>
    <x v="25"/>
    <x v="0"/>
    <x v="1"/>
    <x v="0"/>
    <x v="0"/>
    <n v="11.294960827527854"/>
    <x v="0"/>
    <x v="8"/>
    <x v="19"/>
  </r>
  <r>
    <x v="0"/>
    <x v="26"/>
    <x v="2"/>
    <x v="1"/>
    <x v="2"/>
    <x v="2"/>
    <n v="9.6402891520401734"/>
    <x v="0"/>
    <x v="0"/>
    <x v="12"/>
  </r>
  <r>
    <x v="0"/>
    <x v="27"/>
    <x v="3"/>
    <x v="1"/>
    <x v="1"/>
    <x v="1"/>
    <n v="0"/>
    <x v="0"/>
    <x v="9"/>
    <x v="20"/>
  </r>
  <r>
    <x v="0"/>
    <x v="28"/>
    <x v="0"/>
    <x v="2"/>
    <x v="0"/>
    <x v="0"/>
    <n v="11.294960827527854"/>
    <x v="1"/>
    <x v="10"/>
    <x v="21"/>
  </r>
  <r>
    <x v="0"/>
    <x v="29"/>
    <x v="2"/>
    <x v="2"/>
    <x v="0"/>
    <x v="2"/>
    <n v="9.6402891520401734"/>
    <x v="0"/>
    <x v="0"/>
    <x v="12"/>
  </r>
  <r>
    <x v="0"/>
    <x v="30"/>
    <x v="0"/>
    <x v="2"/>
    <x v="0"/>
    <x v="0"/>
    <n v="11.294960827527854"/>
    <x v="2"/>
    <x v="11"/>
    <x v="22"/>
  </r>
  <r>
    <x v="0"/>
    <x v="31"/>
    <x v="2"/>
    <x v="2"/>
    <x v="0"/>
    <x v="2"/>
    <n v="9.6402891520401734"/>
    <x v="0"/>
    <x v="0"/>
    <x v="12"/>
  </r>
  <r>
    <x v="0"/>
    <x v="32"/>
    <x v="0"/>
    <x v="2"/>
    <x v="0"/>
    <x v="0"/>
    <n v="11.294960827527854"/>
    <x v="3"/>
    <x v="12"/>
    <x v="23"/>
  </r>
  <r>
    <x v="0"/>
    <x v="33"/>
    <x v="2"/>
    <x v="2"/>
    <x v="0"/>
    <x v="2"/>
    <n v="9.6402891520401734"/>
    <x v="0"/>
    <x v="0"/>
    <x v="12"/>
  </r>
  <r>
    <x v="0"/>
    <x v="34"/>
    <x v="0"/>
    <x v="2"/>
    <x v="0"/>
    <x v="0"/>
    <n v="11.294960827527854"/>
    <x v="4"/>
    <x v="13"/>
    <x v="24"/>
  </r>
  <r>
    <x v="0"/>
    <x v="35"/>
    <x v="2"/>
    <x v="2"/>
    <x v="0"/>
    <x v="2"/>
    <n v="9.6402891520401734"/>
    <x v="0"/>
    <x v="0"/>
    <x v="12"/>
  </r>
  <r>
    <x v="0"/>
    <x v="36"/>
    <x v="0"/>
    <x v="2"/>
    <x v="0"/>
    <x v="0"/>
    <n v="11.294960827527854"/>
    <x v="5"/>
    <x v="14"/>
    <x v="25"/>
  </r>
  <r>
    <x v="0"/>
    <x v="37"/>
    <x v="2"/>
    <x v="2"/>
    <x v="0"/>
    <x v="2"/>
    <n v="9.6402891520401734"/>
    <x v="0"/>
    <x v="0"/>
    <x v="12"/>
  </r>
  <r>
    <x v="0"/>
    <x v="38"/>
    <x v="0"/>
    <x v="2"/>
    <x v="0"/>
    <x v="0"/>
    <n v="11.294960827527854"/>
    <x v="6"/>
    <x v="15"/>
    <x v="26"/>
  </r>
  <r>
    <x v="0"/>
    <x v="39"/>
    <x v="2"/>
    <x v="2"/>
    <x v="0"/>
    <x v="2"/>
    <n v="9.6402891520401734"/>
    <x v="0"/>
    <x v="0"/>
    <x v="12"/>
  </r>
  <r>
    <x v="0"/>
    <x v="40"/>
    <x v="0"/>
    <x v="2"/>
    <x v="0"/>
    <x v="0"/>
    <n v="11.294960827527854"/>
    <x v="7"/>
    <x v="16"/>
    <x v="27"/>
  </r>
  <r>
    <x v="0"/>
    <x v="41"/>
    <x v="2"/>
    <x v="2"/>
    <x v="0"/>
    <x v="2"/>
    <n v="9.6402891520401734"/>
    <x v="0"/>
    <x v="0"/>
    <x v="12"/>
  </r>
  <r>
    <x v="0"/>
    <x v="42"/>
    <x v="0"/>
    <x v="2"/>
    <x v="0"/>
    <x v="0"/>
    <n v="11.294960827527854"/>
    <x v="8"/>
    <x v="17"/>
    <x v="28"/>
  </r>
  <r>
    <x v="0"/>
    <x v="43"/>
    <x v="2"/>
    <x v="2"/>
    <x v="0"/>
    <x v="2"/>
    <n v="9.6402891520401734"/>
    <x v="0"/>
    <x v="0"/>
    <x v="12"/>
  </r>
  <r>
    <x v="0"/>
    <x v="44"/>
    <x v="0"/>
    <x v="2"/>
    <x v="0"/>
    <x v="0"/>
    <n v="11.294960827527854"/>
    <x v="9"/>
    <x v="18"/>
    <x v="29"/>
  </r>
  <r>
    <x v="0"/>
    <x v="45"/>
    <x v="2"/>
    <x v="2"/>
    <x v="0"/>
    <x v="2"/>
    <n v="9.6402891520401734"/>
    <x v="0"/>
    <x v="0"/>
    <x v="12"/>
  </r>
  <r>
    <x v="0"/>
    <x v="46"/>
    <x v="4"/>
    <x v="3"/>
    <x v="3"/>
    <x v="3"/>
    <n v="0"/>
    <x v="10"/>
    <x v="19"/>
    <x v="30"/>
  </r>
  <r>
    <x v="0"/>
    <x v="47"/>
    <x v="4"/>
    <x v="3"/>
    <x v="3"/>
    <x v="3"/>
    <n v="0"/>
    <x v="11"/>
    <x v="20"/>
    <x v="31"/>
  </r>
  <r>
    <x v="0"/>
    <x v="48"/>
    <x v="5"/>
    <x v="3"/>
    <x v="0"/>
    <x v="2"/>
    <n v="9.6402891520401734"/>
    <x v="12"/>
    <x v="21"/>
    <x v="32"/>
  </r>
  <r>
    <x v="0"/>
    <x v="49"/>
    <x v="5"/>
    <x v="3"/>
    <x v="0"/>
    <x v="2"/>
    <n v="9.6402891520401734"/>
    <x v="13"/>
    <x v="22"/>
    <x v="33"/>
  </r>
  <r>
    <x v="0"/>
    <x v="50"/>
    <x v="5"/>
    <x v="3"/>
    <x v="0"/>
    <x v="2"/>
    <n v="9.6402891520401734"/>
    <x v="14"/>
    <x v="23"/>
    <x v="34"/>
  </r>
  <r>
    <x v="0"/>
    <x v="51"/>
    <x v="5"/>
    <x v="3"/>
    <x v="0"/>
    <x v="2"/>
    <n v="9.6402891520401734"/>
    <x v="15"/>
    <x v="24"/>
    <x v="35"/>
  </r>
  <r>
    <x v="0"/>
    <x v="52"/>
    <x v="6"/>
    <x v="4"/>
    <x v="1"/>
    <x v="4"/>
    <n v="0"/>
    <x v="16"/>
    <x v="25"/>
    <x v="36"/>
  </r>
  <r>
    <x v="0"/>
    <x v="53"/>
    <x v="6"/>
    <x v="4"/>
    <x v="1"/>
    <x v="4"/>
    <n v="0"/>
    <x v="17"/>
    <x v="26"/>
    <x v="37"/>
  </r>
  <r>
    <x v="1"/>
    <x v="54"/>
    <x v="7"/>
    <x v="5"/>
    <x v="0"/>
    <x v="0"/>
    <n v="11.294960827527854"/>
    <x v="18"/>
    <x v="27"/>
    <x v="38"/>
  </r>
  <r>
    <x v="1"/>
    <x v="55"/>
    <x v="2"/>
    <x v="5"/>
    <x v="0"/>
    <x v="2"/>
    <n v="9.6402891520401734"/>
    <x v="0"/>
    <x v="0"/>
    <x v="12"/>
  </r>
  <r>
    <x v="1"/>
    <x v="56"/>
    <x v="7"/>
    <x v="5"/>
    <x v="0"/>
    <x v="0"/>
    <n v="11.294960827527854"/>
    <x v="19"/>
    <x v="28"/>
    <x v="39"/>
  </r>
  <r>
    <x v="1"/>
    <x v="57"/>
    <x v="2"/>
    <x v="5"/>
    <x v="0"/>
    <x v="2"/>
    <n v="9.6402891520401734"/>
    <x v="0"/>
    <x v="0"/>
    <x v="12"/>
  </r>
  <r>
    <x v="1"/>
    <x v="58"/>
    <x v="7"/>
    <x v="5"/>
    <x v="0"/>
    <x v="0"/>
    <n v="11.294960827527854"/>
    <x v="20"/>
    <x v="29"/>
    <x v="40"/>
  </r>
  <r>
    <x v="1"/>
    <x v="59"/>
    <x v="2"/>
    <x v="5"/>
    <x v="0"/>
    <x v="2"/>
    <n v="9.6402891520401734"/>
    <x v="0"/>
    <x v="0"/>
    <x v="12"/>
  </r>
  <r>
    <x v="1"/>
    <x v="60"/>
    <x v="7"/>
    <x v="5"/>
    <x v="0"/>
    <x v="0"/>
    <n v="11.294960827527854"/>
    <x v="21"/>
    <x v="30"/>
    <x v="41"/>
  </r>
  <r>
    <x v="1"/>
    <x v="61"/>
    <x v="2"/>
    <x v="5"/>
    <x v="0"/>
    <x v="2"/>
    <n v="9.6402891520401734"/>
    <x v="0"/>
    <x v="0"/>
    <x v="12"/>
  </r>
  <r>
    <x v="0"/>
    <x v="62"/>
    <x v="8"/>
    <x v="5"/>
    <x v="1"/>
    <x v="5"/>
    <n v="0"/>
    <x v="22"/>
    <x v="31"/>
    <x v="42"/>
  </r>
  <r>
    <x v="0"/>
    <x v="63"/>
    <x v="9"/>
    <x v="5"/>
    <x v="1"/>
    <x v="5"/>
    <n v="0"/>
    <x v="23"/>
    <x v="32"/>
    <x v="43"/>
  </r>
  <r>
    <x v="0"/>
    <x v="64"/>
    <x v="5"/>
    <x v="5"/>
    <x v="1"/>
    <x v="5"/>
    <n v="0"/>
    <x v="24"/>
    <x v="33"/>
    <x v="44"/>
  </r>
  <r>
    <x v="0"/>
    <x v="65"/>
    <x v="9"/>
    <x v="5"/>
    <x v="3"/>
    <x v="5"/>
    <n v="0"/>
    <x v="25"/>
    <x v="34"/>
    <x v="45"/>
  </r>
  <r>
    <x v="0"/>
    <x v="66"/>
    <x v="9"/>
    <x v="5"/>
    <x v="3"/>
    <x v="5"/>
    <n v="0"/>
    <x v="26"/>
    <x v="35"/>
    <x v="46"/>
  </r>
  <r>
    <x v="0"/>
    <x v="67"/>
    <x v="10"/>
    <x v="6"/>
    <x v="3"/>
    <x v="4"/>
    <n v="0"/>
    <x v="27"/>
    <x v="36"/>
    <x v="47"/>
  </r>
  <r>
    <x v="0"/>
    <x v="68"/>
    <x v="11"/>
    <x v="7"/>
    <x v="0"/>
    <x v="0"/>
    <n v="11.294960827527854"/>
    <x v="28"/>
    <x v="27"/>
    <x v="48"/>
  </r>
  <r>
    <x v="0"/>
    <x v="69"/>
    <x v="11"/>
    <x v="7"/>
    <x v="0"/>
    <x v="0"/>
    <n v="11.294960827527854"/>
    <x v="29"/>
    <x v="37"/>
    <x v="49"/>
  </r>
  <r>
    <x v="0"/>
    <x v="70"/>
    <x v="11"/>
    <x v="7"/>
    <x v="0"/>
    <x v="0"/>
    <n v="11.294960827527854"/>
    <x v="30"/>
    <x v="38"/>
    <x v="50"/>
  </r>
  <r>
    <x v="0"/>
    <x v="71"/>
    <x v="11"/>
    <x v="7"/>
    <x v="0"/>
    <x v="0"/>
    <n v="11.294960827527854"/>
    <x v="31"/>
    <x v="39"/>
    <x v="51"/>
  </r>
  <r>
    <x v="0"/>
    <x v="72"/>
    <x v="12"/>
    <x v="8"/>
    <x v="0"/>
    <x v="0"/>
    <n v="11.294960827527854"/>
    <x v="32"/>
    <x v="40"/>
    <x v="52"/>
  </r>
  <r>
    <x v="0"/>
    <x v="73"/>
    <x v="2"/>
    <x v="8"/>
    <x v="0"/>
    <x v="2"/>
    <n v="9.6402891520401734"/>
    <x v="0"/>
    <x v="0"/>
    <x v="12"/>
  </r>
  <r>
    <x v="0"/>
    <x v="74"/>
    <x v="12"/>
    <x v="8"/>
    <x v="0"/>
    <x v="0"/>
    <n v="11.294960827527854"/>
    <x v="33"/>
    <x v="41"/>
    <x v="53"/>
  </r>
  <r>
    <x v="0"/>
    <x v="75"/>
    <x v="2"/>
    <x v="8"/>
    <x v="0"/>
    <x v="2"/>
    <n v="9.6402891520401734"/>
    <x v="0"/>
    <x v="0"/>
    <x v="12"/>
  </r>
  <r>
    <x v="0"/>
    <x v="76"/>
    <x v="12"/>
    <x v="8"/>
    <x v="0"/>
    <x v="0"/>
    <n v="11.294960827527854"/>
    <x v="34"/>
    <x v="42"/>
    <x v="54"/>
  </r>
  <r>
    <x v="0"/>
    <x v="77"/>
    <x v="2"/>
    <x v="8"/>
    <x v="0"/>
    <x v="2"/>
    <n v="9.6402891520401734"/>
    <x v="0"/>
    <x v="0"/>
    <x v="12"/>
  </r>
  <r>
    <x v="0"/>
    <x v="78"/>
    <x v="12"/>
    <x v="8"/>
    <x v="0"/>
    <x v="0"/>
    <n v="11.294960827527854"/>
    <x v="35"/>
    <x v="43"/>
    <x v="55"/>
  </r>
  <r>
    <x v="0"/>
    <x v="79"/>
    <x v="2"/>
    <x v="8"/>
    <x v="0"/>
    <x v="2"/>
    <n v="9.6402891520401734"/>
    <x v="0"/>
    <x v="0"/>
    <x v="12"/>
  </r>
  <r>
    <x v="0"/>
    <x v="80"/>
    <x v="13"/>
    <x v="8"/>
    <x v="1"/>
    <x v="5"/>
    <n v="0"/>
    <x v="36"/>
    <x v="44"/>
    <x v="12"/>
  </r>
  <r>
    <x v="0"/>
    <x v="81"/>
    <x v="14"/>
    <x v="8"/>
    <x v="1"/>
    <x v="5"/>
    <n v="0"/>
    <x v="37"/>
    <x v="45"/>
    <x v="12"/>
  </r>
  <r>
    <x v="0"/>
    <x v="82"/>
    <x v="14"/>
    <x v="8"/>
    <x v="1"/>
    <x v="5"/>
    <n v="0"/>
    <x v="38"/>
    <x v="46"/>
    <x v="12"/>
  </r>
  <r>
    <x v="0"/>
    <x v="83"/>
    <x v="15"/>
    <x v="8"/>
    <x v="3"/>
    <x v="5"/>
    <n v="0"/>
    <x v="39"/>
    <x v="47"/>
    <x v="56"/>
  </r>
  <r>
    <x v="0"/>
    <x v="84"/>
    <x v="16"/>
    <x v="8"/>
    <x v="0"/>
    <x v="0"/>
    <n v="11.294960827527854"/>
    <x v="40"/>
    <x v="48"/>
    <x v="57"/>
  </r>
  <r>
    <x v="0"/>
    <x v="85"/>
    <x v="2"/>
    <x v="8"/>
    <x v="0"/>
    <x v="2"/>
    <n v="9.6402891520401734"/>
    <x v="0"/>
    <x v="0"/>
    <x v="12"/>
  </r>
  <r>
    <x v="0"/>
    <x v="86"/>
    <x v="16"/>
    <x v="8"/>
    <x v="0"/>
    <x v="0"/>
    <n v="11.294960827527854"/>
    <x v="41"/>
    <x v="49"/>
    <x v="58"/>
  </r>
  <r>
    <x v="0"/>
    <x v="87"/>
    <x v="16"/>
    <x v="8"/>
    <x v="0"/>
    <x v="0"/>
    <n v="11.294960827527854"/>
    <x v="42"/>
    <x v="50"/>
    <x v="59"/>
  </r>
  <r>
    <x v="0"/>
    <x v="88"/>
    <x v="16"/>
    <x v="8"/>
    <x v="0"/>
    <x v="0"/>
    <n v="11.294960827527854"/>
    <x v="43"/>
    <x v="51"/>
    <x v="60"/>
  </r>
  <r>
    <x v="0"/>
    <x v="89"/>
    <x v="16"/>
    <x v="8"/>
    <x v="0"/>
    <x v="0"/>
    <n v="11.294960827527854"/>
    <x v="44"/>
    <x v="52"/>
    <x v="61"/>
  </r>
  <r>
    <x v="1"/>
    <x v="90"/>
    <x v="3"/>
    <x v="9"/>
    <x v="0"/>
    <x v="2"/>
    <n v="9.6402891520401734"/>
    <x v="45"/>
    <x v="53"/>
    <x v="62"/>
  </r>
  <r>
    <x v="1"/>
    <x v="91"/>
    <x v="17"/>
    <x v="9"/>
    <x v="0"/>
    <x v="0"/>
    <n v="11.294960827527854"/>
    <x v="46"/>
    <x v="54"/>
    <x v="63"/>
  </r>
  <r>
    <x v="0"/>
    <x v="92"/>
    <x v="18"/>
    <x v="10"/>
    <x v="0"/>
    <x v="0"/>
    <n v="11.294960827527854"/>
    <x v="47"/>
    <x v="27"/>
    <x v="64"/>
  </r>
  <r>
    <x v="0"/>
    <x v="93"/>
    <x v="18"/>
    <x v="10"/>
    <x v="0"/>
    <x v="0"/>
    <n v="11.294960827527854"/>
    <x v="48"/>
    <x v="55"/>
    <x v="65"/>
  </r>
  <r>
    <x v="0"/>
    <x v="94"/>
    <x v="18"/>
    <x v="10"/>
    <x v="0"/>
    <x v="0"/>
    <n v="11.294960827527854"/>
    <x v="49"/>
    <x v="56"/>
    <x v="66"/>
  </r>
  <r>
    <x v="0"/>
    <x v="95"/>
    <x v="18"/>
    <x v="10"/>
    <x v="0"/>
    <x v="0"/>
    <n v="11.294960827527854"/>
    <x v="50"/>
    <x v="27"/>
    <x v="67"/>
  </r>
  <r>
    <x v="0"/>
    <x v="96"/>
    <x v="18"/>
    <x v="10"/>
    <x v="0"/>
    <x v="0"/>
    <n v="11.294960827527854"/>
    <x v="51"/>
    <x v="27"/>
    <x v="68"/>
  </r>
  <r>
    <x v="0"/>
    <x v="97"/>
    <x v="18"/>
    <x v="10"/>
    <x v="0"/>
    <x v="0"/>
    <n v="11.294960827527854"/>
    <x v="36"/>
    <x v="27"/>
    <x v="69"/>
  </r>
  <r>
    <x v="0"/>
    <x v="98"/>
    <x v="18"/>
    <x v="10"/>
    <x v="0"/>
    <x v="0"/>
    <n v="11.294960827527854"/>
    <x v="36"/>
    <x v="27"/>
    <x v="70"/>
  </r>
  <r>
    <x v="0"/>
    <x v="99"/>
    <x v="18"/>
    <x v="10"/>
    <x v="0"/>
    <x v="0"/>
    <n v="11.294960827527854"/>
    <x v="36"/>
    <x v="57"/>
    <x v="71"/>
  </r>
  <r>
    <x v="0"/>
    <x v="100"/>
    <x v="18"/>
    <x v="10"/>
    <x v="0"/>
    <x v="0"/>
    <n v="11.294960827527854"/>
    <x v="52"/>
    <x v="58"/>
    <x v="72"/>
  </r>
  <r>
    <x v="1"/>
    <x v="101"/>
    <x v="17"/>
    <x v="11"/>
    <x v="0"/>
    <x v="0"/>
    <n v="11.294960827527854"/>
    <x v="53"/>
    <x v="59"/>
    <x v="73"/>
  </r>
  <r>
    <x v="1"/>
    <x v="102"/>
    <x v="19"/>
    <x v="12"/>
    <x v="0"/>
    <x v="2"/>
    <n v="9.6402891520401734"/>
    <x v="54"/>
    <x v="60"/>
    <x v="74"/>
  </r>
  <r>
    <x v="0"/>
    <x v="103"/>
    <x v="20"/>
    <x v="13"/>
    <x v="3"/>
    <x v="4"/>
    <n v="0"/>
    <x v="55"/>
    <x v="61"/>
    <x v="75"/>
  </r>
  <r>
    <x v="0"/>
    <x v="104"/>
    <x v="20"/>
    <x v="14"/>
    <x v="3"/>
    <x v="4"/>
    <n v="0"/>
    <x v="36"/>
    <x v="27"/>
    <x v="64"/>
  </r>
  <r>
    <x v="0"/>
    <x v="105"/>
    <x v="21"/>
    <x v="15"/>
    <x v="0"/>
    <x v="0"/>
    <n v="11.294960827527854"/>
    <x v="56"/>
    <x v="62"/>
    <x v="76"/>
  </r>
  <r>
    <x v="0"/>
    <x v="106"/>
    <x v="21"/>
    <x v="16"/>
    <x v="0"/>
    <x v="0"/>
    <n v="11.294960827527854"/>
    <x v="57"/>
    <x v="63"/>
    <x v="77"/>
  </r>
  <r>
    <x v="1"/>
    <x v="107"/>
    <x v="22"/>
    <x v="17"/>
    <x v="0"/>
    <x v="0"/>
    <n v="11.294960827527854"/>
    <x v="58"/>
    <x v="64"/>
    <x v="78"/>
  </r>
  <r>
    <x v="1"/>
    <x v="108"/>
    <x v="2"/>
    <x v="17"/>
    <x v="0"/>
    <x v="2"/>
    <n v="9.6402891520401734"/>
    <x v="0"/>
    <x v="0"/>
    <x v="12"/>
  </r>
  <r>
    <x v="0"/>
    <x v="109"/>
    <x v="23"/>
    <x v="18"/>
    <x v="0"/>
    <x v="2"/>
    <n v="9.6402891520401734"/>
    <x v="36"/>
    <x v="27"/>
    <x v="64"/>
  </r>
  <r>
    <x v="1"/>
    <x v="110"/>
    <x v="19"/>
    <x v="19"/>
    <x v="3"/>
    <x v="3"/>
    <n v="0"/>
    <x v="59"/>
    <x v="65"/>
    <x v="79"/>
  </r>
  <r>
    <x v="1"/>
    <x v="111"/>
    <x v="19"/>
    <x v="19"/>
    <x v="3"/>
    <x v="3"/>
    <n v="0"/>
    <x v="0"/>
    <x v="0"/>
    <x v="12"/>
  </r>
  <r>
    <x v="1"/>
    <x v="112"/>
    <x v="24"/>
    <x v="19"/>
    <x v="3"/>
    <x v="3"/>
    <n v="0"/>
    <x v="60"/>
    <x v="66"/>
    <x v="80"/>
  </r>
  <r>
    <x v="1"/>
    <x v="113"/>
    <x v="24"/>
    <x v="19"/>
    <x v="3"/>
    <x v="3"/>
    <n v="0"/>
    <x v="0"/>
    <x v="0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A3:B200" firstHeaderRow="1" firstDataRow="1" firstDataCol="1"/>
  <pivotFields count="10">
    <pivotField axis="axisRow" showAll="0">
      <items count="3">
        <item x="0"/>
        <item x="1"/>
        <item t="default"/>
      </items>
    </pivotField>
    <pivotField axis="axisRow" showAll="0">
      <items count="115"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0"/>
        <item x="1"/>
        <item x="2"/>
        <item x="3"/>
        <item x="4"/>
        <item x="5"/>
        <item x="6"/>
        <item x="7"/>
        <item x="8"/>
        <item x="9"/>
        <item x="92"/>
        <item x="93"/>
        <item x="94"/>
        <item x="95"/>
        <item x="96"/>
        <item x="97"/>
        <item x="98"/>
        <item x="99"/>
        <item x="100"/>
        <item x="68"/>
        <item x="69"/>
        <item x="70"/>
        <item x="71"/>
        <item x="27"/>
        <item x="10"/>
        <item x="72"/>
        <item x="73"/>
        <item x="74"/>
        <item x="75"/>
        <item x="76"/>
        <item x="77"/>
        <item x="78"/>
        <item x="79"/>
        <item x="46"/>
        <item x="47"/>
        <item x="54"/>
        <item x="55"/>
        <item x="56"/>
        <item x="57"/>
        <item x="58"/>
        <item x="59"/>
        <item x="60"/>
        <item x="61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8"/>
        <item x="49"/>
        <item x="50"/>
        <item x="51"/>
        <item x="102"/>
        <item x="90"/>
        <item x="107"/>
        <item x="108"/>
        <item x="101"/>
        <item x="91"/>
        <item x="109"/>
        <item x="106"/>
        <item x="105"/>
        <item x="110"/>
        <item x="111"/>
        <item x="112"/>
        <item x="113"/>
        <item x="62"/>
        <item x="80"/>
        <item x="81"/>
        <item x="82"/>
        <item x="63"/>
        <item x="64"/>
        <item x="83"/>
        <item x="65"/>
        <item x="66"/>
        <item x="104"/>
        <item x="103"/>
        <item x="67"/>
        <item x="52"/>
        <item x="53"/>
        <item x="84"/>
        <item x="85"/>
        <item x="86"/>
        <item x="87"/>
        <item x="88"/>
        <item x="89"/>
        <item t="default"/>
      </items>
    </pivotField>
    <pivotField axis="axisRow" showAll="0" defaultSubtotal="0">
      <items count="25">
        <item x="4"/>
        <item x="7"/>
        <item x="13"/>
        <item x="18"/>
        <item x="14"/>
        <item x="6"/>
        <item x="17"/>
        <item x="0"/>
        <item x="11"/>
        <item x="10"/>
        <item x="16"/>
        <item x="23"/>
        <item x="5"/>
        <item x="8"/>
        <item x="12"/>
        <item x="15"/>
        <item x="9"/>
        <item x="1"/>
        <item x="19"/>
        <item x="24"/>
        <item x="20"/>
        <item x="3"/>
        <item x="22"/>
        <item x="21"/>
        <item x="2"/>
      </items>
    </pivotField>
    <pivotField dataField="1" multipleItemSelectionAllowed="1" showAll="0">
      <items count="21">
        <item h="1" x="19"/>
        <item h="1" x="18"/>
        <item h="1" x="17"/>
        <item h="1" x="16"/>
        <item h="1" x="15"/>
        <item h="1" x="14"/>
        <item h="1" x="13"/>
        <item h="1" x="12"/>
        <item h="1" x="11"/>
        <item h="1" x="10"/>
        <item h="1" x="9"/>
        <item h="1" x="8"/>
        <item h="1" x="7"/>
        <item h="1" x="6"/>
        <item h="1" x="5"/>
        <item h="1" x="4"/>
        <item x="3"/>
        <item x="2"/>
        <item x="1"/>
        <item x="0"/>
        <item t="default"/>
      </items>
    </pivotField>
    <pivotField multipleItemSelectionAllowed="1" showAll="0">
      <items count="5">
        <item x="1"/>
        <item x="0"/>
        <item x="3"/>
        <item h="1" x="2"/>
        <item t="default"/>
      </items>
    </pivotField>
    <pivotField axis="axisRow" showAll="0">
      <items count="7">
        <item x="5"/>
        <item x="2"/>
        <item x="0"/>
        <item x="4"/>
        <item x="3"/>
        <item x="1"/>
        <item t="default"/>
      </items>
    </pivotField>
    <pivotField numFmtId="167" showAll="0"/>
    <pivotField showAll="0">
      <items count="62">
        <item x="36"/>
        <item x="37"/>
        <item x="38"/>
        <item x="47"/>
        <item x="51"/>
        <item x="18"/>
        <item x="54"/>
        <item x="10"/>
        <item x="11"/>
        <item x="19"/>
        <item x="20"/>
        <item x="21"/>
        <item x="50"/>
        <item x="7"/>
        <item x="8"/>
        <item x="9"/>
        <item x="49"/>
        <item x="15"/>
        <item x="14"/>
        <item x="28"/>
        <item x="48"/>
        <item x="45"/>
        <item x="12"/>
        <item x="13"/>
        <item x="5"/>
        <item x="3"/>
        <item x="4"/>
        <item x="6"/>
        <item x="1"/>
        <item x="2"/>
        <item x="53"/>
        <item x="52"/>
        <item x="46"/>
        <item x="24"/>
        <item x="29"/>
        <item x="31"/>
        <item x="39"/>
        <item x="25"/>
        <item x="30"/>
        <item x="22"/>
        <item x="17"/>
        <item x="16"/>
        <item x="26"/>
        <item x="23"/>
        <item x="27"/>
        <item x="44"/>
        <item x="43"/>
        <item x="42"/>
        <item x="41"/>
        <item x="40"/>
        <item x="35"/>
        <item x="34"/>
        <item x="32"/>
        <item x="33"/>
        <item x="58"/>
        <item x="55"/>
        <item x="60"/>
        <item x="56"/>
        <item x="57"/>
        <item x="59"/>
        <item x="0"/>
        <item t="default"/>
      </items>
    </pivotField>
    <pivotField showAll="0" defaultSubtotal="0">
      <items count="67">
        <item x="27"/>
        <item x="44"/>
        <item x="45"/>
        <item x="46"/>
        <item x="60"/>
        <item x="19"/>
        <item x="7"/>
        <item x="20"/>
        <item x="8"/>
        <item x="30"/>
        <item x="28"/>
        <item x="29"/>
        <item x="57"/>
        <item x="53"/>
        <item x="23"/>
        <item x="59"/>
        <item x="22"/>
        <item x="21"/>
        <item x="24"/>
        <item x="55"/>
        <item x="56"/>
        <item x="58"/>
        <item x="54"/>
        <item x="47"/>
        <item x="6"/>
        <item x="37"/>
        <item x="5"/>
        <item x="2"/>
        <item x="1"/>
        <item x="4"/>
        <item x="34"/>
        <item x="38"/>
        <item x="15"/>
        <item x="3"/>
        <item x="13"/>
        <item x="14"/>
        <item x="12"/>
        <item x="10"/>
        <item x="35"/>
        <item x="17"/>
        <item x="11"/>
        <item x="18"/>
        <item x="26"/>
        <item x="16"/>
        <item x="33"/>
        <item x="39"/>
        <item x="36"/>
        <item x="25"/>
        <item x="32"/>
        <item x="31"/>
        <item x="51"/>
        <item x="49"/>
        <item x="52"/>
        <item x="48"/>
        <item x="50"/>
        <item x="66"/>
        <item x="9"/>
        <item x="43"/>
        <item x="42"/>
        <item x="64"/>
        <item x="40"/>
        <item x="41"/>
        <item x="61"/>
        <item x="65"/>
        <item x="63"/>
        <item x="62"/>
        <item x="0"/>
      </items>
    </pivotField>
    <pivotField showAll="0" defaultSubtotal="0">
      <items count="81">
        <item x="64"/>
        <item x="74"/>
        <item x="38"/>
        <item x="40"/>
        <item x="39"/>
        <item x="41"/>
        <item x="30"/>
        <item x="31"/>
        <item x="32"/>
        <item x="68"/>
        <item x="34"/>
        <item x="35"/>
        <item x="33"/>
        <item x="62"/>
        <item x="17"/>
        <item x="15"/>
        <item x="69"/>
        <item x="16"/>
        <item x="14"/>
        <item x="26"/>
        <item x="25"/>
        <item x="73"/>
        <item x="23"/>
        <item x="70"/>
        <item x="21"/>
        <item x="22"/>
        <item x="13"/>
        <item x="11"/>
        <item x="6"/>
        <item x="7"/>
        <item x="66"/>
        <item x="9"/>
        <item x="24"/>
        <item x="67"/>
        <item x="8"/>
        <item x="65"/>
        <item x="72"/>
        <item x="29"/>
        <item x="28"/>
        <item x="71"/>
        <item x="27"/>
        <item x="5"/>
        <item x="4"/>
        <item x="63"/>
        <item x="3"/>
        <item x="2"/>
        <item x="1"/>
        <item x="0"/>
        <item x="51"/>
        <item x="50"/>
        <item x="48"/>
        <item x="18"/>
        <item x="45"/>
        <item x="19"/>
        <item x="49"/>
        <item x="37"/>
        <item x="36"/>
        <item x="43"/>
        <item x="44"/>
        <item x="42"/>
        <item x="46"/>
        <item x="56"/>
        <item x="47"/>
        <item x="10"/>
        <item x="60"/>
        <item x="57"/>
        <item x="58"/>
        <item x="61"/>
        <item x="59"/>
        <item x="20"/>
        <item x="54"/>
        <item x="78"/>
        <item x="53"/>
        <item x="55"/>
        <item x="52"/>
        <item x="75"/>
        <item x="77"/>
        <item x="76"/>
        <item x="80"/>
        <item x="79"/>
        <item x="12"/>
      </items>
    </pivotField>
  </pivotFields>
  <rowFields count="4">
    <field x="2"/>
    <field x="5"/>
    <field x="0"/>
    <field x="1"/>
  </rowFields>
  <rowItems count="197">
    <i>
      <x/>
    </i>
    <i r="1">
      <x v="4"/>
    </i>
    <i r="2">
      <x/>
    </i>
    <i r="3">
      <x v="49"/>
    </i>
    <i r="3">
      <x v="50"/>
    </i>
    <i>
      <x v="1"/>
    </i>
    <i r="1">
      <x v="2"/>
    </i>
    <i r="2">
      <x v="1"/>
    </i>
    <i r="3">
      <x v="51"/>
    </i>
    <i r="3">
      <x v="53"/>
    </i>
    <i r="3">
      <x v="55"/>
    </i>
    <i r="3">
      <x v="57"/>
    </i>
    <i>
      <x v="2"/>
    </i>
    <i r="1">
      <x/>
    </i>
    <i r="2">
      <x/>
    </i>
    <i r="3">
      <x v="95"/>
    </i>
    <i>
      <x v="3"/>
    </i>
    <i r="1">
      <x v="2"/>
    </i>
    <i r="2">
      <x/>
    </i>
    <i r="3">
      <x v="26"/>
    </i>
    <i r="3">
      <x v="27"/>
    </i>
    <i r="3">
      <x v="28"/>
    </i>
    <i r="3">
      <x v="29"/>
    </i>
    <i r="3">
      <x v="30"/>
    </i>
    <i r="3">
      <x v="31"/>
    </i>
    <i r="3">
      <x v="32"/>
    </i>
    <i r="3">
      <x v="33"/>
    </i>
    <i r="3">
      <x v="34"/>
    </i>
    <i>
      <x v="4"/>
    </i>
    <i r="1">
      <x/>
    </i>
    <i r="2">
      <x/>
    </i>
    <i r="3">
      <x v="96"/>
    </i>
    <i r="3">
      <x v="97"/>
    </i>
    <i>
      <x v="5"/>
    </i>
    <i r="1">
      <x v="3"/>
    </i>
    <i r="2">
      <x/>
    </i>
    <i r="3">
      <x v="106"/>
    </i>
    <i r="3">
      <x v="107"/>
    </i>
    <i>
      <x v="6"/>
    </i>
    <i r="1">
      <x v="2"/>
    </i>
    <i r="2">
      <x v="1"/>
    </i>
    <i r="3">
      <x v="85"/>
    </i>
    <i r="3">
      <x v="86"/>
    </i>
    <i>
      <x v="7"/>
    </i>
    <i r="1">
      <x v="2"/>
    </i>
    <i r="2">
      <x/>
    </i>
    <i r="3">
      <x/>
    </i>
    <i r="3">
      <x v="2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6"/>
    </i>
    <i r="3">
      <x v="17"/>
    </i>
    <i r="3">
      <x v="18"/>
    </i>
    <i r="3">
      <x v="19"/>
    </i>
    <i r="3">
      <x v="20"/>
    </i>
    <i r="3">
      <x v="21"/>
    </i>
    <i r="3">
      <x v="22"/>
    </i>
    <i r="3">
      <x v="23"/>
    </i>
    <i r="3">
      <x v="24"/>
    </i>
    <i r="3">
      <x v="25"/>
    </i>
    <i r="3">
      <x v="59"/>
    </i>
    <i r="3">
      <x v="61"/>
    </i>
    <i r="3">
      <x v="63"/>
    </i>
    <i r="3">
      <x v="65"/>
    </i>
    <i r="3">
      <x v="67"/>
    </i>
    <i r="3">
      <x v="69"/>
    </i>
    <i r="3">
      <x v="71"/>
    </i>
    <i r="3">
      <x v="73"/>
    </i>
    <i r="3">
      <x v="75"/>
    </i>
    <i>
      <x v="8"/>
    </i>
    <i r="1">
      <x v="2"/>
    </i>
    <i r="2">
      <x/>
    </i>
    <i r="3">
      <x v="35"/>
    </i>
    <i r="3">
      <x v="36"/>
    </i>
    <i r="3">
      <x v="37"/>
    </i>
    <i r="3">
      <x v="38"/>
    </i>
    <i>
      <x v="9"/>
    </i>
    <i r="1">
      <x v="3"/>
    </i>
    <i r="2">
      <x/>
    </i>
    <i r="3">
      <x v="105"/>
    </i>
    <i>
      <x v="10"/>
    </i>
    <i r="1">
      <x v="2"/>
    </i>
    <i r="2">
      <x/>
    </i>
    <i r="3">
      <x v="108"/>
    </i>
    <i r="3">
      <x v="110"/>
    </i>
    <i r="3">
      <x v="111"/>
    </i>
    <i r="3">
      <x v="112"/>
    </i>
    <i r="3">
      <x v="113"/>
    </i>
    <i>
      <x v="11"/>
    </i>
    <i r="1">
      <x v="1"/>
    </i>
    <i r="2">
      <x/>
    </i>
    <i r="3">
      <x v="87"/>
    </i>
    <i>
      <x v="12"/>
    </i>
    <i r="1">
      <x/>
    </i>
    <i r="2">
      <x/>
    </i>
    <i r="3">
      <x v="99"/>
    </i>
    <i r="1">
      <x v="1"/>
    </i>
    <i r="2">
      <x/>
    </i>
    <i r="3">
      <x v="77"/>
    </i>
    <i r="3">
      <x v="78"/>
    </i>
    <i r="3">
      <x v="79"/>
    </i>
    <i r="3">
      <x v="80"/>
    </i>
    <i>
      <x v="13"/>
    </i>
    <i r="1">
      <x/>
    </i>
    <i r="2">
      <x/>
    </i>
    <i r="3">
      <x v="94"/>
    </i>
    <i>
      <x v="14"/>
    </i>
    <i r="1">
      <x v="2"/>
    </i>
    <i r="2">
      <x/>
    </i>
    <i r="3">
      <x v="41"/>
    </i>
    <i r="3">
      <x v="43"/>
    </i>
    <i r="3">
      <x v="45"/>
    </i>
    <i r="3">
      <x v="47"/>
    </i>
    <i>
      <x v="15"/>
    </i>
    <i r="1">
      <x/>
    </i>
    <i r="2">
      <x/>
    </i>
    <i r="3">
      <x v="100"/>
    </i>
    <i>
      <x v="16"/>
    </i>
    <i r="1">
      <x/>
    </i>
    <i r="2">
      <x/>
    </i>
    <i r="3">
      <x v="98"/>
    </i>
    <i r="3">
      <x v="101"/>
    </i>
    <i r="3">
      <x v="102"/>
    </i>
    <i>
      <x v="17"/>
    </i>
    <i r="1">
      <x v="5"/>
    </i>
    <i r="2">
      <x/>
    </i>
    <i r="3">
      <x v="40"/>
    </i>
    <i>
      <x v="18"/>
    </i>
    <i r="1">
      <x v="1"/>
    </i>
    <i r="2">
      <x v="1"/>
    </i>
    <i r="3">
      <x v="81"/>
    </i>
    <i r="1">
      <x v="4"/>
    </i>
    <i r="2">
      <x v="1"/>
    </i>
    <i r="3">
      <x v="90"/>
    </i>
    <i r="3">
      <x v="91"/>
    </i>
    <i>
      <x v="19"/>
    </i>
    <i r="1">
      <x v="4"/>
    </i>
    <i r="2">
      <x v="1"/>
    </i>
    <i r="3">
      <x v="92"/>
    </i>
    <i r="3">
      <x v="93"/>
    </i>
    <i>
      <x v="20"/>
    </i>
    <i r="1">
      <x v="3"/>
    </i>
    <i r="2">
      <x/>
    </i>
    <i r="3">
      <x v="103"/>
    </i>
    <i r="3">
      <x v="104"/>
    </i>
    <i>
      <x v="21"/>
    </i>
    <i r="1">
      <x v="1"/>
    </i>
    <i r="2">
      <x v="1"/>
    </i>
    <i r="3">
      <x v="82"/>
    </i>
    <i r="1">
      <x v="5"/>
    </i>
    <i r="2">
      <x/>
    </i>
    <i r="3">
      <x v="39"/>
    </i>
    <i>
      <x v="22"/>
    </i>
    <i r="1">
      <x v="2"/>
    </i>
    <i r="2">
      <x v="1"/>
    </i>
    <i r="3">
      <x v="83"/>
    </i>
    <i>
      <x v="23"/>
    </i>
    <i r="1">
      <x v="2"/>
    </i>
    <i r="2">
      <x/>
    </i>
    <i r="3">
      <x v="88"/>
    </i>
    <i r="3">
      <x v="89"/>
    </i>
    <i>
      <x v="24"/>
    </i>
    <i r="1">
      <x v="1"/>
    </i>
    <i r="2">
      <x/>
    </i>
    <i r="3">
      <x v="1"/>
    </i>
    <i r="3">
      <x v="3"/>
    </i>
    <i r="3">
      <x v="5"/>
    </i>
    <i r="3">
      <x v="7"/>
    </i>
    <i r="3">
      <x v="9"/>
    </i>
    <i r="3">
      <x v="11"/>
    </i>
    <i r="3">
      <x v="13"/>
    </i>
    <i r="3">
      <x v="15"/>
    </i>
    <i r="3">
      <x v="42"/>
    </i>
    <i r="3">
      <x v="44"/>
    </i>
    <i r="3">
      <x v="46"/>
    </i>
    <i r="3">
      <x v="48"/>
    </i>
    <i r="3">
      <x v="60"/>
    </i>
    <i r="3">
      <x v="62"/>
    </i>
    <i r="3">
      <x v="64"/>
    </i>
    <i r="3">
      <x v="66"/>
    </i>
    <i r="3">
      <x v="68"/>
    </i>
    <i r="3">
      <x v="70"/>
    </i>
    <i r="3">
      <x v="72"/>
    </i>
    <i r="3">
      <x v="74"/>
    </i>
    <i r="3">
      <x v="76"/>
    </i>
    <i r="3">
      <x v="109"/>
    </i>
    <i r="2">
      <x v="1"/>
    </i>
    <i r="3">
      <x v="52"/>
    </i>
    <i r="3">
      <x v="54"/>
    </i>
    <i r="3">
      <x v="56"/>
    </i>
    <i r="3">
      <x v="58"/>
    </i>
    <i r="3">
      <x v="84"/>
    </i>
    <i t="grand">
      <x/>
    </i>
  </rowItems>
  <colItems count="1">
    <i/>
  </colItems>
  <dataFields count="1">
    <dataField name="Sum of Entry date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ine.gob.ni/DGE/estadisticas/1991_2007/04%20Serie%20Historica%201991%20al%202008%20para%20Web%20Gen_Neta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29"/>
  <sheetViews>
    <sheetView topLeftCell="A85" zoomScale="80" zoomScaleNormal="80" workbookViewId="0">
      <selection activeCell="S4" sqref="S4"/>
    </sheetView>
  </sheetViews>
  <sheetFormatPr defaultColWidth="11.42578125" defaultRowHeight="15"/>
  <cols>
    <col min="1" max="1" width="3.5703125" customWidth="1"/>
    <col min="2" max="2" width="45.85546875" bestFit="1" customWidth="1"/>
    <col min="3" max="3" width="11.42578125" style="64" customWidth="1"/>
    <col min="4" max="4" width="9.7109375" style="64" customWidth="1"/>
    <col min="5" max="5" width="21.140625" style="64" customWidth="1"/>
    <col min="6" max="6" width="13.42578125" style="64" customWidth="1"/>
    <col min="7" max="7" width="12.7109375" style="64" customWidth="1"/>
    <col min="8" max="8" width="13.42578125" style="64" bestFit="1" customWidth="1"/>
    <col min="9" max="9" width="11.7109375" style="64" bestFit="1" customWidth="1"/>
    <col min="10" max="10" width="13" style="64" bestFit="1" customWidth="1"/>
    <col min="11" max="13" width="13.28515625" style="64" customWidth="1"/>
    <col min="14" max="14" width="11.85546875" style="64" bestFit="1" customWidth="1"/>
    <col min="15" max="19" width="11.42578125" style="64"/>
    <col min="20" max="20" width="11.42578125" style="78" customWidth="1"/>
    <col min="21" max="21" width="18.7109375" style="78" bestFit="1" customWidth="1"/>
    <col min="22" max="16384" width="11.42578125" style="78"/>
  </cols>
  <sheetData>
    <row r="1" spans="1:20" ht="60" customHeight="1">
      <c r="B1" s="303" t="s">
        <v>136</v>
      </c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5"/>
    </row>
    <row r="2" spans="1:20">
      <c r="C2"/>
      <c r="D2"/>
      <c r="E2"/>
      <c r="F2"/>
      <c r="G2" s="40"/>
      <c r="H2" s="40"/>
      <c r="I2"/>
      <c r="J2"/>
      <c r="K2" s="40"/>
      <c r="L2"/>
      <c r="M2"/>
      <c r="N2"/>
      <c r="O2" s="40"/>
      <c r="P2"/>
      <c r="Q2"/>
      <c r="R2" s="40"/>
      <c r="S2"/>
      <c r="T2" s="64"/>
    </row>
    <row r="3" spans="1:20" ht="15.75" customHeight="1">
      <c r="A3" s="229"/>
      <c r="B3" s="229"/>
      <c r="C3" s="229"/>
      <c r="D3" s="229"/>
      <c r="E3" s="229"/>
      <c r="F3" s="229"/>
      <c r="G3" s="131"/>
      <c r="H3" s="298" t="s">
        <v>98</v>
      </c>
      <c r="I3" s="298"/>
      <c r="J3" s="299"/>
      <c r="K3" s="306" t="s">
        <v>177</v>
      </c>
      <c r="L3" s="298"/>
      <c r="M3" s="298"/>
      <c r="N3" s="299"/>
      <c r="O3" s="300" t="s">
        <v>112</v>
      </c>
      <c r="P3" s="301"/>
      <c r="Q3" s="302"/>
      <c r="R3" s="300" t="s">
        <v>113</v>
      </c>
      <c r="S3" s="301"/>
      <c r="T3" s="302"/>
    </row>
    <row r="4" spans="1:20" ht="60.75" customHeight="1">
      <c r="A4" s="208" t="s">
        <v>0</v>
      </c>
      <c r="B4" s="208" t="s">
        <v>107</v>
      </c>
      <c r="C4" s="208" t="s">
        <v>163</v>
      </c>
      <c r="D4" s="208" t="s">
        <v>109</v>
      </c>
      <c r="E4" s="208" t="s">
        <v>110</v>
      </c>
      <c r="F4" s="208" t="s">
        <v>92</v>
      </c>
      <c r="G4" s="100" t="s">
        <v>14</v>
      </c>
      <c r="H4" s="231">
        <v>2008</v>
      </c>
      <c r="I4" s="80">
        <v>2009</v>
      </c>
      <c r="J4" s="81">
        <v>2010</v>
      </c>
      <c r="K4" s="231" t="s">
        <v>172</v>
      </c>
      <c r="L4" s="81" t="s">
        <v>173</v>
      </c>
      <c r="M4" s="231" t="s">
        <v>176</v>
      </c>
      <c r="N4" s="231" t="s">
        <v>210</v>
      </c>
      <c r="O4" s="73">
        <v>2008</v>
      </c>
      <c r="P4" s="74">
        <v>2009</v>
      </c>
      <c r="Q4" s="75">
        <v>2010</v>
      </c>
      <c r="R4" s="73">
        <v>2008</v>
      </c>
      <c r="S4" s="74">
        <v>2009</v>
      </c>
      <c r="T4" s="76">
        <v>2010</v>
      </c>
    </row>
    <row r="5" spans="1:20">
      <c r="A5" s="55" t="s">
        <v>88</v>
      </c>
      <c r="B5" s="234" t="s">
        <v>145</v>
      </c>
      <c r="C5" s="55">
        <v>6.8</v>
      </c>
      <c r="D5" s="55">
        <v>2010</v>
      </c>
      <c r="E5" s="55" t="s">
        <v>26</v>
      </c>
      <c r="F5" s="55" t="s">
        <v>2</v>
      </c>
      <c r="G5" s="66">
        <f>IF(F5="Diesel",diesel,IF(F5="Fuel Oil",fueloil,IF(F5="Coal",coal,0)))</f>
        <v>11.294960827527854</v>
      </c>
      <c r="H5" s="63"/>
      <c r="I5" s="63"/>
      <c r="J5" s="65">
        <v>24545.51</v>
      </c>
      <c r="K5" s="47"/>
      <c r="L5" s="63"/>
      <c r="M5" s="113">
        <v>16.62</v>
      </c>
      <c r="N5" s="65">
        <f>J5/M5</f>
        <v>1476.8658243080624</v>
      </c>
      <c r="O5" s="47">
        <f t="shared" ref="O5:O15" si="0">$G5*K5</f>
        <v>0</v>
      </c>
      <c r="P5" s="39">
        <f t="shared" ref="P5:P15" si="1">$G5*L5</f>
        <v>0</v>
      </c>
      <c r="Q5" s="65">
        <f>$G5*N5</f>
        <v>16681.141633074199</v>
      </c>
      <c r="R5" s="106">
        <f t="shared" ref="R5:R15" si="2">IF(H5=0,0,O5/H5)</f>
        <v>0</v>
      </c>
      <c r="S5" s="67">
        <f t="shared" ref="S5:S15" si="3">IF(I5=0,0,P5/I5)</f>
        <v>0</v>
      </c>
      <c r="T5" s="53">
        <f>IF(J5=0,0,Q5/J5)</f>
        <v>0.6796005311388601</v>
      </c>
    </row>
    <row r="6" spans="1:20">
      <c r="A6" s="55" t="s">
        <v>88</v>
      </c>
      <c r="B6" s="234" t="s">
        <v>149</v>
      </c>
      <c r="C6" s="55">
        <v>6.8</v>
      </c>
      <c r="D6" s="55">
        <v>2010</v>
      </c>
      <c r="E6" s="55" t="s">
        <v>26</v>
      </c>
      <c r="F6" s="55" t="s">
        <v>2</v>
      </c>
      <c r="G6" s="66">
        <f t="shared" ref="G6:G10" si="4">IF(F6="Diesel",diesel,IF(F6="Fuel Oil",fueloil,IF(F6="Coal",coal,0)))</f>
        <v>11.294960827527854</v>
      </c>
      <c r="H6" s="63"/>
      <c r="I6" s="63"/>
      <c r="J6" s="65">
        <v>23593.33</v>
      </c>
      <c r="K6" s="47"/>
      <c r="L6" s="63"/>
      <c r="M6" s="113">
        <v>16.63</v>
      </c>
      <c r="N6" s="65">
        <f t="shared" ref="N6:N14" si="5">J6/M6</f>
        <v>1418.7209861695733</v>
      </c>
      <c r="O6" s="47">
        <f t="shared" si="0"/>
        <v>0</v>
      </c>
      <c r="P6" s="39">
        <f t="shared" si="1"/>
        <v>0</v>
      </c>
      <c r="Q6" s="65">
        <f t="shared" ref="Q6:Q16" si="6">$G6*N6</f>
        <v>16024.397963977017</v>
      </c>
      <c r="R6" s="106">
        <f t="shared" si="2"/>
        <v>0</v>
      </c>
      <c r="S6" s="67">
        <f t="shared" si="3"/>
        <v>0</v>
      </c>
      <c r="T6" s="53">
        <f t="shared" ref="T6:T15" si="7">IF(J6=0,0,Q6/J6)</f>
        <v>0.6791918717695643</v>
      </c>
    </row>
    <row r="7" spans="1:20">
      <c r="A7" s="55" t="s">
        <v>88</v>
      </c>
      <c r="B7" s="234" t="s">
        <v>150</v>
      </c>
      <c r="C7" s="55">
        <v>6.8</v>
      </c>
      <c r="D7" s="55">
        <v>2010</v>
      </c>
      <c r="E7" s="55" t="s">
        <v>26</v>
      </c>
      <c r="F7" s="55" t="s">
        <v>2</v>
      </c>
      <c r="G7" s="66">
        <f t="shared" si="4"/>
        <v>11.294960827527854</v>
      </c>
      <c r="H7" s="63"/>
      <c r="I7" s="63"/>
      <c r="J7" s="65">
        <v>23153.22</v>
      </c>
      <c r="K7" s="47"/>
      <c r="L7" s="63"/>
      <c r="M7" s="113">
        <v>16.63</v>
      </c>
      <c r="N7" s="65">
        <f t="shared" si="5"/>
        <v>1392.2561635598317</v>
      </c>
      <c r="O7" s="47">
        <f t="shared" si="0"/>
        <v>0</v>
      </c>
      <c r="P7" s="39">
        <f t="shared" si="1"/>
        <v>0</v>
      </c>
      <c r="Q7" s="65">
        <f t="shared" si="6"/>
        <v>15725.478829292513</v>
      </c>
      <c r="R7" s="106">
        <f t="shared" si="2"/>
        <v>0</v>
      </c>
      <c r="S7" s="67">
        <f t="shared" si="3"/>
        <v>0</v>
      </c>
      <c r="T7" s="53">
        <f t="shared" si="7"/>
        <v>0.6791918717695643</v>
      </c>
    </row>
    <row r="8" spans="1:20">
      <c r="A8" s="55" t="s">
        <v>88</v>
      </c>
      <c r="B8" s="234" t="s">
        <v>151</v>
      </c>
      <c r="C8" s="55">
        <v>6.8</v>
      </c>
      <c r="D8" s="55">
        <v>2010</v>
      </c>
      <c r="E8" s="55" t="s">
        <v>26</v>
      </c>
      <c r="F8" s="55" t="s">
        <v>2</v>
      </c>
      <c r="G8" s="66">
        <f t="shared" si="4"/>
        <v>11.294960827527854</v>
      </c>
      <c r="H8" s="63"/>
      <c r="I8" s="63"/>
      <c r="J8" s="65">
        <v>22970.53</v>
      </c>
      <c r="K8" s="47"/>
      <c r="L8" s="63"/>
      <c r="M8" s="113">
        <v>16.63</v>
      </c>
      <c r="N8" s="65">
        <f t="shared" si="5"/>
        <v>1381.2705953096813</v>
      </c>
      <c r="O8" s="47">
        <f t="shared" si="0"/>
        <v>0</v>
      </c>
      <c r="P8" s="39">
        <f t="shared" si="1"/>
        <v>0</v>
      </c>
      <c r="Q8" s="65">
        <f t="shared" si="6"/>
        <v>15601.39726623893</v>
      </c>
      <c r="R8" s="106">
        <f t="shared" si="2"/>
        <v>0</v>
      </c>
      <c r="S8" s="67">
        <f t="shared" si="3"/>
        <v>0</v>
      </c>
      <c r="T8" s="53">
        <f t="shared" si="7"/>
        <v>0.6791918717695643</v>
      </c>
    </row>
    <row r="9" spans="1:20">
      <c r="A9" s="55" t="s">
        <v>88</v>
      </c>
      <c r="B9" s="234" t="s">
        <v>152</v>
      </c>
      <c r="C9" s="55">
        <v>6.8</v>
      </c>
      <c r="D9" s="55">
        <v>2010</v>
      </c>
      <c r="E9" s="55" t="s">
        <v>26</v>
      </c>
      <c r="F9" s="55" t="s">
        <v>2</v>
      </c>
      <c r="G9" s="66">
        <f t="shared" si="4"/>
        <v>11.294960827527854</v>
      </c>
      <c r="H9" s="63"/>
      <c r="I9" s="63"/>
      <c r="J9" s="65">
        <v>22509.3</v>
      </c>
      <c r="K9" s="47"/>
      <c r="L9" s="63"/>
      <c r="M9" s="113">
        <v>16.63</v>
      </c>
      <c r="N9" s="65">
        <f t="shared" si="5"/>
        <v>1353.5357787131691</v>
      </c>
      <c r="O9" s="47">
        <f t="shared" si="0"/>
        <v>0</v>
      </c>
      <c r="P9" s="39">
        <f t="shared" si="1"/>
        <v>0</v>
      </c>
      <c r="Q9" s="65">
        <f t="shared" si="6"/>
        <v>15288.133599222654</v>
      </c>
      <c r="R9" s="106">
        <f t="shared" si="2"/>
        <v>0</v>
      </c>
      <c r="S9" s="67">
        <f t="shared" si="3"/>
        <v>0</v>
      </c>
      <c r="T9" s="53">
        <f t="shared" si="7"/>
        <v>0.6791918717695643</v>
      </c>
    </row>
    <row r="10" spans="1:20">
      <c r="A10" s="55" t="s">
        <v>88</v>
      </c>
      <c r="B10" s="234" t="s">
        <v>153</v>
      </c>
      <c r="C10" s="55">
        <v>6.8</v>
      </c>
      <c r="D10" s="55">
        <v>2010</v>
      </c>
      <c r="E10" s="55" t="s">
        <v>26</v>
      </c>
      <c r="F10" s="55" t="s">
        <v>2</v>
      </c>
      <c r="G10" s="66">
        <f t="shared" si="4"/>
        <v>11.294960827527854</v>
      </c>
      <c r="H10" s="63"/>
      <c r="I10" s="63"/>
      <c r="J10" s="65">
        <v>21394.880000000001</v>
      </c>
      <c r="K10" s="47"/>
      <c r="L10" s="63"/>
      <c r="M10" s="113">
        <v>16.63</v>
      </c>
      <c r="N10" s="65">
        <f t="shared" si="5"/>
        <v>1286.5231509320506</v>
      </c>
      <c r="O10" s="47">
        <f t="shared" si="0"/>
        <v>0</v>
      </c>
      <c r="P10" s="39">
        <f t="shared" si="1"/>
        <v>0</v>
      </c>
      <c r="Q10" s="65">
        <f t="shared" si="6"/>
        <v>14531.228593485217</v>
      </c>
      <c r="R10" s="106">
        <f t="shared" si="2"/>
        <v>0</v>
      </c>
      <c r="S10" s="67">
        <f t="shared" si="3"/>
        <v>0</v>
      </c>
      <c r="T10" s="53">
        <f t="shared" si="7"/>
        <v>0.6791918717695643</v>
      </c>
    </row>
    <row r="11" spans="1:20">
      <c r="A11" s="55" t="s">
        <v>88</v>
      </c>
      <c r="B11" s="234" t="s">
        <v>146</v>
      </c>
      <c r="C11" s="55">
        <v>6.8</v>
      </c>
      <c r="D11" s="55">
        <v>2010</v>
      </c>
      <c r="E11" s="55" t="s">
        <v>26</v>
      </c>
      <c r="F11" s="55" t="s">
        <v>2</v>
      </c>
      <c r="G11" s="66">
        <f>IF(F11="Diesel",diesel,IF(F11="Fuel Oil",fueloil,IF(F11="Coal",coal,0)))</f>
        <v>11.294960827527854</v>
      </c>
      <c r="H11" s="63"/>
      <c r="I11" s="63"/>
      <c r="J11" s="65">
        <v>15640.5</v>
      </c>
      <c r="K11" s="47"/>
      <c r="L11" s="63"/>
      <c r="M11" s="113">
        <v>16.61</v>
      </c>
      <c r="N11" s="65">
        <f t="shared" si="5"/>
        <v>941.63154726068638</v>
      </c>
      <c r="O11" s="47">
        <f t="shared" si="0"/>
        <v>0</v>
      </c>
      <c r="P11" s="39">
        <f t="shared" si="1"/>
        <v>0</v>
      </c>
      <c r="Q11" s="65">
        <f t="shared" si="6"/>
        <v>10635.691440273895</v>
      </c>
      <c r="R11" s="106">
        <f t="shared" si="2"/>
        <v>0</v>
      </c>
      <c r="S11" s="67">
        <f t="shared" si="3"/>
        <v>0</v>
      </c>
      <c r="T11" s="53">
        <f t="shared" si="7"/>
        <v>0.68000968257241745</v>
      </c>
    </row>
    <row r="12" spans="1:20">
      <c r="A12" s="55" t="s">
        <v>88</v>
      </c>
      <c r="B12" s="234" t="s">
        <v>159</v>
      </c>
      <c r="C12" s="55">
        <v>6.8</v>
      </c>
      <c r="D12" s="55">
        <v>2010</v>
      </c>
      <c r="E12" s="55" t="s">
        <v>26</v>
      </c>
      <c r="F12" s="55" t="s">
        <v>2</v>
      </c>
      <c r="G12" s="66">
        <f t="shared" ref="G12:G14" si="8">IF(F12="Diesel",diesel,IF(F12="Fuel Oil",fueloil,IF(F12="Coal",coal,0)))</f>
        <v>11.294960827527854</v>
      </c>
      <c r="H12" s="63"/>
      <c r="I12" s="63"/>
      <c r="J12" s="65">
        <v>16269.67</v>
      </c>
      <c r="K12" s="47"/>
      <c r="L12" s="63"/>
      <c r="M12" s="113">
        <v>16.600000000000001</v>
      </c>
      <c r="N12" s="65">
        <f t="shared" si="5"/>
        <v>980.10060240963844</v>
      </c>
      <c r="O12" s="47">
        <f t="shared" si="0"/>
        <v>0</v>
      </c>
      <c r="P12" s="39">
        <f t="shared" si="1"/>
        <v>0</v>
      </c>
      <c r="Q12" s="65">
        <f t="shared" si="6"/>
        <v>11070.197911253317</v>
      </c>
      <c r="R12" s="106">
        <f t="shared" si="2"/>
        <v>0</v>
      </c>
      <c r="S12" s="67">
        <f t="shared" si="3"/>
        <v>0</v>
      </c>
      <c r="T12" s="53">
        <f t="shared" si="7"/>
        <v>0.68041932695950913</v>
      </c>
    </row>
    <row r="13" spans="1:20">
      <c r="A13" s="55" t="s">
        <v>88</v>
      </c>
      <c r="B13" s="234" t="s">
        <v>160</v>
      </c>
      <c r="C13" s="55">
        <v>6.8</v>
      </c>
      <c r="D13" s="55">
        <v>2010</v>
      </c>
      <c r="E13" s="55" t="s">
        <v>26</v>
      </c>
      <c r="F13" s="55" t="s">
        <v>2</v>
      </c>
      <c r="G13" s="66">
        <f t="shared" si="8"/>
        <v>11.294960827527854</v>
      </c>
      <c r="H13" s="63"/>
      <c r="I13" s="63"/>
      <c r="J13" s="65">
        <v>18234.21</v>
      </c>
      <c r="K13" s="47"/>
      <c r="L13" s="63"/>
      <c r="M13" s="113">
        <v>16.75</v>
      </c>
      <c r="N13" s="65">
        <f t="shared" si="5"/>
        <v>1088.6095522388059</v>
      </c>
      <c r="O13" s="47">
        <f t="shared" si="0"/>
        <v>0</v>
      </c>
      <c r="P13" s="39">
        <f t="shared" si="1"/>
        <v>0</v>
      </c>
      <c r="Q13" s="65">
        <f t="shared" si="6"/>
        <v>12295.80224900995</v>
      </c>
      <c r="R13" s="106">
        <f t="shared" si="2"/>
        <v>0</v>
      </c>
      <c r="S13" s="67">
        <f t="shared" si="3"/>
        <v>0</v>
      </c>
      <c r="T13" s="53">
        <f t="shared" si="7"/>
        <v>0.6743260195539017</v>
      </c>
    </row>
    <row r="14" spans="1:20">
      <c r="A14" s="55" t="s">
        <v>88</v>
      </c>
      <c r="B14" s="234" t="s">
        <v>161</v>
      </c>
      <c r="C14" s="55">
        <v>6.8</v>
      </c>
      <c r="D14" s="55">
        <v>2010</v>
      </c>
      <c r="E14" s="55" t="s">
        <v>26</v>
      </c>
      <c r="F14" s="55" t="s">
        <v>2</v>
      </c>
      <c r="G14" s="66">
        <f t="shared" si="8"/>
        <v>11.294960827527854</v>
      </c>
      <c r="H14" s="63"/>
      <c r="I14" s="63"/>
      <c r="J14" s="65">
        <v>17627.47</v>
      </c>
      <c r="K14" s="47"/>
      <c r="L14" s="63"/>
      <c r="M14" s="113">
        <v>16.68</v>
      </c>
      <c r="N14" s="65">
        <f t="shared" si="5"/>
        <v>1056.8027577937651</v>
      </c>
      <c r="O14" s="47">
        <f t="shared" si="0"/>
        <v>0</v>
      </c>
      <c r="P14" s="39">
        <f t="shared" si="1"/>
        <v>0</v>
      </c>
      <c r="Q14" s="65">
        <f t="shared" si="6"/>
        <v>11936.545751703983</v>
      </c>
      <c r="R14" s="106">
        <f t="shared" si="2"/>
        <v>0</v>
      </c>
      <c r="S14" s="67">
        <f t="shared" si="3"/>
        <v>0</v>
      </c>
      <c r="T14" s="53">
        <f t="shared" si="7"/>
        <v>0.67715592491174181</v>
      </c>
    </row>
    <row r="15" spans="1:20">
      <c r="A15" s="55" t="s">
        <v>88</v>
      </c>
      <c r="B15" s="234" t="s">
        <v>148</v>
      </c>
      <c r="C15" s="55">
        <v>23</v>
      </c>
      <c r="D15" s="55">
        <v>2010</v>
      </c>
      <c r="E15" s="55" t="s">
        <v>28</v>
      </c>
      <c r="F15" s="55" t="s">
        <v>162</v>
      </c>
      <c r="G15" s="66">
        <f>IF(F15="Diesel",diesel,IF(F15="Fuel Oil",fueloil,IF(F15="Coal",coal,0)))</f>
        <v>0</v>
      </c>
      <c r="H15" s="63"/>
      <c r="I15" s="63"/>
      <c r="J15" s="65">
        <v>49712.81</v>
      </c>
      <c r="K15" s="47"/>
      <c r="L15" s="63"/>
      <c r="M15" s="113"/>
      <c r="N15" s="65"/>
      <c r="O15" s="47">
        <f t="shared" si="0"/>
        <v>0</v>
      </c>
      <c r="P15" s="39">
        <f t="shared" si="1"/>
        <v>0</v>
      </c>
      <c r="Q15" s="65">
        <f t="shared" si="6"/>
        <v>0</v>
      </c>
      <c r="R15" s="106">
        <f t="shared" si="2"/>
        <v>0</v>
      </c>
      <c r="S15" s="67">
        <f t="shared" si="3"/>
        <v>0</v>
      </c>
      <c r="T15" s="53">
        <f t="shared" si="7"/>
        <v>0</v>
      </c>
    </row>
    <row r="16" spans="1:20">
      <c r="A16" s="55" t="s">
        <v>88</v>
      </c>
      <c r="B16" s="234" t="s">
        <v>142</v>
      </c>
      <c r="C16" s="55">
        <v>6.8</v>
      </c>
      <c r="D16" s="55">
        <v>2009</v>
      </c>
      <c r="E16" s="55" t="s">
        <v>26</v>
      </c>
      <c r="F16" s="55" t="s">
        <v>2</v>
      </c>
      <c r="G16" s="66">
        <f t="shared" ref="G16:G32" si="9">IF(F16="Diesel",diesel,IF(F16="Fuel Oil",fueloil,IF(F16="Coal",coal,0)))</f>
        <v>11.294960827527854</v>
      </c>
      <c r="H16" s="47"/>
      <c r="I16" s="63">
        <v>29482.400000000001</v>
      </c>
      <c r="J16" s="65">
        <v>15561.87</v>
      </c>
      <c r="K16" s="47"/>
      <c r="L16" s="63">
        <v>1854.34</v>
      </c>
      <c r="M16" s="113">
        <v>16.510000000000002</v>
      </c>
      <c r="N16" s="65">
        <f>J16/M16</f>
        <v>942.57238037552997</v>
      </c>
      <c r="O16" s="47">
        <f t="shared" ref="O16:O32" si="10">$G16*K16</f>
        <v>0</v>
      </c>
      <c r="P16" s="39">
        <f>$G16*L16</f>
        <v>20944.697660917998</v>
      </c>
      <c r="Q16" s="65">
        <f t="shared" si="6"/>
        <v>10646.318113451294</v>
      </c>
      <c r="R16" s="106">
        <f>IF(H16=0,0,(O16+O17)/H16)</f>
        <v>0</v>
      </c>
      <c r="S16" s="67">
        <f>IF(I16=0,0,(P16+P17)/I16)</f>
        <v>0.71499791451271266</v>
      </c>
      <c r="T16" s="53">
        <f>IF(J16=0,0,(Q16+Q17)/J16)</f>
        <v>0.68412845714887049</v>
      </c>
    </row>
    <row r="17" spans="1:20">
      <c r="A17" s="85" t="s">
        <v>88</v>
      </c>
      <c r="B17" s="238" t="s">
        <v>164</v>
      </c>
      <c r="C17" s="85"/>
      <c r="D17" s="85">
        <v>2009</v>
      </c>
      <c r="E17" s="85" t="s">
        <v>26</v>
      </c>
      <c r="F17" s="85" t="s">
        <v>3</v>
      </c>
      <c r="G17" s="96">
        <f t="shared" si="9"/>
        <v>9.6402891520401734</v>
      </c>
      <c r="H17" s="88"/>
      <c r="I17" s="88"/>
      <c r="J17" s="90"/>
      <c r="K17" s="87"/>
      <c r="L17" s="88">
        <v>14.02</v>
      </c>
      <c r="M17" s="235"/>
      <c r="N17" s="90"/>
      <c r="O17" s="87">
        <f t="shared" si="10"/>
        <v>0</v>
      </c>
      <c r="P17" s="89">
        <f t="shared" ref="P17:P32" si="11">$G17*L17</f>
        <v>135.15685391160324</v>
      </c>
      <c r="Q17" s="90">
        <f t="shared" ref="Q17:Q32" si="12">$G17*N17</f>
        <v>0</v>
      </c>
      <c r="R17" s="107"/>
      <c r="S17" s="91"/>
      <c r="T17" s="92"/>
    </row>
    <row r="18" spans="1:20">
      <c r="A18" s="55" t="s">
        <v>88</v>
      </c>
      <c r="B18" s="234" t="s">
        <v>157</v>
      </c>
      <c r="C18" s="55">
        <v>6.8</v>
      </c>
      <c r="D18" s="55">
        <v>2009</v>
      </c>
      <c r="E18" s="55" t="s">
        <v>26</v>
      </c>
      <c r="F18" s="55" t="s">
        <v>2</v>
      </c>
      <c r="G18" s="66">
        <f t="shared" si="9"/>
        <v>11.294960827527854</v>
      </c>
      <c r="H18" s="63"/>
      <c r="I18" s="63">
        <v>29478.95</v>
      </c>
      <c r="J18" s="65">
        <v>15408.67</v>
      </c>
      <c r="K18" s="47"/>
      <c r="L18" s="63">
        <v>1848.91</v>
      </c>
      <c r="M18" s="113">
        <v>16.5</v>
      </c>
      <c r="N18" s="65">
        <f>J18/M18</f>
        <v>933.85878787878789</v>
      </c>
      <c r="O18" s="47">
        <f t="shared" si="10"/>
        <v>0</v>
      </c>
      <c r="P18" s="39">
        <f t="shared" si="11"/>
        <v>20883.366023624527</v>
      </c>
      <c r="Q18" s="65">
        <f t="shared" si="12"/>
        <v>10547.898427533553</v>
      </c>
      <c r="R18" s="106">
        <f>IF(H18=0,0,(O18+O19)/H18)</f>
        <v>0</v>
      </c>
      <c r="S18" s="67">
        <f>IF(I18=0,0,(P18+P19)/I18)</f>
        <v>0.71257266960821053</v>
      </c>
      <c r="T18" s="53">
        <f>IF(J18=0,0,(Q18+Q19)/J18)</f>
        <v>0.68454308045623358</v>
      </c>
    </row>
    <row r="19" spans="1:20">
      <c r="A19" s="85" t="s">
        <v>88</v>
      </c>
      <c r="B19" s="238" t="s">
        <v>165</v>
      </c>
      <c r="C19" s="85"/>
      <c r="D19" s="85">
        <v>2009</v>
      </c>
      <c r="E19" s="85"/>
      <c r="F19" s="85" t="s">
        <v>3</v>
      </c>
      <c r="G19" s="96">
        <f t="shared" si="9"/>
        <v>9.6402891520401734</v>
      </c>
      <c r="H19" s="88"/>
      <c r="I19" s="88"/>
      <c r="J19" s="90"/>
      <c r="K19" s="87"/>
      <c r="L19" s="88">
        <v>12.71</v>
      </c>
      <c r="M19" s="235"/>
      <c r="N19" s="90"/>
      <c r="O19" s="87">
        <f t="shared" si="10"/>
        <v>0</v>
      </c>
      <c r="P19" s="89">
        <f t="shared" si="11"/>
        <v>122.52807512243061</v>
      </c>
      <c r="Q19" s="90">
        <f t="shared" si="12"/>
        <v>0</v>
      </c>
      <c r="R19" s="107"/>
      <c r="S19" s="91"/>
      <c r="T19" s="92"/>
    </row>
    <row r="20" spans="1:20">
      <c r="A20" s="55" t="s">
        <v>88</v>
      </c>
      <c r="B20" s="234" t="s">
        <v>158</v>
      </c>
      <c r="C20" s="55">
        <v>6.8</v>
      </c>
      <c r="D20" s="55">
        <v>2009</v>
      </c>
      <c r="E20" s="55" t="s">
        <v>26</v>
      </c>
      <c r="F20" s="55" t="s">
        <v>2</v>
      </c>
      <c r="G20" s="66">
        <f t="shared" si="9"/>
        <v>11.294960827527854</v>
      </c>
      <c r="H20" s="63"/>
      <c r="I20" s="63">
        <v>30964.92</v>
      </c>
      <c r="J20" s="65">
        <v>12903.04</v>
      </c>
      <c r="K20" s="47"/>
      <c r="L20" s="63">
        <v>1899.16</v>
      </c>
      <c r="M20" s="113">
        <v>16.5</v>
      </c>
      <c r="N20" s="65">
        <f>J20/M20</f>
        <v>782.00242424242424</v>
      </c>
      <c r="O20" s="47">
        <f t="shared" si="10"/>
        <v>0</v>
      </c>
      <c r="P20" s="39">
        <f t="shared" si="11"/>
        <v>21450.937805207799</v>
      </c>
      <c r="Q20" s="65">
        <f t="shared" si="12"/>
        <v>8832.6867488499993</v>
      </c>
      <c r="R20" s="106">
        <f>IF(H20=0,0,(O20+O21)/H20)</f>
        <v>0</v>
      </c>
      <c r="S20" s="67">
        <f>IF(I20=0,0,(P20+P21)/I20)</f>
        <v>0.69643891318496787</v>
      </c>
      <c r="T20" s="53">
        <f>IF(J20=0,0,(Q20+Q21)/J20)</f>
        <v>0.68454308045623347</v>
      </c>
    </row>
    <row r="21" spans="1:20">
      <c r="A21" s="85" t="s">
        <v>88</v>
      </c>
      <c r="B21" s="238" t="s">
        <v>166</v>
      </c>
      <c r="C21" s="85"/>
      <c r="D21" s="85">
        <v>2009</v>
      </c>
      <c r="E21" s="85"/>
      <c r="F21" s="85" t="s">
        <v>3</v>
      </c>
      <c r="G21" s="96">
        <f t="shared" si="9"/>
        <v>9.6402891520401734</v>
      </c>
      <c r="H21" s="88"/>
      <c r="I21" s="88"/>
      <c r="J21" s="90"/>
      <c r="K21" s="87"/>
      <c r="L21" s="88">
        <v>11.85</v>
      </c>
      <c r="M21" s="235"/>
      <c r="N21" s="90"/>
      <c r="O21" s="87">
        <f t="shared" si="10"/>
        <v>0</v>
      </c>
      <c r="P21" s="89">
        <f t="shared" si="11"/>
        <v>114.23742645167606</v>
      </c>
      <c r="Q21" s="90">
        <f t="shared" si="12"/>
        <v>0</v>
      </c>
      <c r="R21" s="107"/>
      <c r="S21" s="91"/>
      <c r="T21" s="92"/>
    </row>
    <row r="22" spans="1:20">
      <c r="A22" s="55" t="s">
        <v>88</v>
      </c>
      <c r="B22" s="234" t="s">
        <v>143</v>
      </c>
      <c r="C22" s="55">
        <v>6.8</v>
      </c>
      <c r="D22" s="55">
        <v>2009</v>
      </c>
      <c r="E22" s="55" t="s">
        <v>26</v>
      </c>
      <c r="F22" s="55" t="s">
        <v>2</v>
      </c>
      <c r="G22" s="66">
        <f t="shared" si="9"/>
        <v>11.294960827527854</v>
      </c>
      <c r="H22" s="63"/>
      <c r="I22" s="63">
        <v>29702.3</v>
      </c>
      <c r="J22" s="65">
        <v>10086.31</v>
      </c>
      <c r="K22" s="47"/>
      <c r="L22" s="63">
        <v>1854.59</v>
      </c>
      <c r="M22" s="113">
        <v>16.489999999999998</v>
      </c>
      <c r="N22" s="65">
        <f>J22/M22</f>
        <v>611.66221952698606</v>
      </c>
      <c r="O22" s="47">
        <f t="shared" si="10"/>
        <v>0</v>
      </c>
      <c r="P22" s="39">
        <f t="shared" si="11"/>
        <v>20947.521401124883</v>
      </c>
      <c r="Q22" s="65">
        <f t="shared" si="12"/>
        <v>6908.7008092360502</v>
      </c>
      <c r="R22" s="106">
        <f>IF(H22=0,0,(O22+O23)/H22)</f>
        <v>0</v>
      </c>
      <c r="S22" s="67">
        <f>IF(I22=0,0,(P22+P23)/I22)</f>
        <v>0.70863758092377305</v>
      </c>
      <c r="T22" s="53">
        <f>IF(J22=0,0,(Q22+Q23)/J22)</f>
        <v>0.68495820664207729</v>
      </c>
    </row>
    <row r="23" spans="1:20">
      <c r="A23" s="85" t="s">
        <v>88</v>
      </c>
      <c r="B23" s="238" t="s">
        <v>167</v>
      </c>
      <c r="C23" s="85"/>
      <c r="D23" s="85">
        <v>2009</v>
      </c>
      <c r="E23" s="85"/>
      <c r="F23" s="85" t="s">
        <v>3</v>
      </c>
      <c r="G23" s="96">
        <f t="shared" si="9"/>
        <v>9.6402891520401734</v>
      </c>
      <c r="H23" s="88"/>
      <c r="I23" s="88"/>
      <c r="J23" s="90"/>
      <c r="K23" s="87"/>
      <c r="L23" s="88">
        <v>10.44</v>
      </c>
      <c r="M23" s="235"/>
      <c r="N23" s="90"/>
      <c r="O23" s="87">
        <f t="shared" si="10"/>
        <v>0</v>
      </c>
      <c r="P23" s="89">
        <f t="shared" si="11"/>
        <v>100.6446187472994</v>
      </c>
      <c r="Q23" s="90">
        <f t="shared" si="12"/>
        <v>0</v>
      </c>
      <c r="R23" s="107"/>
      <c r="S23" s="91"/>
      <c r="T23" s="92"/>
    </row>
    <row r="24" spans="1:20">
      <c r="A24" s="55" t="s">
        <v>88</v>
      </c>
      <c r="B24" s="234" t="s">
        <v>155</v>
      </c>
      <c r="C24" s="55">
        <v>6.8</v>
      </c>
      <c r="D24" s="55">
        <v>2009</v>
      </c>
      <c r="E24" s="55" t="s">
        <v>26</v>
      </c>
      <c r="F24" s="55" t="s">
        <v>2</v>
      </c>
      <c r="G24" s="66">
        <f t="shared" si="9"/>
        <v>11.294960827527854</v>
      </c>
      <c r="H24" s="63"/>
      <c r="I24" s="63">
        <v>29160.21</v>
      </c>
      <c r="J24" s="65">
        <v>12859.91</v>
      </c>
      <c r="K24" s="47"/>
      <c r="L24" s="63">
        <v>1797.84</v>
      </c>
      <c r="M24" s="113">
        <v>16.489999999999998</v>
      </c>
      <c r="N24" s="65">
        <f>J24/M24</f>
        <v>779.86112795633721</v>
      </c>
      <c r="O24" s="47">
        <f t="shared" si="10"/>
        <v>0</v>
      </c>
      <c r="P24" s="39">
        <f t="shared" si="11"/>
        <v>20306.532374162674</v>
      </c>
      <c r="Q24" s="65">
        <f t="shared" si="12"/>
        <v>8808.5008911785153</v>
      </c>
      <c r="R24" s="106">
        <f>IF(H24=0,0,(O24+O25)/H24)</f>
        <v>0</v>
      </c>
      <c r="S24" s="67">
        <f>IF(I24=0,0,(P24+P25)/I24)</f>
        <v>0.700384965632463</v>
      </c>
      <c r="T24" s="53">
        <f>IF(J24=0,0,(Q24+Q25)/J24)</f>
        <v>0.68495820664207718</v>
      </c>
    </row>
    <row r="25" spans="1:20">
      <c r="A25" s="85" t="s">
        <v>88</v>
      </c>
      <c r="B25" s="238" t="s">
        <v>168</v>
      </c>
      <c r="C25" s="85"/>
      <c r="D25" s="85">
        <v>2009</v>
      </c>
      <c r="E25" s="85"/>
      <c r="F25" s="85" t="s">
        <v>3</v>
      </c>
      <c r="G25" s="96">
        <f t="shared" si="9"/>
        <v>9.6402891520401734</v>
      </c>
      <c r="H25" s="88"/>
      <c r="I25" s="88"/>
      <c r="J25" s="90"/>
      <c r="K25" s="87"/>
      <c r="L25" s="88">
        <v>12.12</v>
      </c>
      <c r="M25" s="235"/>
      <c r="N25" s="90"/>
      <c r="O25" s="87">
        <f t="shared" si="10"/>
        <v>0</v>
      </c>
      <c r="P25" s="89">
        <f t="shared" si="11"/>
        <v>116.8403045227269</v>
      </c>
      <c r="Q25" s="90">
        <f t="shared" si="12"/>
        <v>0</v>
      </c>
      <c r="R25" s="107"/>
      <c r="S25" s="91"/>
      <c r="T25" s="92"/>
    </row>
    <row r="26" spans="1:20">
      <c r="A26" s="55" t="s">
        <v>88</v>
      </c>
      <c r="B26" s="234" t="s">
        <v>156</v>
      </c>
      <c r="C26" s="55">
        <v>6.8</v>
      </c>
      <c r="D26" s="55">
        <v>2009</v>
      </c>
      <c r="E26" s="55" t="s">
        <v>26</v>
      </c>
      <c r="F26" s="55" t="s">
        <v>2</v>
      </c>
      <c r="G26" s="66">
        <f t="shared" si="9"/>
        <v>11.294960827527854</v>
      </c>
      <c r="H26" s="63"/>
      <c r="I26" s="63">
        <v>26158.66</v>
      </c>
      <c r="J26" s="65">
        <v>9966.4699999999993</v>
      </c>
      <c r="K26" s="47"/>
      <c r="L26" s="63">
        <v>1658.17</v>
      </c>
      <c r="M26" s="113">
        <v>16.489999999999998</v>
      </c>
      <c r="N26" s="65">
        <f>J26/M26</f>
        <v>604.3947847180109</v>
      </c>
      <c r="O26" s="47">
        <f t="shared" si="10"/>
        <v>0</v>
      </c>
      <c r="P26" s="39">
        <f t="shared" si="11"/>
        <v>18728.965195381861</v>
      </c>
      <c r="Q26" s="65">
        <f t="shared" si="12"/>
        <v>6826.6154177520639</v>
      </c>
      <c r="R26" s="106">
        <f>IF(H26=0,0,(O26+O27)/H26)</f>
        <v>0</v>
      </c>
      <c r="S26" s="67">
        <f>IF(I26=0,0,(P26+P27)/I26)</f>
        <v>0.72184273195501381</v>
      </c>
      <c r="T26" s="53">
        <f>IF(J26=0,0,(Q26+Q27)/J26)</f>
        <v>0.68495820664207729</v>
      </c>
    </row>
    <row r="27" spans="1:20">
      <c r="A27" s="85" t="s">
        <v>88</v>
      </c>
      <c r="B27" s="238" t="s">
        <v>169</v>
      </c>
      <c r="C27" s="85"/>
      <c r="D27" s="85">
        <v>2009</v>
      </c>
      <c r="E27" s="85"/>
      <c r="F27" s="85" t="s">
        <v>3</v>
      </c>
      <c r="G27" s="96">
        <f t="shared" si="9"/>
        <v>9.6402891520401734</v>
      </c>
      <c r="H27" s="88"/>
      <c r="I27" s="88"/>
      <c r="J27" s="90"/>
      <c r="K27" s="87"/>
      <c r="L27" s="88">
        <v>15.92</v>
      </c>
      <c r="M27" s="235"/>
      <c r="N27" s="90"/>
      <c r="O27" s="87">
        <f t="shared" si="10"/>
        <v>0</v>
      </c>
      <c r="P27" s="89">
        <f t="shared" si="11"/>
        <v>153.47340330047956</v>
      </c>
      <c r="Q27" s="90">
        <f t="shared" si="12"/>
        <v>0</v>
      </c>
      <c r="R27" s="107"/>
      <c r="S27" s="91"/>
      <c r="T27" s="92"/>
    </row>
    <row r="28" spans="1:20">
      <c r="A28" s="55" t="s">
        <v>88</v>
      </c>
      <c r="B28" s="234" t="s">
        <v>144</v>
      </c>
      <c r="C28" s="55">
        <v>6.8</v>
      </c>
      <c r="D28" s="55">
        <v>2009</v>
      </c>
      <c r="E28" s="55" t="s">
        <v>26</v>
      </c>
      <c r="F28" s="55" t="s">
        <v>2</v>
      </c>
      <c r="G28" s="66">
        <f t="shared" si="9"/>
        <v>11.294960827527854</v>
      </c>
      <c r="H28" s="63"/>
      <c r="I28" s="63">
        <v>1523.29</v>
      </c>
      <c r="J28" s="65">
        <v>31022.880000000001</v>
      </c>
      <c r="K28" s="47"/>
      <c r="L28" s="63">
        <v>95.07</v>
      </c>
      <c r="M28" s="113">
        <v>16.98</v>
      </c>
      <c r="N28" s="65">
        <f>J28/M28</f>
        <v>1827.0247349823321</v>
      </c>
      <c r="O28" s="47">
        <f t="shared" si="10"/>
        <v>0</v>
      </c>
      <c r="P28" s="39">
        <f t="shared" si="11"/>
        <v>1073.8119258730731</v>
      </c>
      <c r="Q28" s="65">
        <f t="shared" si="12"/>
        <v>20636.172812549899</v>
      </c>
      <c r="R28" s="106">
        <f>IF(H28=0,0,(O28+O29)/H28)</f>
        <v>0</v>
      </c>
      <c r="S28" s="67">
        <f>IF(I28=0,0,(P28+P29)/I28)</f>
        <v>0.80207338350339707</v>
      </c>
      <c r="T28" s="53">
        <f>IF(J28=0,0,(Q28+Q29)/J28)</f>
        <v>0.66519203931259441</v>
      </c>
    </row>
    <row r="29" spans="1:20">
      <c r="A29" s="85" t="s">
        <v>88</v>
      </c>
      <c r="B29" s="238" t="s">
        <v>170</v>
      </c>
      <c r="C29" s="85"/>
      <c r="D29" s="85">
        <v>2009</v>
      </c>
      <c r="E29" s="85"/>
      <c r="F29" s="85" t="s">
        <v>3</v>
      </c>
      <c r="G29" s="96">
        <f t="shared" si="9"/>
        <v>9.6402891520401734</v>
      </c>
      <c r="H29" s="88"/>
      <c r="I29" s="88"/>
      <c r="J29" s="90"/>
      <c r="K29" s="87"/>
      <c r="L29" s="88">
        <v>15.35</v>
      </c>
      <c r="M29" s="235"/>
      <c r="N29" s="90"/>
      <c r="O29" s="87">
        <f t="shared" si="10"/>
        <v>0</v>
      </c>
      <c r="P29" s="89">
        <f t="shared" si="11"/>
        <v>147.97843848381666</v>
      </c>
      <c r="Q29" s="90">
        <f t="shared" si="12"/>
        <v>0</v>
      </c>
      <c r="R29" s="107"/>
      <c r="S29" s="91"/>
      <c r="T29" s="92"/>
    </row>
    <row r="30" spans="1:20">
      <c r="A30" s="55" t="s">
        <v>88</v>
      </c>
      <c r="B30" s="234" t="s">
        <v>154</v>
      </c>
      <c r="C30" s="55">
        <v>6.8</v>
      </c>
      <c r="D30" s="55">
        <v>2009</v>
      </c>
      <c r="E30" s="55" t="s">
        <v>26</v>
      </c>
      <c r="F30" s="55" t="s">
        <v>2</v>
      </c>
      <c r="G30" s="66">
        <f t="shared" si="9"/>
        <v>11.294960827527854</v>
      </c>
      <c r="H30" s="63"/>
      <c r="I30" s="63">
        <v>1827.95</v>
      </c>
      <c r="J30" s="65">
        <v>32588.02</v>
      </c>
      <c r="K30" s="47"/>
      <c r="L30" s="63">
        <v>114.08</v>
      </c>
      <c r="M30" s="113">
        <v>16.38</v>
      </c>
      <c r="N30" s="65">
        <f>J30/M30</f>
        <v>1989.5006105006107</v>
      </c>
      <c r="O30" s="47">
        <f t="shared" si="10"/>
        <v>0</v>
      </c>
      <c r="P30" s="39">
        <f t="shared" si="11"/>
        <v>1288.5291312043776</v>
      </c>
      <c r="Q30" s="65">
        <f t="shared" si="12"/>
        <v>22471.331461947149</v>
      </c>
      <c r="R30" s="106">
        <f>IF(H30=0,0,(O30+O31)/H30)</f>
        <v>0</v>
      </c>
      <c r="S30" s="67">
        <f>IF(I30=0,0,(P30+P31)/I30)</f>
        <v>0.70490392582093464</v>
      </c>
      <c r="T30" s="53">
        <f>IF(J30=0,0,(Q30+Q31)/J30)</f>
        <v>0.68955804807862364</v>
      </c>
    </row>
    <row r="31" spans="1:20">
      <c r="A31" s="85" t="s">
        <v>88</v>
      </c>
      <c r="B31" s="238" t="s">
        <v>171</v>
      </c>
      <c r="C31" s="85"/>
      <c r="D31" s="85">
        <v>2009</v>
      </c>
      <c r="E31" s="85"/>
      <c r="F31" s="85" t="s">
        <v>3</v>
      </c>
      <c r="G31" s="96">
        <f t="shared" si="9"/>
        <v>9.6402891520401734</v>
      </c>
      <c r="H31" s="88"/>
      <c r="I31" s="88"/>
      <c r="J31" s="90"/>
      <c r="K31" s="87"/>
      <c r="L31" s="88">
        <v>0</v>
      </c>
      <c r="M31" s="235"/>
      <c r="N31" s="90"/>
      <c r="O31" s="87">
        <f t="shared" si="10"/>
        <v>0</v>
      </c>
      <c r="P31" s="89">
        <f t="shared" si="11"/>
        <v>0</v>
      </c>
      <c r="Q31" s="90">
        <f t="shared" si="12"/>
        <v>0</v>
      </c>
      <c r="R31" s="107"/>
      <c r="S31" s="91"/>
      <c r="T31" s="92"/>
    </row>
    <row r="32" spans="1:20">
      <c r="A32" s="55" t="s">
        <v>88</v>
      </c>
      <c r="B32" s="234" t="s">
        <v>147</v>
      </c>
      <c r="C32" s="55">
        <v>40</v>
      </c>
      <c r="D32" s="55">
        <v>2009</v>
      </c>
      <c r="E32" s="55" t="s">
        <v>28</v>
      </c>
      <c r="F32" s="55" t="s">
        <v>162</v>
      </c>
      <c r="G32" s="66">
        <f t="shared" si="9"/>
        <v>0</v>
      </c>
      <c r="H32" s="63"/>
      <c r="I32" s="63">
        <v>109845.58</v>
      </c>
      <c r="J32" s="65">
        <v>110583.33</v>
      </c>
      <c r="K32" s="47"/>
      <c r="L32" s="63"/>
      <c r="M32" s="113"/>
      <c r="N32" s="65"/>
      <c r="O32" s="47">
        <f t="shared" si="10"/>
        <v>0</v>
      </c>
      <c r="P32" s="39">
        <f t="shared" si="11"/>
        <v>0</v>
      </c>
      <c r="Q32" s="65">
        <f t="shared" si="12"/>
        <v>0</v>
      </c>
      <c r="R32" s="106">
        <f t="shared" ref="R32" si="13">IF(H32=0,0,O32/H32)</f>
        <v>0</v>
      </c>
      <c r="S32" s="67">
        <f t="shared" ref="S32" si="14">IF(I32=0,0,P32/I32)</f>
        <v>0</v>
      </c>
      <c r="T32" s="53">
        <f t="shared" ref="T32" si="15">IF(J32=0,0,Q32/J32)</f>
        <v>0</v>
      </c>
    </row>
    <row r="33" spans="1:20">
      <c r="A33" s="55" t="s">
        <v>88</v>
      </c>
      <c r="B33" s="57" t="s">
        <v>188</v>
      </c>
      <c r="C33" s="55">
        <v>6.8</v>
      </c>
      <c r="D33" s="55">
        <v>2008</v>
      </c>
      <c r="E33" s="55" t="s">
        <v>26</v>
      </c>
      <c r="F33" s="55" t="s">
        <v>2</v>
      </c>
      <c r="G33" s="66">
        <f t="shared" ref="G33:G64" si="16">IF(F33="Diesel",diesel,IF(F33="Fuel Oil",fueloil,IF(F33="Coal",coal,0)))</f>
        <v>11.294960827527854</v>
      </c>
      <c r="H33" s="47">
        <v>16130.27</v>
      </c>
      <c r="I33" s="63">
        <f>7105.99+25709.05</f>
        <v>32815.040000000001</v>
      </c>
      <c r="J33" s="65">
        <v>15173.71</v>
      </c>
      <c r="K33" s="47">
        <v>997.41</v>
      </c>
      <c r="L33" s="63">
        <f>450.15+1630.9</f>
        <v>2081.0500000000002</v>
      </c>
      <c r="M33" s="113">
        <v>16.399999999999999</v>
      </c>
      <c r="N33" s="65">
        <f>J33/M33</f>
        <v>925.22621951219514</v>
      </c>
      <c r="O33" s="47">
        <f t="shared" ref="O33:O64" si="17">$G33*K33</f>
        <v>11265.706878984556</v>
      </c>
      <c r="P33" s="39">
        <f t="shared" ref="P33:P64" si="18">$G33*L33</f>
        <v>23505.378230126844</v>
      </c>
      <c r="Q33" s="65">
        <f>$G33*N33</f>
        <v>10450.393905991932</v>
      </c>
      <c r="R33" s="106">
        <f>IF(H33=0,0,(O33+O34)/H33)</f>
        <v>0.7212744446409497</v>
      </c>
      <c r="S33" s="67">
        <f>IF(I33=0,0,(P33+P34)/I33)</f>
        <v>0.72231254172078119</v>
      </c>
      <c r="T33" s="53">
        <f>IF(J33=0,0,(Q33+Q34)/J33)</f>
        <v>0.68871712362974724</v>
      </c>
    </row>
    <row r="34" spans="1:20">
      <c r="A34" s="85" t="s">
        <v>88</v>
      </c>
      <c r="B34" s="85" t="s">
        <v>189</v>
      </c>
      <c r="C34" s="85"/>
      <c r="D34" s="85">
        <v>2008</v>
      </c>
      <c r="E34" s="85" t="s">
        <v>26</v>
      </c>
      <c r="F34" s="85" t="s">
        <v>3</v>
      </c>
      <c r="G34" s="96">
        <f t="shared" si="16"/>
        <v>9.6402891520401734</v>
      </c>
      <c r="H34" s="87"/>
      <c r="I34" s="88"/>
      <c r="J34" s="90"/>
      <c r="K34" s="87">
        <v>38.24</v>
      </c>
      <c r="L34" s="86">
        <f>4.37+16.1</f>
        <v>20.470000000000002</v>
      </c>
      <c r="M34" s="235"/>
      <c r="N34" s="90"/>
      <c r="O34" s="87">
        <f t="shared" si="17"/>
        <v>368.64465717401623</v>
      </c>
      <c r="P34" s="89">
        <f t="shared" si="18"/>
        <v>197.33671894226237</v>
      </c>
      <c r="Q34" s="90">
        <f t="shared" ref="Q34:Q64" si="19">$G34*N34</f>
        <v>0</v>
      </c>
      <c r="R34" s="107"/>
      <c r="S34" s="91"/>
      <c r="T34" s="92"/>
    </row>
    <row r="35" spans="1:20">
      <c r="A35" s="55" t="s">
        <v>88</v>
      </c>
      <c r="B35" s="58" t="s">
        <v>190</v>
      </c>
      <c r="C35" s="56">
        <v>6.8</v>
      </c>
      <c r="D35" s="55">
        <v>2008</v>
      </c>
      <c r="E35" s="55" t="s">
        <v>26</v>
      </c>
      <c r="F35" s="55" t="s">
        <v>2</v>
      </c>
      <c r="G35" s="66">
        <f t="shared" si="16"/>
        <v>11.294960827527854</v>
      </c>
      <c r="H35" s="47">
        <v>17472.28</v>
      </c>
      <c r="I35" s="82">
        <f>6859.1+26715.89</f>
        <v>33574.99</v>
      </c>
      <c r="J35" s="65">
        <v>15257.08</v>
      </c>
      <c r="K35" s="47">
        <v>1061.08</v>
      </c>
      <c r="L35" s="79">
        <f>428.92+1666.28</f>
        <v>2095.1999999999998</v>
      </c>
      <c r="M35" s="236">
        <v>16.36</v>
      </c>
      <c r="N35" s="65">
        <f>J35/M35</f>
        <v>932.58435207823959</v>
      </c>
      <c r="O35" s="47">
        <f t="shared" si="17"/>
        <v>11984.857034873254</v>
      </c>
      <c r="P35" s="39">
        <f t="shared" si="18"/>
        <v>23665.201925836358</v>
      </c>
      <c r="Q35" s="65">
        <f t="shared" si="19"/>
        <v>10533.50372508916</v>
      </c>
      <c r="R35" s="106">
        <f>IF(H35=0,0,(O35+O36)/H35)</f>
        <v>0.7085571482432117</v>
      </c>
      <c r="S35" s="67">
        <f>IF(I35=0,0,(P35+P36)/I35)</f>
        <v>0.71028719309425026</v>
      </c>
      <c r="T35" s="53">
        <f>IF(J35=0,0,(Q35+Q36)/J35)</f>
        <v>0.69040102857749719</v>
      </c>
    </row>
    <row r="36" spans="1:20">
      <c r="A36" s="85" t="s">
        <v>88</v>
      </c>
      <c r="B36" s="101" t="s">
        <v>191</v>
      </c>
      <c r="C36" s="101"/>
      <c r="D36" s="85">
        <v>2008</v>
      </c>
      <c r="E36" s="85" t="s">
        <v>26</v>
      </c>
      <c r="F36" s="85" t="s">
        <v>3</v>
      </c>
      <c r="G36" s="96">
        <f t="shared" si="16"/>
        <v>9.6402891520401734</v>
      </c>
      <c r="H36" s="87"/>
      <c r="I36" s="93"/>
      <c r="J36" s="90"/>
      <c r="K36" s="87">
        <v>41</v>
      </c>
      <c r="L36" s="86">
        <f>4.13+14.82</f>
        <v>18.95</v>
      </c>
      <c r="M36" s="235"/>
      <c r="N36" s="90"/>
      <c r="O36" s="87">
        <f t="shared" si="17"/>
        <v>395.25185523364712</v>
      </c>
      <c r="P36" s="89">
        <f t="shared" si="18"/>
        <v>182.68347943116129</v>
      </c>
      <c r="Q36" s="90">
        <f t="shared" si="19"/>
        <v>0</v>
      </c>
      <c r="R36" s="107"/>
      <c r="S36" s="91"/>
      <c r="T36" s="92"/>
    </row>
    <row r="37" spans="1:20">
      <c r="A37" s="55" t="s">
        <v>88</v>
      </c>
      <c r="B37" s="58" t="s">
        <v>192</v>
      </c>
      <c r="C37" s="56">
        <v>6.8</v>
      </c>
      <c r="D37" s="55">
        <v>2008</v>
      </c>
      <c r="E37" s="55" t="s">
        <v>26</v>
      </c>
      <c r="F37" s="55" t="s">
        <v>2</v>
      </c>
      <c r="G37" s="66">
        <f t="shared" si="16"/>
        <v>11.294960827527854</v>
      </c>
      <c r="H37" s="47">
        <v>15024.89</v>
      </c>
      <c r="I37" s="82">
        <f>8327.15+24232.51</f>
        <v>32559.659999999996</v>
      </c>
      <c r="J37" s="65">
        <v>14498.4</v>
      </c>
      <c r="K37" s="47">
        <v>927.3</v>
      </c>
      <c r="L37" s="79">
        <f>528.23+1523.5</f>
        <v>2051.73</v>
      </c>
      <c r="M37" s="236">
        <v>16.329999999999998</v>
      </c>
      <c r="N37" s="65">
        <f>J37/M37</f>
        <v>887.8383343539499</v>
      </c>
      <c r="O37" s="47">
        <f t="shared" si="17"/>
        <v>10473.817175366579</v>
      </c>
      <c r="P37" s="39">
        <f t="shared" si="18"/>
        <v>23174.209978663723</v>
      </c>
      <c r="Q37" s="65">
        <f t="shared" si="19"/>
        <v>10028.099207705442</v>
      </c>
      <c r="R37" s="106">
        <f>IF(H37=0,0,(O37+O38)/H37)</f>
        <v>0.72235839059603113</v>
      </c>
      <c r="S37" s="67">
        <f>IF(I37=0,0,(P37+P38)/I37)</f>
        <v>0.71797856812123251</v>
      </c>
      <c r="T37" s="53">
        <f>IF(J37=0,0,(Q37+Q38)/J37)</f>
        <v>0.69166937094475545</v>
      </c>
    </row>
    <row r="38" spans="1:20">
      <c r="A38" s="85" t="s">
        <v>88</v>
      </c>
      <c r="B38" s="101" t="s">
        <v>193</v>
      </c>
      <c r="C38" s="101"/>
      <c r="D38" s="85">
        <v>2008</v>
      </c>
      <c r="E38" s="85" t="s">
        <v>26</v>
      </c>
      <c r="F38" s="85" t="s">
        <v>3</v>
      </c>
      <c r="G38" s="96">
        <f t="shared" si="16"/>
        <v>9.6402891520401734</v>
      </c>
      <c r="H38" s="87"/>
      <c r="I38" s="93"/>
      <c r="J38" s="90"/>
      <c r="K38" s="87">
        <v>39.369999999999997</v>
      </c>
      <c r="L38" s="86">
        <f>2.99+18.06</f>
        <v>21.049999999999997</v>
      </c>
      <c r="M38" s="235"/>
      <c r="N38" s="90"/>
      <c r="O38" s="87">
        <f t="shared" si="17"/>
        <v>379.53818391582161</v>
      </c>
      <c r="P38" s="89">
        <f t="shared" si="18"/>
        <v>202.92808665044564</v>
      </c>
      <c r="Q38" s="90">
        <f t="shared" si="19"/>
        <v>0</v>
      </c>
      <c r="R38" s="107"/>
      <c r="S38" s="91"/>
      <c r="T38" s="92"/>
    </row>
    <row r="39" spans="1:20">
      <c r="A39" s="55" t="s">
        <v>88</v>
      </c>
      <c r="B39" s="57" t="s">
        <v>194</v>
      </c>
      <c r="C39" s="55">
        <v>6.8</v>
      </c>
      <c r="D39" s="55">
        <v>2008</v>
      </c>
      <c r="E39" s="55" t="s">
        <v>26</v>
      </c>
      <c r="F39" s="55" t="s">
        <v>2</v>
      </c>
      <c r="G39" s="66">
        <f t="shared" si="16"/>
        <v>11.294960827527854</v>
      </c>
      <c r="H39" s="47">
        <v>15385.06</v>
      </c>
      <c r="I39" s="63">
        <f>7202.59+24287.22</f>
        <v>31489.81</v>
      </c>
      <c r="J39" s="65">
        <v>18034.009999999998</v>
      </c>
      <c r="K39" s="77">
        <v>924.55</v>
      </c>
      <c r="L39" s="79">
        <f>448.56+1526.38</f>
        <v>1974.94</v>
      </c>
      <c r="M39" s="236">
        <v>16.45</v>
      </c>
      <c r="N39" s="65">
        <f>J39/M39</f>
        <v>1096.2924012158055</v>
      </c>
      <c r="O39" s="47">
        <f t="shared" si="17"/>
        <v>10442.756033090876</v>
      </c>
      <c r="P39" s="39">
        <f t="shared" si="18"/>
        <v>22306.86993671786</v>
      </c>
      <c r="Q39" s="65">
        <f t="shared" si="19"/>
        <v>12382.579727248973</v>
      </c>
      <c r="R39" s="106">
        <f>IF(H39=0,0,(O39+O40)/H39)</f>
        <v>0.6963920693081006</v>
      </c>
      <c r="S39" s="67">
        <f>IF(I39=0,0,(P39+P40)/I39)</f>
        <v>0.71473003904563581</v>
      </c>
      <c r="T39" s="53">
        <f>IF(J39=0,0,(Q39+Q40)/J39)</f>
        <v>0.68662375851233159</v>
      </c>
    </row>
    <row r="40" spans="1:20">
      <c r="A40" s="85" t="s">
        <v>88</v>
      </c>
      <c r="B40" s="85" t="s">
        <v>195</v>
      </c>
      <c r="C40" s="85"/>
      <c r="D40" s="85">
        <v>2008</v>
      </c>
      <c r="E40" s="85" t="s">
        <v>26</v>
      </c>
      <c r="F40" s="85" t="s">
        <v>3</v>
      </c>
      <c r="G40" s="96">
        <f t="shared" si="16"/>
        <v>9.6402891520401734</v>
      </c>
      <c r="H40" s="87"/>
      <c r="I40" s="88"/>
      <c r="J40" s="90"/>
      <c r="K40" s="87">
        <v>28.14</v>
      </c>
      <c r="L40" s="86">
        <f>4.22+16.51</f>
        <v>20.73</v>
      </c>
      <c r="M40" s="235"/>
      <c r="N40" s="90"/>
      <c r="O40" s="87">
        <f t="shared" si="17"/>
        <v>271.27773673841051</v>
      </c>
      <c r="P40" s="89">
        <f t="shared" si="18"/>
        <v>199.84319412179281</v>
      </c>
      <c r="Q40" s="90">
        <f t="shared" si="19"/>
        <v>0</v>
      </c>
      <c r="R40" s="107"/>
      <c r="S40" s="91"/>
      <c r="T40" s="92"/>
    </row>
    <row r="41" spans="1:20">
      <c r="A41" s="55" t="s">
        <v>88</v>
      </c>
      <c r="B41" s="58" t="s">
        <v>196</v>
      </c>
      <c r="C41" s="56">
        <v>6.8</v>
      </c>
      <c r="D41" s="55">
        <v>2008</v>
      </c>
      <c r="E41" s="55" t="s">
        <v>26</v>
      </c>
      <c r="F41" s="55" t="s">
        <v>2</v>
      </c>
      <c r="G41" s="66">
        <f t="shared" si="16"/>
        <v>11.294960827527854</v>
      </c>
      <c r="H41" s="47">
        <v>14408.54</v>
      </c>
      <c r="I41" s="82">
        <f>6979.42+24760.5</f>
        <v>31739.919999999998</v>
      </c>
      <c r="J41" s="65">
        <v>13235.44</v>
      </c>
      <c r="K41" s="47">
        <v>864.55</v>
      </c>
      <c r="L41" s="79">
        <f>425.94+1557.67</f>
        <v>1983.6100000000001</v>
      </c>
      <c r="M41" s="236">
        <v>16.43</v>
      </c>
      <c r="N41" s="65">
        <f>J41/M41</f>
        <v>805.56542909312236</v>
      </c>
      <c r="O41" s="47">
        <f t="shared" si="17"/>
        <v>9765.0583834392055</v>
      </c>
      <c r="P41" s="39">
        <f t="shared" si="18"/>
        <v>22404.797247092527</v>
      </c>
      <c r="Q41" s="65">
        <f t="shared" si="19"/>
        <v>9098.829965617484</v>
      </c>
      <c r="R41" s="106">
        <f>IF(H41=0,0,(O41+O42)/H41)</f>
        <v>0.69747131328475398</v>
      </c>
      <c r="S41" s="67">
        <f>IF(I41=0,0,(P41+P42)/I41)</f>
        <v>0.71110505050814798</v>
      </c>
      <c r="T41" s="53">
        <f>IF(J41=0,0,(Q41+Q42)/J41)</f>
        <v>0.68745957562555404</v>
      </c>
    </row>
    <row r="42" spans="1:20">
      <c r="A42" s="85" t="s">
        <v>88</v>
      </c>
      <c r="B42" s="101" t="s">
        <v>197</v>
      </c>
      <c r="C42" s="101"/>
      <c r="D42" s="85">
        <v>2008</v>
      </c>
      <c r="E42" s="85" t="s">
        <v>26</v>
      </c>
      <c r="F42" s="85" t="s">
        <v>3</v>
      </c>
      <c r="G42" s="96">
        <f t="shared" si="16"/>
        <v>9.6402891520401734</v>
      </c>
      <c r="H42" s="87"/>
      <c r="I42" s="93"/>
      <c r="J42" s="90"/>
      <c r="K42" s="87">
        <v>29.51</v>
      </c>
      <c r="L42" s="86">
        <f>4.55+12.63</f>
        <v>17.18</v>
      </c>
      <c r="M42" s="235"/>
      <c r="N42" s="90"/>
      <c r="O42" s="87">
        <f t="shared" si="17"/>
        <v>284.48493287670556</v>
      </c>
      <c r="P42" s="89">
        <f t="shared" si="18"/>
        <v>165.62016763205017</v>
      </c>
      <c r="Q42" s="90">
        <f t="shared" si="19"/>
        <v>0</v>
      </c>
      <c r="R42" s="107"/>
      <c r="S42" s="91"/>
      <c r="T42" s="92"/>
    </row>
    <row r="43" spans="1:20">
      <c r="A43" s="55" t="s">
        <v>88</v>
      </c>
      <c r="B43" s="58" t="s">
        <v>198</v>
      </c>
      <c r="C43" s="56">
        <v>6.8</v>
      </c>
      <c r="D43" s="55">
        <v>2008</v>
      </c>
      <c r="E43" s="55" t="s">
        <v>26</v>
      </c>
      <c r="F43" s="55" t="s">
        <v>2</v>
      </c>
      <c r="G43" s="66">
        <f t="shared" si="16"/>
        <v>11.294960827527854</v>
      </c>
      <c r="H43" s="49">
        <v>15485.3</v>
      </c>
      <c r="I43" s="82">
        <f>7020.79+23790.84</f>
        <v>30811.63</v>
      </c>
      <c r="J43" s="83">
        <v>12938.57</v>
      </c>
      <c r="K43" s="47">
        <v>958.58</v>
      </c>
      <c r="L43" s="63">
        <f>435.85+1503.66</f>
        <v>1939.5100000000002</v>
      </c>
      <c r="M43" s="113">
        <v>16.440000000000001</v>
      </c>
      <c r="N43" s="65">
        <f>J43/M43</f>
        <v>787.01763990267636</v>
      </c>
      <c r="O43" s="47">
        <f t="shared" si="17"/>
        <v>10827.12355005165</v>
      </c>
      <c r="P43" s="39">
        <f t="shared" si="18"/>
        <v>21906.689474598552</v>
      </c>
      <c r="Q43" s="65">
        <f t="shared" si="19"/>
        <v>8889.3334132741511</v>
      </c>
      <c r="R43" s="106">
        <f>IF(H43=0,0,(O43+O44)/H43)</f>
        <v>0.71624492084864688</v>
      </c>
      <c r="S43" s="67">
        <f>IF(I43=0,0,(P43+P44)/I43)</f>
        <v>0.71732346941487235</v>
      </c>
      <c r="T43" s="53">
        <f>IF(J43=0,0,(Q43+Q44)/J43)</f>
        <v>0.68704141286665765</v>
      </c>
    </row>
    <row r="44" spans="1:20">
      <c r="A44" s="85" t="s">
        <v>88</v>
      </c>
      <c r="B44" s="101" t="s">
        <v>199</v>
      </c>
      <c r="C44" s="101"/>
      <c r="D44" s="85">
        <v>2008</v>
      </c>
      <c r="E44" s="85" t="s">
        <v>26</v>
      </c>
      <c r="F44" s="85" t="s">
        <v>3</v>
      </c>
      <c r="G44" s="96">
        <f t="shared" si="16"/>
        <v>9.6402891520401734</v>
      </c>
      <c r="H44" s="94"/>
      <c r="I44" s="93"/>
      <c r="J44" s="95"/>
      <c r="K44" s="87">
        <v>27.4</v>
      </c>
      <c r="L44" s="88">
        <f>4.24+16.01</f>
        <v>20.25</v>
      </c>
      <c r="M44" s="235"/>
      <c r="N44" s="90"/>
      <c r="O44" s="87">
        <f t="shared" si="17"/>
        <v>264.14392276590075</v>
      </c>
      <c r="P44" s="89">
        <f t="shared" si="18"/>
        <v>195.21585532881352</v>
      </c>
      <c r="Q44" s="90">
        <f t="shared" si="19"/>
        <v>0</v>
      </c>
      <c r="R44" s="107"/>
      <c r="S44" s="91"/>
      <c r="T44" s="92"/>
    </row>
    <row r="45" spans="1:20">
      <c r="A45" s="55" t="s">
        <v>88</v>
      </c>
      <c r="B45" s="57" t="s">
        <v>200</v>
      </c>
      <c r="C45" s="55">
        <v>6.8</v>
      </c>
      <c r="D45" s="55">
        <v>2008</v>
      </c>
      <c r="E45" s="55" t="s">
        <v>26</v>
      </c>
      <c r="F45" s="55" t="s">
        <v>2</v>
      </c>
      <c r="G45" s="66">
        <f t="shared" si="16"/>
        <v>11.294960827527854</v>
      </c>
      <c r="H45" s="49">
        <v>5886.26</v>
      </c>
      <c r="I45" s="63">
        <f>7075.97+28022.62</f>
        <v>35098.589999999997</v>
      </c>
      <c r="J45" s="83">
        <v>19685.72</v>
      </c>
      <c r="K45" s="47">
        <v>297.14999999999998</v>
      </c>
      <c r="L45" s="63">
        <f>447.02+1768.52</f>
        <v>2215.54</v>
      </c>
      <c r="M45" s="113">
        <v>16.36</v>
      </c>
      <c r="N45" s="65">
        <f>J45/M45</f>
        <v>1203.2836185819071</v>
      </c>
      <c r="O45" s="47">
        <f t="shared" si="17"/>
        <v>3356.2976098999015</v>
      </c>
      <c r="P45" s="39">
        <f t="shared" si="18"/>
        <v>25024.437511821063</v>
      </c>
      <c r="Q45" s="65">
        <f t="shared" si="19"/>
        <v>13591.041336288608</v>
      </c>
      <c r="R45" s="106">
        <f>IF(H45=0,0,(O45+O46)/H45)</f>
        <v>0.69824843256973401</v>
      </c>
      <c r="S45" s="67">
        <f>IF(I45=0,0,(P45+P46)/I45)</f>
        <v>0.7179332483446027</v>
      </c>
      <c r="T45" s="53">
        <f>IF(J45=0,0,(Q45+Q46)/J45)</f>
        <v>0.69040102857749719</v>
      </c>
    </row>
    <row r="46" spans="1:20">
      <c r="A46" s="85" t="s">
        <v>88</v>
      </c>
      <c r="B46" s="85" t="s">
        <v>201</v>
      </c>
      <c r="C46" s="85"/>
      <c r="D46" s="85">
        <v>2008</v>
      </c>
      <c r="E46" s="85" t="s">
        <v>26</v>
      </c>
      <c r="F46" s="85" t="s">
        <v>3</v>
      </c>
      <c r="G46" s="96">
        <f t="shared" si="16"/>
        <v>9.6402891520401734</v>
      </c>
      <c r="H46" s="94"/>
      <c r="I46" s="88"/>
      <c r="J46" s="95"/>
      <c r="K46" s="87">
        <v>78.19</v>
      </c>
      <c r="L46" s="88">
        <f>4.69+13.36</f>
        <v>18.05</v>
      </c>
      <c r="M46" s="235"/>
      <c r="N46" s="90"/>
      <c r="O46" s="87">
        <f t="shared" si="17"/>
        <v>753.77420879802116</v>
      </c>
      <c r="P46" s="89">
        <f t="shared" si="18"/>
        <v>174.00721919432513</v>
      </c>
      <c r="Q46" s="90">
        <f t="shared" si="19"/>
        <v>0</v>
      </c>
      <c r="R46" s="107"/>
      <c r="S46" s="91"/>
      <c r="T46" s="92"/>
    </row>
    <row r="47" spans="1:20">
      <c r="A47" s="55" t="s">
        <v>88</v>
      </c>
      <c r="B47" s="57" t="s">
        <v>202</v>
      </c>
      <c r="C47" s="55">
        <v>6.8</v>
      </c>
      <c r="D47" s="55">
        <v>2008</v>
      </c>
      <c r="E47" s="55" t="s">
        <v>26</v>
      </c>
      <c r="F47" s="55" t="s">
        <v>2</v>
      </c>
      <c r="G47" s="66">
        <f t="shared" si="16"/>
        <v>11.294960827527854</v>
      </c>
      <c r="H47" s="49">
        <v>5988.31</v>
      </c>
      <c r="I47" s="63">
        <f>7367.25+25988.23</f>
        <v>33355.479999999996</v>
      </c>
      <c r="J47" s="83">
        <v>19051.240000000002</v>
      </c>
      <c r="K47" s="47">
        <v>307.37</v>
      </c>
      <c r="L47" s="63">
        <f>462+1598.42</f>
        <v>2060.42</v>
      </c>
      <c r="M47" s="113">
        <v>16.45</v>
      </c>
      <c r="N47" s="84">
        <f>J47/M47</f>
        <v>1158.1300911854105</v>
      </c>
      <c r="O47" s="47">
        <f t="shared" si="17"/>
        <v>3471.7321095572365</v>
      </c>
      <c r="P47" s="39">
        <f t="shared" si="18"/>
        <v>23272.363188254942</v>
      </c>
      <c r="Q47" s="65">
        <f t="shared" si="19"/>
        <v>13081.034013120474</v>
      </c>
      <c r="R47" s="106">
        <f>IF(H47=0,0,(O47+O48)/H47)</f>
        <v>0.69805954590538366</v>
      </c>
      <c r="S47" s="67">
        <f>IF(I47=0,0,(P47+P48)/I47)</f>
        <v>0.70270443680299965</v>
      </c>
      <c r="T47" s="53">
        <f>IF(J47=0,0,(Q47+Q48)/J47)</f>
        <v>0.68662375851233159</v>
      </c>
    </row>
    <row r="48" spans="1:20">
      <c r="A48" s="85" t="s">
        <v>88</v>
      </c>
      <c r="B48" s="85" t="s">
        <v>203</v>
      </c>
      <c r="C48" s="85"/>
      <c r="D48" s="85">
        <v>2008</v>
      </c>
      <c r="E48" s="85" t="s">
        <v>26</v>
      </c>
      <c r="F48" s="85" t="s">
        <v>3</v>
      </c>
      <c r="G48" s="96">
        <f t="shared" si="16"/>
        <v>9.6402891520401734</v>
      </c>
      <c r="H48" s="94"/>
      <c r="I48" s="88"/>
      <c r="J48" s="95"/>
      <c r="K48" s="87">
        <v>73.489999999999995</v>
      </c>
      <c r="L48" s="88">
        <f>3.47+13.82</f>
        <v>17.29</v>
      </c>
      <c r="M48" s="235"/>
      <c r="N48" s="90"/>
      <c r="O48" s="87">
        <f t="shared" si="17"/>
        <v>708.46484978343233</v>
      </c>
      <c r="P48" s="89">
        <f t="shared" si="18"/>
        <v>166.68059943877458</v>
      </c>
      <c r="Q48" s="90">
        <f t="shared" si="19"/>
        <v>0</v>
      </c>
      <c r="R48" s="107"/>
      <c r="S48" s="91"/>
      <c r="T48" s="92"/>
    </row>
    <row r="49" spans="1:20">
      <c r="A49" s="55" t="s">
        <v>88</v>
      </c>
      <c r="B49" s="57" t="s">
        <v>204</v>
      </c>
      <c r="C49" s="55">
        <v>6.8</v>
      </c>
      <c r="D49" s="55">
        <v>2008</v>
      </c>
      <c r="E49" s="55" t="s">
        <v>26</v>
      </c>
      <c r="F49" s="55" t="s">
        <v>2</v>
      </c>
      <c r="G49" s="66">
        <f t="shared" si="16"/>
        <v>11.294960827527854</v>
      </c>
      <c r="H49" s="49">
        <v>6110.84</v>
      </c>
      <c r="I49" s="63">
        <f>7707.04+26020.49</f>
        <v>33727.53</v>
      </c>
      <c r="J49" s="83">
        <v>18998.88</v>
      </c>
      <c r="K49" s="47">
        <v>318.83999999999997</v>
      </c>
      <c r="L49" s="63">
        <f>486.57+1644.04</f>
        <v>2130.61</v>
      </c>
      <c r="M49" s="113">
        <v>16.41</v>
      </c>
      <c r="N49" s="84">
        <f>J49/M49</f>
        <v>1157.762340036563</v>
      </c>
      <c r="O49" s="47">
        <f t="shared" si="17"/>
        <v>3601.2853102489807</v>
      </c>
      <c r="P49" s="39">
        <f t="shared" si="18"/>
        <v>24065.156488739121</v>
      </c>
      <c r="Q49" s="65">
        <f t="shared" si="19"/>
        <v>13076.880278299963</v>
      </c>
      <c r="R49" s="106">
        <f>IF(H49=0,0,(O49+O50)/H49)</f>
        <v>0.70108256700871019</v>
      </c>
      <c r="S49" s="67">
        <f>IF(I49=0,0,(P49+P50)/I49)</f>
        <v>0.71875309534983733</v>
      </c>
      <c r="T49" s="53">
        <f>IF(J49=0,0,(Q49+Q50)/J49)</f>
        <v>0.68829743007482347</v>
      </c>
    </row>
    <row r="50" spans="1:20">
      <c r="A50" s="85" t="s">
        <v>88</v>
      </c>
      <c r="B50" s="85" t="s">
        <v>205</v>
      </c>
      <c r="C50" s="85"/>
      <c r="D50" s="85">
        <v>2008</v>
      </c>
      <c r="E50" s="85" t="s">
        <v>26</v>
      </c>
      <c r="F50" s="85" t="s">
        <v>3</v>
      </c>
      <c r="G50" s="96">
        <f t="shared" si="16"/>
        <v>9.6402891520401734</v>
      </c>
      <c r="H50" s="94"/>
      <c r="I50" s="88"/>
      <c r="J50" s="95"/>
      <c r="K50" s="87">
        <v>70.84</v>
      </c>
      <c r="L50" s="88">
        <f>4.78+13.54</f>
        <v>18.32</v>
      </c>
      <c r="M50" s="235"/>
      <c r="N50" s="90"/>
      <c r="O50" s="87">
        <f t="shared" si="17"/>
        <v>682.91808353052591</v>
      </c>
      <c r="P50" s="89">
        <f t="shared" si="18"/>
        <v>176.61009726537597</v>
      </c>
      <c r="Q50" s="90">
        <f t="shared" si="19"/>
        <v>0</v>
      </c>
      <c r="R50" s="107"/>
      <c r="S50" s="91"/>
      <c r="T50" s="92"/>
    </row>
    <row r="51" spans="1:20">
      <c r="A51" s="55" t="s">
        <v>88</v>
      </c>
      <c r="B51" s="55" t="s">
        <v>86</v>
      </c>
      <c r="C51" s="55">
        <v>0.45</v>
      </c>
      <c r="D51" s="55">
        <v>2007</v>
      </c>
      <c r="E51" s="55" t="s">
        <v>25</v>
      </c>
      <c r="F51" s="55" t="s">
        <v>91</v>
      </c>
      <c r="G51" s="66">
        <f t="shared" si="16"/>
        <v>0</v>
      </c>
      <c r="H51" s="47">
        <v>1614.63</v>
      </c>
      <c r="I51" s="63">
        <v>1419.52</v>
      </c>
      <c r="J51" s="65">
        <v>1507.14</v>
      </c>
      <c r="K51" s="46"/>
      <c r="M51" s="113"/>
      <c r="N51" s="52"/>
      <c r="O51" s="47">
        <f t="shared" si="17"/>
        <v>0</v>
      </c>
      <c r="P51" s="39">
        <f t="shared" si="18"/>
        <v>0</v>
      </c>
      <c r="Q51" s="65">
        <f t="shared" si="19"/>
        <v>0</v>
      </c>
      <c r="R51" s="106">
        <f t="shared" ref="R51:T58" si="20">IF(H51=0,0,O51/H51)</f>
        <v>0</v>
      </c>
      <c r="S51" s="67">
        <f t="shared" si="20"/>
        <v>0</v>
      </c>
      <c r="T51" s="53">
        <f t="shared" si="20"/>
        <v>0</v>
      </c>
    </row>
    <row r="52" spans="1:20">
      <c r="A52" s="55" t="s">
        <v>88</v>
      </c>
      <c r="B52" s="55" t="s">
        <v>87</v>
      </c>
      <c r="C52" s="55">
        <v>0.45</v>
      </c>
      <c r="D52" s="55">
        <v>2007</v>
      </c>
      <c r="E52" s="55" t="s">
        <v>25</v>
      </c>
      <c r="F52" s="55" t="s">
        <v>91</v>
      </c>
      <c r="G52" s="66">
        <f t="shared" si="16"/>
        <v>0</v>
      </c>
      <c r="H52" s="47">
        <v>2070.23</v>
      </c>
      <c r="I52" s="63">
        <v>1675.79</v>
      </c>
      <c r="J52" s="65">
        <v>1883.93</v>
      </c>
      <c r="K52" s="46"/>
      <c r="M52" s="113"/>
      <c r="N52" s="52"/>
      <c r="O52" s="47">
        <f t="shared" si="17"/>
        <v>0</v>
      </c>
      <c r="P52" s="39">
        <f t="shared" si="18"/>
        <v>0</v>
      </c>
      <c r="Q52" s="65">
        <f t="shared" si="19"/>
        <v>0</v>
      </c>
      <c r="R52" s="106">
        <f t="shared" si="20"/>
        <v>0</v>
      </c>
      <c r="S52" s="67">
        <f t="shared" si="20"/>
        <v>0</v>
      </c>
      <c r="T52" s="53">
        <f t="shared" si="20"/>
        <v>0</v>
      </c>
    </row>
    <row r="53" spans="1:20">
      <c r="A53" s="55" t="s">
        <v>88</v>
      </c>
      <c r="B53" s="57" t="s">
        <v>206</v>
      </c>
      <c r="C53" s="55">
        <v>15</v>
      </c>
      <c r="D53" s="55">
        <v>2007</v>
      </c>
      <c r="E53" s="55" t="s">
        <v>26</v>
      </c>
      <c r="F53" s="55" t="s">
        <v>3</v>
      </c>
      <c r="G53" s="66">
        <f t="shared" si="16"/>
        <v>9.6402891520401734</v>
      </c>
      <c r="H53" s="47">
        <v>12614.17</v>
      </c>
      <c r="I53" s="63">
        <f>580.27+9655.46</f>
        <v>10235.73</v>
      </c>
      <c r="J53" s="65">
        <v>2184.21</v>
      </c>
      <c r="K53" s="47">
        <v>895.12</v>
      </c>
      <c r="L53" s="63">
        <f>41.2+662.87+0.69</f>
        <v>704.7600000000001</v>
      </c>
      <c r="M53" s="113">
        <v>14.22</v>
      </c>
      <c r="N53" s="65">
        <f t="shared" ref="N53:N56" si="21">J53/M53</f>
        <v>153.6012658227848</v>
      </c>
      <c r="O53" s="47">
        <f t="shared" si="17"/>
        <v>8629.2156257742008</v>
      </c>
      <c r="P53" s="39">
        <f t="shared" si="18"/>
        <v>6794.0901827918333</v>
      </c>
      <c r="Q53" s="65">
        <f t="shared" si="19"/>
        <v>1480.7606166510313</v>
      </c>
      <c r="R53" s="106">
        <f t="shared" si="20"/>
        <v>0.68408905427580258</v>
      </c>
      <c r="S53" s="67">
        <f t="shared" si="20"/>
        <v>0.66376215304544317</v>
      </c>
      <c r="T53" s="53">
        <f t="shared" si="20"/>
        <v>0.67793875893390809</v>
      </c>
    </row>
    <row r="54" spans="1:20">
      <c r="A54" s="55" t="s">
        <v>88</v>
      </c>
      <c r="B54" s="57" t="s">
        <v>207</v>
      </c>
      <c r="C54" s="55">
        <v>15</v>
      </c>
      <c r="D54" s="55">
        <v>2007</v>
      </c>
      <c r="E54" s="55" t="s">
        <v>26</v>
      </c>
      <c r="F54" s="55" t="s">
        <v>3</v>
      </c>
      <c r="G54" s="66">
        <f t="shared" si="16"/>
        <v>9.6402891520401734</v>
      </c>
      <c r="H54" s="47">
        <v>13152.67</v>
      </c>
      <c r="I54" s="63">
        <f>500.36+9539.23</f>
        <v>10039.59</v>
      </c>
      <c r="J54" s="65">
        <v>2751.32</v>
      </c>
      <c r="K54" s="47">
        <v>951.63</v>
      </c>
      <c r="L54" s="63">
        <f>36.12+680.19</f>
        <v>716.31000000000006</v>
      </c>
      <c r="M54" s="113">
        <v>14.09</v>
      </c>
      <c r="N54" s="65">
        <f t="shared" si="21"/>
        <v>195.26756564939674</v>
      </c>
      <c r="O54" s="47">
        <f t="shared" si="17"/>
        <v>9173.9883657559894</v>
      </c>
      <c r="P54" s="39">
        <f t="shared" si="18"/>
        <v>6905.4355224978972</v>
      </c>
      <c r="Q54" s="65">
        <f t="shared" si="19"/>
        <v>1882.4357948751717</v>
      </c>
      <c r="R54" s="106">
        <f t="shared" si="20"/>
        <v>0.69750007912887568</v>
      </c>
      <c r="S54" s="67">
        <f t="shared" si="20"/>
        <v>0.68782047100508059</v>
      </c>
      <c r="T54" s="53">
        <f t="shared" si="20"/>
        <v>0.68419369425409315</v>
      </c>
    </row>
    <row r="55" spans="1:20">
      <c r="A55" s="55" t="s">
        <v>88</v>
      </c>
      <c r="B55" s="57" t="s">
        <v>208</v>
      </c>
      <c r="C55" s="55">
        <v>15</v>
      </c>
      <c r="D55" s="55">
        <v>2007</v>
      </c>
      <c r="E55" s="55" t="s">
        <v>26</v>
      </c>
      <c r="F55" s="55" t="s">
        <v>3</v>
      </c>
      <c r="G55" s="66">
        <f t="shared" si="16"/>
        <v>9.6402891520401734</v>
      </c>
      <c r="H55" s="47">
        <v>11188.62</v>
      </c>
      <c r="I55" s="63">
        <f>411.91+7640.48</f>
        <v>8052.3899999999994</v>
      </c>
      <c r="J55" s="65">
        <v>2698.91</v>
      </c>
      <c r="K55" s="47">
        <v>809.34</v>
      </c>
      <c r="L55" s="63">
        <f>29.68+543.57</f>
        <v>573.25</v>
      </c>
      <c r="M55" s="113">
        <v>14.06</v>
      </c>
      <c r="N55" s="65">
        <f t="shared" si="21"/>
        <v>191.95661450924607</v>
      </c>
      <c r="O55" s="47">
        <f t="shared" si="17"/>
        <v>7802.2716223121943</v>
      </c>
      <c r="P55" s="39">
        <f t="shared" si="18"/>
        <v>5526.2957564070293</v>
      </c>
      <c r="Q55" s="65">
        <f t="shared" si="19"/>
        <v>1850.5172685158423</v>
      </c>
      <c r="R55" s="106">
        <f t="shared" si="20"/>
        <v>0.69733994204041194</v>
      </c>
      <c r="S55" s="67">
        <f t="shared" si="20"/>
        <v>0.68629261081579873</v>
      </c>
      <c r="T55" s="53">
        <f t="shared" si="20"/>
        <v>0.68565356700143476</v>
      </c>
    </row>
    <row r="56" spans="1:20">
      <c r="A56" s="55" t="s">
        <v>88</v>
      </c>
      <c r="B56" s="57" t="s">
        <v>209</v>
      </c>
      <c r="C56" s="55">
        <v>15</v>
      </c>
      <c r="D56" s="55">
        <v>2007</v>
      </c>
      <c r="E56" s="55" t="s">
        <v>26</v>
      </c>
      <c r="F56" s="55" t="s">
        <v>3</v>
      </c>
      <c r="G56" s="66">
        <f t="shared" si="16"/>
        <v>9.6402891520401734</v>
      </c>
      <c r="H56" s="47">
        <v>10600.82</v>
      </c>
      <c r="I56" s="63">
        <f>442.67+10403.61</f>
        <v>10846.28</v>
      </c>
      <c r="J56" s="65">
        <v>2713.55</v>
      </c>
      <c r="K56" s="47">
        <v>765.96</v>
      </c>
      <c r="L56" s="63">
        <f>31.92+739.81</f>
        <v>771.7299999999999</v>
      </c>
      <c r="M56" s="113">
        <v>14.06</v>
      </c>
      <c r="N56" s="65">
        <f t="shared" si="21"/>
        <v>192.99786628733997</v>
      </c>
      <c r="O56" s="47">
        <f t="shared" si="17"/>
        <v>7384.0758788966914</v>
      </c>
      <c r="P56" s="39">
        <f t="shared" si="18"/>
        <v>7439.7003473039622</v>
      </c>
      <c r="Q56" s="65">
        <f t="shared" si="19"/>
        <v>1860.5552367367434</v>
      </c>
      <c r="R56" s="106">
        <f t="shared" si="20"/>
        <v>0.69655704736960833</v>
      </c>
      <c r="S56" s="67">
        <f t="shared" si="20"/>
        <v>0.68592184115696453</v>
      </c>
      <c r="T56" s="53">
        <f t="shared" si="20"/>
        <v>0.68565356700143476</v>
      </c>
    </row>
    <row r="57" spans="1:20" ht="14.25" customHeight="1">
      <c r="A57" s="55" t="s">
        <v>88</v>
      </c>
      <c r="B57" s="55" t="s">
        <v>84</v>
      </c>
      <c r="C57" s="55">
        <v>5</v>
      </c>
      <c r="D57" s="55">
        <v>2005</v>
      </c>
      <c r="E57" s="55" t="s">
        <v>28</v>
      </c>
      <c r="F57" s="55" t="s">
        <v>93</v>
      </c>
      <c r="G57" s="66">
        <f t="shared" si="16"/>
        <v>0</v>
      </c>
      <c r="H57" s="47">
        <v>35877.89</v>
      </c>
      <c r="I57" s="63">
        <v>38612.07</v>
      </c>
      <c r="J57" s="65">
        <v>35174.35</v>
      </c>
      <c r="K57" s="46"/>
      <c r="M57" s="113"/>
      <c r="N57" s="52"/>
      <c r="O57" s="47">
        <f t="shared" si="17"/>
        <v>0</v>
      </c>
      <c r="P57" s="39">
        <f t="shared" si="18"/>
        <v>0</v>
      </c>
      <c r="Q57" s="65">
        <f t="shared" si="19"/>
        <v>0</v>
      </c>
      <c r="R57" s="106">
        <f t="shared" si="20"/>
        <v>0</v>
      </c>
      <c r="S57" s="67">
        <f t="shared" si="20"/>
        <v>0</v>
      </c>
      <c r="T57" s="53">
        <f t="shared" si="20"/>
        <v>0</v>
      </c>
    </row>
    <row r="58" spans="1:20">
      <c r="A58" s="55" t="s">
        <v>88</v>
      </c>
      <c r="B58" s="55" t="s">
        <v>85</v>
      </c>
      <c r="C58" s="55">
        <v>5</v>
      </c>
      <c r="D58" s="55">
        <v>2005</v>
      </c>
      <c r="E58" s="55" t="s">
        <v>28</v>
      </c>
      <c r="F58" s="55" t="s">
        <v>93</v>
      </c>
      <c r="G58" s="66">
        <f t="shared" si="16"/>
        <v>0</v>
      </c>
      <c r="H58" s="47">
        <v>35578.5</v>
      </c>
      <c r="I58" s="63">
        <v>34265.919999999998</v>
      </c>
      <c r="J58" s="65">
        <v>33454.300000000003</v>
      </c>
      <c r="K58" s="46"/>
      <c r="M58" s="113"/>
      <c r="N58" s="52"/>
      <c r="O58" s="47">
        <f t="shared" si="17"/>
        <v>0</v>
      </c>
      <c r="P58" s="39">
        <f t="shared" si="18"/>
        <v>0</v>
      </c>
      <c r="Q58" s="65">
        <f t="shared" si="19"/>
        <v>0</v>
      </c>
      <c r="R58" s="106">
        <f t="shared" si="20"/>
        <v>0</v>
      </c>
      <c r="S58" s="67">
        <f t="shared" si="20"/>
        <v>0</v>
      </c>
      <c r="T58" s="53">
        <f t="shared" si="20"/>
        <v>0</v>
      </c>
    </row>
    <row r="59" spans="1:20">
      <c r="A59" s="55" t="s">
        <v>90</v>
      </c>
      <c r="B59" s="57" t="s">
        <v>45</v>
      </c>
      <c r="C59" s="55">
        <v>1.6</v>
      </c>
      <c r="D59" s="55">
        <v>2004</v>
      </c>
      <c r="E59" s="55" t="s">
        <v>26</v>
      </c>
      <c r="F59" s="55" t="s">
        <v>2</v>
      </c>
      <c r="G59" s="66">
        <f t="shared" si="16"/>
        <v>11.294960827527854</v>
      </c>
      <c r="H59" s="47">
        <v>987.24</v>
      </c>
      <c r="I59" s="63">
        <v>0</v>
      </c>
      <c r="J59" s="65">
        <v>396.47</v>
      </c>
      <c r="K59" s="47">
        <v>59.6</v>
      </c>
      <c r="L59" s="63">
        <v>0</v>
      </c>
      <c r="M59" s="113">
        <v>13.78</v>
      </c>
      <c r="N59" s="65">
        <f>J59/M59</f>
        <v>28.771407837445576</v>
      </c>
      <c r="O59" s="47">
        <f t="shared" si="17"/>
        <v>673.17966532066009</v>
      </c>
      <c r="P59" s="39">
        <f t="shared" si="18"/>
        <v>0</v>
      </c>
      <c r="Q59" s="65">
        <f t="shared" si="19"/>
        <v>324.97192447677565</v>
      </c>
      <c r="R59" s="106">
        <f>IF(H59=0,0,(O59+O60)/H59)</f>
        <v>0.79036837830702411</v>
      </c>
      <c r="S59" s="67">
        <f>IF(I59=0,0,(P59+P60)/I59)</f>
        <v>0</v>
      </c>
      <c r="T59" s="53">
        <f>IF(J59=0,0,(Q59+Q60)/J59)</f>
        <v>0.81966334016892983</v>
      </c>
    </row>
    <row r="60" spans="1:20">
      <c r="A60" s="55" t="s">
        <v>90</v>
      </c>
      <c r="B60" s="85" t="s">
        <v>129</v>
      </c>
      <c r="C60" s="85"/>
      <c r="D60" s="85">
        <v>2004</v>
      </c>
      <c r="E60" s="85" t="s">
        <v>26</v>
      </c>
      <c r="F60" s="85" t="s">
        <v>3</v>
      </c>
      <c r="G60" s="96">
        <f t="shared" si="16"/>
        <v>9.6402891520401734</v>
      </c>
      <c r="H60" s="87"/>
      <c r="I60" s="88"/>
      <c r="J60" s="90"/>
      <c r="K60" s="87">
        <v>11.11</v>
      </c>
      <c r="L60" s="88">
        <v>0</v>
      </c>
      <c r="M60" s="235"/>
      <c r="N60" s="90"/>
      <c r="O60" s="87">
        <f t="shared" si="17"/>
        <v>107.10361247916632</v>
      </c>
      <c r="P60" s="89">
        <f t="shared" si="18"/>
        <v>0</v>
      </c>
      <c r="Q60" s="90">
        <f t="shared" si="19"/>
        <v>0</v>
      </c>
      <c r="R60" s="107"/>
      <c r="S60" s="91"/>
      <c r="T60" s="92"/>
    </row>
    <row r="61" spans="1:20">
      <c r="A61" s="55" t="s">
        <v>90</v>
      </c>
      <c r="B61" s="57" t="s">
        <v>130</v>
      </c>
      <c r="C61" s="55">
        <v>1.6</v>
      </c>
      <c r="D61" s="55">
        <v>2004</v>
      </c>
      <c r="E61" s="55" t="s">
        <v>26</v>
      </c>
      <c r="F61" s="55" t="s">
        <v>2</v>
      </c>
      <c r="G61" s="66">
        <f t="shared" si="16"/>
        <v>11.294960827527854</v>
      </c>
      <c r="H61" s="47">
        <v>2544.21</v>
      </c>
      <c r="I61" s="63">
        <v>2959.48</v>
      </c>
      <c r="J61" s="65">
        <v>624.9</v>
      </c>
      <c r="K61" s="47">
        <v>158.63</v>
      </c>
      <c r="L61" s="63">
        <v>190.25</v>
      </c>
      <c r="M61" s="113">
        <v>13.75</v>
      </c>
      <c r="N61" s="65">
        <f>J61/M61</f>
        <v>45.447272727272725</v>
      </c>
      <c r="O61" s="47">
        <f t="shared" si="17"/>
        <v>1791.7196360707435</v>
      </c>
      <c r="P61" s="39">
        <f t="shared" si="18"/>
        <v>2148.8662974371741</v>
      </c>
      <c r="Q61" s="65">
        <f t="shared" si="19"/>
        <v>513.32516517252043</v>
      </c>
      <c r="R61" s="106">
        <f>IF(H61=0,0,(O61+O62)/H61)</f>
        <v>0.79687789366370132</v>
      </c>
      <c r="S61" s="67">
        <f>IF(I61=0,0,(P61+P62)/I61)</f>
        <v>0.77463155885580326</v>
      </c>
      <c r="T61" s="53">
        <f>IF(J61=0,0,(Q61+Q62)/J61)</f>
        <v>0.82145169654748029</v>
      </c>
    </row>
    <row r="62" spans="1:20">
      <c r="A62" s="55" t="s">
        <v>90</v>
      </c>
      <c r="B62" s="85" t="s">
        <v>114</v>
      </c>
      <c r="C62" s="85"/>
      <c r="D62" s="85">
        <v>2004</v>
      </c>
      <c r="E62" s="85" t="s">
        <v>26</v>
      </c>
      <c r="F62" s="85" t="s">
        <v>3</v>
      </c>
      <c r="G62" s="96">
        <f t="shared" si="16"/>
        <v>9.6402891520401734</v>
      </c>
      <c r="H62" s="87"/>
      <c r="I62" s="88"/>
      <c r="J62" s="90"/>
      <c r="K62" s="87">
        <v>24.45</v>
      </c>
      <c r="L62" s="88">
        <f>14.53+0.37</f>
        <v>14.899999999999999</v>
      </c>
      <c r="M62" s="235"/>
      <c r="N62" s="90"/>
      <c r="O62" s="87">
        <f t="shared" si="17"/>
        <v>235.70506976738224</v>
      </c>
      <c r="P62" s="89">
        <f t="shared" si="18"/>
        <v>143.64030836539857</v>
      </c>
      <c r="Q62" s="90">
        <f t="shared" si="19"/>
        <v>0</v>
      </c>
      <c r="R62" s="107"/>
      <c r="S62" s="91"/>
      <c r="T62" s="92"/>
    </row>
    <row r="63" spans="1:20">
      <c r="A63" s="55" t="s">
        <v>90</v>
      </c>
      <c r="B63" s="57" t="s">
        <v>94</v>
      </c>
      <c r="C63" s="55">
        <v>1.6</v>
      </c>
      <c r="D63" s="55">
        <v>2004</v>
      </c>
      <c r="E63" s="55" t="s">
        <v>26</v>
      </c>
      <c r="F63" s="55" t="s">
        <v>2</v>
      </c>
      <c r="G63" s="66">
        <f t="shared" si="16"/>
        <v>11.294960827527854</v>
      </c>
      <c r="H63" s="49">
        <v>3990.53</v>
      </c>
      <c r="I63" s="63">
        <v>3063.7</v>
      </c>
      <c r="J63" s="83">
        <v>580.58000000000004</v>
      </c>
      <c r="K63" s="47">
        <v>247.38</v>
      </c>
      <c r="L63" s="63">
        <v>191.82</v>
      </c>
      <c r="M63" s="113">
        <v>13.36</v>
      </c>
      <c r="N63" s="65">
        <f>J63/M63</f>
        <v>43.456586826347312</v>
      </c>
      <c r="O63" s="47">
        <f t="shared" si="17"/>
        <v>2794.1474095138406</v>
      </c>
      <c r="P63" s="39">
        <f t="shared" si="18"/>
        <v>2166.599385936393</v>
      </c>
      <c r="Q63" s="65">
        <f t="shared" si="19"/>
        <v>490.84044590165587</v>
      </c>
      <c r="R63" s="106">
        <f>IF(H63=0,0,(O63+O64)/H63)</f>
        <v>0.79344412165366285</v>
      </c>
      <c r="S63" s="67">
        <f>IF(I63=0,0,(P63+P64)/I63)</f>
        <v>0.76372862290647103</v>
      </c>
      <c r="T63" s="53">
        <f>IF(J63=0,0,(Q63+Q64)/J63)</f>
        <v>0.84543119966525859</v>
      </c>
    </row>
    <row r="64" spans="1:20">
      <c r="A64" s="55" t="s">
        <v>90</v>
      </c>
      <c r="B64" s="85" t="s">
        <v>115</v>
      </c>
      <c r="C64" s="85"/>
      <c r="D64" s="85">
        <v>2004</v>
      </c>
      <c r="E64" s="85" t="s">
        <v>26</v>
      </c>
      <c r="F64" s="85" t="s">
        <v>3</v>
      </c>
      <c r="G64" s="96">
        <f t="shared" si="16"/>
        <v>9.6402891520401734</v>
      </c>
      <c r="H64" s="94"/>
      <c r="I64" s="88"/>
      <c r="J64" s="95"/>
      <c r="K64" s="87">
        <v>38.6</v>
      </c>
      <c r="L64" s="88">
        <v>17.97</v>
      </c>
      <c r="M64" s="235"/>
      <c r="N64" s="90"/>
      <c r="O64" s="87">
        <f t="shared" si="17"/>
        <v>372.11516126875068</v>
      </c>
      <c r="P64" s="89">
        <f t="shared" si="18"/>
        <v>173.23599606216192</v>
      </c>
      <c r="Q64" s="90">
        <f t="shared" si="19"/>
        <v>0</v>
      </c>
      <c r="R64" s="107"/>
      <c r="S64" s="91"/>
      <c r="T64" s="92"/>
    </row>
    <row r="65" spans="1:20">
      <c r="A65" s="55" t="s">
        <v>90</v>
      </c>
      <c r="B65" s="57" t="s">
        <v>46</v>
      </c>
      <c r="C65" s="55">
        <v>1.6</v>
      </c>
      <c r="D65" s="55">
        <v>2004</v>
      </c>
      <c r="E65" s="55" t="s">
        <v>26</v>
      </c>
      <c r="F65" s="55" t="s">
        <v>2</v>
      </c>
      <c r="G65" s="66">
        <f t="shared" ref="G65:G96" si="22">IF(F65="Diesel",diesel,IF(F65="Fuel Oil",fueloil,IF(F65="Coal",coal,0)))</f>
        <v>11.294960827527854</v>
      </c>
      <c r="H65" s="49">
        <v>4078.02</v>
      </c>
      <c r="I65" s="63">
        <v>2957.88</v>
      </c>
      <c r="J65" s="83">
        <v>638.1</v>
      </c>
      <c r="K65" s="47">
        <v>252.15</v>
      </c>
      <c r="L65" s="63">
        <v>182.86</v>
      </c>
      <c r="M65" s="113">
        <v>13.41</v>
      </c>
      <c r="N65" s="65">
        <f>J65/M65</f>
        <v>47.583892617449663</v>
      </c>
      <c r="O65" s="47">
        <f t="shared" ref="O65:O96" si="23">$G65*K65</f>
        <v>2848.0243726611484</v>
      </c>
      <c r="P65" s="39">
        <f t="shared" ref="P65:P96" si="24">$G65*L65</f>
        <v>2065.3965369217435</v>
      </c>
      <c r="Q65" s="65">
        <f t="shared" ref="Q65:Q96" si="25">$G65*N65</f>
        <v>537.45820313538582</v>
      </c>
      <c r="R65" s="106">
        <f>IF(H65=0,0,(O65+O66)/H65)</f>
        <v>0.79852159164044567</v>
      </c>
      <c r="S65" s="67">
        <f>IF(I65=0,0,(P65+P66)/I65)</f>
        <v>0.75631536327355375</v>
      </c>
      <c r="T65" s="53">
        <f>IF(J65=0,0,(Q65+Q66)/J65)</f>
        <v>0.84227895805576836</v>
      </c>
    </row>
    <row r="66" spans="1:20">
      <c r="A66" s="55" t="s">
        <v>90</v>
      </c>
      <c r="B66" s="85" t="s">
        <v>116</v>
      </c>
      <c r="C66" s="85"/>
      <c r="D66" s="85">
        <v>2004</v>
      </c>
      <c r="E66" s="85" t="s">
        <v>26</v>
      </c>
      <c r="F66" s="85" t="s">
        <v>3</v>
      </c>
      <c r="G66" s="96">
        <f t="shared" si="22"/>
        <v>9.6402891520401734</v>
      </c>
      <c r="H66" s="94"/>
      <c r="I66" s="88"/>
      <c r="J66" s="95"/>
      <c r="K66" s="87">
        <v>42.36</v>
      </c>
      <c r="L66" s="88">
        <v>17.809999999999999</v>
      </c>
      <c r="M66" s="235"/>
      <c r="N66" s="90"/>
      <c r="O66" s="87">
        <f t="shared" si="23"/>
        <v>408.36264848042174</v>
      </c>
      <c r="P66" s="89">
        <f t="shared" si="24"/>
        <v>171.69354979783549</v>
      </c>
      <c r="Q66" s="90">
        <f t="shared" si="25"/>
        <v>0</v>
      </c>
      <c r="R66" s="107"/>
      <c r="S66" s="91"/>
      <c r="T66" s="92"/>
    </row>
    <row r="67" spans="1:20">
      <c r="A67" s="55" t="s">
        <v>88</v>
      </c>
      <c r="B67" s="55" t="s">
        <v>78</v>
      </c>
      <c r="C67" s="55">
        <v>16.5</v>
      </c>
      <c r="D67" s="55">
        <v>2004</v>
      </c>
      <c r="E67" s="55" t="s">
        <v>28</v>
      </c>
      <c r="F67" s="55" t="s">
        <v>95</v>
      </c>
      <c r="G67" s="66">
        <f t="shared" si="22"/>
        <v>0</v>
      </c>
      <c r="H67" s="47">
        <v>32002.33</v>
      </c>
      <c r="I67" s="63">
        <v>40249.78</v>
      </c>
      <c r="J67" s="65">
        <v>38905.15</v>
      </c>
      <c r="K67" s="46"/>
      <c r="M67" s="113"/>
      <c r="N67" s="52"/>
      <c r="O67" s="47">
        <f t="shared" si="23"/>
        <v>0</v>
      </c>
      <c r="P67" s="39">
        <f t="shared" si="24"/>
        <v>0</v>
      </c>
      <c r="Q67" s="65">
        <f t="shared" si="25"/>
        <v>0</v>
      </c>
      <c r="R67" s="106">
        <f t="shared" ref="R67:R76" si="26">IF(H67=0,0,O67/H67)</f>
        <v>0</v>
      </c>
      <c r="S67" s="67">
        <f t="shared" ref="S67:S76" si="27">IF(I67=0,0,P67/I67)</f>
        <v>0</v>
      </c>
      <c r="T67" s="53">
        <f t="shared" ref="T67:T76" si="28">IF(J67=0,0,Q67/J67)</f>
        <v>0</v>
      </c>
    </row>
    <row r="68" spans="1:20">
      <c r="A68" s="55" t="s">
        <v>88</v>
      </c>
      <c r="B68" s="55" t="s">
        <v>82</v>
      </c>
      <c r="C68" s="55">
        <v>20</v>
      </c>
      <c r="D68" s="55">
        <v>2004</v>
      </c>
      <c r="E68" s="55" t="s">
        <v>28</v>
      </c>
      <c r="F68" s="55" t="s">
        <v>95</v>
      </c>
      <c r="G68" s="66">
        <f t="shared" si="22"/>
        <v>0</v>
      </c>
      <c r="H68" s="47">
        <v>37875.46</v>
      </c>
      <c r="I68" s="63">
        <v>40178.49</v>
      </c>
      <c r="J68" s="65">
        <v>35327.89</v>
      </c>
      <c r="K68" s="46"/>
      <c r="M68" s="113"/>
      <c r="N68" s="52"/>
      <c r="O68" s="47">
        <f t="shared" si="23"/>
        <v>0</v>
      </c>
      <c r="P68" s="39">
        <f t="shared" si="24"/>
        <v>0</v>
      </c>
      <c r="Q68" s="65">
        <f t="shared" si="25"/>
        <v>0</v>
      </c>
      <c r="R68" s="106">
        <f t="shared" si="26"/>
        <v>0</v>
      </c>
      <c r="S68" s="67">
        <f t="shared" si="27"/>
        <v>0</v>
      </c>
      <c r="T68" s="53">
        <f t="shared" si="28"/>
        <v>0</v>
      </c>
    </row>
    <row r="69" spans="1:20">
      <c r="A69" s="55" t="s">
        <v>88</v>
      </c>
      <c r="B69" s="55" t="s">
        <v>83</v>
      </c>
      <c r="C69" s="55">
        <v>15</v>
      </c>
      <c r="D69" s="55">
        <v>2004</v>
      </c>
      <c r="E69" s="55" t="s">
        <v>28</v>
      </c>
      <c r="F69" s="55" t="s">
        <v>95</v>
      </c>
      <c r="G69" s="66">
        <f t="shared" si="22"/>
        <v>0</v>
      </c>
      <c r="H69" s="47">
        <v>29253.21</v>
      </c>
      <c r="I69" s="63">
        <v>37611.75</v>
      </c>
      <c r="J69" s="65">
        <v>36847.870000000003</v>
      </c>
      <c r="K69" s="46"/>
      <c r="M69" s="113"/>
      <c r="N69" s="52"/>
      <c r="O69" s="47">
        <f t="shared" si="23"/>
        <v>0</v>
      </c>
      <c r="P69" s="39">
        <f t="shared" si="24"/>
        <v>0</v>
      </c>
      <c r="Q69" s="65">
        <f t="shared" si="25"/>
        <v>0</v>
      </c>
      <c r="R69" s="106">
        <f t="shared" si="26"/>
        <v>0</v>
      </c>
      <c r="S69" s="67">
        <f t="shared" si="27"/>
        <v>0</v>
      </c>
      <c r="T69" s="53">
        <f t="shared" si="28"/>
        <v>0</v>
      </c>
    </row>
    <row r="70" spans="1:20">
      <c r="A70" s="55" t="s">
        <v>88</v>
      </c>
      <c r="B70" s="55" t="s">
        <v>76</v>
      </c>
      <c r="C70" s="102">
        <v>20</v>
      </c>
      <c r="D70" s="55">
        <v>2004</v>
      </c>
      <c r="E70" s="55" t="s">
        <v>25</v>
      </c>
      <c r="F70" s="55" t="s">
        <v>95</v>
      </c>
      <c r="G70" s="66">
        <f t="shared" si="22"/>
        <v>0</v>
      </c>
      <c r="H70" s="47">
        <v>31296.3</v>
      </c>
      <c r="I70" s="63">
        <v>29973.119999999999</v>
      </c>
      <c r="J70" s="65">
        <v>31551.84</v>
      </c>
      <c r="K70" s="46"/>
      <c r="M70" s="113"/>
      <c r="N70" s="52"/>
      <c r="O70" s="47">
        <f t="shared" si="23"/>
        <v>0</v>
      </c>
      <c r="P70" s="39">
        <f t="shared" si="24"/>
        <v>0</v>
      </c>
      <c r="Q70" s="65">
        <f t="shared" si="25"/>
        <v>0</v>
      </c>
      <c r="R70" s="106">
        <f t="shared" si="26"/>
        <v>0</v>
      </c>
      <c r="S70" s="67">
        <f t="shared" si="27"/>
        <v>0</v>
      </c>
      <c r="T70" s="53">
        <f t="shared" si="28"/>
        <v>0</v>
      </c>
    </row>
    <row r="71" spans="1:20">
      <c r="A71" s="55" t="s">
        <v>88</v>
      </c>
      <c r="B71" s="55" t="s">
        <v>77</v>
      </c>
      <c r="C71" s="55">
        <v>20</v>
      </c>
      <c r="D71" s="55">
        <v>2004</v>
      </c>
      <c r="E71" s="55" t="s">
        <v>25</v>
      </c>
      <c r="F71" s="55" t="s">
        <v>95</v>
      </c>
      <c r="G71" s="66">
        <f t="shared" si="22"/>
        <v>0</v>
      </c>
      <c r="H71" s="47">
        <v>36218.42</v>
      </c>
      <c r="I71" s="63">
        <v>33181.769999999997</v>
      </c>
      <c r="J71" s="65">
        <v>38937.35</v>
      </c>
      <c r="K71" s="46"/>
      <c r="M71" s="113"/>
      <c r="N71" s="52"/>
      <c r="O71" s="47">
        <f t="shared" si="23"/>
        <v>0</v>
      </c>
      <c r="P71" s="39">
        <f t="shared" si="24"/>
        <v>0</v>
      </c>
      <c r="Q71" s="65">
        <f t="shared" si="25"/>
        <v>0</v>
      </c>
      <c r="R71" s="106">
        <f t="shared" si="26"/>
        <v>0</v>
      </c>
      <c r="S71" s="67">
        <f t="shared" si="27"/>
        <v>0</v>
      </c>
      <c r="T71" s="53">
        <f t="shared" si="28"/>
        <v>0</v>
      </c>
    </row>
    <row r="72" spans="1:20">
      <c r="A72" s="55" t="s">
        <v>88</v>
      </c>
      <c r="B72" s="57" t="s">
        <v>66</v>
      </c>
      <c r="C72" s="55">
        <v>7.5</v>
      </c>
      <c r="D72" s="55">
        <v>2002</v>
      </c>
      <c r="E72" s="55" t="s">
        <v>25</v>
      </c>
      <c r="F72" s="55" t="s">
        <v>93</v>
      </c>
      <c r="G72" s="66">
        <f t="shared" si="22"/>
        <v>0</v>
      </c>
      <c r="H72" s="49">
        <v>43619.22</v>
      </c>
      <c r="I72" s="63">
        <v>38488.53</v>
      </c>
      <c r="J72" s="83">
        <v>44357.120000000003</v>
      </c>
      <c r="K72" s="47"/>
      <c r="L72" s="63"/>
      <c r="M72" s="113"/>
      <c r="N72" s="52"/>
      <c r="O72" s="47">
        <f t="shared" si="23"/>
        <v>0</v>
      </c>
      <c r="P72" s="39">
        <f t="shared" si="24"/>
        <v>0</v>
      </c>
      <c r="Q72" s="65">
        <f t="shared" si="25"/>
        <v>0</v>
      </c>
      <c r="R72" s="106">
        <f t="shared" si="26"/>
        <v>0</v>
      </c>
      <c r="S72" s="67">
        <f t="shared" si="27"/>
        <v>0</v>
      </c>
      <c r="T72" s="53">
        <f t="shared" si="28"/>
        <v>0</v>
      </c>
    </row>
    <row r="73" spans="1:20">
      <c r="A73" s="55" t="s">
        <v>88</v>
      </c>
      <c r="B73" s="57" t="s">
        <v>56</v>
      </c>
      <c r="C73" s="55">
        <v>7.2</v>
      </c>
      <c r="D73" s="55">
        <v>2000</v>
      </c>
      <c r="E73" s="55" t="s">
        <v>26</v>
      </c>
      <c r="F73" s="55" t="s">
        <v>2</v>
      </c>
      <c r="G73" s="66">
        <f t="shared" si="22"/>
        <v>11.294960827527854</v>
      </c>
      <c r="H73" s="47">
        <v>12138.51</v>
      </c>
      <c r="I73" s="63">
        <v>0</v>
      </c>
      <c r="J73" s="65">
        <v>30845.25</v>
      </c>
      <c r="K73" s="47">
        <v>635.79999999999995</v>
      </c>
      <c r="L73" s="63">
        <v>0</v>
      </c>
      <c r="M73" s="113">
        <v>16.66</v>
      </c>
      <c r="N73" s="84">
        <f t="shared" ref="N73:N77" si="29">J73/M73</f>
        <v>1851.4555822328932</v>
      </c>
      <c r="O73" s="47">
        <f t="shared" si="23"/>
        <v>7181.3360941422088</v>
      </c>
      <c r="P73" s="39">
        <f t="shared" si="24"/>
        <v>0</v>
      </c>
      <c r="Q73" s="65">
        <f t="shared" si="25"/>
        <v>20912.118275228306</v>
      </c>
      <c r="R73" s="106">
        <f t="shared" si="26"/>
        <v>0.5916159474385414</v>
      </c>
      <c r="S73" s="67">
        <f t="shared" si="27"/>
        <v>0</v>
      </c>
      <c r="T73" s="53">
        <f t="shared" si="28"/>
        <v>0.67796883718654588</v>
      </c>
    </row>
    <row r="74" spans="1:20">
      <c r="A74" s="55" t="s">
        <v>88</v>
      </c>
      <c r="B74" s="57" t="s">
        <v>57</v>
      </c>
      <c r="C74" s="55">
        <v>7.2</v>
      </c>
      <c r="D74" s="55">
        <v>2000</v>
      </c>
      <c r="E74" s="55" t="s">
        <v>26</v>
      </c>
      <c r="F74" s="55" t="s">
        <v>2</v>
      </c>
      <c r="G74" s="66">
        <f t="shared" si="22"/>
        <v>11.294960827527854</v>
      </c>
      <c r="H74" s="47">
        <v>29580.66</v>
      </c>
      <c r="I74" s="63">
        <v>27699.31</v>
      </c>
      <c r="J74" s="65">
        <v>32805.86</v>
      </c>
      <c r="K74" s="47">
        <v>1541.14</v>
      </c>
      <c r="L74" s="112">
        <v>1527.62</v>
      </c>
      <c r="M74" s="113">
        <v>16.64</v>
      </c>
      <c r="N74" s="84">
        <f t="shared" si="29"/>
        <v>1971.5060096153845</v>
      </c>
      <c r="O74" s="47">
        <f t="shared" si="23"/>
        <v>17407.115929736279</v>
      </c>
      <c r="P74" s="39">
        <f t="shared" si="24"/>
        <v>17254.408059348098</v>
      </c>
      <c r="Q74" s="65">
        <f t="shared" si="25"/>
        <v>22268.083149841521</v>
      </c>
      <c r="R74" s="106">
        <f t="shared" si="26"/>
        <v>0.58846272969353219</v>
      </c>
      <c r="S74" s="67">
        <f t="shared" si="27"/>
        <v>0.62291833476530989</v>
      </c>
      <c r="T74" s="53">
        <f t="shared" si="28"/>
        <v>0.67878370357739504</v>
      </c>
    </row>
    <row r="75" spans="1:20">
      <c r="A75" s="55" t="s">
        <v>88</v>
      </c>
      <c r="B75" s="57" t="s">
        <v>58</v>
      </c>
      <c r="C75" s="55">
        <v>7.2</v>
      </c>
      <c r="D75" s="55">
        <v>2000</v>
      </c>
      <c r="E75" s="55" t="s">
        <v>26</v>
      </c>
      <c r="F75" s="55" t="s">
        <v>2</v>
      </c>
      <c r="G75" s="66">
        <f t="shared" si="22"/>
        <v>11.294960827527854</v>
      </c>
      <c r="H75" s="47">
        <v>31940.11</v>
      </c>
      <c r="I75" s="63">
        <v>30533.72</v>
      </c>
      <c r="J75" s="65">
        <v>29660.15</v>
      </c>
      <c r="K75" s="47">
        <v>1671.65</v>
      </c>
      <c r="L75" s="113">
        <v>1710.68</v>
      </c>
      <c r="M75" s="113">
        <v>16.829999999999998</v>
      </c>
      <c r="N75" s="84">
        <f t="shared" si="29"/>
        <v>1762.3380867498518</v>
      </c>
      <c r="O75" s="47">
        <f t="shared" si="23"/>
        <v>18881.221267336939</v>
      </c>
      <c r="P75" s="39">
        <f t="shared" si="24"/>
        <v>19322.063588435351</v>
      </c>
      <c r="Q75" s="65">
        <f t="shared" si="25"/>
        <v>19905.539654699962</v>
      </c>
      <c r="R75" s="106">
        <f t="shared" si="26"/>
        <v>0.59114452853596744</v>
      </c>
      <c r="S75" s="67">
        <f t="shared" si="27"/>
        <v>0.63281066271765607</v>
      </c>
      <c r="T75" s="53">
        <f t="shared" si="28"/>
        <v>0.67112066711395457</v>
      </c>
    </row>
    <row r="76" spans="1:20">
      <c r="A76" s="55" t="s">
        <v>88</v>
      </c>
      <c r="B76" s="57" t="s">
        <v>59</v>
      </c>
      <c r="C76" s="55">
        <v>7.2</v>
      </c>
      <c r="D76" s="55">
        <v>2000</v>
      </c>
      <c r="E76" s="55" t="s">
        <v>26</v>
      </c>
      <c r="F76" s="55" t="s">
        <v>2</v>
      </c>
      <c r="G76" s="66">
        <f t="shared" si="22"/>
        <v>11.294960827527854</v>
      </c>
      <c r="H76" s="47">
        <v>30569.26</v>
      </c>
      <c r="I76" s="82">
        <v>37984.03</v>
      </c>
      <c r="J76" s="65">
        <v>27303.8</v>
      </c>
      <c r="K76" s="47">
        <v>1607.73</v>
      </c>
      <c r="L76" s="63">
        <v>2102.87</v>
      </c>
      <c r="M76" s="113">
        <v>16.84</v>
      </c>
      <c r="N76" s="84">
        <f t="shared" si="29"/>
        <v>1621.3657957244654</v>
      </c>
      <c r="O76" s="47">
        <f t="shared" si="23"/>
        <v>18159.247371241356</v>
      </c>
      <c r="P76" s="39">
        <f t="shared" si="24"/>
        <v>23751.834275383499</v>
      </c>
      <c r="Q76" s="65">
        <f t="shared" si="25"/>
        <v>18313.263149801365</v>
      </c>
      <c r="R76" s="106">
        <f t="shared" si="26"/>
        <v>0.59403621059984302</v>
      </c>
      <c r="S76" s="67">
        <f t="shared" si="27"/>
        <v>0.62531106560792782</v>
      </c>
      <c r="T76" s="53">
        <f t="shared" si="28"/>
        <v>0.67072213940189152</v>
      </c>
    </row>
    <row r="77" spans="1:20">
      <c r="A77" s="55" t="s">
        <v>88</v>
      </c>
      <c r="B77" s="57" t="s">
        <v>60</v>
      </c>
      <c r="C77" s="55">
        <v>18.5</v>
      </c>
      <c r="D77" s="57">
        <v>1999</v>
      </c>
      <c r="E77" s="55" t="s">
        <v>26</v>
      </c>
      <c r="F77" s="55" t="s">
        <v>2</v>
      </c>
      <c r="G77" s="66">
        <f t="shared" si="22"/>
        <v>11.294960827527854</v>
      </c>
      <c r="H77" s="47">
        <v>133158.47</v>
      </c>
      <c r="I77" s="63">
        <v>131933.21</v>
      </c>
      <c r="J77" s="65">
        <v>129898.58</v>
      </c>
      <c r="K77" s="77">
        <v>7876.59</v>
      </c>
      <c r="L77" s="79">
        <v>7805.97</v>
      </c>
      <c r="M77" s="236">
        <v>17.600000000000001</v>
      </c>
      <c r="N77" s="84">
        <f t="shared" si="29"/>
        <v>7380.6011363636362</v>
      </c>
      <c r="O77" s="47">
        <f t="shared" si="23"/>
        <v>88965.775504497622</v>
      </c>
      <c r="P77" s="39">
        <f t="shared" si="24"/>
        <v>88168.125370857611</v>
      </c>
      <c r="Q77" s="65">
        <f t="shared" si="25"/>
        <v>83363.60071883483</v>
      </c>
      <c r="R77" s="106">
        <f>IF(H77=0,0,(O77+O78)/H77)</f>
        <v>0.67362895885607477</v>
      </c>
      <c r="S77" s="67">
        <f>IF(I77=0,0,(P77+P78)/I77)</f>
        <v>0.66959665566509308</v>
      </c>
      <c r="T77" s="53">
        <f>IF(J77=0,0,(Q77+Q78)/J77)</f>
        <v>0.64175913792771888</v>
      </c>
    </row>
    <row r="78" spans="1:20">
      <c r="A78" s="85" t="s">
        <v>88</v>
      </c>
      <c r="B78" s="85" t="s">
        <v>117</v>
      </c>
      <c r="C78" s="85"/>
      <c r="D78" s="85">
        <v>1999</v>
      </c>
      <c r="E78" s="85" t="s">
        <v>26</v>
      </c>
      <c r="F78" s="85" t="s">
        <v>3</v>
      </c>
      <c r="G78" s="96">
        <f t="shared" si="22"/>
        <v>9.6402891520401734</v>
      </c>
      <c r="H78" s="87"/>
      <c r="I78" s="88"/>
      <c r="J78" s="90"/>
      <c r="K78" s="115">
        <v>76.099999999999994</v>
      </c>
      <c r="L78" s="86">
        <v>18.04</v>
      </c>
      <c r="M78" s="235"/>
      <c r="N78" s="90"/>
      <c r="O78" s="87">
        <f t="shared" si="23"/>
        <v>733.62600447025716</v>
      </c>
      <c r="P78" s="89">
        <f t="shared" si="24"/>
        <v>173.91081630280473</v>
      </c>
      <c r="Q78" s="90">
        <f t="shared" si="25"/>
        <v>0</v>
      </c>
      <c r="R78" s="107"/>
      <c r="S78" s="91"/>
      <c r="T78" s="92"/>
    </row>
    <row r="79" spans="1:20">
      <c r="A79" s="55" t="s">
        <v>88</v>
      </c>
      <c r="B79" s="57" t="s">
        <v>61</v>
      </c>
      <c r="C79" s="55">
        <v>18.5</v>
      </c>
      <c r="D79" s="57">
        <v>1999</v>
      </c>
      <c r="E79" s="55" t="s">
        <v>26</v>
      </c>
      <c r="F79" s="55" t="s">
        <v>2</v>
      </c>
      <c r="G79" s="66">
        <f t="shared" si="22"/>
        <v>11.294960827527854</v>
      </c>
      <c r="H79" s="47">
        <v>133171.09</v>
      </c>
      <c r="I79" s="63">
        <v>135301.32</v>
      </c>
      <c r="J79" s="65">
        <v>127105.79</v>
      </c>
      <c r="K79" s="47">
        <v>7879.12</v>
      </c>
      <c r="L79" s="63">
        <v>8007.33</v>
      </c>
      <c r="M79" s="113">
        <v>17.59</v>
      </c>
      <c r="N79" s="84">
        <f>J79/M79</f>
        <v>7226.0255827174524</v>
      </c>
      <c r="O79" s="47">
        <f t="shared" si="23"/>
        <v>88994.351755391268</v>
      </c>
      <c r="P79" s="39">
        <f t="shared" si="24"/>
        <v>90442.478683088615</v>
      </c>
      <c r="Q79" s="65">
        <f t="shared" si="25"/>
        <v>81617.675895507753</v>
      </c>
      <c r="R79" s="106">
        <f>IF(H79=0,0,(O79+O80)/H79)</f>
        <v>0.67379273543461193</v>
      </c>
      <c r="S79" s="67">
        <f>IF(I79=0,0,(P79+P80)/I79)</f>
        <v>0.66979608577725691</v>
      </c>
      <c r="T79" s="53">
        <f>IF(J79=0,0,(Q79+Q80)/J79)</f>
        <v>0.64212398109879776</v>
      </c>
    </row>
    <row r="80" spans="1:20">
      <c r="A80" s="85" t="s">
        <v>88</v>
      </c>
      <c r="B80" s="85" t="s">
        <v>118</v>
      </c>
      <c r="C80" s="85"/>
      <c r="D80" s="85">
        <v>1999</v>
      </c>
      <c r="E80" s="85" t="s">
        <v>26</v>
      </c>
      <c r="F80" s="85" t="s">
        <v>3</v>
      </c>
      <c r="G80" s="96">
        <f t="shared" si="22"/>
        <v>9.6402891520401734</v>
      </c>
      <c r="H80" s="87"/>
      <c r="I80" s="88"/>
      <c r="J80" s="90"/>
      <c r="K80" s="87">
        <v>76.28</v>
      </c>
      <c r="L80" s="88">
        <v>18.86</v>
      </c>
      <c r="M80" s="235"/>
      <c r="N80" s="90"/>
      <c r="O80" s="87">
        <f t="shared" si="23"/>
        <v>735.3612565176245</v>
      </c>
      <c r="P80" s="89">
        <f t="shared" si="24"/>
        <v>181.81585340747768</v>
      </c>
      <c r="Q80" s="90">
        <f t="shared" si="25"/>
        <v>0</v>
      </c>
      <c r="R80" s="107"/>
      <c r="S80" s="91"/>
      <c r="T80" s="92"/>
    </row>
    <row r="81" spans="1:20">
      <c r="A81" s="55" t="s">
        <v>88</v>
      </c>
      <c r="B81" s="57" t="s">
        <v>62</v>
      </c>
      <c r="C81" s="55">
        <v>18.5</v>
      </c>
      <c r="D81" s="57">
        <v>1999</v>
      </c>
      <c r="E81" s="55" t="s">
        <v>26</v>
      </c>
      <c r="F81" s="55" t="s">
        <v>2</v>
      </c>
      <c r="G81" s="66">
        <f t="shared" si="22"/>
        <v>11.294960827527854</v>
      </c>
      <c r="H81" s="47">
        <v>127900.08</v>
      </c>
      <c r="I81" s="63">
        <v>124567.28</v>
      </c>
      <c r="J81" s="65">
        <v>123384.24</v>
      </c>
      <c r="K81" s="47">
        <v>7567.22</v>
      </c>
      <c r="L81" s="63">
        <v>7372.57</v>
      </c>
      <c r="M81" s="113">
        <v>17.600000000000001</v>
      </c>
      <c r="N81" s="65">
        <f>J81/M81</f>
        <v>7010.4681818181816</v>
      </c>
      <c r="O81" s="47">
        <f t="shared" si="23"/>
        <v>85471.453473285335</v>
      </c>
      <c r="P81" s="39">
        <f t="shared" si="24"/>
        <v>83272.889348207027</v>
      </c>
      <c r="Q81" s="65">
        <f t="shared" si="25"/>
        <v>79182.963496266777</v>
      </c>
      <c r="R81" s="106">
        <f>IF(H81=0,0,(O81+O82)/H81)</f>
        <v>0.6735058615237155</v>
      </c>
      <c r="S81" s="67">
        <f>IF(I81=0,0,(P81+P82)/I81)</f>
        <v>0.66983691667208956</v>
      </c>
      <c r="T81" s="53">
        <f>IF(J81=0,0,(Q81+Q82)/J81)</f>
        <v>0.64175913792771888</v>
      </c>
    </row>
    <row r="82" spans="1:20">
      <c r="A82" s="85" t="s">
        <v>88</v>
      </c>
      <c r="B82" s="85" t="s">
        <v>119</v>
      </c>
      <c r="C82" s="85"/>
      <c r="D82" s="85">
        <v>1999</v>
      </c>
      <c r="E82" s="85" t="s">
        <v>26</v>
      </c>
      <c r="F82" s="85" t="s">
        <v>3</v>
      </c>
      <c r="G82" s="96">
        <f t="shared" si="22"/>
        <v>9.6402891520401734</v>
      </c>
      <c r="H82" s="87"/>
      <c r="I82" s="88"/>
      <c r="J82" s="90"/>
      <c r="K82" s="87">
        <v>69.5</v>
      </c>
      <c r="L82" s="88">
        <v>17.309999999999999</v>
      </c>
      <c r="M82" s="235"/>
      <c r="N82" s="90"/>
      <c r="O82" s="87">
        <f t="shared" si="23"/>
        <v>670.00009606679203</v>
      </c>
      <c r="P82" s="89">
        <f t="shared" si="24"/>
        <v>166.8734052218154</v>
      </c>
      <c r="Q82" s="90">
        <f t="shared" si="25"/>
        <v>0</v>
      </c>
      <c r="R82" s="107"/>
      <c r="S82" s="91"/>
      <c r="T82" s="92"/>
    </row>
    <row r="83" spans="1:20">
      <c r="A83" s="55" t="s">
        <v>88</v>
      </c>
      <c r="B83" s="57" t="s">
        <v>63</v>
      </c>
      <c r="C83" s="55">
        <v>18.5</v>
      </c>
      <c r="D83" s="57">
        <v>1999</v>
      </c>
      <c r="E83" s="55" t="s">
        <v>26</v>
      </c>
      <c r="F83" s="55" t="s">
        <v>2</v>
      </c>
      <c r="G83" s="66">
        <f t="shared" si="22"/>
        <v>11.294960827527854</v>
      </c>
      <c r="H83" s="47">
        <v>124611</v>
      </c>
      <c r="I83" s="63">
        <v>119375.86</v>
      </c>
      <c r="J83" s="65">
        <v>128221.81</v>
      </c>
      <c r="K83" s="47">
        <v>7360.36</v>
      </c>
      <c r="L83" s="63">
        <v>7065.13</v>
      </c>
      <c r="M83" s="113">
        <v>17.600000000000001</v>
      </c>
      <c r="N83" s="65">
        <f>J83/M83</f>
        <v>7285.3301136363625</v>
      </c>
      <c r="O83" s="47">
        <f t="shared" si="23"/>
        <v>83134.977876502904</v>
      </c>
      <c r="P83" s="39">
        <f t="shared" si="24"/>
        <v>79800.366591391867</v>
      </c>
      <c r="Q83" s="65">
        <f t="shared" si="25"/>
        <v>82287.518249131768</v>
      </c>
      <c r="R83" s="106">
        <f>IF(H83=0,0,(O83+O84)/H83)</f>
        <v>0.67326150577703348</v>
      </c>
      <c r="S83" s="67">
        <f>IF(I83=0,0,(P83+P84)/I83)</f>
        <v>0.66985358605892409</v>
      </c>
      <c r="T83" s="53">
        <f>IF(J83=0,0,(Q83+Q84)/J83)</f>
        <v>0.64175913792771888</v>
      </c>
    </row>
    <row r="84" spans="1:20">
      <c r="A84" s="85" t="s">
        <v>88</v>
      </c>
      <c r="B84" s="85" t="s">
        <v>120</v>
      </c>
      <c r="C84" s="85"/>
      <c r="D84" s="85">
        <v>1999</v>
      </c>
      <c r="E84" s="85" t="s">
        <v>26</v>
      </c>
      <c r="F84" s="85" t="s">
        <v>3</v>
      </c>
      <c r="G84" s="96">
        <f t="shared" si="22"/>
        <v>9.6402891520401734</v>
      </c>
      <c r="H84" s="87"/>
      <c r="I84" s="88"/>
      <c r="J84" s="90"/>
      <c r="K84" s="87">
        <v>78.92</v>
      </c>
      <c r="L84" s="88">
        <v>17.010000000000002</v>
      </c>
      <c r="M84" s="235"/>
      <c r="N84" s="90"/>
      <c r="O84" s="87">
        <f t="shared" si="23"/>
        <v>760.81161987901055</v>
      </c>
      <c r="P84" s="89">
        <f t="shared" si="24"/>
        <v>163.98131847620337</v>
      </c>
      <c r="Q84" s="90">
        <f t="shared" si="25"/>
        <v>0</v>
      </c>
      <c r="R84" s="107"/>
      <c r="S84" s="91"/>
      <c r="T84" s="92"/>
    </row>
    <row r="85" spans="1:20">
      <c r="A85" s="55" t="s">
        <v>88</v>
      </c>
      <c r="B85" s="55" t="s">
        <v>79</v>
      </c>
      <c r="C85" s="55">
        <v>3</v>
      </c>
      <c r="D85" s="55">
        <v>1999</v>
      </c>
      <c r="E85" s="55" t="s">
        <v>28</v>
      </c>
      <c r="F85" s="55" t="s">
        <v>95</v>
      </c>
      <c r="G85" s="66">
        <f t="shared" si="22"/>
        <v>0</v>
      </c>
      <c r="H85" s="47">
        <v>0</v>
      </c>
      <c r="I85" s="63">
        <v>2.73</v>
      </c>
      <c r="J85" s="65"/>
      <c r="K85" s="46"/>
      <c r="M85" s="113"/>
      <c r="N85" s="52"/>
      <c r="O85" s="47">
        <f t="shared" si="23"/>
        <v>0</v>
      </c>
      <c r="P85" s="39">
        <f t="shared" si="24"/>
        <v>0</v>
      </c>
      <c r="Q85" s="65">
        <f t="shared" si="25"/>
        <v>0</v>
      </c>
      <c r="R85" s="106">
        <f t="shared" ref="R85:T88" si="30">IF(H85=0,0,O85/H85)</f>
        <v>0</v>
      </c>
      <c r="S85" s="67">
        <f t="shared" si="30"/>
        <v>0</v>
      </c>
      <c r="T85" s="53">
        <f t="shared" si="30"/>
        <v>0</v>
      </c>
    </row>
    <row r="86" spans="1:20">
      <c r="A86" s="55" t="s">
        <v>88</v>
      </c>
      <c r="B86" s="55" t="s">
        <v>80</v>
      </c>
      <c r="C86" s="55">
        <v>4</v>
      </c>
      <c r="D86" s="55">
        <v>1999</v>
      </c>
      <c r="E86" s="55" t="s">
        <v>28</v>
      </c>
      <c r="F86" s="55" t="s">
        <v>95</v>
      </c>
      <c r="G86" s="66">
        <f t="shared" si="22"/>
        <v>0</v>
      </c>
      <c r="H86" s="47">
        <v>116.36</v>
      </c>
      <c r="I86" s="63">
        <v>15.1</v>
      </c>
      <c r="J86" s="65"/>
      <c r="K86" s="46"/>
      <c r="M86" s="113"/>
      <c r="N86" s="52"/>
      <c r="O86" s="47">
        <f t="shared" si="23"/>
        <v>0</v>
      </c>
      <c r="P86" s="39">
        <f t="shared" si="24"/>
        <v>0</v>
      </c>
      <c r="Q86" s="65">
        <f t="shared" si="25"/>
        <v>0</v>
      </c>
      <c r="R86" s="106">
        <f t="shared" si="30"/>
        <v>0</v>
      </c>
      <c r="S86" s="67">
        <f t="shared" si="30"/>
        <v>0</v>
      </c>
      <c r="T86" s="53">
        <f t="shared" si="30"/>
        <v>0</v>
      </c>
    </row>
    <row r="87" spans="1:20">
      <c r="A87" s="55" t="s">
        <v>88</v>
      </c>
      <c r="B87" s="55" t="s">
        <v>81</v>
      </c>
      <c r="C87" s="55">
        <v>4</v>
      </c>
      <c r="D87" s="55">
        <v>1999</v>
      </c>
      <c r="E87" s="55" t="s">
        <v>28</v>
      </c>
      <c r="F87" s="55" t="s">
        <v>95</v>
      </c>
      <c r="G87" s="66">
        <f t="shared" si="22"/>
        <v>0</v>
      </c>
      <c r="H87" s="47">
        <v>124.52</v>
      </c>
      <c r="I87" s="63">
        <v>16.809999999999999</v>
      </c>
      <c r="J87" s="65"/>
      <c r="K87" s="46"/>
      <c r="M87" s="113"/>
      <c r="N87" s="52"/>
      <c r="O87" s="47">
        <f t="shared" si="23"/>
        <v>0</v>
      </c>
      <c r="P87" s="39">
        <f t="shared" si="24"/>
        <v>0</v>
      </c>
      <c r="Q87" s="65">
        <f t="shared" si="25"/>
        <v>0</v>
      </c>
      <c r="R87" s="106">
        <f t="shared" si="30"/>
        <v>0</v>
      </c>
      <c r="S87" s="67">
        <f t="shared" si="30"/>
        <v>0</v>
      </c>
      <c r="T87" s="53">
        <f t="shared" si="30"/>
        <v>0</v>
      </c>
    </row>
    <row r="88" spans="1:20">
      <c r="A88" s="55" t="s">
        <v>88</v>
      </c>
      <c r="B88" s="55" t="s">
        <v>75</v>
      </c>
      <c r="C88" s="55">
        <v>19.3</v>
      </c>
      <c r="D88" s="55">
        <v>1999</v>
      </c>
      <c r="E88" s="55" t="s">
        <v>25</v>
      </c>
      <c r="F88" s="55" t="s">
        <v>95</v>
      </c>
      <c r="G88" s="66">
        <f t="shared" si="22"/>
        <v>0</v>
      </c>
      <c r="H88" s="49">
        <v>30737.83</v>
      </c>
      <c r="I88" s="63">
        <v>24772.68</v>
      </c>
      <c r="J88" s="83">
        <v>42989.29</v>
      </c>
      <c r="K88" s="46"/>
      <c r="M88" s="113"/>
      <c r="N88" s="52"/>
      <c r="O88" s="47">
        <f t="shared" si="23"/>
        <v>0</v>
      </c>
      <c r="P88" s="39">
        <f t="shared" si="24"/>
        <v>0</v>
      </c>
      <c r="Q88" s="65">
        <f t="shared" si="25"/>
        <v>0</v>
      </c>
      <c r="R88" s="106">
        <f t="shared" si="30"/>
        <v>0</v>
      </c>
      <c r="S88" s="67">
        <f t="shared" si="30"/>
        <v>0</v>
      </c>
      <c r="T88" s="53">
        <f t="shared" si="30"/>
        <v>0</v>
      </c>
    </row>
    <row r="89" spans="1:20">
      <c r="A89" s="55" t="s">
        <v>88</v>
      </c>
      <c r="B89" s="57" t="s">
        <v>67</v>
      </c>
      <c r="C89" s="55">
        <v>10.44</v>
      </c>
      <c r="D89" s="55">
        <v>1999</v>
      </c>
      <c r="E89" s="55" t="s">
        <v>26</v>
      </c>
      <c r="F89" s="55" t="s">
        <v>2</v>
      </c>
      <c r="G89" s="66">
        <f t="shared" si="22"/>
        <v>11.294960827527854</v>
      </c>
      <c r="H89" s="47">
        <v>79498.05</v>
      </c>
      <c r="I89" s="63">
        <v>79667.360000000001</v>
      </c>
      <c r="J89" s="65">
        <v>74899.59</v>
      </c>
      <c r="K89" s="47">
        <v>4879.3100000000004</v>
      </c>
      <c r="L89" s="63">
        <v>4888</v>
      </c>
      <c r="M89" s="113">
        <v>16.52</v>
      </c>
      <c r="N89" s="65">
        <f>J89/M89</f>
        <v>4533.873486682809</v>
      </c>
      <c r="O89" s="47">
        <f t="shared" si="23"/>
        <v>55111.615315364936</v>
      </c>
      <c r="P89" s="39">
        <f t="shared" si="24"/>
        <v>55209.768524956147</v>
      </c>
      <c r="Q89" s="65">
        <f t="shared" si="25"/>
        <v>51209.923429049457</v>
      </c>
      <c r="R89" s="106">
        <f>IF(H89=0,0,(O89+O90)/H89)</f>
        <v>0.69538154973894184</v>
      </c>
      <c r="S89" s="67">
        <f>IF(I89=0,0,(P89+P90)/I89)</f>
        <v>0.69542980114383801</v>
      </c>
      <c r="T89" s="53">
        <f>IF(J89=0,0,(Q89+Q90)/J89)</f>
        <v>0.68371433580677088</v>
      </c>
    </row>
    <row r="90" spans="1:20">
      <c r="A90" s="85" t="s">
        <v>88</v>
      </c>
      <c r="B90" s="85" t="s">
        <v>121</v>
      </c>
      <c r="C90" s="85"/>
      <c r="D90" s="85">
        <v>1999</v>
      </c>
      <c r="E90" s="85" t="s">
        <v>26</v>
      </c>
      <c r="F90" s="85" t="s">
        <v>3</v>
      </c>
      <c r="G90" s="96">
        <f t="shared" si="22"/>
        <v>9.6402891520401734</v>
      </c>
      <c r="H90" s="87"/>
      <c r="I90" s="88"/>
      <c r="J90" s="90"/>
      <c r="K90" s="87">
        <v>17.62</v>
      </c>
      <c r="L90" s="88">
        <v>20.05</v>
      </c>
      <c r="M90" s="235"/>
      <c r="N90" s="116"/>
      <c r="O90" s="87">
        <f t="shared" si="23"/>
        <v>169.86189485894786</v>
      </c>
      <c r="P90" s="89">
        <f t="shared" si="24"/>
        <v>193.2877974984055</v>
      </c>
      <c r="Q90" s="90">
        <f t="shared" si="25"/>
        <v>0</v>
      </c>
      <c r="R90" s="107"/>
      <c r="S90" s="91"/>
      <c r="T90" s="92"/>
    </row>
    <row r="91" spans="1:20">
      <c r="A91" s="55" t="s">
        <v>88</v>
      </c>
      <c r="B91" s="55" t="s">
        <v>68</v>
      </c>
      <c r="C91" s="55">
        <v>10.44</v>
      </c>
      <c r="D91" s="55">
        <v>1999</v>
      </c>
      <c r="E91" s="55" t="s">
        <v>26</v>
      </c>
      <c r="F91" s="55" t="s">
        <v>2</v>
      </c>
      <c r="G91" s="66">
        <f t="shared" si="22"/>
        <v>11.294960827527854</v>
      </c>
      <c r="H91" s="49">
        <v>78660</v>
      </c>
      <c r="I91" s="63">
        <v>76662.600000000006</v>
      </c>
      <c r="J91" s="83">
        <v>75038.98</v>
      </c>
      <c r="K91" s="77">
        <v>4827.54</v>
      </c>
      <c r="L91" s="63">
        <v>4703.7299999999996</v>
      </c>
      <c r="M91" s="113">
        <v>16.53</v>
      </c>
      <c r="N91" s="65">
        <f t="shared" ref="N91:N107" si="31">J91/M91</f>
        <v>4539.5632183908037</v>
      </c>
      <c r="O91" s="47">
        <f t="shared" si="23"/>
        <v>54526.875193323816</v>
      </c>
      <c r="P91" s="39">
        <f t="shared" si="24"/>
        <v>53128.446093267587</v>
      </c>
      <c r="Q91" s="65">
        <f t="shared" si="25"/>
        <v>51274.188725810403</v>
      </c>
      <c r="R91" s="106">
        <f t="shared" ref="R91:R111" si="32">IF(H91=0,0,O91/H91)</f>
        <v>0.69319698949051378</v>
      </c>
      <c r="S91" s="67">
        <f t="shared" ref="S91:S111" si="33">IF(I91=0,0,P91/I91)</f>
        <v>0.6930164916565259</v>
      </c>
      <c r="T91" s="53">
        <f t="shared" ref="T91:T111" si="34">IF(J91=0,0,Q91/J91)</f>
        <v>0.68330071551892635</v>
      </c>
    </row>
    <row r="92" spans="1:20">
      <c r="A92" s="55" t="s">
        <v>88</v>
      </c>
      <c r="B92" s="57" t="s">
        <v>69</v>
      </c>
      <c r="C92" s="55">
        <v>10.44</v>
      </c>
      <c r="D92" s="55">
        <v>1999</v>
      </c>
      <c r="E92" s="55" t="s">
        <v>26</v>
      </c>
      <c r="F92" s="55" t="s">
        <v>2</v>
      </c>
      <c r="G92" s="66">
        <f t="shared" si="22"/>
        <v>11.294960827527854</v>
      </c>
      <c r="H92" s="47">
        <v>78491.490000000005</v>
      </c>
      <c r="I92" s="79">
        <v>80865.570000000007</v>
      </c>
      <c r="J92" s="65">
        <v>76935.73</v>
      </c>
      <c r="K92" s="77">
        <v>4817.0600000000004</v>
      </c>
      <c r="L92" s="79">
        <v>4961.4399999999996</v>
      </c>
      <c r="M92" s="236">
        <v>16.52</v>
      </c>
      <c r="N92" s="65">
        <f t="shared" si="31"/>
        <v>4657.126513317191</v>
      </c>
      <c r="O92" s="47">
        <f t="shared" si="23"/>
        <v>54408.504003851325</v>
      </c>
      <c r="P92" s="39">
        <f t="shared" si="24"/>
        <v>56039.270448129791</v>
      </c>
      <c r="Q92" s="65">
        <f t="shared" si="25"/>
        <v>52602.061536759051</v>
      </c>
      <c r="R92" s="106">
        <f t="shared" si="32"/>
        <v>0.69317710752912609</v>
      </c>
      <c r="S92" s="67">
        <f t="shared" si="33"/>
        <v>0.69299295668267458</v>
      </c>
      <c r="T92" s="53">
        <f t="shared" si="34"/>
        <v>0.68371433580677088</v>
      </c>
    </row>
    <row r="93" spans="1:20">
      <c r="A93" s="55" t="s">
        <v>88</v>
      </c>
      <c r="B93" s="57" t="s">
        <v>70</v>
      </c>
      <c r="C93" s="55">
        <v>10.44</v>
      </c>
      <c r="D93" s="55">
        <v>1999</v>
      </c>
      <c r="E93" s="55" t="s">
        <v>26</v>
      </c>
      <c r="F93" s="55" t="s">
        <v>2</v>
      </c>
      <c r="G93" s="66">
        <f t="shared" si="22"/>
        <v>11.294960827527854</v>
      </c>
      <c r="H93" s="49">
        <v>78346.490000000005</v>
      </c>
      <c r="I93" s="79">
        <v>75518.789999999994</v>
      </c>
      <c r="J93" s="83">
        <v>73549.320000000007</v>
      </c>
      <c r="K93" s="77">
        <v>4808.18</v>
      </c>
      <c r="L93" s="79">
        <v>4633.33</v>
      </c>
      <c r="M93" s="236">
        <v>16.53</v>
      </c>
      <c r="N93" s="65">
        <f t="shared" si="31"/>
        <v>4449.4446460980034</v>
      </c>
      <c r="O93" s="47">
        <f t="shared" si="23"/>
        <v>54308.204751702877</v>
      </c>
      <c r="P93" s="39">
        <f t="shared" si="24"/>
        <v>52333.280851009629</v>
      </c>
      <c r="Q93" s="65">
        <f t="shared" si="25"/>
        <v>50256.302981930487</v>
      </c>
      <c r="R93" s="106">
        <f t="shared" si="32"/>
        <v>0.6931798061623804</v>
      </c>
      <c r="S93" s="67">
        <f t="shared" si="33"/>
        <v>0.69298357204888528</v>
      </c>
      <c r="T93" s="53">
        <f t="shared" si="34"/>
        <v>0.68330071551892635</v>
      </c>
    </row>
    <row r="94" spans="1:20">
      <c r="A94" s="55" t="s">
        <v>88</v>
      </c>
      <c r="B94" s="57" t="s">
        <v>71</v>
      </c>
      <c r="C94" s="55">
        <v>10.44</v>
      </c>
      <c r="D94" s="55">
        <v>1999</v>
      </c>
      <c r="E94" s="55" t="s">
        <v>26</v>
      </c>
      <c r="F94" s="55" t="s">
        <v>2</v>
      </c>
      <c r="G94" s="66">
        <f t="shared" si="22"/>
        <v>11.294960827527854</v>
      </c>
      <c r="H94" s="49">
        <v>77965.929999999993</v>
      </c>
      <c r="I94" s="79">
        <v>77898</v>
      </c>
      <c r="J94" s="83">
        <v>76273.97</v>
      </c>
      <c r="K94" s="77">
        <v>4784.6000000000004</v>
      </c>
      <c r="L94" s="79">
        <v>4779.24</v>
      </c>
      <c r="M94" s="236">
        <v>16.53</v>
      </c>
      <c r="N94" s="65">
        <f t="shared" si="31"/>
        <v>4614.2752571082874</v>
      </c>
      <c r="O94" s="47">
        <f t="shared" si="23"/>
        <v>54041.869575389777</v>
      </c>
      <c r="P94" s="39">
        <f t="shared" si="24"/>
        <v>53981.328585354218</v>
      </c>
      <c r="Q94" s="65">
        <f t="shared" si="25"/>
        <v>52118.058276469121</v>
      </c>
      <c r="R94" s="106">
        <f t="shared" si="32"/>
        <v>0.69314724489773649</v>
      </c>
      <c r="S94" s="67">
        <f t="shared" si="33"/>
        <v>0.69297451263645049</v>
      </c>
      <c r="T94" s="53">
        <f t="shared" si="34"/>
        <v>0.68330071551892635</v>
      </c>
    </row>
    <row r="95" spans="1:20">
      <c r="A95" s="55" t="s">
        <v>90</v>
      </c>
      <c r="B95" s="57" t="s">
        <v>44</v>
      </c>
      <c r="C95" s="55">
        <v>40</v>
      </c>
      <c r="D95" s="55">
        <v>1998</v>
      </c>
      <c r="E95" s="55" t="s">
        <v>26</v>
      </c>
      <c r="F95" s="55" t="s">
        <v>3</v>
      </c>
      <c r="G95" s="66">
        <f t="shared" si="22"/>
        <v>9.6402891520401734</v>
      </c>
      <c r="H95" s="47">
        <v>12540.81</v>
      </c>
      <c r="I95" s="63">
        <v>7339.1</v>
      </c>
      <c r="J95" s="65">
        <v>3390.2</v>
      </c>
      <c r="K95" s="47">
        <v>1192</v>
      </c>
      <c r="L95" s="63">
        <v>603.57000000000005</v>
      </c>
      <c r="M95" s="113">
        <v>13.48</v>
      </c>
      <c r="N95" s="65">
        <f t="shared" si="31"/>
        <v>251.49851632047475</v>
      </c>
      <c r="O95" s="47">
        <f t="shared" si="23"/>
        <v>11491.224669231886</v>
      </c>
      <c r="P95" s="39">
        <f t="shared" si="24"/>
        <v>5818.589323496888</v>
      </c>
      <c r="Q95" s="65">
        <f t="shared" si="25"/>
        <v>2424.5184186384713</v>
      </c>
      <c r="R95" s="106">
        <f t="shared" si="32"/>
        <v>0.91630641635044996</v>
      </c>
      <c r="S95" s="67">
        <f t="shared" si="33"/>
        <v>0.79282055340530688</v>
      </c>
      <c r="T95" s="53">
        <f t="shared" si="34"/>
        <v>0.71515498160535407</v>
      </c>
    </row>
    <row r="96" spans="1:20">
      <c r="A96" s="55" t="s">
        <v>90</v>
      </c>
      <c r="B96" s="57" t="s">
        <v>42</v>
      </c>
      <c r="C96" s="55">
        <v>6.2</v>
      </c>
      <c r="D96" s="55">
        <v>1998</v>
      </c>
      <c r="E96" s="55" t="s">
        <v>26</v>
      </c>
      <c r="F96" s="55" t="s">
        <v>2</v>
      </c>
      <c r="G96" s="66">
        <f t="shared" si="22"/>
        <v>11.294960827527854</v>
      </c>
      <c r="H96" s="47">
        <v>22746.25</v>
      </c>
      <c r="I96" s="63">
        <v>21316.65</v>
      </c>
      <c r="J96" s="65">
        <v>22541.66</v>
      </c>
      <c r="K96" s="47">
        <v>1500.58</v>
      </c>
      <c r="L96" s="63">
        <v>1397.83</v>
      </c>
      <c r="M96" s="113">
        <v>16.03</v>
      </c>
      <c r="N96" s="65">
        <f t="shared" si="31"/>
        <v>1406.2170929507172</v>
      </c>
      <c r="O96" s="47">
        <f t="shared" si="23"/>
        <v>16948.992318571745</v>
      </c>
      <c r="P96" s="39">
        <f t="shared" si="24"/>
        <v>15788.435093543259</v>
      </c>
      <c r="Q96" s="65">
        <f t="shared" si="25"/>
        <v>15883.166979878446</v>
      </c>
      <c r="R96" s="106">
        <f t="shared" si="32"/>
        <v>0.74513347556505993</v>
      </c>
      <c r="S96" s="67">
        <f t="shared" si="33"/>
        <v>0.74066211593018871</v>
      </c>
      <c r="T96" s="53">
        <f t="shared" si="34"/>
        <v>0.70461390065675933</v>
      </c>
    </row>
    <row r="97" spans="1:22">
      <c r="A97" s="55" t="s">
        <v>88</v>
      </c>
      <c r="B97" s="57" t="s">
        <v>47</v>
      </c>
      <c r="C97" s="55">
        <v>3.9</v>
      </c>
      <c r="D97" s="55">
        <v>1997</v>
      </c>
      <c r="E97" s="55" t="s">
        <v>26</v>
      </c>
      <c r="F97" s="55" t="s">
        <v>2</v>
      </c>
      <c r="G97" s="66">
        <f t="shared" ref="G97:G118" si="35">IF(F97="Diesel",diesel,IF(F97="Fuel Oil",fueloil,IF(F97="Coal",coal,0)))</f>
        <v>11.294960827527854</v>
      </c>
      <c r="H97" s="49">
        <v>352.36</v>
      </c>
      <c r="I97" s="63">
        <v>0</v>
      </c>
      <c r="J97" s="83">
        <v>0</v>
      </c>
      <c r="K97" s="47">
        <v>23.7</v>
      </c>
      <c r="L97" s="63">
        <v>0</v>
      </c>
      <c r="M97" s="113"/>
      <c r="N97" s="65"/>
      <c r="O97" s="47">
        <f t="shared" ref="O97:O118" si="36">$G97*K97</f>
        <v>267.69057161241011</v>
      </c>
      <c r="P97" s="39">
        <f t="shared" ref="P97:P118" si="37">$G97*L97</f>
        <v>0</v>
      </c>
      <c r="Q97" s="65">
        <f t="shared" ref="Q97:Q118" si="38">$G97*N97</f>
        <v>0</v>
      </c>
      <c r="R97" s="106">
        <f t="shared" si="32"/>
        <v>0.75970760475766286</v>
      </c>
      <c r="S97" s="67">
        <f t="shared" si="33"/>
        <v>0</v>
      </c>
      <c r="T97" s="53">
        <f t="shared" si="34"/>
        <v>0</v>
      </c>
    </row>
    <row r="98" spans="1:22">
      <c r="A98" s="55" t="s">
        <v>88</v>
      </c>
      <c r="B98" s="57" t="s">
        <v>48</v>
      </c>
      <c r="C98" s="55">
        <v>3.9</v>
      </c>
      <c r="D98" s="55">
        <v>1997</v>
      </c>
      <c r="E98" s="55" t="s">
        <v>26</v>
      </c>
      <c r="F98" s="55" t="s">
        <v>2</v>
      </c>
      <c r="G98" s="66">
        <f t="shared" si="35"/>
        <v>11.294960827527854</v>
      </c>
      <c r="H98" s="49">
        <v>12342.61</v>
      </c>
      <c r="I98" s="63">
        <v>13809.72</v>
      </c>
      <c r="J98" s="83">
        <v>18243.060000000001</v>
      </c>
      <c r="K98" s="47">
        <v>795.08</v>
      </c>
      <c r="L98" s="63">
        <v>877.55</v>
      </c>
      <c r="M98" s="113">
        <v>16.43</v>
      </c>
      <c r="N98" s="65">
        <f t="shared" si="31"/>
        <v>1110.3505782105906</v>
      </c>
      <c r="O98" s="47">
        <f t="shared" si="36"/>
        <v>8980.397454750846</v>
      </c>
      <c r="P98" s="39">
        <f t="shared" si="37"/>
        <v>9911.8928741970685</v>
      </c>
      <c r="Q98" s="65">
        <f t="shared" si="38"/>
        <v>12541.366285711523</v>
      </c>
      <c r="R98" s="106">
        <f t="shared" si="32"/>
        <v>0.72759306619514397</v>
      </c>
      <c r="S98" s="67">
        <f t="shared" si="33"/>
        <v>0.71774756289027364</v>
      </c>
      <c r="T98" s="53">
        <f t="shared" si="34"/>
        <v>0.68745957562555415</v>
      </c>
    </row>
    <row r="99" spans="1:22">
      <c r="A99" s="55" t="s">
        <v>88</v>
      </c>
      <c r="B99" s="58" t="s">
        <v>49</v>
      </c>
      <c r="C99" s="55">
        <v>3.9</v>
      </c>
      <c r="D99" s="55">
        <v>1997</v>
      </c>
      <c r="E99" s="55" t="s">
        <v>26</v>
      </c>
      <c r="F99" s="55" t="s">
        <v>2</v>
      </c>
      <c r="G99" s="66">
        <f t="shared" si="35"/>
        <v>11.294960827527854</v>
      </c>
      <c r="H99" s="47">
        <v>9374.9</v>
      </c>
      <c r="I99" s="82">
        <v>14793.14</v>
      </c>
      <c r="J99" s="65">
        <v>16412.54</v>
      </c>
      <c r="K99" s="47">
        <v>604.73</v>
      </c>
      <c r="L99" s="63">
        <v>939.75</v>
      </c>
      <c r="M99" s="113">
        <v>16.420000000000002</v>
      </c>
      <c r="N99" s="65">
        <f t="shared" si="31"/>
        <v>999.54567600487201</v>
      </c>
      <c r="O99" s="47">
        <f t="shared" si="36"/>
        <v>6830.4016612309197</v>
      </c>
      <c r="P99" s="39">
        <f t="shared" si="37"/>
        <v>10614.4394376693</v>
      </c>
      <c r="Q99" s="65">
        <f t="shared" si="38"/>
        <v>11289.829255799878</v>
      </c>
      <c r="R99" s="106">
        <f t="shared" si="32"/>
        <v>0.72858394876008492</v>
      </c>
      <c r="S99" s="67">
        <f t="shared" si="33"/>
        <v>0.71752443616901485</v>
      </c>
      <c r="T99" s="53">
        <f t="shared" si="34"/>
        <v>0.68787824771789596</v>
      </c>
    </row>
    <row r="100" spans="1:22">
      <c r="A100" s="55" t="s">
        <v>88</v>
      </c>
      <c r="B100" s="58" t="s">
        <v>50</v>
      </c>
      <c r="C100" s="55">
        <v>3.9</v>
      </c>
      <c r="D100" s="55">
        <v>1997</v>
      </c>
      <c r="E100" s="55" t="s">
        <v>26</v>
      </c>
      <c r="F100" s="55" t="s">
        <v>2</v>
      </c>
      <c r="G100" s="66">
        <f t="shared" si="35"/>
        <v>11.294960827527854</v>
      </c>
      <c r="H100" s="47">
        <v>5703.73</v>
      </c>
      <c r="I100" s="82">
        <v>0</v>
      </c>
      <c r="J100" s="65">
        <v>18178.509999999998</v>
      </c>
      <c r="K100" s="47">
        <v>381.11</v>
      </c>
      <c r="L100" s="63">
        <v>0</v>
      </c>
      <c r="M100" s="113">
        <v>16.41</v>
      </c>
      <c r="N100" s="65">
        <f t="shared" si="31"/>
        <v>1107.7702620353441</v>
      </c>
      <c r="O100" s="47">
        <f t="shared" si="36"/>
        <v>4304.622520979141</v>
      </c>
      <c r="P100" s="39">
        <f t="shared" si="37"/>
        <v>0</v>
      </c>
      <c r="Q100" s="65">
        <f t="shared" si="38"/>
        <v>12512.221715589478</v>
      </c>
      <c r="R100" s="106">
        <f t="shared" si="32"/>
        <v>0.754703066410777</v>
      </c>
      <c r="S100" s="67">
        <f t="shared" si="33"/>
        <v>0</v>
      </c>
      <c r="T100" s="53">
        <f t="shared" si="34"/>
        <v>0.68829743007482347</v>
      </c>
    </row>
    <row r="101" spans="1:22">
      <c r="A101" s="55" t="s">
        <v>88</v>
      </c>
      <c r="B101" s="58" t="s">
        <v>51</v>
      </c>
      <c r="C101" s="55">
        <v>3.9</v>
      </c>
      <c r="D101" s="55">
        <v>1997</v>
      </c>
      <c r="E101" s="55" t="s">
        <v>26</v>
      </c>
      <c r="F101" s="55" t="s">
        <v>2</v>
      </c>
      <c r="G101" s="66">
        <f t="shared" si="35"/>
        <v>11.294960827527854</v>
      </c>
      <c r="H101" s="47">
        <v>927.94</v>
      </c>
      <c r="I101" s="63">
        <v>0</v>
      </c>
      <c r="J101" s="65">
        <v>2453.7800000000002</v>
      </c>
      <c r="K101" s="47">
        <v>61.4</v>
      </c>
      <c r="L101" s="63">
        <v>0</v>
      </c>
      <c r="M101" s="113">
        <v>16.309999999999999</v>
      </c>
      <c r="N101" s="84">
        <f t="shared" si="31"/>
        <v>150.4463519313305</v>
      </c>
      <c r="O101" s="47">
        <f t="shared" si="36"/>
        <v>693.51059481021025</v>
      </c>
      <c r="P101" s="39">
        <f t="shared" si="37"/>
        <v>0</v>
      </c>
      <c r="Q101" s="65">
        <f t="shared" si="38"/>
        <v>1699.2856517088474</v>
      </c>
      <c r="R101" s="106">
        <f t="shared" si="32"/>
        <v>0.74736577236697443</v>
      </c>
      <c r="S101" s="67">
        <f t="shared" si="33"/>
        <v>0</v>
      </c>
      <c r="T101" s="53">
        <f t="shared" si="34"/>
        <v>0.69251752467981942</v>
      </c>
      <c r="V101" s="105"/>
    </row>
    <row r="102" spans="1:22">
      <c r="A102" s="55" t="s">
        <v>88</v>
      </c>
      <c r="B102" s="58" t="s">
        <v>52</v>
      </c>
      <c r="C102" s="55">
        <v>3.9</v>
      </c>
      <c r="D102" s="55">
        <v>1997</v>
      </c>
      <c r="E102" s="55" t="s">
        <v>26</v>
      </c>
      <c r="F102" s="55" t="s">
        <v>2</v>
      </c>
      <c r="G102" s="66">
        <f t="shared" si="35"/>
        <v>11.294960827527854</v>
      </c>
      <c r="H102" s="47">
        <v>0</v>
      </c>
      <c r="I102" s="82">
        <v>0</v>
      </c>
      <c r="J102" s="65">
        <v>11784.37</v>
      </c>
      <c r="K102" s="47">
        <v>0</v>
      </c>
      <c r="L102" s="63">
        <v>0</v>
      </c>
      <c r="M102" s="113">
        <v>16.440000000000001</v>
      </c>
      <c r="N102" s="84">
        <f t="shared" si="31"/>
        <v>716.81082725060821</v>
      </c>
      <c r="O102" s="47">
        <f t="shared" si="36"/>
        <v>0</v>
      </c>
      <c r="P102" s="39">
        <f t="shared" si="37"/>
        <v>0</v>
      </c>
      <c r="Q102" s="65">
        <f t="shared" si="38"/>
        <v>8096.350214543455</v>
      </c>
      <c r="R102" s="106">
        <f t="shared" si="32"/>
        <v>0</v>
      </c>
      <c r="S102" s="67">
        <f t="shared" si="33"/>
        <v>0</v>
      </c>
      <c r="T102" s="53">
        <f t="shared" si="34"/>
        <v>0.68704141286665765</v>
      </c>
      <c r="V102" s="104"/>
    </row>
    <row r="103" spans="1:22">
      <c r="A103" s="55" t="s">
        <v>88</v>
      </c>
      <c r="B103" s="57" t="s">
        <v>53</v>
      </c>
      <c r="C103" s="55">
        <v>3.9</v>
      </c>
      <c r="D103" s="55">
        <v>1997</v>
      </c>
      <c r="E103" s="55" t="s">
        <v>26</v>
      </c>
      <c r="F103" s="55" t="s">
        <v>2</v>
      </c>
      <c r="G103" s="66">
        <f t="shared" si="35"/>
        <v>11.294960827527854</v>
      </c>
      <c r="H103" s="47">
        <v>0</v>
      </c>
      <c r="I103" s="63">
        <v>0</v>
      </c>
      <c r="J103" s="65">
        <v>14749.06</v>
      </c>
      <c r="K103" s="47">
        <v>0</v>
      </c>
      <c r="L103" s="63">
        <v>0</v>
      </c>
      <c r="M103" s="113">
        <v>16.3</v>
      </c>
      <c r="N103" s="65">
        <f t="shared" si="31"/>
        <v>904.85030674846621</v>
      </c>
      <c r="O103" s="47">
        <f t="shared" si="36"/>
        <v>0</v>
      </c>
      <c r="P103" s="39">
        <f t="shared" si="37"/>
        <v>0</v>
      </c>
      <c r="Q103" s="65">
        <f t="shared" si="38"/>
        <v>10220.248769500487</v>
      </c>
      <c r="R103" s="106">
        <f t="shared" si="32"/>
        <v>0</v>
      </c>
      <c r="S103" s="67">
        <f t="shared" si="33"/>
        <v>0</v>
      </c>
      <c r="T103" s="53">
        <f t="shared" si="34"/>
        <v>0.69294238205692349</v>
      </c>
    </row>
    <row r="104" spans="1:22">
      <c r="A104" s="55" t="s">
        <v>88</v>
      </c>
      <c r="B104" s="58" t="s">
        <v>54</v>
      </c>
      <c r="C104" s="55">
        <v>3.9</v>
      </c>
      <c r="D104" s="55">
        <v>1997</v>
      </c>
      <c r="E104" s="55" t="s">
        <v>26</v>
      </c>
      <c r="F104" s="55" t="s">
        <v>2</v>
      </c>
      <c r="G104" s="66">
        <f t="shared" si="35"/>
        <v>11.294960827527854</v>
      </c>
      <c r="H104" s="47">
        <v>0</v>
      </c>
      <c r="I104" s="82">
        <v>6348.15</v>
      </c>
      <c r="J104" s="65">
        <v>19254.25</v>
      </c>
      <c r="K104" s="47">
        <v>0</v>
      </c>
      <c r="L104" s="63">
        <v>401.31</v>
      </c>
      <c r="M104" s="113">
        <v>16.309999999999999</v>
      </c>
      <c r="N104" s="84">
        <f t="shared" si="31"/>
        <v>1180.5180870631516</v>
      </c>
      <c r="O104" s="47">
        <f t="shared" si="36"/>
        <v>0</v>
      </c>
      <c r="P104" s="39">
        <f t="shared" si="37"/>
        <v>4532.7807296952033</v>
      </c>
      <c r="Q104" s="65">
        <f t="shared" si="38"/>
        <v>13333.905549566414</v>
      </c>
      <c r="R104" s="106">
        <f t="shared" si="32"/>
        <v>0</v>
      </c>
      <c r="S104" s="67">
        <f t="shared" si="33"/>
        <v>0.71403176196139084</v>
      </c>
      <c r="T104" s="53">
        <f t="shared" si="34"/>
        <v>0.69251752467981953</v>
      </c>
    </row>
    <row r="105" spans="1:22">
      <c r="A105" s="55" t="s">
        <v>88</v>
      </c>
      <c r="B105" s="58" t="s">
        <v>55</v>
      </c>
      <c r="C105" s="55">
        <v>3.9</v>
      </c>
      <c r="D105" s="55">
        <v>1997</v>
      </c>
      <c r="E105" s="55" t="s">
        <v>26</v>
      </c>
      <c r="F105" s="55" t="s">
        <v>2</v>
      </c>
      <c r="G105" s="66">
        <f t="shared" si="35"/>
        <v>11.294960827527854</v>
      </c>
      <c r="H105" s="47">
        <v>20574.189999999999</v>
      </c>
      <c r="I105" s="63">
        <v>19800.91</v>
      </c>
      <c r="J105" s="65">
        <v>18994.48</v>
      </c>
      <c r="K105" s="47">
        <v>1319.61</v>
      </c>
      <c r="L105" s="63">
        <v>1254.21</v>
      </c>
      <c r="M105" s="113">
        <v>16.309999999999999</v>
      </c>
      <c r="N105" s="84">
        <f t="shared" si="31"/>
        <v>1164.591048436542</v>
      </c>
      <c r="O105" s="47">
        <f t="shared" si="36"/>
        <v>14904.94325761403</v>
      </c>
      <c r="P105" s="39">
        <f t="shared" si="37"/>
        <v>14166.252819493709</v>
      </c>
      <c r="Q105" s="65">
        <f t="shared" si="38"/>
        <v>13154.010272180336</v>
      </c>
      <c r="R105" s="106">
        <f t="shared" si="32"/>
        <v>0.7244486056371614</v>
      </c>
      <c r="S105" s="67">
        <f t="shared" si="33"/>
        <v>0.71543443303836585</v>
      </c>
      <c r="T105" s="53">
        <f t="shared" si="34"/>
        <v>0.69251752467981942</v>
      </c>
    </row>
    <row r="106" spans="1:22">
      <c r="A106" s="55" t="s">
        <v>90</v>
      </c>
      <c r="B106" s="57" t="s">
        <v>41</v>
      </c>
      <c r="C106" s="55">
        <v>6.2</v>
      </c>
      <c r="D106" s="55">
        <v>1994</v>
      </c>
      <c r="E106" s="55" t="s">
        <v>26</v>
      </c>
      <c r="F106" s="55" t="s">
        <v>2</v>
      </c>
      <c r="G106" s="66">
        <f t="shared" si="35"/>
        <v>11.294960827527854</v>
      </c>
      <c r="H106" s="47">
        <v>19889.95</v>
      </c>
      <c r="I106" s="63">
        <v>9168.0499999999993</v>
      </c>
      <c r="J106" s="65">
        <v>13699.54</v>
      </c>
      <c r="K106" s="47">
        <v>1345.22</v>
      </c>
      <c r="L106" s="63">
        <v>619.71</v>
      </c>
      <c r="M106" s="113">
        <v>15.63</v>
      </c>
      <c r="N106" s="65">
        <f t="shared" si="31"/>
        <v>876.49008317338451</v>
      </c>
      <c r="O106" s="47">
        <f t="shared" si="36"/>
        <v>15194.207204407019</v>
      </c>
      <c r="P106" s="39">
        <f t="shared" si="37"/>
        <v>6999.6001744272871</v>
      </c>
      <c r="Q106" s="65">
        <f t="shared" si="38"/>
        <v>9899.9211551600092</v>
      </c>
      <c r="R106" s="106">
        <f t="shared" si="32"/>
        <v>0.76391379588219266</v>
      </c>
      <c r="S106" s="67">
        <f t="shared" si="33"/>
        <v>0.76347753060108614</v>
      </c>
      <c r="T106" s="53">
        <f t="shared" si="34"/>
        <v>0.72264624616301043</v>
      </c>
    </row>
    <row r="107" spans="1:22">
      <c r="A107" s="55" t="s">
        <v>90</v>
      </c>
      <c r="B107" s="57" t="s">
        <v>43</v>
      </c>
      <c r="C107" s="55">
        <v>25</v>
      </c>
      <c r="D107" s="55">
        <v>1992</v>
      </c>
      <c r="E107" s="55" t="s">
        <v>26</v>
      </c>
      <c r="F107" s="55" t="s">
        <v>3</v>
      </c>
      <c r="G107" s="66">
        <f t="shared" si="35"/>
        <v>9.6402891520401734</v>
      </c>
      <c r="H107" s="47">
        <v>1510.05</v>
      </c>
      <c r="I107" s="63">
        <v>924.49</v>
      </c>
      <c r="J107" s="65">
        <v>218.82</v>
      </c>
      <c r="K107" s="47">
        <v>170.5</v>
      </c>
      <c r="L107" s="63">
        <f>102.13+0.44</f>
        <v>102.57</v>
      </c>
      <c r="M107" s="113">
        <v>8.7200000000000006</v>
      </c>
      <c r="N107" s="65">
        <f t="shared" si="31"/>
        <v>25.094036697247702</v>
      </c>
      <c r="O107" s="47">
        <f t="shared" si="36"/>
        <v>1643.6693004228496</v>
      </c>
      <c r="P107" s="39">
        <f t="shared" si="37"/>
        <v>988.8044583247605</v>
      </c>
      <c r="Q107" s="65">
        <f t="shared" si="38"/>
        <v>241.91376975337505</v>
      </c>
      <c r="R107" s="106">
        <f t="shared" si="32"/>
        <v>1.0884866729067577</v>
      </c>
      <c r="S107" s="67">
        <f t="shared" si="33"/>
        <v>1.0695675002701603</v>
      </c>
      <c r="T107" s="53">
        <f t="shared" si="34"/>
        <v>1.1055377467935978</v>
      </c>
    </row>
    <row r="108" spans="1:22">
      <c r="A108" s="55" t="s">
        <v>88</v>
      </c>
      <c r="B108" s="57" t="s">
        <v>65</v>
      </c>
      <c r="C108" s="55">
        <v>35</v>
      </c>
      <c r="D108" s="55">
        <v>1989</v>
      </c>
      <c r="E108" s="55" t="s">
        <v>25</v>
      </c>
      <c r="F108" s="55" t="s">
        <v>93</v>
      </c>
      <c r="G108" s="66">
        <f t="shared" si="35"/>
        <v>0</v>
      </c>
      <c r="H108" s="49">
        <v>174764.45</v>
      </c>
      <c r="I108" s="63">
        <v>151473.37</v>
      </c>
      <c r="J108" s="83">
        <v>155260.54999999999</v>
      </c>
      <c r="K108" s="47"/>
      <c r="L108" s="63"/>
      <c r="M108" s="113"/>
      <c r="N108" s="52"/>
      <c r="O108" s="47">
        <f t="shared" si="36"/>
        <v>0</v>
      </c>
      <c r="P108" s="39">
        <f t="shared" si="37"/>
        <v>0</v>
      </c>
      <c r="Q108" s="65">
        <f t="shared" si="38"/>
        <v>0</v>
      </c>
      <c r="R108" s="106">
        <f t="shared" si="32"/>
        <v>0</v>
      </c>
      <c r="S108" s="67">
        <f t="shared" si="33"/>
        <v>0</v>
      </c>
      <c r="T108" s="53">
        <f t="shared" si="34"/>
        <v>0</v>
      </c>
    </row>
    <row r="109" spans="1:22">
      <c r="A109" s="55" t="s">
        <v>88</v>
      </c>
      <c r="B109" s="57" t="s">
        <v>64</v>
      </c>
      <c r="C109" s="55">
        <v>35</v>
      </c>
      <c r="D109" s="55">
        <v>1983</v>
      </c>
      <c r="E109" s="55" t="s">
        <v>25</v>
      </c>
      <c r="F109" s="55" t="s">
        <v>93</v>
      </c>
      <c r="G109" s="66">
        <f t="shared" si="35"/>
        <v>0</v>
      </c>
      <c r="H109" s="47">
        <v>0</v>
      </c>
      <c r="I109" s="63">
        <v>0</v>
      </c>
      <c r="J109" s="65">
        <v>0</v>
      </c>
      <c r="K109" s="47"/>
      <c r="L109" s="113"/>
      <c r="M109" s="113"/>
      <c r="N109" s="52"/>
      <c r="O109" s="47">
        <f t="shared" si="36"/>
        <v>0</v>
      </c>
      <c r="P109" s="39">
        <f t="shared" si="37"/>
        <v>0</v>
      </c>
      <c r="Q109" s="65">
        <f t="shared" si="38"/>
        <v>0</v>
      </c>
      <c r="R109" s="106">
        <f t="shared" si="32"/>
        <v>0</v>
      </c>
      <c r="S109" s="67">
        <f t="shared" si="33"/>
        <v>0</v>
      </c>
      <c r="T109" s="53">
        <f t="shared" si="34"/>
        <v>0</v>
      </c>
    </row>
    <row r="110" spans="1:22">
      <c r="A110" s="55" t="s">
        <v>88</v>
      </c>
      <c r="B110" s="57" t="s">
        <v>73</v>
      </c>
      <c r="C110" s="55">
        <v>53</v>
      </c>
      <c r="D110" s="55">
        <v>1977</v>
      </c>
      <c r="E110" s="55" t="s">
        <v>26</v>
      </c>
      <c r="F110" s="55" t="s">
        <v>2</v>
      </c>
      <c r="G110" s="66">
        <f t="shared" si="35"/>
        <v>11.294960827527854</v>
      </c>
      <c r="H110" s="47">
        <v>269247.21000000002</v>
      </c>
      <c r="I110" s="63">
        <v>249714.19</v>
      </c>
      <c r="J110" s="65">
        <v>193572.1</v>
      </c>
      <c r="K110" s="77">
        <v>21304.61</v>
      </c>
      <c r="L110" s="79">
        <v>20047.099999999999</v>
      </c>
      <c r="M110" s="236">
        <v>12.98</v>
      </c>
      <c r="N110" s="84">
        <f t="shared" ref="N110:N112" si="39">J110/M110</f>
        <v>14913.104776579354</v>
      </c>
      <c r="O110" s="47">
        <f t="shared" si="36"/>
        <v>240634.73539575821</v>
      </c>
      <c r="P110" s="39">
        <f t="shared" si="37"/>
        <v>226431.20920553361</v>
      </c>
      <c r="Q110" s="65">
        <f t="shared" si="38"/>
        <v>168442.93426828232</v>
      </c>
      <c r="R110" s="106">
        <f t="shared" si="32"/>
        <v>0.89373158368385019</v>
      </c>
      <c r="S110" s="67">
        <f t="shared" si="33"/>
        <v>0.90676148281975333</v>
      </c>
      <c r="T110" s="53">
        <f t="shared" si="34"/>
        <v>0.87018188193589008</v>
      </c>
    </row>
    <row r="111" spans="1:22">
      <c r="A111" s="55" t="s">
        <v>88</v>
      </c>
      <c r="B111" s="57" t="s">
        <v>72</v>
      </c>
      <c r="C111" s="55">
        <v>53</v>
      </c>
      <c r="D111" s="55">
        <v>1976</v>
      </c>
      <c r="E111" s="55" t="s">
        <v>26</v>
      </c>
      <c r="F111" s="55" t="s">
        <v>2</v>
      </c>
      <c r="G111" s="66">
        <f t="shared" si="35"/>
        <v>11.294960827527854</v>
      </c>
      <c r="H111" s="47">
        <v>290354.38</v>
      </c>
      <c r="I111" s="63">
        <v>246714.09</v>
      </c>
      <c r="J111" s="65">
        <v>177088.7</v>
      </c>
      <c r="K111" s="77">
        <v>23062.3</v>
      </c>
      <c r="L111" s="79">
        <v>19787.43</v>
      </c>
      <c r="M111" s="236">
        <v>12.98</v>
      </c>
      <c r="N111" s="84">
        <f t="shared" si="39"/>
        <v>13643.197226502312</v>
      </c>
      <c r="O111" s="47">
        <f t="shared" si="36"/>
        <v>260487.77509269561</v>
      </c>
      <c r="P111" s="39">
        <f t="shared" si="37"/>
        <v>223498.2467274495</v>
      </c>
      <c r="Q111" s="65">
        <f t="shared" si="38"/>
        <v>154099.37823558028</v>
      </c>
      <c r="R111" s="106">
        <f t="shared" si="32"/>
        <v>0.89713740530690667</v>
      </c>
      <c r="S111" s="67">
        <f t="shared" si="33"/>
        <v>0.90589980786038404</v>
      </c>
      <c r="T111" s="53">
        <f t="shared" si="34"/>
        <v>0.87018188193589019</v>
      </c>
    </row>
    <row r="112" spans="1:22">
      <c r="A112" s="55" t="s">
        <v>90</v>
      </c>
      <c r="B112" s="57" t="s">
        <v>40</v>
      </c>
      <c r="C112" s="55">
        <v>45</v>
      </c>
      <c r="D112" s="55">
        <v>1971</v>
      </c>
      <c r="E112" s="55" t="s">
        <v>26</v>
      </c>
      <c r="F112" s="55" t="s">
        <v>2</v>
      </c>
      <c r="G112" s="66">
        <f t="shared" si="35"/>
        <v>11.294960827527854</v>
      </c>
      <c r="H112" s="47">
        <v>166471.15</v>
      </c>
      <c r="I112" s="63">
        <v>131475.01</v>
      </c>
      <c r="J112" s="65">
        <v>126267.91</v>
      </c>
      <c r="K112" s="47">
        <v>15457.58</v>
      </c>
      <c r="L112" s="63">
        <v>12189.53</v>
      </c>
      <c r="M112" s="113">
        <v>11.68</v>
      </c>
      <c r="N112" s="65">
        <f t="shared" si="39"/>
        <v>10810.608732876713</v>
      </c>
      <c r="O112" s="47">
        <f t="shared" si="36"/>
        <v>174592.76058837801</v>
      </c>
      <c r="P112" s="39">
        <f t="shared" si="37"/>
        <v>137680.26385597562</v>
      </c>
      <c r="Q112" s="65">
        <f t="shared" si="38"/>
        <v>122105.402159573</v>
      </c>
      <c r="R112" s="106">
        <f>IF(H112=0,0,(O112+O113)/H112)</f>
        <v>1.0489843674077248</v>
      </c>
      <c r="S112" s="67">
        <f>IF(I112=0,0,(P112+P113)/I112)</f>
        <v>1.0477522750890573</v>
      </c>
      <c r="T112" s="53">
        <f>IF(J112=0,0,(Q112+Q113)/J112)</f>
        <v>0.96703431742532997</v>
      </c>
    </row>
    <row r="113" spans="1:23">
      <c r="A113" s="85" t="s">
        <v>90</v>
      </c>
      <c r="B113" s="85" t="s">
        <v>122</v>
      </c>
      <c r="C113" s="85"/>
      <c r="D113" s="85">
        <v>1971</v>
      </c>
      <c r="E113" s="85" t="s">
        <v>26</v>
      </c>
      <c r="F113" s="85" t="s">
        <v>3</v>
      </c>
      <c r="G113" s="96">
        <f t="shared" si="35"/>
        <v>9.6402891520401734</v>
      </c>
      <c r="H113" s="87"/>
      <c r="I113" s="88"/>
      <c r="J113" s="90"/>
      <c r="K113" s="87">
        <v>3.41</v>
      </c>
      <c r="L113" s="88">
        <v>7.57</v>
      </c>
      <c r="M113" s="235"/>
      <c r="N113" s="116"/>
      <c r="O113" s="87">
        <f t="shared" si="36"/>
        <v>32.87338600845699</v>
      </c>
      <c r="P113" s="89">
        <f t="shared" si="37"/>
        <v>72.97698888094412</v>
      </c>
      <c r="Q113" s="90">
        <f t="shared" si="38"/>
        <v>0</v>
      </c>
      <c r="R113" s="107"/>
      <c r="S113" s="91"/>
      <c r="T113" s="92"/>
    </row>
    <row r="114" spans="1:23">
      <c r="A114" s="55" t="s">
        <v>88</v>
      </c>
      <c r="B114" s="57" t="s">
        <v>74</v>
      </c>
      <c r="C114" s="55">
        <v>14</v>
      </c>
      <c r="D114" s="57">
        <v>1967</v>
      </c>
      <c r="E114" s="55" t="s">
        <v>26</v>
      </c>
      <c r="F114" s="57" t="s">
        <v>3</v>
      </c>
      <c r="G114" s="66">
        <f t="shared" si="35"/>
        <v>9.6402891520401734</v>
      </c>
      <c r="H114" s="47">
        <v>0</v>
      </c>
      <c r="I114" s="79">
        <v>0</v>
      </c>
      <c r="J114" s="65">
        <v>0</v>
      </c>
      <c r="K114" s="117">
        <v>0.41</v>
      </c>
      <c r="L114" s="79">
        <v>0</v>
      </c>
      <c r="M114" s="236">
        <v>0</v>
      </c>
      <c r="N114" s="114"/>
      <c r="O114" s="47">
        <f t="shared" si="36"/>
        <v>3.9525185523364708</v>
      </c>
      <c r="P114" s="39">
        <f t="shared" si="37"/>
        <v>0</v>
      </c>
      <c r="Q114" s="65">
        <f t="shared" si="38"/>
        <v>0</v>
      </c>
      <c r="R114" s="106">
        <f t="shared" ref="R114:T118" si="40">IF(H114=0,0,O114/H114)</f>
        <v>0</v>
      </c>
      <c r="S114" s="67">
        <f t="shared" si="40"/>
        <v>0</v>
      </c>
      <c r="T114" s="53">
        <f t="shared" si="40"/>
        <v>0</v>
      </c>
    </row>
    <row r="115" spans="1:23">
      <c r="A115" s="55" t="s">
        <v>90</v>
      </c>
      <c r="B115" s="57" t="s">
        <v>36</v>
      </c>
      <c r="C115" s="55">
        <v>25</v>
      </c>
      <c r="D115" s="55">
        <v>1965</v>
      </c>
      <c r="E115" s="55" t="s">
        <v>25</v>
      </c>
      <c r="F115" s="57" t="s">
        <v>91</v>
      </c>
      <c r="G115" s="66">
        <f t="shared" si="35"/>
        <v>0</v>
      </c>
      <c r="H115" s="47">
        <v>294816.11</v>
      </c>
      <c r="I115" s="63">
        <v>178999.58</v>
      </c>
      <c r="J115" s="65">
        <v>269778.52</v>
      </c>
      <c r="K115" s="46"/>
      <c r="M115" s="113"/>
      <c r="N115" s="114"/>
      <c r="O115" s="46">
        <f t="shared" si="36"/>
        <v>0</v>
      </c>
      <c r="P115">
        <f t="shared" si="37"/>
        <v>0</v>
      </c>
      <c r="Q115" s="65">
        <f t="shared" si="38"/>
        <v>0</v>
      </c>
      <c r="R115" s="106">
        <f t="shared" si="40"/>
        <v>0</v>
      </c>
      <c r="S115" s="67">
        <f t="shared" si="40"/>
        <v>0</v>
      </c>
      <c r="T115" s="53">
        <f t="shared" si="40"/>
        <v>0</v>
      </c>
    </row>
    <row r="116" spans="1:23">
      <c r="A116" s="55" t="s">
        <v>90</v>
      </c>
      <c r="B116" s="57" t="s">
        <v>37</v>
      </c>
      <c r="C116" s="55">
        <v>25</v>
      </c>
      <c r="D116" s="55">
        <v>1965</v>
      </c>
      <c r="E116" s="55" t="s">
        <v>25</v>
      </c>
      <c r="F116" s="57" t="s">
        <v>91</v>
      </c>
      <c r="G116" s="66">
        <f t="shared" si="35"/>
        <v>0</v>
      </c>
      <c r="H116" s="47"/>
      <c r="I116" s="63"/>
      <c r="J116" s="65"/>
      <c r="K116" s="46"/>
      <c r="M116" s="113"/>
      <c r="N116" s="52"/>
      <c r="O116" s="46">
        <f t="shared" si="36"/>
        <v>0</v>
      </c>
      <c r="P116">
        <f t="shared" si="37"/>
        <v>0</v>
      </c>
      <c r="Q116" s="52">
        <f t="shared" si="38"/>
        <v>0</v>
      </c>
      <c r="R116" s="106">
        <f t="shared" si="40"/>
        <v>0</v>
      </c>
      <c r="S116" s="67">
        <f t="shared" si="40"/>
        <v>0</v>
      </c>
      <c r="T116" s="53">
        <f t="shared" si="40"/>
        <v>0</v>
      </c>
    </row>
    <row r="117" spans="1:23">
      <c r="A117" s="55" t="s">
        <v>90</v>
      </c>
      <c r="B117" s="57" t="s">
        <v>38</v>
      </c>
      <c r="C117" s="55">
        <v>27.2</v>
      </c>
      <c r="D117" s="57">
        <v>1965</v>
      </c>
      <c r="E117" s="55" t="s">
        <v>25</v>
      </c>
      <c r="F117" s="57" t="s">
        <v>91</v>
      </c>
      <c r="G117" s="66">
        <f t="shared" si="35"/>
        <v>0</v>
      </c>
      <c r="H117" s="47">
        <v>230967.39</v>
      </c>
      <c r="I117" s="63">
        <v>108064.65</v>
      </c>
      <c r="J117" s="65">
        <v>226077.36</v>
      </c>
      <c r="K117" s="46"/>
      <c r="M117" s="113"/>
      <c r="N117" s="52"/>
      <c r="O117" s="46">
        <f t="shared" si="36"/>
        <v>0</v>
      </c>
      <c r="P117">
        <f t="shared" si="37"/>
        <v>0</v>
      </c>
      <c r="Q117" s="52">
        <f t="shared" si="38"/>
        <v>0</v>
      </c>
      <c r="R117" s="106">
        <f t="shared" si="40"/>
        <v>0</v>
      </c>
      <c r="S117" s="67">
        <f t="shared" si="40"/>
        <v>0</v>
      </c>
      <c r="T117" s="53">
        <f t="shared" si="40"/>
        <v>0</v>
      </c>
    </row>
    <row r="118" spans="1:23">
      <c r="A118" s="55" t="s">
        <v>90</v>
      </c>
      <c r="B118" s="57" t="s">
        <v>39</v>
      </c>
      <c r="C118" s="55">
        <v>27.2</v>
      </c>
      <c r="D118" s="57">
        <v>1965</v>
      </c>
      <c r="E118" s="55" t="s">
        <v>25</v>
      </c>
      <c r="F118" s="55" t="s">
        <v>91</v>
      </c>
      <c r="G118" s="66">
        <f t="shared" si="35"/>
        <v>0</v>
      </c>
      <c r="H118" s="47"/>
      <c r="I118" s="63"/>
      <c r="J118" s="65"/>
      <c r="K118" s="47"/>
      <c r="L118" s="63"/>
      <c r="M118" s="113"/>
      <c r="N118" s="65"/>
      <c r="O118" s="47">
        <f t="shared" si="36"/>
        <v>0</v>
      </c>
      <c r="P118" s="39">
        <f t="shared" si="37"/>
        <v>0</v>
      </c>
      <c r="Q118" s="65">
        <f t="shared" si="38"/>
        <v>0</v>
      </c>
      <c r="R118" s="106">
        <f t="shared" si="40"/>
        <v>0</v>
      </c>
      <c r="S118" s="67">
        <f t="shared" si="40"/>
        <v>0</v>
      </c>
      <c r="T118" s="53">
        <f t="shared" si="40"/>
        <v>0</v>
      </c>
    </row>
    <row r="119" spans="1:23">
      <c r="A119" s="55"/>
      <c r="B119" s="55"/>
      <c r="C119" s="55"/>
      <c r="D119" s="55"/>
      <c r="E119" s="55"/>
      <c r="F119" s="55"/>
      <c r="G119" s="66"/>
      <c r="H119" s="77"/>
      <c r="I119" s="63"/>
      <c r="J119" s="84"/>
      <c r="K119" s="46"/>
      <c r="M119" s="113"/>
      <c r="N119" s="52"/>
      <c r="O119" s="47"/>
      <c r="P119" s="39"/>
      <c r="Q119" s="65"/>
      <c r="R119" s="106"/>
      <c r="S119" s="67"/>
      <c r="T119" s="53"/>
    </row>
    <row r="120" spans="1:23">
      <c r="A120" s="55"/>
      <c r="B120" s="55"/>
      <c r="C120" s="55"/>
      <c r="D120" s="55"/>
      <c r="E120" s="55"/>
      <c r="F120" s="55"/>
      <c r="G120" s="66"/>
      <c r="H120" s="47"/>
      <c r="I120" s="63"/>
      <c r="J120" s="65"/>
      <c r="K120" s="46"/>
      <c r="M120" s="113"/>
      <c r="N120" s="52"/>
      <c r="O120" s="47"/>
      <c r="P120" s="39"/>
      <c r="Q120" s="65"/>
      <c r="R120" s="106"/>
      <c r="S120" s="67"/>
      <c r="T120" s="53"/>
    </row>
    <row r="121" spans="1:23">
      <c r="A121" s="55"/>
      <c r="B121" s="55"/>
      <c r="C121" s="55"/>
      <c r="D121" s="55"/>
      <c r="E121" s="55"/>
      <c r="F121" s="55"/>
      <c r="G121" s="66"/>
      <c r="H121" s="47"/>
      <c r="I121" s="63"/>
      <c r="J121" s="65"/>
      <c r="K121" s="46"/>
      <c r="M121" s="113"/>
      <c r="N121" s="52"/>
      <c r="O121" s="47"/>
      <c r="P121" s="39"/>
      <c r="Q121" s="65"/>
      <c r="R121" s="106"/>
      <c r="S121" s="67"/>
      <c r="T121" s="53"/>
    </row>
    <row r="122" spans="1:23">
      <c r="A122" s="55"/>
      <c r="B122" s="55" t="s">
        <v>89</v>
      </c>
      <c r="C122" s="55"/>
      <c r="D122" s="55"/>
      <c r="E122" s="55"/>
      <c r="F122" s="55"/>
      <c r="G122" s="60"/>
      <c r="H122" s="233">
        <v>28200</v>
      </c>
      <c r="I122" s="71">
        <v>1687.25</v>
      </c>
      <c r="J122" s="111">
        <v>10248.82</v>
      </c>
      <c r="K122" s="110"/>
      <c r="L122" s="70"/>
      <c r="M122" s="237"/>
      <c r="N122" s="61"/>
      <c r="O122" s="46"/>
      <c r="P122"/>
      <c r="Q122"/>
      <c r="R122" s="46"/>
      <c r="T122" s="52"/>
    </row>
    <row r="123" spans="1:23">
      <c r="A123" s="45"/>
      <c r="B123" s="59" t="s">
        <v>103</v>
      </c>
      <c r="C123" s="59">
        <f>SUM(C5:C122)</f>
        <v>1060.1000000000004</v>
      </c>
      <c r="D123" s="45"/>
      <c r="E123" s="45"/>
      <c r="F123" s="45"/>
      <c r="G123" s="40"/>
      <c r="H123" s="98">
        <f>SUM(H5:H122)</f>
        <v>3064247.55</v>
      </c>
      <c r="I123" s="99">
        <f>SUM(I5:I122)</f>
        <v>3111571.4200000004</v>
      </c>
      <c r="J123" s="99">
        <f>SUM(J5:J122)</f>
        <v>3331166.55</v>
      </c>
      <c r="K123" s="48"/>
      <c r="L123" s="42"/>
      <c r="M123" s="127"/>
      <c r="N123" s="42"/>
      <c r="O123" s="48">
        <f>SUM(O16:O122)</f>
        <v>1562191.0071032129</v>
      </c>
      <c r="P123" s="42">
        <f>SUM(P16:P122)</f>
        <v>1701123.825220438</v>
      </c>
      <c r="Q123" s="42">
        <f>SUM(Q5:Q122)</f>
        <v>1566796.550388929</v>
      </c>
      <c r="R123" s="50">
        <f t="shared" ref="R123:T124" si="41">IF(H123=0,0,O123/H123)</f>
        <v>0.50981227254410733</v>
      </c>
      <c r="S123" s="41">
        <f t="shared" si="41"/>
        <v>0.5467089118656443</v>
      </c>
      <c r="T123" s="54">
        <f>IF(J123=0,0,Q123/J123)</f>
        <v>0.47034470563740771</v>
      </c>
      <c r="V123" s="253" t="s">
        <v>137</v>
      </c>
      <c r="W123" s="253"/>
    </row>
    <row r="124" spans="1:23">
      <c r="B124" t="s">
        <v>97</v>
      </c>
      <c r="C124"/>
      <c r="D124"/>
      <c r="E124"/>
      <c r="F124"/>
      <c r="G124" s="46"/>
      <c r="H124" s="47">
        <f>H123-SUMIF($E5:$E122,"Low Cost/Must-Run",H5:H122)-SUMIF($E5:$E122,"CDM",H5:H122)</f>
        <v>2047314.6999999997</v>
      </c>
      <c r="I124" s="39">
        <f t="shared" ref="I124:J124" si="42">I123-SUMIF($E5:$E122,"Low Cost/Must-Run",I5:I122)-SUMIF($E5:$E122,"CDM",I5:I122)</f>
        <v>2242724.1800000002</v>
      </c>
      <c r="J124" s="39">
        <f t="shared" si="42"/>
        <v>2178817.7499999995</v>
      </c>
      <c r="K124" s="46"/>
      <c r="L124"/>
      <c r="M124"/>
      <c r="N124"/>
      <c r="O124" s="47">
        <f>O123-SUMIF($E16:$E122,"Low Cost/Must-Run",O16:O122)</f>
        <v>1562191.0071032129</v>
      </c>
      <c r="P124" s="39">
        <f>P123-SUMIF($E16:$E122,"Low Cost/Must-Run",P16:P122)</f>
        <v>1701123.825220438</v>
      </c>
      <c r="Q124" s="39">
        <f>Q123-SUMIF($E16:$E122,"Low Cost/Must-Run",Q16:Q122)</f>
        <v>1566796.550388929</v>
      </c>
      <c r="R124" s="51">
        <f t="shared" si="41"/>
        <v>0.76304390678346279</v>
      </c>
      <c r="S124" s="44">
        <f t="shared" si="41"/>
        <v>0.75850781847834625</v>
      </c>
      <c r="T124" s="103">
        <f t="shared" si="41"/>
        <v>0.71910399591197072</v>
      </c>
      <c r="U124" s="104"/>
      <c r="V124" s="254">
        <f>SUM(O124:Q124)/SUM(H124:J124)</f>
        <v>0.7466715772169743</v>
      </c>
      <c r="W124" s="253"/>
    </row>
    <row r="125" spans="1:23">
      <c r="B125" t="s">
        <v>175</v>
      </c>
      <c r="C125"/>
      <c r="D125"/>
      <c r="E125"/>
      <c r="F125"/>
      <c r="G125" s="46"/>
      <c r="H125" s="47">
        <f>H123-SUMIF($E5:$E122,"CDM",H5:H122)-H122</f>
        <v>2865219.28</v>
      </c>
      <c r="I125" s="39">
        <f t="shared" ref="I125:J125" si="43">I123-SUMIF($E5:$E122,"CDM",I5:I122)-I122</f>
        <v>2809085.9400000004</v>
      </c>
      <c r="J125" s="39">
        <f t="shared" si="43"/>
        <v>2980912.03</v>
      </c>
      <c r="K125" s="46"/>
      <c r="L125"/>
      <c r="M125"/>
      <c r="N125"/>
      <c r="P125"/>
      <c r="Q125"/>
      <c r="S125"/>
      <c r="T125" s="64"/>
      <c r="U125" s="104"/>
      <c r="V125" s="104"/>
    </row>
    <row r="126" spans="1:23">
      <c r="C126"/>
      <c r="D126"/>
      <c r="E126"/>
      <c r="F126"/>
      <c r="T126" s="64"/>
    </row>
    <row r="127" spans="1:23">
      <c r="C127"/>
      <c r="D127"/>
      <c r="E127"/>
      <c r="F127"/>
      <c r="T127" s="64"/>
    </row>
    <row r="128" spans="1:23">
      <c r="V128" s="294"/>
    </row>
    <row r="129" spans="4:5">
      <c r="D129" s="63"/>
      <c r="E129" s="63"/>
    </row>
  </sheetData>
  <sortState ref="A5:T90">
    <sortCondition descending="1" ref="D5:D90"/>
    <sortCondition ref="B5:B90"/>
  </sortState>
  <mergeCells count="5">
    <mergeCell ref="H3:J3"/>
    <mergeCell ref="R3:T3"/>
    <mergeCell ref="O3:Q3"/>
    <mergeCell ref="B1:T1"/>
    <mergeCell ref="K3:N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48"/>
  <sheetViews>
    <sheetView workbookViewId="0">
      <selection activeCell="B35" sqref="B35"/>
    </sheetView>
  </sheetViews>
  <sheetFormatPr defaultColWidth="11.42578125" defaultRowHeight="15"/>
  <cols>
    <col min="1" max="1" width="3.5703125" customWidth="1"/>
    <col min="2" max="2" width="47.140625" bestFit="1" customWidth="1"/>
    <col min="3" max="3" width="11.42578125" customWidth="1"/>
    <col min="4" max="4" width="9.7109375" customWidth="1"/>
    <col min="5" max="5" width="21.140625" customWidth="1"/>
    <col min="6" max="6" width="13.42578125" customWidth="1"/>
    <col min="7" max="7" width="12.7109375" customWidth="1"/>
    <col min="8" max="8" width="12" customWidth="1"/>
    <col min="9" max="9" width="13.28515625" customWidth="1"/>
    <col min="12" max="12" width="18.140625" bestFit="1" customWidth="1"/>
    <col min="13" max="13" width="18.7109375" bestFit="1" customWidth="1"/>
  </cols>
  <sheetData>
    <row r="2" spans="1:11" s="78" customFormat="1" ht="40.5" customHeight="1">
      <c r="A2" s="309" t="s">
        <v>0</v>
      </c>
      <c r="B2" s="307" t="s">
        <v>107</v>
      </c>
      <c r="C2" s="307" t="s">
        <v>108</v>
      </c>
      <c r="D2" s="307" t="s">
        <v>109</v>
      </c>
      <c r="E2" s="307" t="s">
        <v>110</v>
      </c>
      <c r="F2" s="307" t="s">
        <v>92</v>
      </c>
      <c r="G2" s="131"/>
      <c r="H2" s="134" t="s">
        <v>98</v>
      </c>
      <c r="I2" s="135" t="s">
        <v>111</v>
      </c>
      <c r="J2" s="132" t="s">
        <v>112</v>
      </c>
      <c r="K2" s="130" t="s">
        <v>113</v>
      </c>
    </row>
    <row r="3" spans="1:11" s="78" customFormat="1">
      <c r="A3" s="310"/>
      <c r="B3" s="308"/>
      <c r="C3" s="308"/>
      <c r="D3" s="308"/>
      <c r="E3" s="308"/>
      <c r="F3" s="308"/>
      <c r="G3" s="100" t="s">
        <v>14</v>
      </c>
      <c r="H3" s="136">
        <v>2010</v>
      </c>
      <c r="I3" s="137">
        <v>2010</v>
      </c>
      <c r="J3" s="133">
        <v>2010</v>
      </c>
      <c r="K3" s="76">
        <v>2008</v>
      </c>
    </row>
    <row r="4" spans="1:11" s="78" customFormat="1">
      <c r="A4" s="232" t="s">
        <v>90</v>
      </c>
      <c r="B4" s="242" t="s">
        <v>145</v>
      </c>
      <c r="C4" s="232">
        <v>6.8</v>
      </c>
      <c r="D4" s="64">
        <v>2010</v>
      </c>
      <c r="E4" s="232" t="s">
        <v>26</v>
      </c>
      <c r="F4" s="64" t="s">
        <v>2</v>
      </c>
      <c r="G4" s="240">
        <f t="shared" ref="G4:G21" si="0">IF(F4="Diesel",diesel,IF(F4="Fuel Oil",fueloil,IF(F4="Coal",coal,0)))</f>
        <v>11.294960827527854</v>
      </c>
      <c r="H4" s="63">
        <f t="shared" ref="H4:H42" si="1">VLOOKUP($B4,data,9,FALSE)</f>
        <v>24545.51</v>
      </c>
      <c r="I4" s="145">
        <f t="shared" ref="I4:I42" si="2">VLOOKUP($B4,data,13,FALSE)</f>
        <v>1476.8658243080624</v>
      </c>
      <c r="J4" s="63">
        <f t="shared" ref="J4:J21" si="3">$G4*I4</f>
        <v>16681.141633074199</v>
      </c>
      <c r="K4" s="246">
        <f>J4/H4</f>
        <v>0.6796005311388601</v>
      </c>
    </row>
    <row r="5" spans="1:11" s="78" customFormat="1">
      <c r="A5" s="55" t="s">
        <v>90</v>
      </c>
      <c r="B5" s="242" t="s">
        <v>149</v>
      </c>
      <c r="C5" s="55">
        <v>6.8</v>
      </c>
      <c r="D5" s="64">
        <v>2010</v>
      </c>
      <c r="E5" s="55" t="s">
        <v>26</v>
      </c>
      <c r="F5" s="64" t="s">
        <v>2</v>
      </c>
      <c r="G5" s="241">
        <f t="shared" si="0"/>
        <v>11.294960827527854</v>
      </c>
      <c r="H5" s="79">
        <f t="shared" si="1"/>
        <v>23593.33</v>
      </c>
      <c r="I5" s="249">
        <f t="shared" si="2"/>
        <v>1418.7209861695733</v>
      </c>
      <c r="J5" s="79">
        <f t="shared" si="3"/>
        <v>16024.397963977017</v>
      </c>
      <c r="K5" s="247">
        <f t="shared" ref="K5:K21" si="4">J5/H5</f>
        <v>0.6791918717695643</v>
      </c>
    </row>
    <row r="6" spans="1:11" s="78" customFormat="1">
      <c r="A6" s="55" t="s">
        <v>90</v>
      </c>
      <c r="B6" s="242" t="s">
        <v>150</v>
      </c>
      <c r="C6" s="55">
        <v>6.8</v>
      </c>
      <c r="D6" s="64">
        <v>2010</v>
      </c>
      <c r="E6" s="55" t="s">
        <v>26</v>
      </c>
      <c r="F6" s="64" t="s">
        <v>2</v>
      </c>
      <c r="G6" s="241">
        <f t="shared" si="0"/>
        <v>11.294960827527854</v>
      </c>
      <c r="H6" s="79">
        <f t="shared" si="1"/>
        <v>23153.22</v>
      </c>
      <c r="I6" s="249">
        <f t="shared" si="2"/>
        <v>1392.2561635598317</v>
      </c>
      <c r="J6" s="79">
        <f t="shared" si="3"/>
        <v>15725.478829292513</v>
      </c>
      <c r="K6" s="247">
        <f t="shared" si="4"/>
        <v>0.6791918717695643</v>
      </c>
    </row>
    <row r="7" spans="1:11" s="78" customFormat="1">
      <c r="A7" s="55" t="s">
        <v>90</v>
      </c>
      <c r="B7" s="242" t="s">
        <v>151</v>
      </c>
      <c r="C7" s="55">
        <v>6.8</v>
      </c>
      <c r="D7" s="64">
        <v>2010</v>
      </c>
      <c r="E7" s="55" t="s">
        <v>26</v>
      </c>
      <c r="F7" s="64" t="s">
        <v>2</v>
      </c>
      <c r="G7" s="241">
        <f t="shared" si="0"/>
        <v>11.294960827527854</v>
      </c>
      <c r="H7" s="79">
        <f t="shared" si="1"/>
        <v>22970.53</v>
      </c>
      <c r="I7" s="249">
        <f t="shared" si="2"/>
        <v>1381.2705953096813</v>
      </c>
      <c r="J7" s="79">
        <f t="shared" si="3"/>
        <v>15601.39726623893</v>
      </c>
      <c r="K7" s="247">
        <f t="shared" si="4"/>
        <v>0.6791918717695643</v>
      </c>
    </row>
    <row r="8" spans="1:11" s="78" customFormat="1">
      <c r="A8" s="55" t="s">
        <v>90</v>
      </c>
      <c r="B8" s="242" t="s">
        <v>152</v>
      </c>
      <c r="C8" s="55">
        <v>6.8</v>
      </c>
      <c r="D8" s="64">
        <v>2010</v>
      </c>
      <c r="E8" s="55" t="s">
        <v>26</v>
      </c>
      <c r="F8" s="64" t="s">
        <v>2</v>
      </c>
      <c r="G8" s="241">
        <f t="shared" si="0"/>
        <v>11.294960827527854</v>
      </c>
      <c r="H8" s="79">
        <f t="shared" si="1"/>
        <v>22509.3</v>
      </c>
      <c r="I8" s="249">
        <f t="shared" si="2"/>
        <v>1353.5357787131691</v>
      </c>
      <c r="J8" s="79">
        <f t="shared" si="3"/>
        <v>15288.133599222654</v>
      </c>
      <c r="K8" s="247">
        <f t="shared" si="4"/>
        <v>0.6791918717695643</v>
      </c>
    </row>
    <row r="9" spans="1:11" s="78" customFormat="1">
      <c r="A9" s="55" t="s">
        <v>90</v>
      </c>
      <c r="B9" s="242" t="s">
        <v>153</v>
      </c>
      <c r="C9" s="55">
        <v>6.8</v>
      </c>
      <c r="D9" s="64">
        <v>2010</v>
      </c>
      <c r="E9" s="55" t="s">
        <v>26</v>
      </c>
      <c r="F9" s="64" t="s">
        <v>2</v>
      </c>
      <c r="G9" s="241">
        <f t="shared" si="0"/>
        <v>11.294960827527854</v>
      </c>
      <c r="H9" s="79">
        <f t="shared" si="1"/>
        <v>21394.880000000001</v>
      </c>
      <c r="I9" s="249">
        <f t="shared" si="2"/>
        <v>1286.5231509320506</v>
      </c>
      <c r="J9" s="79">
        <f t="shared" si="3"/>
        <v>14531.228593485217</v>
      </c>
      <c r="K9" s="247">
        <f t="shared" si="4"/>
        <v>0.6791918717695643</v>
      </c>
    </row>
    <row r="10" spans="1:11" s="78" customFormat="1">
      <c r="A10" s="55" t="s">
        <v>90</v>
      </c>
      <c r="B10" s="242" t="s">
        <v>146</v>
      </c>
      <c r="C10" s="55">
        <v>6.8</v>
      </c>
      <c r="D10" s="64">
        <v>2010</v>
      </c>
      <c r="E10" s="55" t="s">
        <v>26</v>
      </c>
      <c r="F10" s="64" t="s">
        <v>2</v>
      </c>
      <c r="G10" s="241">
        <f t="shared" si="0"/>
        <v>11.294960827527854</v>
      </c>
      <c r="H10" s="79">
        <f t="shared" si="1"/>
        <v>15640.5</v>
      </c>
      <c r="I10" s="249">
        <f t="shared" si="2"/>
        <v>941.63154726068638</v>
      </c>
      <c r="J10" s="79">
        <f t="shared" si="3"/>
        <v>10635.691440273895</v>
      </c>
      <c r="K10" s="247">
        <f t="shared" si="4"/>
        <v>0.68000968257241745</v>
      </c>
    </row>
    <row r="11" spans="1:11" s="78" customFormat="1">
      <c r="A11" s="55" t="s">
        <v>90</v>
      </c>
      <c r="B11" s="242" t="s">
        <v>159</v>
      </c>
      <c r="C11" s="55">
        <v>6.8</v>
      </c>
      <c r="D11" s="64">
        <v>2010</v>
      </c>
      <c r="E11" s="55" t="s">
        <v>26</v>
      </c>
      <c r="F11" s="64" t="s">
        <v>2</v>
      </c>
      <c r="G11" s="241">
        <f t="shared" si="0"/>
        <v>11.294960827527854</v>
      </c>
      <c r="H11" s="79">
        <f t="shared" si="1"/>
        <v>16269.67</v>
      </c>
      <c r="I11" s="249">
        <f t="shared" si="2"/>
        <v>980.10060240963844</v>
      </c>
      <c r="J11" s="79">
        <f t="shared" si="3"/>
        <v>11070.197911253317</v>
      </c>
      <c r="K11" s="247">
        <f t="shared" si="4"/>
        <v>0.68041932695950913</v>
      </c>
    </row>
    <row r="12" spans="1:11" s="78" customFormat="1">
      <c r="A12" s="55" t="s">
        <v>90</v>
      </c>
      <c r="B12" s="242" t="s">
        <v>160</v>
      </c>
      <c r="C12" s="55">
        <v>6.8</v>
      </c>
      <c r="D12" s="64">
        <v>2010</v>
      </c>
      <c r="E12" s="55" t="s">
        <v>26</v>
      </c>
      <c r="F12" s="64" t="s">
        <v>2</v>
      </c>
      <c r="G12" s="241">
        <f t="shared" si="0"/>
        <v>11.294960827527854</v>
      </c>
      <c r="H12" s="79">
        <f t="shared" si="1"/>
        <v>18234.21</v>
      </c>
      <c r="I12" s="249">
        <f t="shared" si="2"/>
        <v>1088.6095522388059</v>
      </c>
      <c r="J12" s="79">
        <f t="shared" si="3"/>
        <v>12295.80224900995</v>
      </c>
      <c r="K12" s="247">
        <f t="shared" si="4"/>
        <v>0.6743260195539017</v>
      </c>
    </row>
    <row r="13" spans="1:11" s="78" customFormat="1">
      <c r="A13" s="55" t="s">
        <v>90</v>
      </c>
      <c r="B13" s="242" t="s">
        <v>161</v>
      </c>
      <c r="C13" s="55">
        <v>6.8</v>
      </c>
      <c r="D13" s="64">
        <v>2010</v>
      </c>
      <c r="E13" s="55" t="s">
        <v>26</v>
      </c>
      <c r="F13" s="64" t="s">
        <v>2</v>
      </c>
      <c r="G13" s="241">
        <f t="shared" si="0"/>
        <v>11.294960827527854</v>
      </c>
      <c r="H13" s="79">
        <f t="shared" si="1"/>
        <v>17627.47</v>
      </c>
      <c r="I13" s="249">
        <f t="shared" si="2"/>
        <v>1056.8027577937651</v>
      </c>
      <c r="J13" s="79">
        <f t="shared" si="3"/>
        <v>11936.545751703983</v>
      </c>
      <c r="K13" s="247">
        <f t="shared" si="4"/>
        <v>0.67715592491174181</v>
      </c>
    </row>
    <row r="14" spans="1:11" s="78" customFormat="1">
      <c r="A14" s="55" t="s">
        <v>90</v>
      </c>
      <c r="B14" s="242" t="s">
        <v>142</v>
      </c>
      <c r="C14" s="55">
        <v>6.8</v>
      </c>
      <c r="D14" s="64">
        <v>2009</v>
      </c>
      <c r="E14" s="55" t="s">
        <v>26</v>
      </c>
      <c r="F14" s="64" t="s">
        <v>2</v>
      </c>
      <c r="G14" s="241">
        <f t="shared" si="0"/>
        <v>11.294960827527854</v>
      </c>
      <c r="H14" s="239">
        <f t="shared" si="1"/>
        <v>15561.87</v>
      </c>
      <c r="I14" s="249">
        <f t="shared" si="2"/>
        <v>942.57238037552997</v>
      </c>
      <c r="J14" s="79">
        <f t="shared" si="3"/>
        <v>10646.318113451294</v>
      </c>
      <c r="K14" s="247">
        <f t="shared" si="4"/>
        <v>0.68412845714887049</v>
      </c>
    </row>
    <row r="15" spans="1:11" s="78" customFormat="1">
      <c r="A15" s="55" t="s">
        <v>90</v>
      </c>
      <c r="B15" s="242" t="s">
        <v>157</v>
      </c>
      <c r="C15" s="55">
        <v>6.8</v>
      </c>
      <c r="D15" s="64">
        <v>2009</v>
      </c>
      <c r="E15" s="55" t="s">
        <v>26</v>
      </c>
      <c r="F15" s="64" t="s">
        <v>2</v>
      </c>
      <c r="G15" s="241">
        <f t="shared" si="0"/>
        <v>11.294960827527854</v>
      </c>
      <c r="H15" s="239">
        <f t="shared" si="1"/>
        <v>15408.67</v>
      </c>
      <c r="I15" s="249">
        <f t="shared" si="2"/>
        <v>933.85878787878789</v>
      </c>
      <c r="J15" s="79">
        <f t="shared" si="3"/>
        <v>10547.898427533553</v>
      </c>
      <c r="K15" s="247">
        <f t="shared" si="4"/>
        <v>0.68454308045623358</v>
      </c>
    </row>
    <row r="16" spans="1:11" s="78" customFormat="1">
      <c r="A16" s="55" t="s">
        <v>90</v>
      </c>
      <c r="B16" s="242" t="s">
        <v>158</v>
      </c>
      <c r="C16" s="55">
        <v>6.8</v>
      </c>
      <c r="D16" s="64">
        <v>2009</v>
      </c>
      <c r="E16" s="55" t="s">
        <v>26</v>
      </c>
      <c r="F16" s="64" t="s">
        <v>2</v>
      </c>
      <c r="G16" s="241">
        <f t="shared" si="0"/>
        <v>11.294960827527854</v>
      </c>
      <c r="H16" s="239">
        <f t="shared" si="1"/>
        <v>12903.04</v>
      </c>
      <c r="I16" s="249">
        <f t="shared" si="2"/>
        <v>782.00242424242424</v>
      </c>
      <c r="J16" s="79">
        <f t="shared" si="3"/>
        <v>8832.6867488499993</v>
      </c>
      <c r="K16" s="247">
        <f t="shared" si="4"/>
        <v>0.68454308045623347</v>
      </c>
    </row>
    <row r="17" spans="1:11" s="78" customFormat="1">
      <c r="A17" s="55" t="s">
        <v>90</v>
      </c>
      <c r="B17" s="242" t="s">
        <v>143</v>
      </c>
      <c r="C17" s="55">
        <v>6.8</v>
      </c>
      <c r="D17" s="64">
        <v>2009</v>
      </c>
      <c r="E17" s="55" t="s">
        <v>26</v>
      </c>
      <c r="F17" s="64" t="s">
        <v>2</v>
      </c>
      <c r="G17" s="241">
        <f t="shared" si="0"/>
        <v>11.294960827527854</v>
      </c>
      <c r="H17" s="239">
        <f t="shared" si="1"/>
        <v>10086.31</v>
      </c>
      <c r="I17" s="249">
        <f t="shared" si="2"/>
        <v>611.66221952698606</v>
      </c>
      <c r="J17" s="79">
        <f t="shared" si="3"/>
        <v>6908.7008092360502</v>
      </c>
      <c r="K17" s="247">
        <f t="shared" si="4"/>
        <v>0.68495820664207729</v>
      </c>
    </row>
    <row r="18" spans="1:11" s="78" customFormat="1">
      <c r="A18" s="55" t="s">
        <v>90</v>
      </c>
      <c r="B18" s="242" t="s">
        <v>155</v>
      </c>
      <c r="C18" s="55">
        <v>6.8</v>
      </c>
      <c r="D18" s="64">
        <v>2009</v>
      </c>
      <c r="E18" s="55" t="s">
        <v>26</v>
      </c>
      <c r="F18" s="64" t="s">
        <v>2</v>
      </c>
      <c r="G18" s="241">
        <f t="shared" si="0"/>
        <v>11.294960827527854</v>
      </c>
      <c r="H18" s="79">
        <f t="shared" si="1"/>
        <v>12859.91</v>
      </c>
      <c r="I18" s="250">
        <f t="shared" si="2"/>
        <v>779.86112795633721</v>
      </c>
      <c r="J18" s="79">
        <f t="shared" si="3"/>
        <v>8808.5008911785153</v>
      </c>
      <c r="K18" s="247">
        <f t="shared" si="4"/>
        <v>0.68495820664207718</v>
      </c>
    </row>
    <row r="19" spans="1:11" s="78" customFormat="1">
      <c r="A19" s="55" t="s">
        <v>90</v>
      </c>
      <c r="B19" s="242" t="s">
        <v>156</v>
      </c>
      <c r="C19" s="55">
        <v>6.8</v>
      </c>
      <c r="D19" s="64">
        <v>2009</v>
      </c>
      <c r="E19" s="55" t="s">
        <v>26</v>
      </c>
      <c r="F19" s="64" t="s">
        <v>2</v>
      </c>
      <c r="G19" s="241">
        <f t="shared" si="0"/>
        <v>11.294960827527854</v>
      </c>
      <c r="H19" s="79">
        <f t="shared" si="1"/>
        <v>9966.4699999999993</v>
      </c>
      <c r="I19" s="249">
        <f t="shared" si="2"/>
        <v>604.3947847180109</v>
      </c>
      <c r="J19" s="79">
        <f t="shared" si="3"/>
        <v>6826.6154177520639</v>
      </c>
      <c r="K19" s="247">
        <f t="shared" si="4"/>
        <v>0.68495820664207729</v>
      </c>
    </row>
    <row r="20" spans="1:11" s="78" customFormat="1">
      <c r="A20" s="55" t="s">
        <v>90</v>
      </c>
      <c r="B20" s="242" t="s">
        <v>144</v>
      </c>
      <c r="C20" s="55">
        <v>6.8</v>
      </c>
      <c r="D20" s="64">
        <v>2009</v>
      </c>
      <c r="E20" s="55" t="s">
        <v>26</v>
      </c>
      <c r="F20" s="64" t="s">
        <v>2</v>
      </c>
      <c r="G20" s="241">
        <f t="shared" si="0"/>
        <v>11.294960827527854</v>
      </c>
      <c r="H20" s="79">
        <f t="shared" si="1"/>
        <v>31022.880000000001</v>
      </c>
      <c r="I20" s="249">
        <f t="shared" si="2"/>
        <v>1827.0247349823321</v>
      </c>
      <c r="J20" s="79">
        <f t="shared" si="3"/>
        <v>20636.172812549899</v>
      </c>
      <c r="K20" s="247">
        <f t="shared" si="4"/>
        <v>0.66519203931259441</v>
      </c>
    </row>
    <row r="21" spans="1:11" s="78" customFormat="1">
      <c r="A21" s="55" t="s">
        <v>90</v>
      </c>
      <c r="B21" s="242" t="s">
        <v>154</v>
      </c>
      <c r="C21" s="55">
        <v>6.8</v>
      </c>
      <c r="D21" s="64">
        <v>2009</v>
      </c>
      <c r="E21" s="55" t="s">
        <v>26</v>
      </c>
      <c r="F21" s="64" t="s">
        <v>2</v>
      </c>
      <c r="G21" s="241">
        <f t="shared" si="0"/>
        <v>11.294960827527854</v>
      </c>
      <c r="H21" s="79">
        <f>VLOOKUP($B21,data,9,FALSE)</f>
        <v>32588.02</v>
      </c>
      <c r="I21" s="249">
        <f t="shared" si="2"/>
        <v>1989.5006105006107</v>
      </c>
      <c r="J21" s="79">
        <f t="shared" si="3"/>
        <v>22471.331461947149</v>
      </c>
      <c r="K21" s="247">
        <f t="shared" si="4"/>
        <v>0.68955804807862364</v>
      </c>
    </row>
    <row r="22" spans="1:11" s="78" customFormat="1">
      <c r="A22" s="55" t="s">
        <v>90</v>
      </c>
      <c r="B22" s="78" t="s">
        <v>188</v>
      </c>
      <c r="C22" s="55">
        <v>6.8</v>
      </c>
      <c r="D22" s="64">
        <v>2008</v>
      </c>
      <c r="E22" s="55" t="s">
        <v>26</v>
      </c>
      <c r="F22" s="64" t="s">
        <v>2</v>
      </c>
      <c r="G22" s="241">
        <f t="shared" ref="G22:G30" si="5">IF(F22="Diesel",diesel,IF(F22="Fuel Oil",fueloil,IF(F22="Coal",coal,0)))</f>
        <v>11.294960827527854</v>
      </c>
      <c r="H22" s="79">
        <f>VLOOKUP($B22,data,9,FALSE)</f>
        <v>15173.71</v>
      </c>
      <c r="I22" s="249">
        <f t="shared" si="2"/>
        <v>925.22621951219514</v>
      </c>
      <c r="J22" s="79">
        <f t="shared" ref="J22:J30" si="6">$G22*I22</f>
        <v>10450.393905991932</v>
      </c>
      <c r="K22" s="247">
        <f t="shared" ref="K22:K30" si="7">J22/H22</f>
        <v>0.68871712362974724</v>
      </c>
    </row>
    <row r="23" spans="1:11" s="78" customFormat="1">
      <c r="A23" s="55" t="s">
        <v>90</v>
      </c>
      <c r="B23" s="68" t="s">
        <v>190</v>
      </c>
      <c r="C23" s="56">
        <v>6.8</v>
      </c>
      <c r="D23" s="64">
        <v>2008</v>
      </c>
      <c r="E23" s="55" t="s">
        <v>26</v>
      </c>
      <c r="F23" s="64" t="s">
        <v>2</v>
      </c>
      <c r="G23" s="241">
        <f t="shared" si="5"/>
        <v>11.294960827527854</v>
      </c>
      <c r="H23" s="79">
        <f t="shared" si="1"/>
        <v>15257.08</v>
      </c>
      <c r="I23" s="249">
        <f t="shared" si="2"/>
        <v>932.58435207823959</v>
      </c>
      <c r="J23" s="79">
        <f t="shared" si="6"/>
        <v>10533.50372508916</v>
      </c>
      <c r="K23" s="247">
        <f t="shared" si="7"/>
        <v>0.69040102857749719</v>
      </c>
    </row>
    <row r="24" spans="1:11" s="78" customFormat="1">
      <c r="A24" s="55" t="s">
        <v>90</v>
      </c>
      <c r="B24" s="68" t="s">
        <v>192</v>
      </c>
      <c r="C24" s="56">
        <v>6.8</v>
      </c>
      <c r="D24" s="64">
        <v>2008</v>
      </c>
      <c r="E24" s="55" t="s">
        <v>26</v>
      </c>
      <c r="F24" s="64" t="s">
        <v>2</v>
      </c>
      <c r="G24" s="241">
        <f t="shared" si="5"/>
        <v>11.294960827527854</v>
      </c>
      <c r="H24" s="79">
        <f t="shared" si="1"/>
        <v>14498.4</v>
      </c>
      <c r="I24" s="249">
        <f t="shared" si="2"/>
        <v>887.8383343539499</v>
      </c>
      <c r="J24" s="79">
        <f t="shared" si="6"/>
        <v>10028.099207705442</v>
      </c>
      <c r="K24" s="247">
        <f t="shared" si="7"/>
        <v>0.69166937094475545</v>
      </c>
    </row>
    <row r="25" spans="1:11" s="78" customFormat="1">
      <c r="A25" s="55" t="s">
        <v>90</v>
      </c>
      <c r="B25" s="78" t="s">
        <v>194</v>
      </c>
      <c r="C25" s="55">
        <v>6.8</v>
      </c>
      <c r="D25" s="64">
        <v>2008</v>
      </c>
      <c r="E25" s="55" t="s">
        <v>26</v>
      </c>
      <c r="F25" s="64" t="s">
        <v>2</v>
      </c>
      <c r="G25" s="241">
        <f t="shared" si="5"/>
        <v>11.294960827527854</v>
      </c>
      <c r="H25" s="79">
        <f t="shared" si="1"/>
        <v>18034.009999999998</v>
      </c>
      <c r="I25" s="249">
        <f t="shared" si="2"/>
        <v>1096.2924012158055</v>
      </c>
      <c r="J25" s="79">
        <f t="shared" si="6"/>
        <v>12382.579727248973</v>
      </c>
      <c r="K25" s="247">
        <f t="shared" si="7"/>
        <v>0.68662375851233159</v>
      </c>
    </row>
    <row r="26" spans="1:11" s="78" customFormat="1">
      <c r="A26" s="55" t="s">
        <v>90</v>
      </c>
      <c r="B26" s="68" t="s">
        <v>196</v>
      </c>
      <c r="C26" s="56">
        <v>6.8</v>
      </c>
      <c r="D26" s="64">
        <v>2008</v>
      </c>
      <c r="E26" s="55" t="s">
        <v>26</v>
      </c>
      <c r="F26" s="64" t="s">
        <v>2</v>
      </c>
      <c r="G26" s="241">
        <f t="shared" si="5"/>
        <v>11.294960827527854</v>
      </c>
      <c r="H26" s="79">
        <f t="shared" si="1"/>
        <v>13235.44</v>
      </c>
      <c r="I26" s="249">
        <f t="shared" si="2"/>
        <v>805.56542909312236</v>
      </c>
      <c r="J26" s="79">
        <f t="shared" si="6"/>
        <v>9098.829965617484</v>
      </c>
      <c r="K26" s="247">
        <f t="shared" si="7"/>
        <v>0.68745957562555404</v>
      </c>
    </row>
    <row r="27" spans="1:11" s="78" customFormat="1">
      <c r="A27" s="55" t="s">
        <v>90</v>
      </c>
      <c r="B27" s="68" t="s">
        <v>198</v>
      </c>
      <c r="C27" s="56">
        <v>6.8</v>
      </c>
      <c r="D27" s="64">
        <v>2008</v>
      </c>
      <c r="E27" s="55" t="s">
        <v>26</v>
      </c>
      <c r="F27" s="64" t="s">
        <v>2</v>
      </c>
      <c r="G27" s="241">
        <f t="shared" si="5"/>
        <v>11.294960827527854</v>
      </c>
      <c r="H27" s="79">
        <f t="shared" si="1"/>
        <v>12938.57</v>
      </c>
      <c r="I27" s="249">
        <f t="shared" si="2"/>
        <v>787.01763990267636</v>
      </c>
      <c r="J27" s="79">
        <f t="shared" si="6"/>
        <v>8889.3334132741511</v>
      </c>
      <c r="K27" s="247">
        <f t="shared" si="7"/>
        <v>0.68704141286665765</v>
      </c>
    </row>
    <row r="28" spans="1:11" s="78" customFormat="1">
      <c r="A28" s="55" t="s">
        <v>90</v>
      </c>
      <c r="B28" s="78" t="s">
        <v>200</v>
      </c>
      <c r="C28" s="55">
        <v>6.8</v>
      </c>
      <c r="D28" s="64">
        <v>2008</v>
      </c>
      <c r="E28" s="55" t="s">
        <v>26</v>
      </c>
      <c r="F28" s="64" t="s">
        <v>2</v>
      </c>
      <c r="G28" s="241">
        <f t="shared" si="5"/>
        <v>11.294960827527854</v>
      </c>
      <c r="H28" s="239">
        <f t="shared" si="1"/>
        <v>19685.72</v>
      </c>
      <c r="I28" s="249">
        <f t="shared" si="2"/>
        <v>1203.2836185819071</v>
      </c>
      <c r="J28" s="79">
        <f t="shared" si="6"/>
        <v>13591.041336288608</v>
      </c>
      <c r="K28" s="247">
        <f t="shared" si="7"/>
        <v>0.69040102857749719</v>
      </c>
    </row>
    <row r="29" spans="1:11" s="78" customFormat="1">
      <c r="A29" s="55" t="s">
        <v>90</v>
      </c>
      <c r="B29" s="78" t="s">
        <v>202</v>
      </c>
      <c r="C29" s="55">
        <v>6.8</v>
      </c>
      <c r="D29" s="64">
        <v>2008</v>
      </c>
      <c r="E29" s="55" t="s">
        <v>26</v>
      </c>
      <c r="F29" s="64" t="s">
        <v>2</v>
      </c>
      <c r="G29" s="241">
        <f t="shared" si="5"/>
        <v>11.294960827527854</v>
      </c>
      <c r="H29" s="239">
        <f t="shared" si="1"/>
        <v>19051.240000000002</v>
      </c>
      <c r="I29" s="249">
        <f t="shared" si="2"/>
        <v>1158.1300911854105</v>
      </c>
      <c r="J29" s="79">
        <f t="shared" si="6"/>
        <v>13081.034013120474</v>
      </c>
      <c r="K29" s="247">
        <f t="shared" si="7"/>
        <v>0.68662375851233159</v>
      </c>
    </row>
    <row r="30" spans="1:11" s="78" customFormat="1">
      <c r="A30" s="55" t="s">
        <v>90</v>
      </c>
      <c r="B30" s="78" t="s">
        <v>204</v>
      </c>
      <c r="C30" s="55">
        <v>6.8</v>
      </c>
      <c r="D30" s="64">
        <v>2008</v>
      </c>
      <c r="E30" s="55" t="s">
        <v>26</v>
      </c>
      <c r="F30" s="64" t="s">
        <v>2</v>
      </c>
      <c r="G30" s="241">
        <f t="shared" si="5"/>
        <v>11.294960827527854</v>
      </c>
      <c r="H30" s="239">
        <f t="shared" si="1"/>
        <v>18998.88</v>
      </c>
      <c r="I30" s="249">
        <f t="shared" si="2"/>
        <v>1157.762340036563</v>
      </c>
      <c r="J30" s="79">
        <f t="shared" si="6"/>
        <v>13076.880278299963</v>
      </c>
      <c r="K30" s="247">
        <f t="shared" si="7"/>
        <v>0.68829743007482347</v>
      </c>
    </row>
    <row r="31" spans="1:11" s="78" customFormat="1">
      <c r="A31" s="55" t="s">
        <v>88</v>
      </c>
      <c r="B31" s="78" t="s">
        <v>86</v>
      </c>
      <c r="C31" s="55">
        <v>0.45</v>
      </c>
      <c r="D31" s="64">
        <v>2007</v>
      </c>
      <c r="E31" s="55" t="s">
        <v>25</v>
      </c>
      <c r="F31" s="64" t="s">
        <v>91</v>
      </c>
      <c r="G31" s="241">
        <f t="shared" ref="G31:G36" si="8">IF(F31="Diesel",diesel,IF(F31="Fuel Oil",fueloil,IF(F31="Coal",coal,0)))</f>
        <v>0</v>
      </c>
      <c r="H31" s="239">
        <f t="shared" si="1"/>
        <v>1507.14</v>
      </c>
      <c r="I31" s="249">
        <f t="shared" si="2"/>
        <v>0</v>
      </c>
      <c r="J31" s="79">
        <f t="shared" ref="J31:J36" si="9">$G31*I31</f>
        <v>0</v>
      </c>
      <c r="K31" s="247">
        <f t="shared" ref="K31:K36" si="10">J31/H31</f>
        <v>0</v>
      </c>
    </row>
    <row r="32" spans="1:11" s="78" customFormat="1">
      <c r="A32" s="55" t="s">
        <v>88</v>
      </c>
      <c r="B32" s="78" t="s">
        <v>87</v>
      </c>
      <c r="C32" s="55">
        <v>0.45</v>
      </c>
      <c r="D32" s="64">
        <v>2007</v>
      </c>
      <c r="E32" s="55" t="s">
        <v>25</v>
      </c>
      <c r="F32" s="64" t="s">
        <v>91</v>
      </c>
      <c r="G32" s="241">
        <f t="shared" si="8"/>
        <v>0</v>
      </c>
      <c r="H32" s="239">
        <f t="shared" si="1"/>
        <v>1883.93</v>
      </c>
      <c r="I32" s="249">
        <f t="shared" si="2"/>
        <v>0</v>
      </c>
      <c r="J32" s="79">
        <f t="shared" si="9"/>
        <v>0</v>
      </c>
      <c r="K32" s="247">
        <f t="shared" si="10"/>
        <v>0</v>
      </c>
    </row>
    <row r="33" spans="1:11" s="78" customFormat="1">
      <c r="A33" s="55" t="s">
        <v>90</v>
      </c>
      <c r="B33" s="78" t="s">
        <v>206</v>
      </c>
      <c r="C33" s="55">
        <v>15</v>
      </c>
      <c r="D33" s="64">
        <v>2007</v>
      </c>
      <c r="E33" s="55" t="s">
        <v>26</v>
      </c>
      <c r="F33" s="64" t="s">
        <v>3</v>
      </c>
      <c r="G33" s="241">
        <f t="shared" si="8"/>
        <v>9.6402891520401734</v>
      </c>
      <c r="H33" s="239">
        <f t="shared" si="1"/>
        <v>2184.21</v>
      </c>
      <c r="I33" s="249">
        <f t="shared" si="2"/>
        <v>153.6012658227848</v>
      </c>
      <c r="J33" s="79">
        <f t="shared" si="9"/>
        <v>1480.7606166510313</v>
      </c>
      <c r="K33" s="247">
        <f t="shared" si="10"/>
        <v>0.67793875893390809</v>
      </c>
    </row>
    <row r="34" spans="1:11" s="78" customFormat="1">
      <c r="A34" s="55" t="s">
        <v>90</v>
      </c>
      <c r="B34" s="78" t="s">
        <v>207</v>
      </c>
      <c r="C34" s="55">
        <v>15</v>
      </c>
      <c r="D34" s="64">
        <v>2007</v>
      </c>
      <c r="E34" s="55" t="s">
        <v>26</v>
      </c>
      <c r="F34" s="64" t="s">
        <v>3</v>
      </c>
      <c r="G34" s="241">
        <f t="shared" si="8"/>
        <v>9.6402891520401734</v>
      </c>
      <c r="H34" s="79">
        <f t="shared" si="1"/>
        <v>2751.32</v>
      </c>
      <c r="I34" s="249">
        <f t="shared" si="2"/>
        <v>195.26756564939674</v>
      </c>
      <c r="J34" s="79">
        <f t="shared" si="9"/>
        <v>1882.4357948751717</v>
      </c>
      <c r="K34" s="247">
        <f t="shared" si="10"/>
        <v>0.68419369425409315</v>
      </c>
    </row>
    <row r="35" spans="1:11">
      <c r="A35" s="55" t="s">
        <v>90</v>
      </c>
      <c r="B35" s="78" t="s">
        <v>208</v>
      </c>
      <c r="C35" s="55">
        <v>15</v>
      </c>
      <c r="D35" s="64">
        <v>2007</v>
      </c>
      <c r="E35" s="55" t="s">
        <v>26</v>
      </c>
      <c r="F35" s="64" t="s">
        <v>3</v>
      </c>
      <c r="G35" s="241">
        <f t="shared" si="8"/>
        <v>9.6402891520401734</v>
      </c>
      <c r="H35" s="79">
        <f t="shared" si="1"/>
        <v>2698.91</v>
      </c>
      <c r="I35" s="249">
        <f t="shared" si="2"/>
        <v>191.95661450924607</v>
      </c>
      <c r="J35" s="79">
        <f t="shared" si="9"/>
        <v>1850.5172685158423</v>
      </c>
      <c r="K35" s="251">
        <f t="shared" si="10"/>
        <v>0.68565356700143476</v>
      </c>
    </row>
    <row r="36" spans="1:11">
      <c r="A36" s="55" t="s">
        <v>90</v>
      </c>
      <c r="B36" s="78" t="s">
        <v>209</v>
      </c>
      <c r="C36" s="55">
        <v>15</v>
      </c>
      <c r="D36" s="64">
        <v>2007</v>
      </c>
      <c r="E36" s="55" t="s">
        <v>26</v>
      </c>
      <c r="F36" s="64" t="s">
        <v>3</v>
      </c>
      <c r="G36" s="241">
        <f t="shared" si="8"/>
        <v>9.6402891520401734</v>
      </c>
      <c r="H36" s="79">
        <f t="shared" si="1"/>
        <v>2713.55</v>
      </c>
      <c r="I36" s="249">
        <f t="shared" si="2"/>
        <v>192.99786628733997</v>
      </c>
      <c r="J36" s="79">
        <f t="shared" si="9"/>
        <v>1860.5552367367434</v>
      </c>
      <c r="K36" s="251">
        <f t="shared" si="10"/>
        <v>0.68565356700143476</v>
      </c>
    </row>
    <row r="37" spans="1:11">
      <c r="A37" s="55" t="s">
        <v>90</v>
      </c>
      <c r="B37" s="78" t="s">
        <v>45</v>
      </c>
      <c r="C37" s="55">
        <v>1.6</v>
      </c>
      <c r="D37" s="64">
        <v>2004</v>
      </c>
      <c r="E37" s="55" t="s">
        <v>26</v>
      </c>
      <c r="F37" s="64" t="s">
        <v>2</v>
      </c>
      <c r="G37" s="241">
        <f t="shared" ref="G37:G40" si="11">IF(F37="Diesel",diesel,IF(F37="Fuel Oil",fueloil,IF(F37="Coal",coal,0)))</f>
        <v>11.294960827527854</v>
      </c>
      <c r="H37" s="79">
        <f t="shared" si="1"/>
        <v>396.47</v>
      </c>
      <c r="I37" s="249">
        <f t="shared" si="2"/>
        <v>28.771407837445576</v>
      </c>
      <c r="J37" s="79">
        <f t="shared" ref="J37:J40" si="12">$G37*I37</f>
        <v>324.97192447677565</v>
      </c>
      <c r="K37" s="251">
        <f t="shared" ref="K37:K40" si="13">J37/H37</f>
        <v>0.81966334016892983</v>
      </c>
    </row>
    <row r="38" spans="1:11">
      <c r="A38" s="55" t="s">
        <v>90</v>
      </c>
      <c r="B38" s="78" t="s">
        <v>130</v>
      </c>
      <c r="C38" s="55">
        <v>1.6</v>
      </c>
      <c r="D38" s="64">
        <v>2004</v>
      </c>
      <c r="E38" s="55" t="s">
        <v>26</v>
      </c>
      <c r="F38" s="64" t="s">
        <v>2</v>
      </c>
      <c r="G38" s="241">
        <f t="shared" si="11"/>
        <v>11.294960827527854</v>
      </c>
      <c r="H38" s="79">
        <f t="shared" si="1"/>
        <v>624.9</v>
      </c>
      <c r="I38" s="249">
        <f t="shared" si="2"/>
        <v>45.447272727272725</v>
      </c>
      <c r="J38" s="79">
        <f t="shared" si="12"/>
        <v>513.32516517252043</v>
      </c>
      <c r="K38" s="251">
        <f t="shared" si="13"/>
        <v>0.82145169654748029</v>
      </c>
    </row>
    <row r="39" spans="1:11">
      <c r="A39" s="55" t="s">
        <v>90</v>
      </c>
      <c r="B39" s="78" t="s">
        <v>94</v>
      </c>
      <c r="C39" s="55">
        <v>1.6</v>
      </c>
      <c r="D39" s="64">
        <v>2004</v>
      </c>
      <c r="E39" s="55" t="s">
        <v>26</v>
      </c>
      <c r="F39" s="64" t="s">
        <v>2</v>
      </c>
      <c r="G39" s="241">
        <f t="shared" si="11"/>
        <v>11.294960827527854</v>
      </c>
      <c r="H39" s="79">
        <f t="shared" si="1"/>
        <v>580.58000000000004</v>
      </c>
      <c r="I39" s="249">
        <f t="shared" si="2"/>
        <v>43.456586826347312</v>
      </c>
      <c r="J39" s="79">
        <f t="shared" si="12"/>
        <v>490.84044590165587</v>
      </c>
      <c r="K39" s="251">
        <f t="shared" si="13"/>
        <v>0.84543119966525859</v>
      </c>
    </row>
    <row r="40" spans="1:11">
      <c r="A40" s="55" t="s">
        <v>90</v>
      </c>
      <c r="B40" s="78" t="s">
        <v>46</v>
      </c>
      <c r="C40" s="55">
        <v>1.6</v>
      </c>
      <c r="D40" s="64">
        <v>2004</v>
      </c>
      <c r="E40" s="55" t="s">
        <v>26</v>
      </c>
      <c r="F40" s="64" t="s">
        <v>2</v>
      </c>
      <c r="G40" s="241">
        <f t="shared" si="11"/>
        <v>11.294960827527854</v>
      </c>
      <c r="H40" s="79">
        <f t="shared" si="1"/>
        <v>638.1</v>
      </c>
      <c r="I40" s="249">
        <f t="shared" si="2"/>
        <v>47.583892617449663</v>
      </c>
      <c r="J40" s="79">
        <f t="shared" si="12"/>
        <v>537.45820313538582</v>
      </c>
      <c r="K40" s="251">
        <f t="shared" si="13"/>
        <v>0.84227895805576836</v>
      </c>
    </row>
    <row r="41" spans="1:11">
      <c r="A41" s="55" t="s">
        <v>88</v>
      </c>
      <c r="B41" s="64" t="s">
        <v>76</v>
      </c>
      <c r="C41" s="102">
        <v>20</v>
      </c>
      <c r="D41" s="64">
        <v>2004</v>
      </c>
      <c r="E41" s="55" t="s">
        <v>25</v>
      </c>
      <c r="F41" s="64" t="s">
        <v>95</v>
      </c>
      <c r="G41" s="241">
        <f t="shared" ref="G41:G43" si="14">IF(F41="Diesel",diesel,IF(F41="Fuel Oil",fueloil,IF(F41="Coal",coal,0)))</f>
        <v>0</v>
      </c>
      <c r="H41" s="79">
        <f t="shared" si="1"/>
        <v>31551.84</v>
      </c>
      <c r="I41" s="249">
        <f t="shared" si="2"/>
        <v>0</v>
      </c>
      <c r="J41" s="79">
        <f t="shared" ref="J41:J42" si="15">$G41*I41</f>
        <v>0</v>
      </c>
      <c r="K41" s="251">
        <f t="shared" ref="K41:K42" si="16">J41/H41</f>
        <v>0</v>
      </c>
    </row>
    <row r="42" spans="1:11">
      <c r="A42" s="55" t="s">
        <v>88</v>
      </c>
      <c r="B42" s="64" t="s">
        <v>77</v>
      </c>
      <c r="C42" s="55">
        <v>20</v>
      </c>
      <c r="D42" s="64">
        <v>2004</v>
      </c>
      <c r="E42" s="55" t="s">
        <v>25</v>
      </c>
      <c r="F42" s="64" t="s">
        <v>95</v>
      </c>
      <c r="G42" s="241">
        <f t="shared" si="14"/>
        <v>0</v>
      </c>
      <c r="H42" s="79">
        <f t="shared" si="1"/>
        <v>38937.35</v>
      </c>
      <c r="I42" s="249">
        <f t="shared" si="2"/>
        <v>0</v>
      </c>
      <c r="J42" s="79">
        <f t="shared" si="15"/>
        <v>0</v>
      </c>
      <c r="K42" s="251">
        <f t="shared" si="16"/>
        <v>0</v>
      </c>
    </row>
    <row r="43" spans="1:11">
      <c r="A43" s="55"/>
      <c r="B43" s="57" t="s">
        <v>66</v>
      </c>
      <c r="C43" s="55">
        <v>7.5</v>
      </c>
      <c r="D43" s="55">
        <v>2002</v>
      </c>
      <c r="E43" s="55" t="s">
        <v>25</v>
      </c>
      <c r="F43" s="55" t="s">
        <v>93</v>
      </c>
      <c r="G43" s="66">
        <f t="shared" si="14"/>
        <v>0</v>
      </c>
      <c r="H43" s="83">
        <v>44357.120000000003</v>
      </c>
      <c r="I43" s="249">
        <v>0</v>
      </c>
      <c r="J43" s="79">
        <v>0</v>
      </c>
      <c r="K43" s="248">
        <v>0</v>
      </c>
    </row>
    <row r="44" spans="1:11">
      <c r="A44" s="60"/>
      <c r="B44" s="68"/>
      <c r="C44" s="56"/>
      <c r="D44" s="69"/>
      <c r="E44" s="56"/>
      <c r="G44" s="66"/>
      <c r="H44" s="63"/>
      <c r="I44" s="60"/>
      <c r="K44" s="55"/>
    </row>
    <row r="45" spans="1:11" s="40" customFormat="1">
      <c r="A45" s="109"/>
      <c r="B45" s="40" t="s">
        <v>27</v>
      </c>
      <c r="H45" s="244">
        <f>SUM(H4:H44)</f>
        <v>624034.26</v>
      </c>
      <c r="I45" s="108"/>
      <c r="J45" s="245">
        <f>SUM(J4:J44)</f>
        <v>345540.80014813162</v>
      </c>
      <c r="K45" s="62">
        <f>J45/H45</f>
        <v>0.55372088088261628</v>
      </c>
    </row>
    <row r="46" spans="1:11">
      <c r="A46" s="109"/>
      <c r="B46" s="40" t="s">
        <v>174</v>
      </c>
      <c r="C46" s="40"/>
      <c r="D46" s="40"/>
      <c r="E46" s="40"/>
      <c r="F46" s="40"/>
      <c r="G46" s="40"/>
      <c r="H46" s="243">
        <f>H45/'DATA &amp; OM'!J125</f>
        <v>0.20934340018078296</v>
      </c>
      <c r="I46" s="40"/>
      <c r="J46" s="40"/>
      <c r="K46" s="174"/>
    </row>
    <row r="48" spans="1:11">
      <c r="C48" s="43"/>
    </row>
  </sheetData>
  <sortState ref="A4:L50">
    <sortCondition descending="1" ref="D4:D50"/>
    <sortCondition ref="B4:B50"/>
  </sortState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J15"/>
  <sheetViews>
    <sheetView workbookViewId="0">
      <selection activeCell="J15" sqref="J15"/>
    </sheetView>
  </sheetViews>
  <sheetFormatPr defaultColWidth="11.42578125" defaultRowHeight="15"/>
  <cols>
    <col min="3" max="3" width="16.85546875" bestFit="1" customWidth="1"/>
    <col min="8" max="8" width="12.28515625" customWidth="1"/>
  </cols>
  <sheetData>
    <row r="2" spans="2:10" ht="44.25" customHeight="1">
      <c r="B2" s="319" t="s">
        <v>138</v>
      </c>
      <c r="C2" s="320"/>
      <c r="D2" s="311" t="s">
        <v>140</v>
      </c>
      <c r="E2" s="311"/>
      <c r="F2" s="313" t="s">
        <v>131</v>
      </c>
      <c r="G2" s="311" t="s">
        <v>112</v>
      </c>
      <c r="H2" s="313" t="s">
        <v>139</v>
      </c>
    </row>
    <row r="3" spans="2:10">
      <c r="B3" s="321"/>
      <c r="C3" s="322"/>
      <c r="D3" s="224" t="s">
        <v>2</v>
      </c>
      <c r="E3" s="225" t="s">
        <v>3</v>
      </c>
      <c r="F3" s="323"/>
      <c r="G3" s="312"/>
      <c r="H3" s="314"/>
    </row>
    <row r="4" spans="2:10">
      <c r="B4" s="324" t="s">
        <v>29</v>
      </c>
      <c r="C4" s="226">
        <v>2008</v>
      </c>
      <c r="D4" s="221">
        <f>SUMIF('DATA &amp; OM'!$F$5:$F$122,D$3,'DATA &amp; OM'!$K$5:$K$122)</f>
        <v>133486.81</v>
      </c>
      <c r="E4" s="218">
        <f>SUMIF('DATA &amp; OM'!$F$5:$F$122,E$3,'DATA &amp; OM'!$K$5:$K$122)</f>
        <v>5649.49</v>
      </c>
      <c r="F4" s="211">
        <f>'DATA &amp; OM'!H124</f>
        <v>2047314.6999999997</v>
      </c>
      <c r="G4" s="212">
        <f>D4*fueloil+E4*diesel</f>
        <v>1562191.0071032129</v>
      </c>
      <c r="H4" s="215">
        <f>G4/F4</f>
        <v>0.76304390678346279</v>
      </c>
    </row>
    <row r="5" spans="2:10">
      <c r="B5" s="325"/>
      <c r="C5" s="227">
        <v>2009</v>
      </c>
      <c r="D5" s="222">
        <f>SUMIF('DATA &amp; OM'!$F$5:$F$122,D$3,'DATA &amp; OM'!$L$5:$L$122)</f>
        <v>147292.03</v>
      </c>
      <c r="E5" s="219">
        <f>SUMIF('DATA &amp; OM'!$F$5:$F$122,E$3,'DATA &amp; OM'!$L$5:$L$122)</f>
        <v>3886.4100000000008</v>
      </c>
      <c r="F5" s="209">
        <f>'DATA &amp; OM'!I124</f>
        <v>2242724.1800000002</v>
      </c>
      <c r="G5" s="213">
        <f>D5*fueloil+E5*diesel</f>
        <v>1701123.825220438</v>
      </c>
      <c r="H5" s="216">
        <f t="shared" ref="H5:H7" si="0">G5/F5</f>
        <v>0.75850781847834625</v>
      </c>
    </row>
    <row r="6" spans="2:10">
      <c r="B6" s="325"/>
      <c r="C6" s="227">
        <v>2010</v>
      </c>
      <c r="D6" s="222">
        <f>SUMIF('DATA &amp; OM'!$F$5:$F$122,D$3,'DATA &amp; OM'!$N$5:$N$122)</f>
        <v>137854.02827506335</v>
      </c>
      <c r="E6" s="219">
        <f>SUMIF('DATA &amp; OM'!$F$5:$F$122,E$3,'DATA &amp; OM'!$N$5:$N$122)</f>
        <v>1010.4158652864901</v>
      </c>
      <c r="F6" s="209">
        <f>'DATA &amp; OM'!J124</f>
        <v>2178817.7499999995</v>
      </c>
      <c r="G6" s="213">
        <f>D6*fueloil+E6*diesel</f>
        <v>1566796.5503889283</v>
      </c>
      <c r="H6" s="216">
        <f t="shared" ref="H6" si="1">G6/F6</f>
        <v>0.71910399591197038</v>
      </c>
    </row>
    <row r="7" spans="2:10" ht="15" customHeight="1">
      <c r="B7" s="326"/>
      <c r="C7" s="228" t="s">
        <v>187</v>
      </c>
      <c r="D7" s="223">
        <f>SUM(D4:D6)</f>
        <v>418632.86827506335</v>
      </c>
      <c r="E7" s="220">
        <f>SUM(E4:E6)</f>
        <v>10546.315865286491</v>
      </c>
      <c r="F7" s="210">
        <f>SUM(F4:F6)</f>
        <v>6468856.629999999</v>
      </c>
      <c r="G7" s="214">
        <f>SUM(G4:G6)</f>
        <v>4830111.3827125793</v>
      </c>
      <c r="H7" s="217">
        <f t="shared" si="0"/>
        <v>0.74667157721697419</v>
      </c>
    </row>
    <row r="8" spans="2:10">
      <c r="B8" s="327" t="s">
        <v>30</v>
      </c>
      <c r="C8" s="328"/>
      <c r="D8" s="223">
        <f>SUMIF(BM!$F$4:$F$44,D3,BM!$I$4:$I$44)</f>
        <v>29966.153614844672</v>
      </c>
      <c r="E8" s="220">
        <f>SUMIF(BM!$F$4:$F$44,E3,BM!$I$4:$I$44)</f>
        <v>733.82331226876761</v>
      </c>
      <c r="F8" s="210">
        <f>BM!H45</f>
        <v>624034.26</v>
      </c>
      <c r="G8" s="214">
        <f>D8*fueloil+E8*diesel</f>
        <v>345540.80014813156</v>
      </c>
      <c r="H8" s="217">
        <f>G8/F8</f>
        <v>0.55372088088261617</v>
      </c>
    </row>
    <row r="9" spans="2:10" ht="15" customHeight="1"/>
    <row r="11" spans="2:10">
      <c r="H11" s="315" t="s">
        <v>29</v>
      </c>
      <c r="I11" s="207" t="s">
        <v>31</v>
      </c>
      <c r="J11" s="62">
        <f>'DATA &amp; OM'!V124</f>
        <v>0.7466715772169743</v>
      </c>
    </row>
    <row r="12" spans="2:10">
      <c r="H12" s="316"/>
      <c r="I12" s="207" t="s">
        <v>32</v>
      </c>
      <c r="J12" s="45">
        <v>0.5</v>
      </c>
    </row>
    <row r="13" spans="2:10">
      <c r="H13" s="315" t="s">
        <v>30</v>
      </c>
      <c r="I13" s="207" t="s">
        <v>33</v>
      </c>
      <c r="J13" s="62">
        <f>BM!K45</f>
        <v>0.55372088088261628</v>
      </c>
    </row>
    <row r="14" spans="2:10">
      <c r="H14" s="316"/>
      <c r="I14" s="207" t="s">
        <v>34</v>
      </c>
      <c r="J14" s="45">
        <v>0.5</v>
      </c>
    </row>
    <row r="15" spans="2:10">
      <c r="H15" s="317" t="s">
        <v>35</v>
      </c>
      <c r="I15" s="318"/>
      <c r="J15" s="62">
        <f>J12*J11+J13*J14</f>
        <v>0.65019622904979535</v>
      </c>
    </row>
  </sheetData>
  <mergeCells count="10">
    <mergeCell ref="B2:C3"/>
    <mergeCell ref="D2:E2"/>
    <mergeCell ref="F2:F3"/>
    <mergeCell ref="B4:B7"/>
    <mergeCell ref="B8:C8"/>
    <mergeCell ref="G2:G3"/>
    <mergeCell ref="H2:H3"/>
    <mergeCell ref="H11:H12"/>
    <mergeCell ref="H13:H14"/>
    <mergeCell ref="H15:I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J21"/>
  <sheetViews>
    <sheetView workbookViewId="0">
      <selection activeCell="G12" sqref="G12"/>
    </sheetView>
  </sheetViews>
  <sheetFormatPr defaultColWidth="11.42578125" defaultRowHeight="15"/>
  <cols>
    <col min="1" max="1" width="7.140625" style="2" customWidth="1"/>
    <col min="2" max="2" width="11.42578125" style="2"/>
    <col min="3" max="3" width="12.5703125" style="2" customWidth="1"/>
    <col min="4" max="4" width="22.42578125" style="2" customWidth="1"/>
    <col min="5" max="5" width="22.5703125" style="2" customWidth="1"/>
    <col min="6" max="6" width="12.7109375" style="2" bestFit="1" customWidth="1"/>
    <col min="7" max="7" width="18.7109375" style="2" bestFit="1" customWidth="1"/>
    <col min="8" max="9" width="11.42578125" style="2"/>
    <col min="10" max="10" width="12.85546875" style="2" customWidth="1"/>
    <col min="11" max="11" width="12.42578125" style="2" bestFit="1" customWidth="1"/>
    <col min="12" max="256" width="11.42578125" style="2"/>
    <col min="257" max="257" width="7.140625" style="2" customWidth="1"/>
    <col min="258" max="258" width="11.42578125" style="2"/>
    <col min="259" max="259" width="12.5703125" style="2" customWidth="1"/>
    <col min="260" max="260" width="22.42578125" style="2" customWidth="1"/>
    <col min="261" max="261" width="22.5703125" style="2" customWidth="1"/>
    <col min="262" max="262" width="11.42578125" style="2"/>
    <col min="263" max="263" width="10.5703125" style="2" bestFit="1" customWidth="1"/>
    <col min="264" max="265" width="11.42578125" style="2"/>
    <col min="266" max="266" width="12.85546875" style="2" customWidth="1"/>
    <col min="267" max="267" width="12.42578125" style="2" bestFit="1" customWidth="1"/>
    <col min="268" max="512" width="11.42578125" style="2"/>
    <col min="513" max="513" width="7.140625" style="2" customWidth="1"/>
    <col min="514" max="514" width="11.42578125" style="2"/>
    <col min="515" max="515" width="12.5703125" style="2" customWidth="1"/>
    <col min="516" max="516" width="22.42578125" style="2" customWidth="1"/>
    <col min="517" max="517" width="22.5703125" style="2" customWidth="1"/>
    <col min="518" max="518" width="11.42578125" style="2"/>
    <col min="519" max="519" width="10.5703125" style="2" bestFit="1" customWidth="1"/>
    <col min="520" max="521" width="11.42578125" style="2"/>
    <col min="522" max="522" width="12.85546875" style="2" customWidth="1"/>
    <col min="523" max="523" width="12.42578125" style="2" bestFit="1" customWidth="1"/>
    <col min="524" max="768" width="11.42578125" style="2"/>
    <col min="769" max="769" width="7.140625" style="2" customWidth="1"/>
    <col min="770" max="770" width="11.42578125" style="2"/>
    <col min="771" max="771" width="12.5703125" style="2" customWidth="1"/>
    <col min="772" max="772" width="22.42578125" style="2" customWidth="1"/>
    <col min="773" max="773" width="22.5703125" style="2" customWidth="1"/>
    <col min="774" max="774" width="11.42578125" style="2"/>
    <col min="775" max="775" width="10.5703125" style="2" bestFit="1" customWidth="1"/>
    <col min="776" max="777" width="11.42578125" style="2"/>
    <col min="778" max="778" width="12.85546875" style="2" customWidth="1"/>
    <col min="779" max="779" width="12.42578125" style="2" bestFit="1" customWidth="1"/>
    <col min="780" max="1024" width="11.42578125" style="2"/>
    <col min="1025" max="1025" width="7.140625" style="2" customWidth="1"/>
    <col min="1026" max="1026" width="11.42578125" style="2"/>
    <col min="1027" max="1027" width="12.5703125" style="2" customWidth="1"/>
    <col min="1028" max="1028" width="22.42578125" style="2" customWidth="1"/>
    <col min="1029" max="1029" width="22.5703125" style="2" customWidth="1"/>
    <col min="1030" max="1030" width="11.42578125" style="2"/>
    <col min="1031" max="1031" width="10.5703125" style="2" bestFit="1" customWidth="1"/>
    <col min="1032" max="1033" width="11.42578125" style="2"/>
    <col min="1034" max="1034" width="12.85546875" style="2" customWidth="1"/>
    <col min="1035" max="1035" width="12.42578125" style="2" bestFit="1" customWidth="1"/>
    <col min="1036" max="1280" width="11.42578125" style="2"/>
    <col min="1281" max="1281" width="7.140625" style="2" customWidth="1"/>
    <col min="1282" max="1282" width="11.42578125" style="2"/>
    <col min="1283" max="1283" width="12.5703125" style="2" customWidth="1"/>
    <col min="1284" max="1284" width="22.42578125" style="2" customWidth="1"/>
    <col min="1285" max="1285" width="22.5703125" style="2" customWidth="1"/>
    <col min="1286" max="1286" width="11.42578125" style="2"/>
    <col min="1287" max="1287" width="10.5703125" style="2" bestFit="1" customWidth="1"/>
    <col min="1288" max="1289" width="11.42578125" style="2"/>
    <col min="1290" max="1290" width="12.85546875" style="2" customWidth="1"/>
    <col min="1291" max="1291" width="12.42578125" style="2" bestFit="1" customWidth="1"/>
    <col min="1292" max="1536" width="11.42578125" style="2"/>
    <col min="1537" max="1537" width="7.140625" style="2" customWidth="1"/>
    <col min="1538" max="1538" width="11.42578125" style="2"/>
    <col min="1539" max="1539" width="12.5703125" style="2" customWidth="1"/>
    <col min="1540" max="1540" width="22.42578125" style="2" customWidth="1"/>
    <col min="1541" max="1541" width="22.5703125" style="2" customWidth="1"/>
    <col min="1542" max="1542" width="11.42578125" style="2"/>
    <col min="1543" max="1543" width="10.5703125" style="2" bestFit="1" customWidth="1"/>
    <col min="1544" max="1545" width="11.42578125" style="2"/>
    <col min="1546" max="1546" width="12.85546875" style="2" customWidth="1"/>
    <col min="1547" max="1547" width="12.42578125" style="2" bestFit="1" customWidth="1"/>
    <col min="1548" max="1792" width="11.42578125" style="2"/>
    <col min="1793" max="1793" width="7.140625" style="2" customWidth="1"/>
    <col min="1794" max="1794" width="11.42578125" style="2"/>
    <col min="1795" max="1795" width="12.5703125" style="2" customWidth="1"/>
    <col min="1796" max="1796" width="22.42578125" style="2" customWidth="1"/>
    <col min="1797" max="1797" width="22.5703125" style="2" customWidth="1"/>
    <col min="1798" max="1798" width="11.42578125" style="2"/>
    <col min="1799" max="1799" width="10.5703125" style="2" bestFit="1" customWidth="1"/>
    <col min="1800" max="1801" width="11.42578125" style="2"/>
    <col min="1802" max="1802" width="12.85546875" style="2" customWidth="1"/>
    <col min="1803" max="1803" width="12.42578125" style="2" bestFit="1" customWidth="1"/>
    <col min="1804" max="2048" width="11.42578125" style="2"/>
    <col min="2049" max="2049" width="7.140625" style="2" customWidth="1"/>
    <col min="2050" max="2050" width="11.42578125" style="2"/>
    <col min="2051" max="2051" width="12.5703125" style="2" customWidth="1"/>
    <col min="2052" max="2052" width="22.42578125" style="2" customWidth="1"/>
    <col min="2053" max="2053" width="22.5703125" style="2" customWidth="1"/>
    <col min="2054" max="2054" width="11.42578125" style="2"/>
    <col min="2055" max="2055" width="10.5703125" style="2" bestFit="1" customWidth="1"/>
    <col min="2056" max="2057" width="11.42578125" style="2"/>
    <col min="2058" max="2058" width="12.85546875" style="2" customWidth="1"/>
    <col min="2059" max="2059" width="12.42578125" style="2" bestFit="1" customWidth="1"/>
    <col min="2060" max="2304" width="11.42578125" style="2"/>
    <col min="2305" max="2305" width="7.140625" style="2" customWidth="1"/>
    <col min="2306" max="2306" width="11.42578125" style="2"/>
    <col min="2307" max="2307" width="12.5703125" style="2" customWidth="1"/>
    <col min="2308" max="2308" width="22.42578125" style="2" customWidth="1"/>
    <col min="2309" max="2309" width="22.5703125" style="2" customWidth="1"/>
    <col min="2310" max="2310" width="11.42578125" style="2"/>
    <col min="2311" max="2311" width="10.5703125" style="2" bestFit="1" customWidth="1"/>
    <col min="2312" max="2313" width="11.42578125" style="2"/>
    <col min="2314" max="2314" width="12.85546875" style="2" customWidth="1"/>
    <col min="2315" max="2315" width="12.42578125" style="2" bestFit="1" customWidth="1"/>
    <col min="2316" max="2560" width="11.42578125" style="2"/>
    <col min="2561" max="2561" width="7.140625" style="2" customWidth="1"/>
    <col min="2562" max="2562" width="11.42578125" style="2"/>
    <col min="2563" max="2563" width="12.5703125" style="2" customWidth="1"/>
    <col min="2564" max="2564" width="22.42578125" style="2" customWidth="1"/>
    <col min="2565" max="2565" width="22.5703125" style="2" customWidth="1"/>
    <col min="2566" max="2566" width="11.42578125" style="2"/>
    <col min="2567" max="2567" width="10.5703125" style="2" bestFit="1" customWidth="1"/>
    <col min="2568" max="2569" width="11.42578125" style="2"/>
    <col min="2570" max="2570" width="12.85546875" style="2" customWidth="1"/>
    <col min="2571" max="2571" width="12.42578125" style="2" bestFit="1" customWidth="1"/>
    <col min="2572" max="2816" width="11.42578125" style="2"/>
    <col min="2817" max="2817" width="7.140625" style="2" customWidth="1"/>
    <col min="2818" max="2818" width="11.42578125" style="2"/>
    <col min="2819" max="2819" width="12.5703125" style="2" customWidth="1"/>
    <col min="2820" max="2820" width="22.42578125" style="2" customWidth="1"/>
    <col min="2821" max="2821" width="22.5703125" style="2" customWidth="1"/>
    <col min="2822" max="2822" width="11.42578125" style="2"/>
    <col min="2823" max="2823" width="10.5703125" style="2" bestFit="1" customWidth="1"/>
    <col min="2824" max="2825" width="11.42578125" style="2"/>
    <col min="2826" max="2826" width="12.85546875" style="2" customWidth="1"/>
    <col min="2827" max="2827" width="12.42578125" style="2" bestFit="1" customWidth="1"/>
    <col min="2828" max="3072" width="11.42578125" style="2"/>
    <col min="3073" max="3073" width="7.140625" style="2" customWidth="1"/>
    <col min="3074" max="3074" width="11.42578125" style="2"/>
    <col min="3075" max="3075" width="12.5703125" style="2" customWidth="1"/>
    <col min="3076" max="3076" width="22.42578125" style="2" customWidth="1"/>
    <col min="3077" max="3077" width="22.5703125" style="2" customWidth="1"/>
    <col min="3078" max="3078" width="11.42578125" style="2"/>
    <col min="3079" max="3079" width="10.5703125" style="2" bestFit="1" customWidth="1"/>
    <col min="3080" max="3081" width="11.42578125" style="2"/>
    <col min="3082" max="3082" width="12.85546875" style="2" customWidth="1"/>
    <col min="3083" max="3083" width="12.42578125" style="2" bestFit="1" customWidth="1"/>
    <col min="3084" max="3328" width="11.42578125" style="2"/>
    <col min="3329" max="3329" width="7.140625" style="2" customWidth="1"/>
    <col min="3330" max="3330" width="11.42578125" style="2"/>
    <col min="3331" max="3331" width="12.5703125" style="2" customWidth="1"/>
    <col min="3332" max="3332" width="22.42578125" style="2" customWidth="1"/>
    <col min="3333" max="3333" width="22.5703125" style="2" customWidth="1"/>
    <col min="3334" max="3334" width="11.42578125" style="2"/>
    <col min="3335" max="3335" width="10.5703125" style="2" bestFit="1" customWidth="1"/>
    <col min="3336" max="3337" width="11.42578125" style="2"/>
    <col min="3338" max="3338" width="12.85546875" style="2" customWidth="1"/>
    <col min="3339" max="3339" width="12.42578125" style="2" bestFit="1" customWidth="1"/>
    <col min="3340" max="3584" width="11.42578125" style="2"/>
    <col min="3585" max="3585" width="7.140625" style="2" customWidth="1"/>
    <col min="3586" max="3586" width="11.42578125" style="2"/>
    <col min="3587" max="3587" width="12.5703125" style="2" customWidth="1"/>
    <col min="3588" max="3588" width="22.42578125" style="2" customWidth="1"/>
    <col min="3589" max="3589" width="22.5703125" style="2" customWidth="1"/>
    <col min="3590" max="3590" width="11.42578125" style="2"/>
    <col min="3591" max="3591" width="10.5703125" style="2" bestFit="1" customWidth="1"/>
    <col min="3592" max="3593" width="11.42578125" style="2"/>
    <col min="3594" max="3594" width="12.85546875" style="2" customWidth="1"/>
    <col min="3595" max="3595" width="12.42578125" style="2" bestFit="1" customWidth="1"/>
    <col min="3596" max="3840" width="11.42578125" style="2"/>
    <col min="3841" max="3841" width="7.140625" style="2" customWidth="1"/>
    <col min="3842" max="3842" width="11.42578125" style="2"/>
    <col min="3843" max="3843" width="12.5703125" style="2" customWidth="1"/>
    <col min="3844" max="3844" width="22.42578125" style="2" customWidth="1"/>
    <col min="3845" max="3845" width="22.5703125" style="2" customWidth="1"/>
    <col min="3846" max="3846" width="11.42578125" style="2"/>
    <col min="3847" max="3847" width="10.5703125" style="2" bestFit="1" customWidth="1"/>
    <col min="3848" max="3849" width="11.42578125" style="2"/>
    <col min="3850" max="3850" width="12.85546875" style="2" customWidth="1"/>
    <col min="3851" max="3851" width="12.42578125" style="2" bestFit="1" customWidth="1"/>
    <col min="3852" max="4096" width="11.42578125" style="2"/>
    <col min="4097" max="4097" width="7.140625" style="2" customWidth="1"/>
    <col min="4098" max="4098" width="11.42578125" style="2"/>
    <col min="4099" max="4099" width="12.5703125" style="2" customWidth="1"/>
    <col min="4100" max="4100" width="22.42578125" style="2" customWidth="1"/>
    <col min="4101" max="4101" width="22.5703125" style="2" customWidth="1"/>
    <col min="4102" max="4102" width="11.42578125" style="2"/>
    <col min="4103" max="4103" width="10.5703125" style="2" bestFit="1" customWidth="1"/>
    <col min="4104" max="4105" width="11.42578125" style="2"/>
    <col min="4106" max="4106" width="12.85546875" style="2" customWidth="1"/>
    <col min="4107" max="4107" width="12.42578125" style="2" bestFit="1" customWidth="1"/>
    <col min="4108" max="4352" width="11.42578125" style="2"/>
    <col min="4353" max="4353" width="7.140625" style="2" customWidth="1"/>
    <col min="4354" max="4354" width="11.42578125" style="2"/>
    <col min="4355" max="4355" width="12.5703125" style="2" customWidth="1"/>
    <col min="4356" max="4356" width="22.42578125" style="2" customWidth="1"/>
    <col min="4357" max="4357" width="22.5703125" style="2" customWidth="1"/>
    <col min="4358" max="4358" width="11.42578125" style="2"/>
    <col min="4359" max="4359" width="10.5703125" style="2" bestFit="1" customWidth="1"/>
    <col min="4360" max="4361" width="11.42578125" style="2"/>
    <col min="4362" max="4362" width="12.85546875" style="2" customWidth="1"/>
    <col min="4363" max="4363" width="12.42578125" style="2" bestFit="1" customWidth="1"/>
    <col min="4364" max="4608" width="11.42578125" style="2"/>
    <col min="4609" max="4609" width="7.140625" style="2" customWidth="1"/>
    <col min="4610" max="4610" width="11.42578125" style="2"/>
    <col min="4611" max="4611" width="12.5703125" style="2" customWidth="1"/>
    <col min="4612" max="4612" width="22.42578125" style="2" customWidth="1"/>
    <col min="4613" max="4613" width="22.5703125" style="2" customWidth="1"/>
    <col min="4614" max="4614" width="11.42578125" style="2"/>
    <col min="4615" max="4615" width="10.5703125" style="2" bestFit="1" customWidth="1"/>
    <col min="4616" max="4617" width="11.42578125" style="2"/>
    <col min="4618" max="4618" width="12.85546875" style="2" customWidth="1"/>
    <col min="4619" max="4619" width="12.42578125" style="2" bestFit="1" customWidth="1"/>
    <col min="4620" max="4864" width="11.42578125" style="2"/>
    <col min="4865" max="4865" width="7.140625" style="2" customWidth="1"/>
    <col min="4866" max="4866" width="11.42578125" style="2"/>
    <col min="4867" max="4867" width="12.5703125" style="2" customWidth="1"/>
    <col min="4868" max="4868" width="22.42578125" style="2" customWidth="1"/>
    <col min="4869" max="4869" width="22.5703125" style="2" customWidth="1"/>
    <col min="4870" max="4870" width="11.42578125" style="2"/>
    <col min="4871" max="4871" width="10.5703125" style="2" bestFit="1" customWidth="1"/>
    <col min="4872" max="4873" width="11.42578125" style="2"/>
    <col min="4874" max="4874" width="12.85546875" style="2" customWidth="1"/>
    <col min="4875" max="4875" width="12.42578125" style="2" bestFit="1" customWidth="1"/>
    <col min="4876" max="5120" width="11.42578125" style="2"/>
    <col min="5121" max="5121" width="7.140625" style="2" customWidth="1"/>
    <col min="5122" max="5122" width="11.42578125" style="2"/>
    <col min="5123" max="5123" width="12.5703125" style="2" customWidth="1"/>
    <col min="5124" max="5124" width="22.42578125" style="2" customWidth="1"/>
    <col min="5125" max="5125" width="22.5703125" style="2" customWidth="1"/>
    <col min="5126" max="5126" width="11.42578125" style="2"/>
    <col min="5127" max="5127" width="10.5703125" style="2" bestFit="1" customWidth="1"/>
    <col min="5128" max="5129" width="11.42578125" style="2"/>
    <col min="5130" max="5130" width="12.85546875" style="2" customWidth="1"/>
    <col min="5131" max="5131" width="12.42578125" style="2" bestFit="1" customWidth="1"/>
    <col min="5132" max="5376" width="11.42578125" style="2"/>
    <col min="5377" max="5377" width="7.140625" style="2" customWidth="1"/>
    <col min="5378" max="5378" width="11.42578125" style="2"/>
    <col min="5379" max="5379" width="12.5703125" style="2" customWidth="1"/>
    <col min="5380" max="5380" width="22.42578125" style="2" customWidth="1"/>
    <col min="5381" max="5381" width="22.5703125" style="2" customWidth="1"/>
    <col min="5382" max="5382" width="11.42578125" style="2"/>
    <col min="5383" max="5383" width="10.5703125" style="2" bestFit="1" customWidth="1"/>
    <col min="5384" max="5385" width="11.42578125" style="2"/>
    <col min="5386" max="5386" width="12.85546875" style="2" customWidth="1"/>
    <col min="5387" max="5387" width="12.42578125" style="2" bestFit="1" customWidth="1"/>
    <col min="5388" max="5632" width="11.42578125" style="2"/>
    <col min="5633" max="5633" width="7.140625" style="2" customWidth="1"/>
    <col min="5634" max="5634" width="11.42578125" style="2"/>
    <col min="5635" max="5635" width="12.5703125" style="2" customWidth="1"/>
    <col min="5636" max="5636" width="22.42578125" style="2" customWidth="1"/>
    <col min="5637" max="5637" width="22.5703125" style="2" customWidth="1"/>
    <col min="5638" max="5638" width="11.42578125" style="2"/>
    <col min="5639" max="5639" width="10.5703125" style="2" bestFit="1" customWidth="1"/>
    <col min="5640" max="5641" width="11.42578125" style="2"/>
    <col min="5642" max="5642" width="12.85546875" style="2" customWidth="1"/>
    <col min="5643" max="5643" width="12.42578125" style="2" bestFit="1" customWidth="1"/>
    <col min="5644" max="5888" width="11.42578125" style="2"/>
    <col min="5889" max="5889" width="7.140625" style="2" customWidth="1"/>
    <col min="5890" max="5890" width="11.42578125" style="2"/>
    <col min="5891" max="5891" width="12.5703125" style="2" customWidth="1"/>
    <col min="5892" max="5892" width="22.42578125" style="2" customWidth="1"/>
    <col min="5893" max="5893" width="22.5703125" style="2" customWidth="1"/>
    <col min="5894" max="5894" width="11.42578125" style="2"/>
    <col min="5895" max="5895" width="10.5703125" style="2" bestFit="1" customWidth="1"/>
    <col min="5896" max="5897" width="11.42578125" style="2"/>
    <col min="5898" max="5898" width="12.85546875" style="2" customWidth="1"/>
    <col min="5899" max="5899" width="12.42578125" style="2" bestFit="1" customWidth="1"/>
    <col min="5900" max="6144" width="11.42578125" style="2"/>
    <col min="6145" max="6145" width="7.140625" style="2" customWidth="1"/>
    <col min="6146" max="6146" width="11.42578125" style="2"/>
    <col min="6147" max="6147" width="12.5703125" style="2" customWidth="1"/>
    <col min="6148" max="6148" width="22.42578125" style="2" customWidth="1"/>
    <col min="6149" max="6149" width="22.5703125" style="2" customWidth="1"/>
    <col min="6150" max="6150" width="11.42578125" style="2"/>
    <col min="6151" max="6151" width="10.5703125" style="2" bestFit="1" customWidth="1"/>
    <col min="6152" max="6153" width="11.42578125" style="2"/>
    <col min="6154" max="6154" width="12.85546875" style="2" customWidth="1"/>
    <col min="6155" max="6155" width="12.42578125" style="2" bestFit="1" customWidth="1"/>
    <col min="6156" max="6400" width="11.42578125" style="2"/>
    <col min="6401" max="6401" width="7.140625" style="2" customWidth="1"/>
    <col min="6402" max="6402" width="11.42578125" style="2"/>
    <col min="6403" max="6403" width="12.5703125" style="2" customWidth="1"/>
    <col min="6404" max="6404" width="22.42578125" style="2" customWidth="1"/>
    <col min="6405" max="6405" width="22.5703125" style="2" customWidth="1"/>
    <col min="6406" max="6406" width="11.42578125" style="2"/>
    <col min="6407" max="6407" width="10.5703125" style="2" bestFit="1" customWidth="1"/>
    <col min="6408" max="6409" width="11.42578125" style="2"/>
    <col min="6410" max="6410" width="12.85546875" style="2" customWidth="1"/>
    <col min="6411" max="6411" width="12.42578125" style="2" bestFit="1" customWidth="1"/>
    <col min="6412" max="6656" width="11.42578125" style="2"/>
    <col min="6657" max="6657" width="7.140625" style="2" customWidth="1"/>
    <col min="6658" max="6658" width="11.42578125" style="2"/>
    <col min="6659" max="6659" width="12.5703125" style="2" customWidth="1"/>
    <col min="6660" max="6660" width="22.42578125" style="2" customWidth="1"/>
    <col min="6661" max="6661" width="22.5703125" style="2" customWidth="1"/>
    <col min="6662" max="6662" width="11.42578125" style="2"/>
    <col min="6663" max="6663" width="10.5703125" style="2" bestFit="1" customWidth="1"/>
    <col min="6664" max="6665" width="11.42578125" style="2"/>
    <col min="6666" max="6666" width="12.85546875" style="2" customWidth="1"/>
    <col min="6667" max="6667" width="12.42578125" style="2" bestFit="1" customWidth="1"/>
    <col min="6668" max="6912" width="11.42578125" style="2"/>
    <col min="6913" max="6913" width="7.140625" style="2" customWidth="1"/>
    <col min="6914" max="6914" width="11.42578125" style="2"/>
    <col min="6915" max="6915" width="12.5703125" style="2" customWidth="1"/>
    <col min="6916" max="6916" width="22.42578125" style="2" customWidth="1"/>
    <col min="6917" max="6917" width="22.5703125" style="2" customWidth="1"/>
    <col min="6918" max="6918" width="11.42578125" style="2"/>
    <col min="6919" max="6919" width="10.5703125" style="2" bestFit="1" customWidth="1"/>
    <col min="6920" max="6921" width="11.42578125" style="2"/>
    <col min="6922" max="6922" width="12.85546875" style="2" customWidth="1"/>
    <col min="6923" max="6923" width="12.42578125" style="2" bestFit="1" customWidth="1"/>
    <col min="6924" max="7168" width="11.42578125" style="2"/>
    <col min="7169" max="7169" width="7.140625" style="2" customWidth="1"/>
    <col min="7170" max="7170" width="11.42578125" style="2"/>
    <col min="7171" max="7171" width="12.5703125" style="2" customWidth="1"/>
    <col min="7172" max="7172" width="22.42578125" style="2" customWidth="1"/>
    <col min="7173" max="7173" width="22.5703125" style="2" customWidth="1"/>
    <col min="7174" max="7174" width="11.42578125" style="2"/>
    <col min="7175" max="7175" width="10.5703125" style="2" bestFit="1" customWidth="1"/>
    <col min="7176" max="7177" width="11.42578125" style="2"/>
    <col min="7178" max="7178" width="12.85546875" style="2" customWidth="1"/>
    <col min="7179" max="7179" width="12.42578125" style="2" bestFit="1" customWidth="1"/>
    <col min="7180" max="7424" width="11.42578125" style="2"/>
    <col min="7425" max="7425" width="7.140625" style="2" customWidth="1"/>
    <col min="7426" max="7426" width="11.42578125" style="2"/>
    <col min="7427" max="7427" width="12.5703125" style="2" customWidth="1"/>
    <col min="7428" max="7428" width="22.42578125" style="2" customWidth="1"/>
    <col min="7429" max="7429" width="22.5703125" style="2" customWidth="1"/>
    <col min="7430" max="7430" width="11.42578125" style="2"/>
    <col min="7431" max="7431" width="10.5703125" style="2" bestFit="1" customWidth="1"/>
    <col min="7432" max="7433" width="11.42578125" style="2"/>
    <col min="7434" max="7434" width="12.85546875" style="2" customWidth="1"/>
    <col min="7435" max="7435" width="12.42578125" style="2" bestFit="1" customWidth="1"/>
    <col min="7436" max="7680" width="11.42578125" style="2"/>
    <col min="7681" max="7681" width="7.140625" style="2" customWidth="1"/>
    <col min="7682" max="7682" width="11.42578125" style="2"/>
    <col min="7683" max="7683" width="12.5703125" style="2" customWidth="1"/>
    <col min="7684" max="7684" width="22.42578125" style="2" customWidth="1"/>
    <col min="7685" max="7685" width="22.5703125" style="2" customWidth="1"/>
    <col min="7686" max="7686" width="11.42578125" style="2"/>
    <col min="7687" max="7687" width="10.5703125" style="2" bestFit="1" customWidth="1"/>
    <col min="7688" max="7689" width="11.42578125" style="2"/>
    <col min="7690" max="7690" width="12.85546875" style="2" customWidth="1"/>
    <col min="7691" max="7691" width="12.42578125" style="2" bestFit="1" customWidth="1"/>
    <col min="7692" max="7936" width="11.42578125" style="2"/>
    <col min="7937" max="7937" width="7.140625" style="2" customWidth="1"/>
    <col min="7938" max="7938" width="11.42578125" style="2"/>
    <col min="7939" max="7939" width="12.5703125" style="2" customWidth="1"/>
    <col min="7940" max="7940" width="22.42578125" style="2" customWidth="1"/>
    <col min="7941" max="7941" width="22.5703125" style="2" customWidth="1"/>
    <col min="7942" max="7942" width="11.42578125" style="2"/>
    <col min="7943" max="7943" width="10.5703125" style="2" bestFit="1" customWidth="1"/>
    <col min="7944" max="7945" width="11.42578125" style="2"/>
    <col min="7946" max="7946" width="12.85546875" style="2" customWidth="1"/>
    <col min="7947" max="7947" width="12.42578125" style="2" bestFit="1" customWidth="1"/>
    <col min="7948" max="8192" width="11.42578125" style="2"/>
    <col min="8193" max="8193" width="7.140625" style="2" customWidth="1"/>
    <col min="8194" max="8194" width="11.42578125" style="2"/>
    <col min="8195" max="8195" width="12.5703125" style="2" customWidth="1"/>
    <col min="8196" max="8196" width="22.42578125" style="2" customWidth="1"/>
    <col min="8197" max="8197" width="22.5703125" style="2" customWidth="1"/>
    <col min="8198" max="8198" width="11.42578125" style="2"/>
    <col min="8199" max="8199" width="10.5703125" style="2" bestFit="1" customWidth="1"/>
    <col min="8200" max="8201" width="11.42578125" style="2"/>
    <col min="8202" max="8202" width="12.85546875" style="2" customWidth="1"/>
    <col min="8203" max="8203" width="12.42578125" style="2" bestFit="1" customWidth="1"/>
    <col min="8204" max="8448" width="11.42578125" style="2"/>
    <col min="8449" max="8449" width="7.140625" style="2" customWidth="1"/>
    <col min="8450" max="8450" width="11.42578125" style="2"/>
    <col min="8451" max="8451" width="12.5703125" style="2" customWidth="1"/>
    <col min="8452" max="8452" width="22.42578125" style="2" customWidth="1"/>
    <col min="8453" max="8453" width="22.5703125" style="2" customWidth="1"/>
    <col min="8454" max="8454" width="11.42578125" style="2"/>
    <col min="8455" max="8455" width="10.5703125" style="2" bestFit="1" customWidth="1"/>
    <col min="8456" max="8457" width="11.42578125" style="2"/>
    <col min="8458" max="8458" width="12.85546875" style="2" customWidth="1"/>
    <col min="8459" max="8459" width="12.42578125" style="2" bestFit="1" customWidth="1"/>
    <col min="8460" max="8704" width="11.42578125" style="2"/>
    <col min="8705" max="8705" width="7.140625" style="2" customWidth="1"/>
    <col min="8706" max="8706" width="11.42578125" style="2"/>
    <col min="8707" max="8707" width="12.5703125" style="2" customWidth="1"/>
    <col min="8708" max="8708" width="22.42578125" style="2" customWidth="1"/>
    <col min="8709" max="8709" width="22.5703125" style="2" customWidth="1"/>
    <col min="8710" max="8710" width="11.42578125" style="2"/>
    <col min="8711" max="8711" width="10.5703125" style="2" bestFit="1" customWidth="1"/>
    <col min="8712" max="8713" width="11.42578125" style="2"/>
    <col min="8714" max="8714" width="12.85546875" style="2" customWidth="1"/>
    <col min="8715" max="8715" width="12.42578125" style="2" bestFit="1" customWidth="1"/>
    <col min="8716" max="8960" width="11.42578125" style="2"/>
    <col min="8961" max="8961" width="7.140625" style="2" customWidth="1"/>
    <col min="8962" max="8962" width="11.42578125" style="2"/>
    <col min="8963" max="8963" width="12.5703125" style="2" customWidth="1"/>
    <col min="8964" max="8964" width="22.42578125" style="2" customWidth="1"/>
    <col min="8965" max="8965" width="22.5703125" style="2" customWidth="1"/>
    <col min="8966" max="8966" width="11.42578125" style="2"/>
    <col min="8967" max="8967" width="10.5703125" style="2" bestFit="1" customWidth="1"/>
    <col min="8968" max="8969" width="11.42578125" style="2"/>
    <col min="8970" max="8970" width="12.85546875" style="2" customWidth="1"/>
    <col min="8971" max="8971" width="12.42578125" style="2" bestFit="1" customWidth="1"/>
    <col min="8972" max="9216" width="11.42578125" style="2"/>
    <col min="9217" max="9217" width="7.140625" style="2" customWidth="1"/>
    <col min="9218" max="9218" width="11.42578125" style="2"/>
    <col min="9219" max="9219" width="12.5703125" style="2" customWidth="1"/>
    <col min="9220" max="9220" width="22.42578125" style="2" customWidth="1"/>
    <col min="9221" max="9221" width="22.5703125" style="2" customWidth="1"/>
    <col min="9222" max="9222" width="11.42578125" style="2"/>
    <col min="9223" max="9223" width="10.5703125" style="2" bestFit="1" customWidth="1"/>
    <col min="9224" max="9225" width="11.42578125" style="2"/>
    <col min="9226" max="9226" width="12.85546875" style="2" customWidth="1"/>
    <col min="9227" max="9227" width="12.42578125" style="2" bestFit="1" customWidth="1"/>
    <col min="9228" max="9472" width="11.42578125" style="2"/>
    <col min="9473" max="9473" width="7.140625" style="2" customWidth="1"/>
    <col min="9474" max="9474" width="11.42578125" style="2"/>
    <col min="9475" max="9475" width="12.5703125" style="2" customWidth="1"/>
    <col min="9476" max="9476" width="22.42578125" style="2" customWidth="1"/>
    <col min="9477" max="9477" width="22.5703125" style="2" customWidth="1"/>
    <col min="9478" max="9478" width="11.42578125" style="2"/>
    <col min="9479" max="9479" width="10.5703125" style="2" bestFit="1" customWidth="1"/>
    <col min="9480" max="9481" width="11.42578125" style="2"/>
    <col min="9482" max="9482" width="12.85546875" style="2" customWidth="1"/>
    <col min="9483" max="9483" width="12.42578125" style="2" bestFit="1" customWidth="1"/>
    <col min="9484" max="9728" width="11.42578125" style="2"/>
    <col min="9729" max="9729" width="7.140625" style="2" customWidth="1"/>
    <col min="9730" max="9730" width="11.42578125" style="2"/>
    <col min="9731" max="9731" width="12.5703125" style="2" customWidth="1"/>
    <col min="9732" max="9732" width="22.42578125" style="2" customWidth="1"/>
    <col min="9733" max="9733" width="22.5703125" style="2" customWidth="1"/>
    <col min="9734" max="9734" width="11.42578125" style="2"/>
    <col min="9735" max="9735" width="10.5703125" style="2" bestFit="1" customWidth="1"/>
    <col min="9736" max="9737" width="11.42578125" style="2"/>
    <col min="9738" max="9738" width="12.85546875" style="2" customWidth="1"/>
    <col min="9739" max="9739" width="12.42578125" style="2" bestFit="1" customWidth="1"/>
    <col min="9740" max="9984" width="11.42578125" style="2"/>
    <col min="9985" max="9985" width="7.140625" style="2" customWidth="1"/>
    <col min="9986" max="9986" width="11.42578125" style="2"/>
    <col min="9987" max="9987" width="12.5703125" style="2" customWidth="1"/>
    <col min="9988" max="9988" width="22.42578125" style="2" customWidth="1"/>
    <col min="9989" max="9989" width="22.5703125" style="2" customWidth="1"/>
    <col min="9990" max="9990" width="11.42578125" style="2"/>
    <col min="9991" max="9991" width="10.5703125" style="2" bestFit="1" customWidth="1"/>
    <col min="9992" max="9993" width="11.42578125" style="2"/>
    <col min="9994" max="9994" width="12.85546875" style="2" customWidth="1"/>
    <col min="9995" max="9995" width="12.42578125" style="2" bestFit="1" customWidth="1"/>
    <col min="9996" max="10240" width="11.42578125" style="2"/>
    <col min="10241" max="10241" width="7.140625" style="2" customWidth="1"/>
    <col min="10242" max="10242" width="11.42578125" style="2"/>
    <col min="10243" max="10243" width="12.5703125" style="2" customWidth="1"/>
    <col min="10244" max="10244" width="22.42578125" style="2" customWidth="1"/>
    <col min="10245" max="10245" width="22.5703125" style="2" customWidth="1"/>
    <col min="10246" max="10246" width="11.42578125" style="2"/>
    <col min="10247" max="10247" width="10.5703125" style="2" bestFit="1" customWidth="1"/>
    <col min="10248" max="10249" width="11.42578125" style="2"/>
    <col min="10250" max="10250" width="12.85546875" style="2" customWidth="1"/>
    <col min="10251" max="10251" width="12.42578125" style="2" bestFit="1" customWidth="1"/>
    <col min="10252" max="10496" width="11.42578125" style="2"/>
    <col min="10497" max="10497" width="7.140625" style="2" customWidth="1"/>
    <col min="10498" max="10498" width="11.42578125" style="2"/>
    <col min="10499" max="10499" width="12.5703125" style="2" customWidth="1"/>
    <col min="10500" max="10500" width="22.42578125" style="2" customWidth="1"/>
    <col min="10501" max="10501" width="22.5703125" style="2" customWidth="1"/>
    <col min="10502" max="10502" width="11.42578125" style="2"/>
    <col min="10503" max="10503" width="10.5703125" style="2" bestFit="1" customWidth="1"/>
    <col min="10504" max="10505" width="11.42578125" style="2"/>
    <col min="10506" max="10506" width="12.85546875" style="2" customWidth="1"/>
    <col min="10507" max="10507" width="12.42578125" style="2" bestFit="1" customWidth="1"/>
    <col min="10508" max="10752" width="11.42578125" style="2"/>
    <col min="10753" max="10753" width="7.140625" style="2" customWidth="1"/>
    <col min="10754" max="10754" width="11.42578125" style="2"/>
    <col min="10755" max="10755" width="12.5703125" style="2" customWidth="1"/>
    <col min="10756" max="10756" width="22.42578125" style="2" customWidth="1"/>
    <col min="10757" max="10757" width="22.5703125" style="2" customWidth="1"/>
    <col min="10758" max="10758" width="11.42578125" style="2"/>
    <col min="10759" max="10759" width="10.5703125" style="2" bestFit="1" customWidth="1"/>
    <col min="10760" max="10761" width="11.42578125" style="2"/>
    <col min="10762" max="10762" width="12.85546875" style="2" customWidth="1"/>
    <col min="10763" max="10763" width="12.42578125" style="2" bestFit="1" customWidth="1"/>
    <col min="10764" max="11008" width="11.42578125" style="2"/>
    <col min="11009" max="11009" width="7.140625" style="2" customWidth="1"/>
    <col min="11010" max="11010" width="11.42578125" style="2"/>
    <col min="11011" max="11011" width="12.5703125" style="2" customWidth="1"/>
    <col min="11012" max="11012" width="22.42578125" style="2" customWidth="1"/>
    <col min="11013" max="11013" width="22.5703125" style="2" customWidth="1"/>
    <col min="11014" max="11014" width="11.42578125" style="2"/>
    <col min="11015" max="11015" width="10.5703125" style="2" bestFit="1" customWidth="1"/>
    <col min="11016" max="11017" width="11.42578125" style="2"/>
    <col min="11018" max="11018" width="12.85546875" style="2" customWidth="1"/>
    <col min="11019" max="11019" width="12.42578125" style="2" bestFit="1" customWidth="1"/>
    <col min="11020" max="11264" width="11.42578125" style="2"/>
    <col min="11265" max="11265" width="7.140625" style="2" customWidth="1"/>
    <col min="11266" max="11266" width="11.42578125" style="2"/>
    <col min="11267" max="11267" width="12.5703125" style="2" customWidth="1"/>
    <col min="11268" max="11268" width="22.42578125" style="2" customWidth="1"/>
    <col min="11269" max="11269" width="22.5703125" style="2" customWidth="1"/>
    <col min="11270" max="11270" width="11.42578125" style="2"/>
    <col min="11271" max="11271" width="10.5703125" style="2" bestFit="1" customWidth="1"/>
    <col min="11272" max="11273" width="11.42578125" style="2"/>
    <col min="11274" max="11274" width="12.85546875" style="2" customWidth="1"/>
    <col min="11275" max="11275" width="12.42578125" style="2" bestFit="1" customWidth="1"/>
    <col min="11276" max="11520" width="11.42578125" style="2"/>
    <col min="11521" max="11521" width="7.140625" style="2" customWidth="1"/>
    <col min="11522" max="11522" width="11.42578125" style="2"/>
    <col min="11523" max="11523" width="12.5703125" style="2" customWidth="1"/>
    <col min="11524" max="11524" width="22.42578125" style="2" customWidth="1"/>
    <col min="11525" max="11525" width="22.5703125" style="2" customWidth="1"/>
    <col min="11526" max="11526" width="11.42578125" style="2"/>
    <col min="11527" max="11527" width="10.5703125" style="2" bestFit="1" customWidth="1"/>
    <col min="11528" max="11529" width="11.42578125" style="2"/>
    <col min="11530" max="11530" width="12.85546875" style="2" customWidth="1"/>
    <col min="11531" max="11531" width="12.42578125" style="2" bestFit="1" customWidth="1"/>
    <col min="11532" max="11776" width="11.42578125" style="2"/>
    <col min="11777" max="11777" width="7.140625" style="2" customWidth="1"/>
    <col min="11778" max="11778" width="11.42578125" style="2"/>
    <col min="11779" max="11779" width="12.5703125" style="2" customWidth="1"/>
    <col min="11780" max="11780" width="22.42578125" style="2" customWidth="1"/>
    <col min="11781" max="11781" width="22.5703125" style="2" customWidth="1"/>
    <col min="11782" max="11782" width="11.42578125" style="2"/>
    <col min="11783" max="11783" width="10.5703125" style="2" bestFit="1" customWidth="1"/>
    <col min="11784" max="11785" width="11.42578125" style="2"/>
    <col min="11786" max="11786" width="12.85546875" style="2" customWidth="1"/>
    <col min="11787" max="11787" width="12.42578125" style="2" bestFit="1" customWidth="1"/>
    <col min="11788" max="12032" width="11.42578125" style="2"/>
    <col min="12033" max="12033" width="7.140625" style="2" customWidth="1"/>
    <col min="12034" max="12034" width="11.42578125" style="2"/>
    <col min="12035" max="12035" width="12.5703125" style="2" customWidth="1"/>
    <col min="12036" max="12036" width="22.42578125" style="2" customWidth="1"/>
    <col min="12037" max="12037" width="22.5703125" style="2" customWidth="1"/>
    <col min="12038" max="12038" width="11.42578125" style="2"/>
    <col min="12039" max="12039" width="10.5703125" style="2" bestFit="1" customWidth="1"/>
    <col min="12040" max="12041" width="11.42578125" style="2"/>
    <col min="12042" max="12042" width="12.85546875" style="2" customWidth="1"/>
    <col min="12043" max="12043" width="12.42578125" style="2" bestFit="1" customWidth="1"/>
    <col min="12044" max="12288" width="11.42578125" style="2"/>
    <col min="12289" max="12289" width="7.140625" style="2" customWidth="1"/>
    <col min="12290" max="12290" width="11.42578125" style="2"/>
    <col min="12291" max="12291" width="12.5703125" style="2" customWidth="1"/>
    <col min="12292" max="12292" width="22.42578125" style="2" customWidth="1"/>
    <col min="12293" max="12293" width="22.5703125" style="2" customWidth="1"/>
    <col min="12294" max="12294" width="11.42578125" style="2"/>
    <col min="12295" max="12295" width="10.5703125" style="2" bestFit="1" customWidth="1"/>
    <col min="12296" max="12297" width="11.42578125" style="2"/>
    <col min="12298" max="12298" width="12.85546875" style="2" customWidth="1"/>
    <col min="12299" max="12299" width="12.42578125" style="2" bestFit="1" customWidth="1"/>
    <col min="12300" max="12544" width="11.42578125" style="2"/>
    <col min="12545" max="12545" width="7.140625" style="2" customWidth="1"/>
    <col min="12546" max="12546" width="11.42578125" style="2"/>
    <col min="12547" max="12547" width="12.5703125" style="2" customWidth="1"/>
    <col min="12548" max="12548" width="22.42578125" style="2" customWidth="1"/>
    <col min="12549" max="12549" width="22.5703125" style="2" customWidth="1"/>
    <col min="12550" max="12550" width="11.42578125" style="2"/>
    <col min="12551" max="12551" width="10.5703125" style="2" bestFit="1" customWidth="1"/>
    <col min="12552" max="12553" width="11.42578125" style="2"/>
    <col min="12554" max="12554" width="12.85546875" style="2" customWidth="1"/>
    <col min="12555" max="12555" width="12.42578125" style="2" bestFit="1" customWidth="1"/>
    <col min="12556" max="12800" width="11.42578125" style="2"/>
    <col min="12801" max="12801" width="7.140625" style="2" customWidth="1"/>
    <col min="12802" max="12802" width="11.42578125" style="2"/>
    <col min="12803" max="12803" width="12.5703125" style="2" customWidth="1"/>
    <col min="12804" max="12804" width="22.42578125" style="2" customWidth="1"/>
    <col min="12805" max="12805" width="22.5703125" style="2" customWidth="1"/>
    <col min="12806" max="12806" width="11.42578125" style="2"/>
    <col min="12807" max="12807" width="10.5703125" style="2" bestFit="1" customWidth="1"/>
    <col min="12808" max="12809" width="11.42578125" style="2"/>
    <col min="12810" max="12810" width="12.85546875" style="2" customWidth="1"/>
    <col min="12811" max="12811" width="12.42578125" style="2" bestFit="1" customWidth="1"/>
    <col min="12812" max="13056" width="11.42578125" style="2"/>
    <col min="13057" max="13057" width="7.140625" style="2" customWidth="1"/>
    <col min="13058" max="13058" width="11.42578125" style="2"/>
    <col min="13059" max="13059" width="12.5703125" style="2" customWidth="1"/>
    <col min="13060" max="13060" width="22.42578125" style="2" customWidth="1"/>
    <col min="13061" max="13061" width="22.5703125" style="2" customWidth="1"/>
    <col min="13062" max="13062" width="11.42578125" style="2"/>
    <col min="13063" max="13063" width="10.5703125" style="2" bestFit="1" customWidth="1"/>
    <col min="13064" max="13065" width="11.42578125" style="2"/>
    <col min="13066" max="13066" width="12.85546875" style="2" customWidth="1"/>
    <col min="13067" max="13067" width="12.42578125" style="2" bestFit="1" customWidth="1"/>
    <col min="13068" max="13312" width="11.42578125" style="2"/>
    <col min="13313" max="13313" width="7.140625" style="2" customWidth="1"/>
    <col min="13314" max="13314" width="11.42578125" style="2"/>
    <col min="13315" max="13315" width="12.5703125" style="2" customWidth="1"/>
    <col min="13316" max="13316" width="22.42578125" style="2" customWidth="1"/>
    <col min="13317" max="13317" width="22.5703125" style="2" customWidth="1"/>
    <col min="13318" max="13318" width="11.42578125" style="2"/>
    <col min="13319" max="13319" width="10.5703125" style="2" bestFit="1" customWidth="1"/>
    <col min="13320" max="13321" width="11.42578125" style="2"/>
    <col min="13322" max="13322" width="12.85546875" style="2" customWidth="1"/>
    <col min="13323" max="13323" width="12.42578125" style="2" bestFit="1" customWidth="1"/>
    <col min="13324" max="13568" width="11.42578125" style="2"/>
    <col min="13569" max="13569" width="7.140625" style="2" customWidth="1"/>
    <col min="13570" max="13570" width="11.42578125" style="2"/>
    <col min="13571" max="13571" width="12.5703125" style="2" customWidth="1"/>
    <col min="13572" max="13572" width="22.42578125" style="2" customWidth="1"/>
    <col min="13573" max="13573" width="22.5703125" style="2" customWidth="1"/>
    <col min="13574" max="13574" width="11.42578125" style="2"/>
    <col min="13575" max="13575" width="10.5703125" style="2" bestFit="1" customWidth="1"/>
    <col min="13576" max="13577" width="11.42578125" style="2"/>
    <col min="13578" max="13578" width="12.85546875" style="2" customWidth="1"/>
    <col min="13579" max="13579" width="12.42578125" style="2" bestFit="1" customWidth="1"/>
    <col min="13580" max="13824" width="11.42578125" style="2"/>
    <col min="13825" max="13825" width="7.140625" style="2" customWidth="1"/>
    <col min="13826" max="13826" width="11.42578125" style="2"/>
    <col min="13827" max="13827" width="12.5703125" style="2" customWidth="1"/>
    <col min="13828" max="13828" width="22.42578125" style="2" customWidth="1"/>
    <col min="13829" max="13829" width="22.5703125" style="2" customWidth="1"/>
    <col min="13830" max="13830" width="11.42578125" style="2"/>
    <col min="13831" max="13831" width="10.5703125" style="2" bestFit="1" customWidth="1"/>
    <col min="13832" max="13833" width="11.42578125" style="2"/>
    <col min="13834" max="13834" width="12.85546875" style="2" customWidth="1"/>
    <col min="13835" max="13835" width="12.42578125" style="2" bestFit="1" customWidth="1"/>
    <col min="13836" max="14080" width="11.42578125" style="2"/>
    <col min="14081" max="14081" width="7.140625" style="2" customWidth="1"/>
    <col min="14082" max="14082" width="11.42578125" style="2"/>
    <col min="14083" max="14083" width="12.5703125" style="2" customWidth="1"/>
    <col min="14084" max="14084" width="22.42578125" style="2" customWidth="1"/>
    <col min="14085" max="14085" width="22.5703125" style="2" customWidth="1"/>
    <col min="14086" max="14086" width="11.42578125" style="2"/>
    <col min="14087" max="14087" width="10.5703125" style="2" bestFit="1" customWidth="1"/>
    <col min="14088" max="14089" width="11.42578125" style="2"/>
    <col min="14090" max="14090" width="12.85546875" style="2" customWidth="1"/>
    <col min="14091" max="14091" width="12.42578125" style="2" bestFit="1" customWidth="1"/>
    <col min="14092" max="14336" width="11.42578125" style="2"/>
    <col min="14337" max="14337" width="7.140625" style="2" customWidth="1"/>
    <col min="14338" max="14338" width="11.42578125" style="2"/>
    <col min="14339" max="14339" width="12.5703125" style="2" customWidth="1"/>
    <col min="14340" max="14340" width="22.42578125" style="2" customWidth="1"/>
    <col min="14341" max="14341" width="22.5703125" style="2" customWidth="1"/>
    <col min="14342" max="14342" width="11.42578125" style="2"/>
    <col min="14343" max="14343" width="10.5703125" style="2" bestFit="1" customWidth="1"/>
    <col min="14344" max="14345" width="11.42578125" style="2"/>
    <col min="14346" max="14346" width="12.85546875" style="2" customWidth="1"/>
    <col min="14347" max="14347" width="12.42578125" style="2" bestFit="1" customWidth="1"/>
    <col min="14348" max="14592" width="11.42578125" style="2"/>
    <col min="14593" max="14593" width="7.140625" style="2" customWidth="1"/>
    <col min="14594" max="14594" width="11.42578125" style="2"/>
    <col min="14595" max="14595" width="12.5703125" style="2" customWidth="1"/>
    <col min="14596" max="14596" width="22.42578125" style="2" customWidth="1"/>
    <col min="14597" max="14597" width="22.5703125" style="2" customWidth="1"/>
    <col min="14598" max="14598" width="11.42578125" style="2"/>
    <col min="14599" max="14599" width="10.5703125" style="2" bestFit="1" customWidth="1"/>
    <col min="14600" max="14601" width="11.42578125" style="2"/>
    <col min="14602" max="14602" width="12.85546875" style="2" customWidth="1"/>
    <col min="14603" max="14603" width="12.42578125" style="2" bestFit="1" customWidth="1"/>
    <col min="14604" max="14848" width="11.42578125" style="2"/>
    <col min="14849" max="14849" width="7.140625" style="2" customWidth="1"/>
    <col min="14850" max="14850" width="11.42578125" style="2"/>
    <col min="14851" max="14851" width="12.5703125" style="2" customWidth="1"/>
    <col min="14852" max="14852" width="22.42578125" style="2" customWidth="1"/>
    <col min="14853" max="14853" width="22.5703125" style="2" customWidth="1"/>
    <col min="14854" max="14854" width="11.42578125" style="2"/>
    <col min="14855" max="14855" width="10.5703125" style="2" bestFit="1" customWidth="1"/>
    <col min="14856" max="14857" width="11.42578125" style="2"/>
    <col min="14858" max="14858" width="12.85546875" style="2" customWidth="1"/>
    <col min="14859" max="14859" width="12.42578125" style="2" bestFit="1" customWidth="1"/>
    <col min="14860" max="15104" width="11.42578125" style="2"/>
    <col min="15105" max="15105" width="7.140625" style="2" customWidth="1"/>
    <col min="15106" max="15106" width="11.42578125" style="2"/>
    <col min="15107" max="15107" width="12.5703125" style="2" customWidth="1"/>
    <col min="15108" max="15108" width="22.42578125" style="2" customWidth="1"/>
    <col min="15109" max="15109" width="22.5703125" style="2" customWidth="1"/>
    <col min="15110" max="15110" width="11.42578125" style="2"/>
    <col min="15111" max="15111" width="10.5703125" style="2" bestFit="1" customWidth="1"/>
    <col min="15112" max="15113" width="11.42578125" style="2"/>
    <col min="15114" max="15114" width="12.85546875" style="2" customWidth="1"/>
    <col min="15115" max="15115" width="12.42578125" style="2" bestFit="1" customWidth="1"/>
    <col min="15116" max="15360" width="11.42578125" style="2"/>
    <col min="15361" max="15361" width="7.140625" style="2" customWidth="1"/>
    <col min="15362" max="15362" width="11.42578125" style="2"/>
    <col min="15363" max="15363" width="12.5703125" style="2" customWidth="1"/>
    <col min="15364" max="15364" width="22.42578125" style="2" customWidth="1"/>
    <col min="15365" max="15365" width="22.5703125" style="2" customWidth="1"/>
    <col min="15366" max="15366" width="11.42578125" style="2"/>
    <col min="15367" max="15367" width="10.5703125" style="2" bestFit="1" customWidth="1"/>
    <col min="15368" max="15369" width="11.42578125" style="2"/>
    <col min="15370" max="15370" width="12.85546875" style="2" customWidth="1"/>
    <col min="15371" max="15371" width="12.42578125" style="2" bestFit="1" customWidth="1"/>
    <col min="15372" max="15616" width="11.42578125" style="2"/>
    <col min="15617" max="15617" width="7.140625" style="2" customWidth="1"/>
    <col min="15618" max="15618" width="11.42578125" style="2"/>
    <col min="15619" max="15619" width="12.5703125" style="2" customWidth="1"/>
    <col min="15620" max="15620" width="22.42578125" style="2" customWidth="1"/>
    <col min="15621" max="15621" width="22.5703125" style="2" customWidth="1"/>
    <col min="15622" max="15622" width="11.42578125" style="2"/>
    <col min="15623" max="15623" width="10.5703125" style="2" bestFit="1" customWidth="1"/>
    <col min="15624" max="15625" width="11.42578125" style="2"/>
    <col min="15626" max="15626" width="12.85546875" style="2" customWidth="1"/>
    <col min="15627" max="15627" width="12.42578125" style="2" bestFit="1" customWidth="1"/>
    <col min="15628" max="15872" width="11.42578125" style="2"/>
    <col min="15873" max="15873" width="7.140625" style="2" customWidth="1"/>
    <col min="15874" max="15874" width="11.42578125" style="2"/>
    <col min="15875" max="15875" width="12.5703125" style="2" customWidth="1"/>
    <col min="15876" max="15876" width="22.42578125" style="2" customWidth="1"/>
    <col min="15877" max="15877" width="22.5703125" style="2" customWidth="1"/>
    <col min="15878" max="15878" width="11.42578125" style="2"/>
    <col min="15879" max="15879" width="10.5703125" style="2" bestFit="1" customWidth="1"/>
    <col min="15880" max="15881" width="11.42578125" style="2"/>
    <col min="15882" max="15882" width="12.85546875" style="2" customWidth="1"/>
    <col min="15883" max="15883" width="12.42578125" style="2" bestFit="1" customWidth="1"/>
    <col min="15884" max="16128" width="11.42578125" style="2"/>
    <col min="16129" max="16129" width="7.140625" style="2" customWidth="1"/>
    <col min="16130" max="16130" width="11.42578125" style="2"/>
    <col min="16131" max="16131" width="12.5703125" style="2" customWidth="1"/>
    <col min="16132" max="16132" width="22.42578125" style="2" customWidth="1"/>
    <col min="16133" max="16133" width="22.5703125" style="2" customWidth="1"/>
    <col min="16134" max="16134" width="11.42578125" style="2"/>
    <col min="16135" max="16135" width="10.5703125" style="2" bestFit="1" customWidth="1"/>
    <col min="16136" max="16137" width="11.42578125" style="2"/>
    <col min="16138" max="16138" width="12.85546875" style="2" customWidth="1"/>
    <col min="16139" max="16139" width="12.42578125" style="2" bestFit="1" customWidth="1"/>
    <col min="16140" max="16384" width="11.42578125" style="2"/>
  </cols>
  <sheetData>
    <row r="1" spans="2:10">
      <c r="B1" s="1" t="s">
        <v>1</v>
      </c>
    </row>
    <row r="2" spans="2:10" ht="15.75" thickBot="1">
      <c r="D2" s="3"/>
      <c r="E2" s="3"/>
    </row>
    <row r="3" spans="2:10" ht="15.75" thickBot="1">
      <c r="B3" s="3"/>
      <c r="C3" s="4"/>
      <c r="D3" s="5" t="s">
        <v>2</v>
      </c>
      <c r="E3" s="6" t="s">
        <v>3</v>
      </c>
      <c r="G3" s="31" t="s">
        <v>212</v>
      </c>
    </row>
    <row r="4" spans="2:10">
      <c r="B4" s="331" t="s">
        <v>4</v>
      </c>
      <c r="C4" s="7" t="s">
        <v>5</v>
      </c>
      <c r="D4" s="8">
        <v>39.799999999999997</v>
      </c>
      <c r="E4" s="9">
        <v>41.4</v>
      </c>
      <c r="H4" s="10"/>
      <c r="I4" s="10"/>
    </row>
    <row r="5" spans="2:10">
      <c r="B5" s="332"/>
      <c r="C5" s="11" t="s">
        <v>6</v>
      </c>
      <c r="D5" s="12" t="s">
        <v>7</v>
      </c>
      <c r="E5" s="13" t="s">
        <v>7</v>
      </c>
      <c r="G5" s="2">
        <v>0.26417205230000002</v>
      </c>
      <c r="H5" s="16" t="s">
        <v>12</v>
      </c>
    </row>
    <row r="6" spans="2:10">
      <c r="B6" s="333"/>
      <c r="C6" s="14" t="s">
        <v>8</v>
      </c>
      <c r="D6" s="12" t="s">
        <v>9</v>
      </c>
      <c r="E6" s="13" t="s">
        <v>9</v>
      </c>
      <c r="G6" s="2">
        <f>G5^(-1)</f>
        <v>3.7854117848332285</v>
      </c>
      <c r="H6" s="16" t="s">
        <v>13</v>
      </c>
    </row>
    <row r="7" spans="2:10">
      <c r="B7" s="334" t="s">
        <v>10</v>
      </c>
      <c r="C7" s="15" t="s">
        <v>5</v>
      </c>
      <c r="D7" s="8">
        <v>75.5</v>
      </c>
      <c r="E7" s="14">
        <v>72.599999999999994</v>
      </c>
    </row>
    <row r="8" spans="2:10">
      <c r="B8" s="332"/>
      <c r="C8" s="15" t="s">
        <v>6</v>
      </c>
      <c r="D8" s="12" t="s">
        <v>11</v>
      </c>
      <c r="E8" s="13" t="s">
        <v>11</v>
      </c>
      <c r="G8" s="16"/>
      <c r="H8" s="16"/>
    </row>
    <row r="9" spans="2:10">
      <c r="B9" s="333"/>
      <c r="C9" s="15" t="s">
        <v>8</v>
      </c>
      <c r="D9" s="12" t="s">
        <v>9</v>
      </c>
      <c r="E9" s="13" t="s">
        <v>9</v>
      </c>
      <c r="G9" s="19"/>
      <c r="H9" s="336" t="s">
        <v>213</v>
      </c>
      <c r="I9" s="337"/>
    </row>
    <row r="10" spans="2:10">
      <c r="B10" s="334" t="s">
        <v>14</v>
      </c>
      <c r="C10" s="15" t="s">
        <v>5</v>
      </c>
      <c r="D10" s="17">
        <f>PRODUCT(D4,D7)</f>
        <v>3004.8999999999996</v>
      </c>
      <c r="E10" s="18">
        <f>PRODUCT(E4,E7)</f>
        <v>3005.64</v>
      </c>
      <c r="G10" s="23"/>
      <c r="H10" s="24" t="s">
        <v>2</v>
      </c>
      <c r="I10" s="25" t="s">
        <v>3</v>
      </c>
    </row>
    <row r="11" spans="2:10">
      <c r="B11" s="332"/>
      <c r="C11" s="15" t="s">
        <v>6</v>
      </c>
      <c r="D11" s="12" t="s">
        <v>15</v>
      </c>
      <c r="E11" s="13" t="s">
        <v>16</v>
      </c>
      <c r="G11" s="32" t="s">
        <v>24</v>
      </c>
      <c r="H11" s="26">
        <v>11</v>
      </c>
      <c r="I11" s="33">
        <v>35.5</v>
      </c>
      <c r="J11" s="28" t="s">
        <v>19</v>
      </c>
    </row>
    <row r="12" spans="2:10" ht="15.75" thickBot="1">
      <c r="B12" s="335"/>
      <c r="C12" s="20" t="s">
        <v>8</v>
      </c>
      <c r="D12" s="21" t="s">
        <v>17</v>
      </c>
      <c r="E12" s="22" t="s">
        <v>17</v>
      </c>
      <c r="G12" s="23" t="s">
        <v>18</v>
      </c>
      <c r="H12" s="34">
        <f>141.5/(H11+131.5)</f>
        <v>0.99298245614035086</v>
      </c>
      <c r="I12" s="35">
        <f>141.5/(I11+131.5)</f>
        <v>0.84730538922155685</v>
      </c>
    </row>
    <row r="13" spans="2:10">
      <c r="G13" s="23" t="s">
        <v>20</v>
      </c>
      <c r="H13" s="34">
        <f>H12/$G$5</f>
        <v>3.7588474916063284</v>
      </c>
      <c r="I13" s="35">
        <f>I12/$G$5</f>
        <v>3.2073998057119866</v>
      </c>
    </row>
    <row r="14" spans="2:10">
      <c r="G14" s="38" t="s">
        <v>214</v>
      </c>
      <c r="H14" s="36">
        <f>H13/1000</f>
        <v>3.7588474916063282E-3</v>
      </c>
      <c r="I14" s="37">
        <f>I13/1000</f>
        <v>3.2073998057119864E-3</v>
      </c>
    </row>
    <row r="15" spans="2:10">
      <c r="D15" s="338" t="s">
        <v>21</v>
      </c>
      <c r="E15" s="339"/>
    </row>
    <row r="16" spans="2:10">
      <c r="D16" s="24" t="s">
        <v>2</v>
      </c>
      <c r="E16" s="27" t="s">
        <v>3</v>
      </c>
    </row>
    <row r="17" spans="3:5">
      <c r="C17" s="26"/>
      <c r="D17" s="24">
        <f>H14</f>
        <v>3.7588474916063282E-3</v>
      </c>
      <c r="E17" s="24">
        <f>I14</f>
        <v>3.2073998057119864E-3</v>
      </c>
    </row>
    <row r="18" spans="3:5">
      <c r="C18" s="26"/>
    </row>
    <row r="19" spans="3:5">
      <c r="D19" s="329" t="s">
        <v>211</v>
      </c>
      <c r="E19" s="330"/>
    </row>
    <row r="20" spans="3:5">
      <c r="D20" s="24" t="s">
        <v>22</v>
      </c>
      <c r="E20" s="25" t="s">
        <v>23</v>
      </c>
    </row>
    <row r="21" spans="3:5">
      <c r="D21" s="29">
        <f>D10*D17</f>
        <v>11.294960827527854</v>
      </c>
      <c r="E21" s="30">
        <f>E10*E17</f>
        <v>9.6402891520401734</v>
      </c>
    </row>
  </sheetData>
  <mergeCells count="6">
    <mergeCell ref="D19:E19"/>
    <mergeCell ref="B4:B6"/>
    <mergeCell ref="B7:B9"/>
    <mergeCell ref="B10:B12"/>
    <mergeCell ref="H9:I9"/>
    <mergeCell ref="D15:E15"/>
  </mergeCells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8"/>
  <sheetViews>
    <sheetView tabSelected="1" workbookViewId="0">
      <selection activeCell="B15" sqref="B15"/>
    </sheetView>
  </sheetViews>
  <sheetFormatPr defaultColWidth="11.42578125" defaultRowHeight="15"/>
  <cols>
    <col min="2" max="2" width="23.5703125" bestFit="1" customWidth="1"/>
    <col min="3" max="3" width="9.42578125" customWidth="1"/>
    <col min="6" max="6" width="12" customWidth="1"/>
  </cols>
  <sheetData>
    <row r="1" spans="1:6">
      <c r="A1" s="120" t="s">
        <v>179</v>
      </c>
    </row>
    <row r="3" spans="1:6">
      <c r="B3" s="340" t="s">
        <v>105</v>
      </c>
      <c r="C3" s="342" t="s">
        <v>106</v>
      </c>
      <c r="D3" s="343"/>
      <c r="E3" s="343"/>
      <c r="F3" s="344"/>
    </row>
    <row r="4" spans="1:6">
      <c r="B4" s="341"/>
      <c r="C4" s="252">
        <v>1991</v>
      </c>
      <c r="D4" s="123">
        <v>2001</v>
      </c>
      <c r="E4" s="207">
        <v>2010</v>
      </c>
      <c r="F4" s="122" t="s">
        <v>181</v>
      </c>
    </row>
    <row r="5" spans="1:6">
      <c r="B5" s="125" t="s">
        <v>100</v>
      </c>
      <c r="C5" s="267">
        <v>107.81</v>
      </c>
      <c r="D5" s="267">
        <v>107.81</v>
      </c>
      <c r="E5" s="268">
        <v>105.3</v>
      </c>
      <c r="F5" s="269">
        <v>105.3</v>
      </c>
    </row>
    <row r="6" spans="1:6">
      <c r="B6" s="46" t="s">
        <v>101</v>
      </c>
      <c r="C6" s="270">
        <v>70</v>
      </c>
      <c r="D6" s="270">
        <v>70</v>
      </c>
      <c r="E6" s="271">
        <v>87.5</v>
      </c>
      <c r="F6" s="272">
        <v>77.5</v>
      </c>
    </row>
    <row r="7" spans="1:6">
      <c r="B7" s="125" t="s">
        <v>104</v>
      </c>
      <c r="C7" s="267">
        <f>181+14</f>
        <v>195</v>
      </c>
      <c r="D7" s="267">
        <f>353.5+79</f>
        <v>432.5</v>
      </c>
      <c r="E7" s="268">
        <f>543.5+139</f>
        <v>682.5</v>
      </c>
      <c r="F7" s="269">
        <f>139+543.5</f>
        <v>682.5</v>
      </c>
    </row>
    <row r="8" spans="1:6">
      <c r="B8" s="46" t="s">
        <v>99</v>
      </c>
      <c r="C8" s="270">
        <v>0</v>
      </c>
      <c r="D8" s="270">
        <v>27.8</v>
      </c>
      <c r="E8" s="271">
        <v>121.8</v>
      </c>
      <c r="F8" s="272">
        <v>59.3</v>
      </c>
    </row>
    <row r="9" spans="1:6">
      <c r="B9" s="46" t="s">
        <v>162</v>
      </c>
      <c r="C9" s="270">
        <v>0</v>
      </c>
      <c r="D9" s="270">
        <v>0</v>
      </c>
      <c r="E9" s="271">
        <v>63</v>
      </c>
      <c r="F9" s="272">
        <v>0</v>
      </c>
    </row>
    <row r="10" spans="1:6">
      <c r="B10" s="109" t="s">
        <v>96</v>
      </c>
      <c r="C10" s="126">
        <f>SUM(C5:C9)</f>
        <v>372.81</v>
      </c>
      <c r="D10" s="126">
        <f t="shared" ref="D10:F10" si="0">SUM(D5:D9)</f>
        <v>638.1099999999999</v>
      </c>
      <c r="E10" s="255">
        <f t="shared" si="0"/>
        <v>1060.0999999999999</v>
      </c>
      <c r="F10" s="128">
        <f t="shared" si="0"/>
        <v>924.59999999999991</v>
      </c>
    </row>
    <row r="11" spans="1:6">
      <c r="B11" s="110" t="s">
        <v>178</v>
      </c>
      <c r="C11" s="124">
        <f>(C10-C7)/C10</f>
        <v>0.47694536090770095</v>
      </c>
      <c r="D11" s="124">
        <f t="shared" ref="D11:F11" si="1">(D10-D7)/D10</f>
        <v>0.32221717258779825</v>
      </c>
      <c r="E11" s="256">
        <f t="shared" si="1"/>
        <v>0.35619281199886799</v>
      </c>
      <c r="F11" s="121">
        <f t="shared" si="1"/>
        <v>0.26184295911745614</v>
      </c>
    </row>
    <row r="14" spans="1:6">
      <c r="B14" s="118" t="s">
        <v>102</v>
      </c>
      <c r="C14" s="118"/>
    </row>
    <row r="15" spans="1:6">
      <c r="B15" s="119" t="s">
        <v>241</v>
      </c>
    </row>
    <row r="16" spans="1:6">
      <c r="B16" s="129" t="s">
        <v>180</v>
      </c>
    </row>
    <row r="18" spans="2:16">
      <c r="B18">
        <v>1991</v>
      </c>
      <c r="F18">
        <v>2001</v>
      </c>
      <c r="K18">
        <v>2010</v>
      </c>
      <c r="P18" t="s">
        <v>185</v>
      </c>
    </row>
  </sheetData>
  <mergeCells count="2">
    <mergeCell ref="B3:B4"/>
    <mergeCell ref="C3:F3"/>
  </mergeCells>
  <hyperlinks>
    <hyperlink ref="B15" r:id="rId1"/>
  </hyperlinks>
  <pageMargins left="0.7" right="0.7" top="0.75" bottom="0.75" header="0.3" footer="0.3"/>
  <pageSetup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3:B200"/>
  <sheetViews>
    <sheetView topLeftCell="A7" workbookViewId="0">
      <selection activeCell="A6" sqref="A6"/>
    </sheetView>
  </sheetViews>
  <sheetFormatPr defaultColWidth="11.42578125" defaultRowHeight="15"/>
  <cols>
    <col min="1" max="1" width="50.140625" customWidth="1"/>
    <col min="2" max="2" width="16.7109375" customWidth="1"/>
    <col min="3" max="3" width="12.140625" customWidth="1"/>
    <col min="4" max="4" width="18.5703125" customWidth="1"/>
    <col min="5" max="6" width="12.5703125" customWidth="1"/>
    <col min="7" max="7" width="5.85546875" customWidth="1"/>
    <col min="8" max="8" width="12.5703125" customWidth="1"/>
    <col min="9" max="9" width="2" customWidth="1"/>
    <col min="10" max="10" width="6" customWidth="1"/>
    <col min="11" max="13" width="3" customWidth="1"/>
    <col min="14" max="14" width="6" customWidth="1"/>
    <col min="15" max="15" width="3" customWidth="1"/>
    <col min="16" max="16" width="5" customWidth="1"/>
    <col min="17" max="22" width="3" customWidth="1"/>
    <col min="23" max="23" width="11" customWidth="1"/>
    <col min="24" max="24" width="12.5703125" bestFit="1" customWidth="1"/>
  </cols>
  <sheetData>
    <row r="3" spans="1:2">
      <c r="A3" s="138" t="s">
        <v>215</v>
      </c>
      <c r="B3" t="s">
        <v>218</v>
      </c>
    </row>
    <row r="4" spans="1:2">
      <c r="A4" s="139">
        <v>0.45</v>
      </c>
      <c r="B4" s="257"/>
    </row>
    <row r="5" spans="1:2">
      <c r="A5" s="295" t="s">
        <v>91</v>
      </c>
      <c r="B5" s="257">
        <v>4014</v>
      </c>
    </row>
    <row r="6" spans="1:2">
      <c r="A6" s="296" t="s">
        <v>88</v>
      </c>
      <c r="B6" s="257">
        <v>4014</v>
      </c>
    </row>
    <row r="7" spans="1:2">
      <c r="A7" s="297" t="s">
        <v>86</v>
      </c>
      <c r="B7" s="257">
        <v>2007</v>
      </c>
    </row>
    <row r="8" spans="1:2">
      <c r="A8" s="297" t="s">
        <v>87</v>
      </c>
      <c r="B8" s="257">
        <v>2007</v>
      </c>
    </row>
    <row r="9" spans="1:2">
      <c r="A9" s="139">
        <v>1.6</v>
      </c>
      <c r="B9" s="257"/>
    </row>
    <row r="10" spans="1:2">
      <c r="A10" s="295" t="s">
        <v>2</v>
      </c>
      <c r="B10" s="257">
        <v>8016</v>
      </c>
    </row>
    <row r="11" spans="1:2">
      <c r="A11" s="296" t="s">
        <v>90</v>
      </c>
      <c r="B11" s="257">
        <v>8016</v>
      </c>
    </row>
    <row r="12" spans="1:2">
      <c r="A12" s="297" t="s">
        <v>45</v>
      </c>
      <c r="B12" s="257">
        <v>2004</v>
      </c>
    </row>
    <row r="13" spans="1:2">
      <c r="A13" s="297" t="s">
        <v>130</v>
      </c>
      <c r="B13" s="257">
        <v>2004</v>
      </c>
    </row>
    <row r="14" spans="1:2">
      <c r="A14" s="297" t="s">
        <v>94</v>
      </c>
      <c r="B14" s="257">
        <v>2004</v>
      </c>
    </row>
    <row r="15" spans="1:2">
      <c r="A15" s="297" t="s">
        <v>46</v>
      </c>
      <c r="B15" s="257">
        <v>2004</v>
      </c>
    </row>
    <row r="16" spans="1:2">
      <c r="A16" s="139">
        <v>3</v>
      </c>
      <c r="B16" s="257"/>
    </row>
    <row r="17" spans="1:2">
      <c r="A17" s="295" t="s">
        <v>95</v>
      </c>
      <c r="B17" s="257">
        <v>1999</v>
      </c>
    </row>
    <row r="18" spans="1:2">
      <c r="A18" s="296" t="s">
        <v>88</v>
      </c>
      <c r="B18" s="257">
        <v>1999</v>
      </c>
    </row>
    <row r="19" spans="1:2">
      <c r="A19" s="297" t="s">
        <v>79</v>
      </c>
      <c r="B19" s="257">
        <v>1999</v>
      </c>
    </row>
    <row r="20" spans="1:2">
      <c r="A20" s="139">
        <v>3.9</v>
      </c>
      <c r="B20" s="257"/>
    </row>
    <row r="21" spans="1:2">
      <c r="A21" s="295" t="s">
        <v>2</v>
      </c>
      <c r="B21" s="257">
        <v>17973</v>
      </c>
    </row>
    <row r="22" spans="1:2">
      <c r="A22" s="296" t="s">
        <v>88</v>
      </c>
      <c r="B22" s="257">
        <v>17973</v>
      </c>
    </row>
    <row r="23" spans="1:2">
      <c r="A23" s="297" t="s">
        <v>47</v>
      </c>
      <c r="B23" s="257">
        <v>1997</v>
      </c>
    </row>
    <row r="24" spans="1:2">
      <c r="A24" s="297" t="s">
        <v>48</v>
      </c>
      <c r="B24" s="257">
        <v>1997</v>
      </c>
    </row>
    <row r="25" spans="1:2">
      <c r="A25" s="297" t="s">
        <v>49</v>
      </c>
      <c r="B25" s="257">
        <v>1997</v>
      </c>
    </row>
    <row r="26" spans="1:2">
      <c r="A26" s="297" t="s">
        <v>50</v>
      </c>
      <c r="B26" s="257">
        <v>1997</v>
      </c>
    </row>
    <row r="27" spans="1:2">
      <c r="A27" s="297" t="s">
        <v>51</v>
      </c>
      <c r="B27" s="257">
        <v>1997</v>
      </c>
    </row>
    <row r="28" spans="1:2">
      <c r="A28" s="297" t="s">
        <v>52</v>
      </c>
      <c r="B28" s="257">
        <v>1997</v>
      </c>
    </row>
    <row r="29" spans="1:2">
      <c r="A29" s="297" t="s">
        <v>53</v>
      </c>
      <c r="B29" s="257">
        <v>1997</v>
      </c>
    </row>
    <row r="30" spans="1:2">
      <c r="A30" s="297" t="s">
        <v>54</v>
      </c>
      <c r="B30" s="257">
        <v>1997</v>
      </c>
    </row>
    <row r="31" spans="1:2">
      <c r="A31" s="297" t="s">
        <v>55</v>
      </c>
      <c r="B31" s="257">
        <v>1997</v>
      </c>
    </row>
    <row r="32" spans="1:2">
      <c r="A32" s="139">
        <v>4</v>
      </c>
      <c r="B32" s="257"/>
    </row>
    <row r="33" spans="1:2">
      <c r="A33" s="295" t="s">
        <v>95</v>
      </c>
      <c r="B33" s="257">
        <v>3998</v>
      </c>
    </row>
    <row r="34" spans="1:2">
      <c r="A34" s="296" t="s">
        <v>88</v>
      </c>
      <c r="B34" s="257">
        <v>3998</v>
      </c>
    </row>
    <row r="35" spans="1:2">
      <c r="A35" s="297" t="s">
        <v>80</v>
      </c>
      <c r="B35" s="257">
        <v>1999</v>
      </c>
    </row>
    <row r="36" spans="1:2">
      <c r="A36" s="297" t="s">
        <v>81</v>
      </c>
      <c r="B36" s="257">
        <v>1999</v>
      </c>
    </row>
    <row r="37" spans="1:2">
      <c r="A37" s="139">
        <v>5</v>
      </c>
      <c r="B37" s="257"/>
    </row>
    <row r="38" spans="1:2">
      <c r="A38" s="295" t="s">
        <v>93</v>
      </c>
      <c r="B38" s="257">
        <v>4010</v>
      </c>
    </row>
    <row r="39" spans="1:2">
      <c r="A39" s="296" t="s">
        <v>88</v>
      </c>
      <c r="B39" s="257">
        <v>4010</v>
      </c>
    </row>
    <row r="40" spans="1:2">
      <c r="A40" s="297" t="s">
        <v>84</v>
      </c>
      <c r="B40" s="257">
        <v>2005</v>
      </c>
    </row>
    <row r="41" spans="1:2">
      <c r="A41" s="297" t="s">
        <v>85</v>
      </c>
      <c r="B41" s="257">
        <v>2005</v>
      </c>
    </row>
    <row r="42" spans="1:2">
      <c r="A42" s="139">
        <v>6.2</v>
      </c>
      <c r="B42" s="257"/>
    </row>
    <row r="43" spans="1:2">
      <c r="A43" s="295" t="s">
        <v>2</v>
      </c>
      <c r="B43" s="257">
        <v>3992</v>
      </c>
    </row>
    <row r="44" spans="1:2">
      <c r="A44" s="296" t="s">
        <v>90</v>
      </c>
      <c r="B44" s="257">
        <v>3992</v>
      </c>
    </row>
    <row r="45" spans="1:2">
      <c r="A45" s="297" t="s">
        <v>41</v>
      </c>
      <c r="B45" s="257">
        <v>1994</v>
      </c>
    </row>
    <row r="46" spans="1:2">
      <c r="A46" s="297" t="s">
        <v>42</v>
      </c>
      <c r="B46" s="257">
        <v>1998</v>
      </c>
    </row>
    <row r="47" spans="1:2">
      <c r="A47" s="139">
        <v>6.8</v>
      </c>
      <c r="B47" s="257"/>
    </row>
    <row r="48" spans="1:2">
      <c r="A48" s="295" t="s">
        <v>2</v>
      </c>
      <c r="B48" s="257">
        <v>54244</v>
      </c>
    </row>
    <row r="49" spans="1:2">
      <c r="A49" s="296" t="s">
        <v>88</v>
      </c>
      <c r="B49" s="257">
        <v>54244</v>
      </c>
    </row>
    <row r="50" spans="1:2">
      <c r="A50" s="297" t="s">
        <v>142</v>
      </c>
      <c r="B50" s="257">
        <v>2009</v>
      </c>
    </row>
    <row r="51" spans="1:2">
      <c r="A51" s="297" t="s">
        <v>157</v>
      </c>
      <c r="B51" s="257">
        <v>2009</v>
      </c>
    </row>
    <row r="52" spans="1:2">
      <c r="A52" s="297" t="s">
        <v>158</v>
      </c>
      <c r="B52" s="257">
        <v>2009</v>
      </c>
    </row>
    <row r="53" spans="1:2">
      <c r="A53" s="297" t="s">
        <v>143</v>
      </c>
      <c r="B53" s="257">
        <v>2009</v>
      </c>
    </row>
    <row r="54" spans="1:2">
      <c r="A54" s="297" t="s">
        <v>155</v>
      </c>
      <c r="B54" s="257">
        <v>2009</v>
      </c>
    </row>
    <row r="55" spans="1:2">
      <c r="A55" s="297" t="s">
        <v>156</v>
      </c>
      <c r="B55" s="257">
        <v>2009</v>
      </c>
    </row>
    <row r="56" spans="1:2">
      <c r="A56" s="297" t="s">
        <v>144</v>
      </c>
      <c r="B56" s="257">
        <v>2009</v>
      </c>
    </row>
    <row r="57" spans="1:2">
      <c r="A57" s="297" t="s">
        <v>154</v>
      </c>
      <c r="B57" s="257">
        <v>2009</v>
      </c>
    </row>
    <row r="58" spans="1:2">
      <c r="A58" s="297" t="s">
        <v>145</v>
      </c>
      <c r="B58" s="257">
        <v>2010</v>
      </c>
    </row>
    <row r="59" spans="1:2">
      <c r="A59" s="297" t="s">
        <v>149</v>
      </c>
      <c r="B59" s="257">
        <v>2010</v>
      </c>
    </row>
    <row r="60" spans="1:2">
      <c r="A60" s="297" t="s">
        <v>150</v>
      </c>
      <c r="B60" s="257">
        <v>2010</v>
      </c>
    </row>
    <row r="61" spans="1:2">
      <c r="A61" s="297" t="s">
        <v>151</v>
      </c>
      <c r="B61" s="257">
        <v>2010</v>
      </c>
    </row>
    <row r="62" spans="1:2">
      <c r="A62" s="297" t="s">
        <v>152</v>
      </c>
      <c r="B62" s="257">
        <v>2010</v>
      </c>
    </row>
    <row r="63" spans="1:2">
      <c r="A63" s="297" t="s">
        <v>153</v>
      </c>
      <c r="B63" s="257">
        <v>2010</v>
      </c>
    </row>
    <row r="64" spans="1:2">
      <c r="A64" s="297" t="s">
        <v>146</v>
      </c>
      <c r="B64" s="257">
        <v>2010</v>
      </c>
    </row>
    <row r="65" spans="1:2">
      <c r="A65" s="297" t="s">
        <v>159</v>
      </c>
      <c r="B65" s="257">
        <v>2010</v>
      </c>
    </row>
    <row r="66" spans="1:2">
      <c r="A66" s="297" t="s">
        <v>160</v>
      </c>
      <c r="B66" s="257">
        <v>2010</v>
      </c>
    </row>
    <row r="67" spans="1:2">
      <c r="A67" s="297" t="s">
        <v>161</v>
      </c>
      <c r="B67" s="257">
        <v>2010</v>
      </c>
    </row>
    <row r="68" spans="1:2">
      <c r="A68" s="297" t="s">
        <v>219</v>
      </c>
      <c r="B68" s="257">
        <v>2008</v>
      </c>
    </row>
    <row r="69" spans="1:2">
      <c r="A69" s="297" t="s">
        <v>221</v>
      </c>
      <c r="B69" s="257">
        <v>2008</v>
      </c>
    </row>
    <row r="70" spans="1:2">
      <c r="A70" s="297" t="s">
        <v>223</v>
      </c>
      <c r="B70" s="257">
        <v>2008</v>
      </c>
    </row>
    <row r="71" spans="1:2">
      <c r="A71" s="297" t="s">
        <v>225</v>
      </c>
      <c r="B71" s="257">
        <v>2008</v>
      </c>
    </row>
    <row r="72" spans="1:2">
      <c r="A72" s="297" t="s">
        <v>227</v>
      </c>
      <c r="B72" s="257">
        <v>2008</v>
      </c>
    </row>
    <row r="73" spans="1:2">
      <c r="A73" s="297" t="s">
        <v>229</v>
      </c>
      <c r="B73" s="257">
        <v>2008</v>
      </c>
    </row>
    <row r="74" spans="1:2">
      <c r="A74" s="297" t="s">
        <v>231</v>
      </c>
      <c r="B74" s="257">
        <v>2008</v>
      </c>
    </row>
    <row r="75" spans="1:2">
      <c r="A75" s="297" t="s">
        <v>233</v>
      </c>
      <c r="B75" s="257">
        <v>2008</v>
      </c>
    </row>
    <row r="76" spans="1:2">
      <c r="A76" s="297" t="s">
        <v>235</v>
      </c>
      <c r="B76" s="257">
        <v>2008</v>
      </c>
    </row>
    <row r="77" spans="1:2">
      <c r="A77" s="139">
        <v>7.2</v>
      </c>
      <c r="B77" s="257"/>
    </row>
    <row r="78" spans="1:2">
      <c r="A78" s="295" t="s">
        <v>2</v>
      </c>
      <c r="B78" s="257">
        <v>8000</v>
      </c>
    </row>
    <row r="79" spans="1:2">
      <c r="A79" s="296" t="s">
        <v>88</v>
      </c>
      <c r="B79" s="257">
        <v>8000</v>
      </c>
    </row>
    <row r="80" spans="1:2">
      <c r="A80" s="297" t="s">
        <v>56</v>
      </c>
      <c r="B80" s="257">
        <v>2000</v>
      </c>
    </row>
    <row r="81" spans="1:2">
      <c r="A81" s="297" t="s">
        <v>57</v>
      </c>
      <c r="B81" s="257">
        <v>2000</v>
      </c>
    </row>
    <row r="82" spans="1:2">
      <c r="A82" s="297" t="s">
        <v>58</v>
      </c>
      <c r="B82" s="257">
        <v>2000</v>
      </c>
    </row>
    <row r="83" spans="1:2">
      <c r="A83" s="297" t="s">
        <v>59</v>
      </c>
      <c r="B83" s="257">
        <v>2000</v>
      </c>
    </row>
    <row r="84" spans="1:2">
      <c r="A84" s="139">
        <v>7.5</v>
      </c>
      <c r="B84" s="257"/>
    </row>
    <row r="85" spans="1:2">
      <c r="A85" s="295" t="s">
        <v>93</v>
      </c>
      <c r="B85" s="257">
        <v>2002</v>
      </c>
    </row>
    <row r="86" spans="1:2">
      <c r="A86" s="296" t="s">
        <v>88</v>
      </c>
      <c r="B86" s="257">
        <v>2002</v>
      </c>
    </row>
    <row r="87" spans="1:2">
      <c r="A87" s="297" t="s">
        <v>66</v>
      </c>
      <c r="B87" s="257">
        <v>2002</v>
      </c>
    </row>
    <row r="88" spans="1:2">
      <c r="A88" s="139">
        <v>10.44</v>
      </c>
      <c r="B88" s="257"/>
    </row>
    <row r="89" spans="1:2">
      <c r="A89" s="295" t="s">
        <v>2</v>
      </c>
      <c r="B89" s="257">
        <v>9995</v>
      </c>
    </row>
    <row r="90" spans="1:2">
      <c r="A90" s="296" t="s">
        <v>88</v>
      </c>
      <c r="B90" s="257">
        <v>9995</v>
      </c>
    </row>
    <row r="91" spans="1:2">
      <c r="A91" s="297" t="s">
        <v>67</v>
      </c>
      <c r="B91" s="257">
        <v>1999</v>
      </c>
    </row>
    <row r="92" spans="1:2">
      <c r="A92" s="297" t="s">
        <v>68</v>
      </c>
      <c r="B92" s="257">
        <v>1999</v>
      </c>
    </row>
    <row r="93" spans="1:2">
      <c r="A93" s="297" t="s">
        <v>69</v>
      </c>
      <c r="B93" s="257">
        <v>1999</v>
      </c>
    </row>
    <row r="94" spans="1:2">
      <c r="A94" s="297" t="s">
        <v>70</v>
      </c>
      <c r="B94" s="257">
        <v>1999</v>
      </c>
    </row>
    <row r="95" spans="1:2">
      <c r="A95" s="297" t="s">
        <v>71</v>
      </c>
      <c r="B95" s="257">
        <v>1999</v>
      </c>
    </row>
    <row r="96" spans="1:2">
      <c r="A96" s="139">
        <v>14</v>
      </c>
      <c r="B96" s="257"/>
    </row>
    <row r="97" spans="1:2">
      <c r="A97" s="295" t="s">
        <v>3</v>
      </c>
      <c r="B97" s="257">
        <v>1967</v>
      </c>
    </row>
    <row r="98" spans="1:2">
      <c r="A98" s="296" t="s">
        <v>88</v>
      </c>
      <c r="B98" s="257">
        <v>1967</v>
      </c>
    </row>
    <row r="99" spans="1:2">
      <c r="A99" s="297" t="s">
        <v>74</v>
      </c>
      <c r="B99" s="257">
        <v>1967</v>
      </c>
    </row>
    <row r="100" spans="1:2">
      <c r="A100" s="139">
        <v>15</v>
      </c>
      <c r="B100" s="257"/>
    </row>
    <row r="101" spans="1:2">
      <c r="A101" s="295" t="s">
        <v>95</v>
      </c>
      <c r="B101" s="257">
        <v>2004</v>
      </c>
    </row>
    <row r="102" spans="1:2">
      <c r="A102" s="296" t="s">
        <v>88</v>
      </c>
      <c r="B102" s="257">
        <v>2004</v>
      </c>
    </row>
    <row r="103" spans="1:2">
      <c r="A103" s="297" t="s">
        <v>83</v>
      </c>
      <c r="B103" s="257">
        <v>2004</v>
      </c>
    </row>
    <row r="104" spans="1:2">
      <c r="A104" s="295" t="s">
        <v>3</v>
      </c>
      <c r="B104" s="257">
        <v>8028</v>
      </c>
    </row>
    <row r="105" spans="1:2">
      <c r="A105" s="296" t="s">
        <v>88</v>
      </c>
      <c r="B105" s="257">
        <v>8028</v>
      </c>
    </row>
    <row r="106" spans="1:2">
      <c r="A106" s="297" t="s">
        <v>237</v>
      </c>
      <c r="B106" s="257">
        <v>2007</v>
      </c>
    </row>
    <row r="107" spans="1:2">
      <c r="A107" s="297" t="s">
        <v>238</v>
      </c>
      <c r="B107" s="257">
        <v>2007</v>
      </c>
    </row>
    <row r="108" spans="1:2">
      <c r="A108" s="297" t="s">
        <v>239</v>
      </c>
      <c r="B108" s="257">
        <v>2007</v>
      </c>
    </row>
    <row r="109" spans="1:2">
      <c r="A109" s="297" t="s">
        <v>240</v>
      </c>
      <c r="B109" s="257">
        <v>2007</v>
      </c>
    </row>
    <row r="110" spans="1:2">
      <c r="A110" s="139">
        <v>16.5</v>
      </c>
      <c r="B110" s="257"/>
    </row>
    <row r="111" spans="1:2">
      <c r="A111" s="295" t="s">
        <v>95</v>
      </c>
      <c r="B111" s="257">
        <v>2004</v>
      </c>
    </row>
    <row r="112" spans="1:2">
      <c r="A112" s="296" t="s">
        <v>88</v>
      </c>
      <c r="B112" s="257">
        <v>2004</v>
      </c>
    </row>
    <row r="113" spans="1:2">
      <c r="A113" s="297" t="s">
        <v>78</v>
      </c>
      <c r="B113" s="257">
        <v>2004</v>
      </c>
    </row>
    <row r="114" spans="1:2">
      <c r="A114" s="139">
        <v>18.5</v>
      </c>
      <c r="B114" s="257"/>
    </row>
    <row r="115" spans="1:2">
      <c r="A115" s="295" t="s">
        <v>2</v>
      </c>
      <c r="B115" s="257">
        <v>7996</v>
      </c>
    </row>
    <row r="116" spans="1:2">
      <c r="A116" s="296" t="s">
        <v>88</v>
      </c>
      <c r="B116" s="257">
        <v>7996</v>
      </c>
    </row>
    <row r="117" spans="1:2">
      <c r="A117" s="297" t="s">
        <v>60</v>
      </c>
      <c r="B117" s="257">
        <v>1999</v>
      </c>
    </row>
    <row r="118" spans="1:2">
      <c r="A118" s="297" t="s">
        <v>61</v>
      </c>
      <c r="B118" s="257">
        <v>1999</v>
      </c>
    </row>
    <row r="119" spans="1:2">
      <c r="A119" s="297" t="s">
        <v>62</v>
      </c>
      <c r="B119" s="257">
        <v>1999</v>
      </c>
    </row>
    <row r="120" spans="1:2">
      <c r="A120" s="297" t="s">
        <v>63</v>
      </c>
      <c r="B120" s="257">
        <v>1999</v>
      </c>
    </row>
    <row r="121" spans="1:2">
      <c r="A121" s="139">
        <v>19.3</v>
      </c>
      <c r="B121" s="257"/>
    </row>
    <row r="122" spans="1:2">
      <c r="A122" s="295" t="s">
        <v>95</v>
      </c>
      <c r="B122" s="257">
        <v>1999</v>
      </c>
    </row>
    <row r="123" spans="1:2">
      <c r="A123" s="296" t="s">
        <v>88</v>
      </c>
      <c r="B123" s="257">
        <v>1999</v>
      </c>
    </row>
    <row r="124" spans="1:2">
      <c r="A124" s="297" t="s">
        <v>75</v>
      </c>
      <c r="B124" s="257">
        <v>1999</v>
      </c>
    </row>
    <row r="125" spans="1:2">
      <c r="A125" s="139">
        <v>20</v>
      </c>
      <c r="B125" s="257"/>
    </row>
    <row r="126" spans="1:2">
      <c r="A126" s="295" t="s">
        <v>95</v>
      </c>
      <c r="B126" s="257">
        <v>6012</v>
      </c>
    </row>
    <row r="127" spans="1:2">
      <c r="A127" s="296" t="s">
        <v>88</v>
      </c>
      <c r="B127" s="257">
        <v>6012</v>
      </c>
    </row>
    <row r="128" spans="1:2">
      <c r="A128" s="297" t="s">
        <v>82</v>
      </c>
      <c r="B128" s="257">
        <v>2004</v>
      </c>
    </row>
    <row r="129" spans="1:2">
      <c r="A129" s="297" t="s">
        <v>76</v>
      </c>
      <c r="B129" s="257">
        <v>2004</v>
      </c>
    </row>
    <row r="130" spans="1:2">
      <c r="A130" s="297" t="s">
        <v>77</v>
      </c>
      <c r="B130" s="257">
        <v>2004</v>
      </c>
    </row>
    <row r="131" spans="1:2">
      <c r="A131" s="139">
        <v>23</v>
      </c>
      <c r="B131" s="257"/>
    </row>
    <row r="132" spans="1:2">
      <c r="A132" s="295" t="s">
        <v>162</v>
      </c>
      <c r="B132" s="257">
        <v>2010</v>
      </c>
    </row>
    <row r="133" spans="1:2">
      <c r="A133" s="296" t="s">
        <v>88</v>
      </c>
      <c r="B133" s="257">
        <v>2010</v>
      </c>
    </row>
    <row r="134" spans="1:2">
      <c r="A134" s="297" t="s">
        <v>148</v>
      </c>
      <c r="B134" s="257">
        <v>2010</v>
      </c>
    </row>
    <row r="135" spans="1:2">
      <c r="A135" s="139">
        <v>25</v>
      </c>
      <c r="B135" s="257"/>
    </row>
    <row r="136" spans="1:2">
      <c r="A136" s="295" t="s">
        <v>3</v>
      </c>
      <c r="B136" s="257">
        <v>1992</v>
      </c>
    </row>
    <row r="137" spans="1:2">
      <c r="A137" s="296" t="s">
        <v>90</v>
      </c>
      <c r="B137" s="257">
        <v>1992</v>
      </c>
    </row>
    <row r="138" spans="1:2">
      <c r="A138" s="297" t="s">
        <v>43</v>
      </c>
      <c r="B138" s="257">
        <v>1992</v>
      </c>
    </row>
    <row r="139" spans="1:2">
      <c r="A139" s="295" t="s">
        <v>91</v>
      </c>
      <c r="B139" s="257">
        <v>3930</v>
      </c>
    </row>
    <row r="140" spans="1:2">
      <c r="A140" s="296" t="s">
        <v>90</v>
      </c>
      <c r="B140" s="257">
        <v>3930</v>
      </c>
    </row>
    <row r="141" spans="1:2">
      <c r="A141" s="297" t="s">
        <v>36</v>
      </c>
      <c r="B141" s="257">
        <v>1965</v>
      </c>
    </row>
    <row r="142" spans="1:2">
      <c r="A142" s="297" t="s">
        <v>37</v>
      </c>
      <c r="B142" s="257">
        <v>1965</v>
      </c>
    </row>
    <row r="143" spans="1:2">
      <c r="A143" s="139">
        <v>27.2</v>
      </c>
      <c r="B143" s="257"/>
    </row>
    <row r="144" spans="1:2">
      <c r="A144" s="295" t="s">
        <v>91</v>
      </c>
      <c r="B144" s="257">
        <v>3930</v>
      </c>
    </row>
    <row r="145" spans="1:2">
      <c r="A145" s="296" t="s">
        <v>90</v>
      </c>
      <c r="B145" s="257">
        <v>3930</v>
      </c>
    </row>
    <row r="146" spans="1:2">
      <c r="A146" s="297" t="s">
        <v>38</v>
      </c>
      <c r="B146" s="257">
        <v>1965</v>
      </c>
    </row>
    <row r="147" spans="1:2">
      <c r="A147" s="297" t="s">
        <v>39</v>
      </c>
      <c r="B147" s="257">
        <v>1965</v>
      </c>
    </row>
    <row r="148" spans="1:2">
      <c r="A148" s="139">
        <v>35</v>
      </c>
      <c r="B148" s="257"/>
    </row>
    <row r="149" spans="1:2">
      <c r="A149" s="295" t="s">
        <v>93</v>
      </c>
      <c r="B149" s="257">
        <v>3972</v>
      </c>
    </row>
    <row r="150" spans="1:2">
      <c r="A150" s="296" t="s">
        <v>88</v>
      </c>
      <c r="B150" s="257">
        <v>3972</v>
      </c>
    </row>
    <row r="151" spans="1:2">
      <c r="A151" s="297" t="s">
        <v>64</v>
      </c>
      <c r="B151" s="257">
        <v>1983</v>
      </c>
    </row>
    <row r="152" spans="1:2">
      <c r="A152" s="297" t="s">
        <v>65</v>
      </c>
      <c r="B152" s="257">
        <v>1989</v>
      </c>
    </row>
    <row r="153" spans="1:2">
      <c r="A153" s="139">
        <v>40</v>
      </c>
      <c r="B153" s="257"/>
    </row>
    <row r="154" spans="1:2">
      <c r="A154" s="295" t="s">
        <v>3</v>
      </c>
      <c r="B154" s="257">
        <v>1998</v>
      </c>
    </row>
    <row r="155" spans="1:2">
      <c r="A155" s="296" t="s">
        <v>90</v>
      </c>
      <c r="B155" s="257">
        <v>1998</v>
      </c>
    </row>
    <row r="156" spans="1:2">
      <c r="A156" s="297" t="s">
        <v>44</v>
      </c>
      <c r="B156" s="257">
        <v>1998</v>
      </c>
    </row>
    <row r="157" spans="1:2">
      <c r="A157" s="295" t="s">
        <v>162</v>
      </c>
      <c r="B157" s="257">
        <v>2009</v>
      </c>
    </row>
    <row r="158" spans="1:2">
      <c r="A158" s="296" t="s">
        <v>88</v>
      </c>
      <c r="B158" s="257">
        <v>2009</v>
      </c>
    </row>
    <row r="159" spans="1:2">
      <c r="A159" s="297" t="s">
        <v>147</v>
      </c>
      <c r="B159" s="257">
        <v>2009</v>
      </c>
    </row>
    <row r="160" spans="1:2">
      <c r="A160" s="139">
        <v>45</v>
      </c>
      <c r="B160" s="257"/>
    </row>
    <row r="161" spans="1:2">
      <c r="A161" s="295" t="s">
        <v>2</v>
      </c>
      <c r="B161" s="257">
        <v>1971</v>
      </c>
    </row>
    <row r="162" spans="1:2">
      <c r="A162" s="296" t="s">
        <v>90</v>
      </c>
      <c r="B162" s="257">
        <v>1971</v>
      </c>
    </row>
    <row r="163" spans="1:2">
      <c r="A163" s="297" t="s">
        <v>40</v>
      </c>
      <c r="B163" s="257">
        <v>1971</v>
      </c>
    </row>
    <row r="164" spans="1:2">
      <c r="A164" s="139">
        <v>53</v>
      </c>
      <c r="B164" s="257"/>
    </row>
    <row r="165" spans="1:2">
      <c r="A165" s="295" t="s">
        <v>2</v>
      </c>
      <c r="B165" s="257">
        <v>3953</v>
      </c>
    </row>
    <row r="166" spans="1:2">
      <c r="A166" s="296" t="s">
        <v>88</v>
      </c>
      <c r="B166" s="257">
        <v>3953</v>
      </c>
    </row>
    <row r="167" spans="1:2">
      <c r="A167" s="297" t="s">
        <v>72</v>
      </c>
      <c r="B167" s="257">
        <v>1976</v>
      </c>
    </row>
    <row r="168" spans="1:2">
      <c r="A168" s="297" t="s">
        <v>73</v>
      </c>
      <c r="B168" s="257">
        <v>1977</v>
      </c>
    </row>
    <row r="169" spans="1:2">
      <c r="A169" s="139" t="s">
        <v>217</v>
      </c>
      <c r="B169" s="257"/>
    </row>
    <row r="170" spans="1:2">
      <c r="A170" s="295" t="s">
        <v>3</v>
      </c>
      <c r="B170" s="257">
        <v>54126</v>
      </c>
    </row>
    <row r="171" spans="1:2">
      <c r="A171" s="296" t="s">
        <v>88</v>
      </c>
      <c r="B171" s="257">
        <v>44139</v>
      </c>
    </row>
    <row r="172" spans="1:2">
      <c r="A172" s="297" t="s">
        <v>164</v>
      </c>
      <c r="B172" s="257">
        <v>2009</v>
      </c>
    </row>
    <row r="173" spans="1:2">
      <c r="A173" s="297" t="s">
        <v>165</v>
      </c>
      <c r="B173" s="257">
        <v>2009</v>
      </c>
    </row>
    <row r="174" spans="1:2">
      <c r="A174" s="297" t="s">
        <v>166</v>
      </c>
      <c r="B174" s="257">
        <v>2009</v>
      </c>
    </row>
    <row r="175" spans="1:2">
      <c r="A175" s="297" t="s">
        <v>167</v>
      </c>
      <c r="B175" s="257">
        <v>2009</v>
      </c>
    </row>
    <row r="176" spans="1:2">
      <c r="A176" s="297" t="s">
        <v>168</v>
      </c>
      <c r="B176" s="257">
        <v>2009</v>
      </c>
    </row>
    <row r="177" spans="1:2">
      <c r="A177" s="297" t="s">
        <v>169</v>
      </c>
      <c r="B177" s="257">
        <v>2009</v>
      </c>
    </row>
    <row r="178" spans="1:2">
      <c r="A178" s="297" t="s">
        <v>170</v>
      </c>
      <c r="B178" s="257">
        <v>2009</v>
      </c>
    </row>
    <row r="179" spans="1:2">
      <c r="A179" s="297" t="s">
        <v>171</v>
      </c>
      <c r="B179" s="257">
        <v>2009</v>
      </c>
    </row>
    <row r="180" spans="1:2">
      <c r="A180" s="297" t="s">
        <v>117</v>
      </c>
      <c r="B180" s="257">
        <v>1999</v>
      </c>
    </row>
    <row r="181" spans="1:2">
      <c r="A181" s="297" t="s">
        <v>118</v>
      </c>
      <c r="B181" s="257">
        <v>1999</v>
      </c>
    </row>
    <row r="182" spans="1:2">
      <c r="A182" s="297" t="s">
        <v>119</v>
      </c>
      <c r="B182" s="257">
        <v>1999</v>
      </c>
    </row>
    <row r="183" spans="1:2">
      <c r="A183" s="297" t="s">
        <v>120</v>
      </c>
      <c r="B183" s="257">
        <v>1999</v>
      </c>
    </row>
    <row r="184" spans="1:2">
      <c r="A184" s="297" t="s">
        <v>220</v>
      </c>
      <c r="B184" s="257">
        <v>2008</v>
      </c>
    </row>
    <row r="185" spans="1:2">
      <c r="A185" s="297" t="s">
        <v>222</v>
      </c>
      <c r="B185" s="257">
        <v>2008</v>
      </c>
    </row>
    <row r="186" spans="1:2">
      <c r="A186" s="297" t="s">
        <v>224</v>
      </c>
      <c r="B186" s="257">
        <v>2008</v>
      </c>
    </row>
    <row r="187" spans="1:2">
      <c r="A187" s="297" t="s">
        <v>226</v>
      </c>
      <c r="B187" s="257">
        <v>2008</v>
      </c>
    </row>
    <row r="188" spans="1:2">
      <c r="A188" s="297" t="s">
        <v>228</v>
      </c>
      <c r="B188" s="257">
        <v>2008</v>
      </c>
    </row>
    <row r="189" spans="1:2">
      <c r="A189" s="297" t="s">
        <v>230</v>
      </c>
      <c r="B189" s="257">
        <v>2008</v>
      </c>
    </row>
    <row r="190" spans="1:2">
      <c r="A190" s="297" t="s">
        <v>232</v>
      </c>
      <c r="B190" s="257">
        <v>2008</v>
      </c>
    </row>
    <row r="191" spans="1:2">
      <c r="A191" s="297" t="s">
        <v>234</v>
      </c>
      <c r="B191" s="257">
        <v>2008</v>
      </c>
    </row>
    <row r="192" spans="1:2">
      <c r="A192" s="297" t="s">
        <v>236</v>
      </c>
      <c r="B192" s="257">
        <v>2008</v>
      </c>
    </row>
    <row r="193" spans="1:2">
      <c r="A193" s="297" t="s">
        <v>121</v>
      </c>
      <c r="B193" s="257">
        <v>1999</v>
      </c>
    </row>
    <row r="194" spans="1:2">
      <c r="A194" s="296" t="s">
        <v>90</v>
      </c>
      <c r="B194" s="257">
        <v>9987</v>
      </c>
    </row>
    <row r="195" spans="1:2">
      <c r="A195" s="297" t="s">
        <v>129</v>
      </c>
      <c r="B195" s="257">
        <v>2004</v>
      </c>
    </row>
    <row r="196" spans="1:2">
      <c r="A196" s="297" t="s">
        <v>114</v>
      </c>
      <c r="B196" s="257">
        <v>2004</v>
      </c>
    </row>
    <row r="197" spans="1:2">
      <c r="A197" s="297" t="s">
        <v>115</v>
      </c>
      <c r="B197" s="257">
        <v>2004</v>
      </c>
    </row>
    <row r="198" spans="1:2">
      <c r="A198" s="297" t="s">
        <v>116</v>
      </c>
      <c r="B198" s="257">
        <v>2004</v>
      </c>
    </row>
    <row r="199" spans="1:2">
      <c r="A199" s="297" t="s">
        <v>122</v>
      </c>
      <c r="B199" s="257">
        <v>1971</v>
      </c>
    </row>
    <row r="200" spans="1:2">
      <c r="A200" s="139" t="s">
        <v>216</v>
      </c>
      <c r="B200" s="257">
        <v>228144</v>
      </c>
    </row>
  </sheetData>
  <pageMargins left="0.7" right="0.7" top="0.75" bottom="0.75" header="0.3" footer="0.3"/>
  <pageSetup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P44"/>
  <sheetViews>
    <sheetView workbookViewId="0">
      <selection activeCell="C4" sqref="C4:I4"/>
    </sheetView>
  </sheetViews>
  <sheetFormatPr defaultColWidth="11.42578125" defaultRowHeight="15"/>
  <cols>
    <col min="8" max="8" width="10.42578125" customWidth="1"/>
  </cols>
  <sheetData>
    <row r="1" spans="1:16" ht="15.75" thickBot="1">
      <c r="A1" t="s">
        <v>182</v>
      </c>
    </row>
    <row r="2" spans="1:16" ht="15.75" thickBot="1">
      <c r="B2" s="150" t="s">
        <v>123</v>
      </c>
      <c r="C2" s="154" t="s">
        <v>99</v>
      </c>
      <c r="D2" s="143" t="s">
        <v>3</v>
      </c>
      <c r="E2" s="143" t="s">
        <v>2</v>
      </c>
      <c r="F2" s="143" t="s">
        <v>93</v>
      </c>
      <c r="G2" s="147" t="s">
        <v>91</v>
      </c>
      <c r="H2" s="258" t="s">
        <v>162</v>
      </c>
      <c r="I2" s="150" t="s">
        <v>96</v>
      </c>
      <c r="L2" s="164" t="s">
        <v>127</v>
      </c>
      <c r="P2" t="s">
        <v>128</v>
      </c>
    </row>
    <row r="3" spans="1:16">
      <c r="B3" s="157" t="s">
        <v>124</v>
      </c>
      <c r="C3" s="72">
        <v>224559.39</v>
      </c>
      <c r="D3" s="141">
        <v>0</v>
      </c>
      <c r="E3" s="141">
        <v>1496653.9200000002</v>
      </c>
      <c r="F3" s="141">
        <v>268246.31999999995</v>
      </c>
      <c r="G3" s="97">
        <v>3391.07</v>
      </c>
      <c r="H3" s="71">
        <v>160296.14000000001</v>
      </c>
      <c r="I3" s="151">
        <f>SUM(C3:H3)</f>
        <v>2153146.84</v>
      </c>
      <c r="K3" s="165"/>
    </row>
    <row r="4" spans="1:16" ht="15.75" thickBot="1">
      <c r="B4" s="158" t="s">
        <v>125</v>
      </c>
      <c r="C4" s="155"/>
      <c r="D4" s="145">
        <v>13957.01</v>
      </c>
      <c r="E4" s="145">
        <v>657958.00000000012</v>
      </c>
      <c r="F4" s="145"/>
      <c r="G4" s="148">
        <v>495855.88</v>
      </c>
      <c r="H4" s="259"/>
      <c r="I4" s="152">
        <f>SUM(C4:H4)</f>
        <v>1167770.8900000001</v>
      </c>
    </row>
    <row r="5" spans="1:16" ht="15.75" thickBot="1">
      <c r="B5" s="150" t="s">
        <v>96</v>
      </c>
      <c r="C5" s="156">
        <f>SUM(C3:C4)</f>
        <v>224559.39</v>
      </c>
      <c r="D5" s="146">
        <f t="shared" ref="D5:H5" si="0">SUM(D3:D4)</f>
        <v>13957.01</v>
      </c>
      <c r="E5" s="146">
        <f t="shared" si="0"/>
        <v>2154611.9200000004</v>
      </c>
      <c r="F5" s="146">
        <f t="shared" si="0"/>
        <v>268246.31999999995</v>
      </c>
      <c r="G5" s="149">
        <f t="shared" si="0"/>
        <v>499246.95</v>
      </c>
      <c r="H5" s="260">
        <f t="shared" si="0"/>
        <v>160296.14000000001</v>
      </c>
      <c r="I5" s="153">
        <f>SUM(I3:I4)</f>
        <v>3320917.73</v>
      </c>
    </row>
    <row r="6" spans="1:16">
      <c r="B6" s="163"/>
      <c r="C6" s="63"/>
      <c r="D6" s="63"/>
      <c r="E6" s="63"/>
      <c r="F6" s="63"/>
      <c r="G6" s="63"/>
      <c r="H6" s="63"/>
    </row>
    <row r="8" spans="1:16">
      <c r="A8" t="s">
        <v>183</v>
      </c>
    </row>
    <row r="10" spans="1:16">
      <c r="A10" s="172" t="s">
        <v>141</v>
      </c>
      <c r="B10" s="173" t="s">
        <v>124</v>
      </c>
      <c r="C10" s="173" t="s">
        <v>125</v>
      </c>
      <c r="D10" s="230" t="s">
        <v>96</v>
      </c>
    </row>
    <row r="11" spans="1:16">
      <c r="A11" s="46" t="s">
        <v>99</v>
      </c>
      <c r="B11" s="64">
        <v>121.8</v>
      </c>
      <c r="C11" s="64"/>
      <c r="D11" s="52">
        <f>SUM(B11:C11)</f>
        <v>121.8</v>
      </c>
    </row>
    <row r="12" spans="1:16">
      <c r="A12" s="46" t="s">
        <v>3</v>
      </c>
      <c r="B12" s="64">
        <v>14</v>
      </c>
      <c r="C12" s="64">
        <v>125</v>
      </c>
      <c r="D12" s="52">
        <f t="shared" ref="D12:D16" si="1">SUM(B12:C12)</f>
        <v>139</v>
      </c>
    </row>
    <row r="13" spans="1:16">
      <c r="A13" s="46" t="s">
        <v>2</v>
      </c>
      <c r="B13" s="64">
        <v>296.10000000000002</v>
      </c>
      <c r="C13" s="64">
        <v>247.4</v>
      </c>
      <c r="D13" s="52">
        <f t="shared" si="1"/>
        <v>543.5</v>
      </c>
    </row>
    <row r="14" spans="1:16">
      <c r="A14" s="46" t="s">
        <v>93</v>
      </c>
      <c r="B14" s="64">
        <v>87.5</v>
      </c>
      <c r="C14" s="64"/>
      <c r="D14" s="52">
        <f t="shared" si="1"/>
        <v>87.5</v>
      </c>
    </row>
    <row r="15" spans="1:16">
      <c r="A15" s="46" t="s">
        <v>91</v>
      </c>
      <c r="B15" s="64">
        <v>0.9</v>
      </c>
      <c r="C15" s="64">
        <v>104.4</v>
      </c>
      <c r="D15" s="52">
        <f t="shared" si="1"/>
        <v>105.30000000000001</v>
      </c>
    </row>
    <row r="16" spans="1:16">
      <c r="A16" s="46" t="s">
        <v>162</v>
      </c>
      <c r="B16" s="64">
        <v>63</v>
      </c>
      <c r="C16" s="64"/>
      <c r="D16" s="52">
        <f t="shared" si="1"/>
        <v>63</v>
      </c>
    </row>
    <row r="17" spans="1:16">
      <c r="A17" s="109" t="s">
        <v>96</v>
      </c>
      <c r="B17" s="40">
        <f>SUM(B11:B16)</f>
        <v>583.30000000000007</v>
      </c>
      <c r="C17" s="40">
        <f t="shared" ref="C17:D17" si="2">SUM(C11:C16)</f>
        <v>476.79999999999995</v>
      </c>
      <c r="D17" s="174">
        <f t="shared" si="2"/>
        <v>1060.0999999999999</v>
      </c>
    </row>
    <row r="26" spans="1:16">
      <c r="L26" t="s">
        <v>124</v>
      </c>
      <c r="P26" t="s">
        <v>125</v>
      </c>
    </row>
    <row r="34" spans="1:6" ht="15.75" thickBot="1">
      <c r="A34" t="s">
        <v>184</v>
      </c>
    </row>
    <row r="35" spans="1:6" ht="30.75" thickBot="1">
      <c r="B35" s="159" t="s">
        <v>123</v>
      </c>
      <c r="C35" s="160" t="s">
        <v>28</v>
      </c>
      <c r="D35" s="160" t="s">
        <v>26</v>
      </c>
      <c r="E35" s="161" t="s">
        <v>126</v>
      </c>
      <c r="F35" s="162" t="s">
        <v>96</v>
      </c>
    </row>
    <row r="36" spans="1:6">
      <c r="B36" s="140" t="s">
        <v>124</v>
      </c>
      <c r="C36" s="261">
        <v>63</v>
      </c>
      <c r="D36" s="261">
        <v>243.60000000000014</v>
      </c>
      <c r="E36" s="261">
        <v>0.9</v>
      </c>
      <c r="F36" s="263">
        <f>SUM(C36:E36)</f>
        <v>307.50000000000011</v>
      </c>
    </row>
    <row r="37" spans="1:6" ht="15.75" thickBot="1">
      <c r="B37" s="144" t="s">
        <v>125</v>
      </c>
      <c r="C37" s="262"/>
      <c r="D37" s="262"/>
      <c r="E37" s="262"/>
      <c r="F37" s="264">
        <f>SUM(C37:E37)</f>
        <v>0</v>
      </c>
    </row>
    <row r="38" spans="1:6" ht="15.75" thickBot="1">
      <c r="B38" s="142" t="s">
        <v>96</v>
      </c>
      <c r="C38" s="265">
        <f t="shared" ref="C38:E38" si="3">SUM(C36:C37)</f>
        <v>63</v>
      </c>
      <c r="D38" s="265">
        <f t="shared" si="3"/>
        <v>243.60000000000014</v>
      </c>
      <c r="E38" s="265">
        <f t="shared" si="3"/>
        <v>0.9</v>
      </c>
      <c r="F38" s="266">
        <f>SUM(F36:F37)</f>
        <v>307.50000000000011</v>
      </c>
    </row>
    <row r="40" spans="1:6" ht="15.75" thickBot="1"/>
    <row r="41" spans="1:6" ht="30.75" thickBot="1">
      <c r="B41" s="159" t="s">
        <v>123</v>
      </c>
      <c r="C41" s="160" t="s">
        <v>28</v>
      </c>
      <c r="D41" s="160" t="s">
        <v>26</v>
      </c>
      <c r="E41" s="161" t="s">
        <v>126</v>
      </c>
      <c r="F41" s="162" t="s">
        <v>96</v>
      </c>
    </row>
    <row r="42" spans="1:6">
      <c r="B42" s="140" t="s">
        <v>124</v>
      </c>
      <c r="C42" s="168">
        <f t="shared" ref="C42:F44" si="4">C36/$F$38</f>
        <v>0.20487804878048774</v>
      </c>
      <c r="D42" s="168">
        <f t="shared" si="4"/>
        <v>0.79219512195121966</v>
      </c>
      <c r="E42" s="168">
        <f t="shared" si="4"/>
        <v>2.9268292682926821E-3</v>
      </c>
      <c r="F42" s="169">
        <f t="shared" si="4"/>
        <v>1</v>
      </c>
    </row>
    <row r="43" spans="1:6" ht="15.75" thickBot="1">
      <c r="B43" s="144" t="s">
        <v>125</v>
      </c>
      <c r="C43" s="170">
        <f t="shared" si="4"/>
        <v>0</v>
      </c>
      <c r="D43" s="170">
        <f t="shared" si="4"/>
        <v>0</v>
      </c>
      <c r="E43" s="170">
        <f t="shared" si="4"/>
        <v>0</v>
      </c>
      <c r="F43" s="171">
        <f t="shared" si="4"/>
        <v>0</v>
      </c>
    </row>
    <row r="44" spans="1:6" ht="15.75" thickBot="1">
      <c r="B44" s="142" t="s">
        <v>96</v>
      </c>
      <c r="C44" s="166">
        <f t="shared" si="4"/>
        <v>0.20487804878048774</v>
      </c>
      <c r="D44" s="166">
        <f t="shared" si="4"/>
        <v>0.79219512195121966</v>
      </c>
      <c r="E44" s="166">
        <f t="shared" si="4"/>
        <v>2.9268292682926821E-3</v>
      </c>
      <c r="F44" s="167">
        <f t="shared" si="4"/>
        <v>1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38"/>
  <sheetViews>
    <sheetView workbookViewId="0">
      <selection sqref="A1:XFD1048576"/>
    </sheetView>
  </sheetViews>
  <sheetFormatPr defaultColWidth="11.42578125" defaultRowHeight="15"/>
  <cols>
    <col min="1" max="1" width="31.28515625" bestFit="1" customWidth="1"/>
    <col min="5" max="7" width="7.85546875" bestFit="1" customWidth="1"/>
    <col min="8" max="8" width="6.140625" bestFit="1" customWidth="1"/>
    <col min="9" max="10" width="7" bestFit="1" customWidth="1"/>
  </cols>
  <sheetData>
    <row r="1" spans="1:10">
      <c r="A1" s="350" t="s">
        <v>107</v>
      </c>
      <c r="B1" s="350" t="s">
        <v>186</v>
      </c>
      <c r="C1" s="350" t="s">
        <v>109</v>
      </c>
      <c r="D1" s="350" t="s">
        <v>92</v>
      </c>
      <c r="E1" s="351" t="s">
        <v>131</v>
      </c>
      <c r="F1" s="352"/>
      <c r="G1" s="353"/>
      <c r="H1" s="351" t="s">
        <v>132</v>
      </c>
      <c r="I1" s="352"/>
      <c r="J1" s="353"/>
    </row>
    <row r="2" spans="1:10">
      <c r="A2" s="354"/>
      <c r="B2" s="354"/>
      <c r="C2" s="354"/>
      <c r="D2" s="354"/>
      <c r="E2" s="355">
        <v>2008</v>
      </c>
      <c r="F2" s="356">
        <v>2009</v>
      </c>
      <c r="G2" s="357">
        <v>2010</v>
      </c>
      <c r="H2" s="358">
        <v>2008</v>
      </c>
      <c r="I2" s="356">
        <v>2009</v>
      </c>
      <c r="J2" s="359">
        <v>2010</v>
      </c>
    </row>
    <row r="3" spans="1:10">
      <c r="A3" s="177" t="s">
        <v>145</v>
      </c>
      <c r="B3" s="178">
        <f>VLOOKUP($A3,data,2,FALSE)</f>
        <v>6.8</v>
      </c>
      <c r="C3" s="178">
        <f t="shared" ref="C3:C39" si="0">VLOOKUP($A3,data,3,FALSE)</f>
        <v>2010</v>
      </c>
      <c r="D3" s="178" t="str">
        <f t="shared" ref="D3:D39" si="1">VLOOKUP($A3,data,5,FALSE)</f>
        <v>Fuel Oil</v>
      </c>
      <c r="E3" s="182">
        <f t="shared" ref="E3:E39" si="2">VLOOKUP($A3,data,7,FALSE)</f>
        <v>0</v>
      </c>
      <c r="F3" s="282">
        <f t="shared" ref="F3:F39" si="3">VLOOKUP($A3,data,8,FALSE)</f>
        <v>0</v>
      </c>
      <c r="G3" s="180">
        <f t="shared" ref="G3:G39" si="4">VLOOKUP($A3,data,9,FALSE)</f>
        <v>24545.51</v>
      </c>
      <c r="H3" s="182">
        <f t="shared" ref="H3:H39" si="5">VLOOKUP($A3,data,10,FALSE)</f>
        <v>0</v>
      </c>
      <c r="I3" s="282">
        <f t="shared" ref="I3:I39" si="6">VLOOKUP($A3,data,11,FALSE)</f>
        <v>0</v>
      </c>
      <c r="J3" s="188">
        <f t="shared" ref="J3:J39" si="7">VLOOKUP($A3,data,13,FALSE)</f>
        <v>1476.8658243080624</v>
      </c>
    </row>
    <row r="4" spans="1:10">
      <c r="A4" s="177" t="s">
        <v>149</v>
      </c>
      <c r="B4" s="178">
        <f t="shared" ref="B4:B39" si="8">VLOOKUP(A4,data,2,FALSE)</f>
        <v>6.8</v>
      </c>
      <c r="C4" s="178">
        <f t="shared" si="0"/>
        <v>2010</v>
      </c>
      <c r="D4" s="179" t="str">
        <f t="shared" si="1"/>
        <v>Fuel Oil</v>
      </c>
      <c r="E4" s="182">
        <f t="shared" si="2"/>
        <v>0</v>
      </c>
      <c r="F4" s="282">
        <f t="shared" si="3"/>
        <v>0</v>
      </c>
      <c r="G4" s="180">
        <f t="shared" si="4"/>
        <v>23593.33</v>
      </c>
      <c r="H4" s="182">
        <f t="shared" si="5"/>
        <v>0</v>
      </c>
      <c r="I4" s="282">
        <f t="shared" si="6"/>
        <v>0</v>
      </c>
      <c r="J4" s="183">
        <f t="shared" si="7"/>
        <v>1418.7209861695733</v>
      </c>
    </row>
    <row r="5" spans="1:10">
      <c r="A5" s="177" t="s">
        <v>150</v>
      </c>
      <c r="B5" s="178">
        <f t="shared" si="8"/>
        <v>6.8</v>
      </c>
      <c r="C5" s="178">
        <f t="shared" si="0"/>
        <v>2010</v>
      </c>
      <c r="D5" s="179" t="str">
        <f t="shared" si="1"/>
        <v>Fuel Oil</v>
      </c>
      <c r="E5" s="182">
        <f t="shared" si="2"/>
        <v>0</v>
      </c>
      <c r="F5" s="282">
        <f t="shared" si="3"/>
        <v>0</v>
      </c>
      <c r="G5" s="180">
        <f t="shared" si="4"/>
        <v>23153.22</v>
      </c>
      <c r="H5" s="182">
        <f t="shared" si="5"/>
        <v>0</v>
      </c>
      <c r="I5" s="282">
        <f t="shared" si="6"/>
        <v>0</v>
      </c>
      <c r="J5" s="183">
        <f t="shared" si="7"/>
        <v>1392.2561635598317</v>
      </c>
    </row>
    <row r="6" spans="1:10">
      <c r="A6" s="177" t="s">
        <v>151</v>
      </c>
      <c r="B6" s="178">
        <f t="shared" si="8"/>
        <v>6.8</v>
      </c>
      <c r="C6" s="178">
        <f t="shared" si="0"/>
        <v>2010</v>
      </c>
      <c r="D6" s="178" t="str">
        <f t="shared" si="1"/>
        <v>Fuel Oil</v>
      </c>
      <c r="E6" s="182">
        <f t="shared" si="2"/>
        <v>0</v>
      </c>
      <c r="F6" s="282">
        <f t="shared" si="3"/>
        <v>0</v>
      </c>
      <c r="G6" s="180">
        <f t="shared" si="4"/>
        <v>22970.53</v>
      </c>
      <c r="H6" s="182">
        <f t="shared" si="5"/>
        <v>0</v>
      </c>
      <c r="I6" s="282">
        <f t="shared" si="6"/>
        <v>0</v>
      </c>
      <c r="J6" s="183">
        <f t="shared" si="7"/>
        <v>1381.2705953096813</v>
      </c>
    </row>
    <row r="7" spans="1:10">
      <c r="A7" s="177" t="s">
        <v>152</v>
      </c>
      <c r="B7" s="178">
        <f t="shared" si="8"/>
        <v>6.8</v>
      </c>
      <c r="C7" s="178">
        <f t="shared" si="0"/>
        <v>2010</v>
      </c>
      <c r="D7" s="178" t="str">
        <f t="shared" si="1"/>
        <v>Fuel Oil</v>
      </c>
      <c r="E7" s="182">
        <f t="shared" si="2"/>
        <v>0</v>
      </c>
      <c r="F7" s="282">
        <f t="shared" si="3"/>
        <v>0</v>
      </c>
      <c r="G7" s="180">
        <f t="shared" si="4"/>
        <v>22509.3</v>
      </c>
      <c r="H7" s="182">
        <f t="shared" si="5"/>
        <v>0</v>
      </c>
      <c r="I7" s="282">
        <f t="shared" si="6"/>
        <v>0</v>
      </c>
      <c r="J7" s="183">
        <f t="shared" si="7"/>
        <v>1353.5357787131691</v>
      </c>
    </row>
    <row r="8" spans="1:10">
      <c r="A8" s="177" t="s">
        <v>153</v>
      </c>
      <c r="B8" s="178">
        <f t="shared" si="8"/>
        <v>6.8</v>
      </c>
      <c r="C8" s="178">
        <f t="shared" si="0"/>
        <v>2010</v>
      </c>
      <c r="D8" s="178" t="str">
        <f t="shared" si="1"/>
        <v>Fuel Oil</v>
      </c>
      <c r="E8" s="182">
        <f t="shared" si="2"/>
        <v>0</v>
      </c>
      <c r="F8" s="282">
        <f t="shared" si="3"/>
        <v>0</v>
      </c>
      <c r="G8" s="180">
        <f t="shared" si="4"/>
        <v>21394.880000000001</v>
      </c>
      <c r="H8" s="182">
        <f t="shared" si="5"/>
        <v>0</v>
      </c>
      <c r="I8" s="282">
        <f t="shared" si="6"/>
        <v>0</v>
      </c>
      <c r="J8" s="183">
        <f t="shared" si="7"/>
        <v>1286.5231509320506</v>
      </c>
    </row>
    <row r="9" spans="1:10">
      <c r="A9" s="177" t="s">
        <v>146</v>
      </c>
      <c r="B9" s="178">
        <f t="shared" si="8"/>
        <v>6.8</v>
      </c>
      <c r="C9" s="178">
        <f t="shared" si="0"/>
        <v>2010</v>
      </c>
      <c r="D9" s="178" t="str">
        <f t="shared" si="1"/>
        <v>Fuel Oil</v>
      </c>
      <c r="E9" s="182">
        <f t="shared" si="2"/>
        <v>0</v>
      </c>
      <c r="F9" s="282">
        <f t="shared" si="3"/>
        <v>0</v>
      </c>
      <c r="G9" s="180">
        <f t="shared" si="4"/>
        <v>15640.5</v>
      </c>
      <c r="H9" s="182">
        <f t="shared" si="5"/>
        <v>0</v>
      </c>
      <c r="I9" s="282">
        <f t="shared" si="6"/>
        <v>0</v>
      </c>
      <c r="J9" s="183">
        <f t="shared" si="7"/>
        <v>941.63154726068638</v>
      </c>
    </row>
    <row r="10" spans="1:10">
      <c r="A10" s="177" t="s">
        <v>159</v>
      </c>
      <c r="B10" s="178">
        <f t="shared" si="8"/>
        <v>6.8</v>
      </c>
      <c r="C10" s="178">
        <f t="shared" si="0"/>
        <v>2010</v>
      </c>
      <c r="D10" s="178" t="str">
        <f t="shared" si="1"/>
        <v>Fuel Oil</v>
      </c>
      <c r="E10" s="182">
        <f t="shared" si="2"/>
        <v>0</v>
      </c>
      <c r="F10" s="282">
        <f t="shared" si="3"/>
        <v>0</v>
      </c>
      <c r="G10" s="180">
        <f t="shared" si="4"/>
        <v>16269.67</v>
      </c>
      <c r="H10" s="182">
        <f t="shared" si="5"/>
        <v>0</v>
      </c>
      <c r="I10" s="282">
        <f t="shared" si="6"/>
        <v>0</v>
      </c>
      <c r="J10" s="183">
        <f t="shared" si="7"/>
        <v>980.10060240963844</v>
      </c>
    </row>
    <row r="11" spans="1:10">
      <c r="A11" s="177" t="s">
        <v>160</v>
      </c>
      <c r="B11" s="178">
        <f t="shared" si="8"/>
        <v>6.8</v>
      </c>
      <c r="C11" s="178">
        <f t="shared" si="0"/>
        <v>2010</v>
      </c>
      <c r="D11" s="178" t="str">
        <f t="shared" si="1"/>
        <v>Fuel Oil</v>
      </c>
      <c r="E11" s="182">
        <f t="shared" si="2"/>
        <v>0</v>
      </c>
      <c r="F11" s="282">
        <f t="shared" si="3"/>
        <v>0</v>
      </c>
      <c r="G11" s="180">
        <f t="shared" si="4"/>
        <v>18234.21</v>
      </c>
      <c r="H11" s="182">
        <f t="shared" si="5"/>
        <v>0</v>
      </c>
      <c r="I11" s="282">
        <f t="shared" si="6"/>
        <v>0</v>
      </c>
      <c r="J11" s="183">
        <f t="shared" si="7"/>
        <v>1088.6095522388059</v>
      </c>
    </row>
    <row r="12" spans="1:10">
      <c r="A12" s="177" t="s">
        <v>161</v>
      </c>
      <c r="B12" s="178">
        <f t="shared" si="8"/>
        <v>6.8</v>
      </c>
      <c r="C12" s="178">
        <f t="shared" si="0"/>
        <v>2010</v>
      </c>
      <c r="D12" s="178" t="str">
        <f t="shared" si="1"/>
        <v>Fuel Oil</v>
      </c>
      <c r="E12" s="182">
        <f t="shared" si="2"/>
        <v>0</v>
      </c>
      <c r="F12" s="282">
        <f t="shared" si="3"/>
        <v>0</v>
      </c>
      <c r="G12" s="180">
        <f t="shared" si="4"/>
        <v>17627.47</v>
      </c>
      <c r="H12" s="182">
        <f t="shared" si="5"/>
        <v>0</v>
      </c>
      <c r="I12" s="282">
        <f t="shared" si="6"/>
        <v>0</v>
      </c>
      <c r="J12" s="183">
        <f t="shared" si="7"/>
        <v>1056.8027577937651</v>
      </c>
    </row>
    <row r="13" spans="1:10">
      <c r="A13" s="177" t="s">
        <v>148</v>
      </c>
      <c r="B13" s="178">
        <f t="shared" si="8"/>
        <v>23</v>
      </c>
      <c r="C13" s="178">
        <f t="shared" si="0"/>
        <v>2010</v>
      </c>
      <c r="D13" s="178" t="str">
        <f t="shared" si="1"/>
        <v>Wind</v>
      </c>
      <c r="E13" s="182">
        <f t="shared" si="2"/>
        <v>0</v>
      </c>
      <c r="F13" s="282">
        <f t="shared" si="3"/>
        <v>0</v>
      </c>
      <c r="G13" s="180">
        <f t="shared" si="4"/>
        <v>49712.81</v>
      </c>
      <c r="H13" s="182">
        <f t="shared" si="5"/>
        <v>0</v>
      </c>
      <c r="I13" s="282">
        <f t="shared" si="6"/>
        <v>0</v>
      </c>
      <c r="J13" s="183">
        <f t="shared" si="7"/>
        <v>0</v>
      </c>
    </row>
    <row r="14" spans="1:10">
      <c r="A14" s="177" t="s">
        <v>142</v>
      </c>
      <c r="B14" s="178">
        <f t="shared" si="8"/>
        <v>6.8</v>
      </c>
      <c r="C14" s="178">
        <f t="shared" si="0"/>
        <v>2009</v>
      </c>
      <c r="D14" s="178" t="str">
        <f t="shared" si="1"/>
        <v>Fuel Oil</v>
      </c>
      <c r="E14" s="182">
        <f t="shared" si="2"/>
        <v>0</v>
      </c>
      <c r="F14" s="282">
        <f t="shared" si="3"/>
        <v>29482.400000000001</v>
      </c>
      <c r="G14" s="180">
        <f t="shared" si="4"/>
        <v>15561.87</v>
      </c>
      <c r="H14" s="182">
        <f t="shared" si="5"/>
        <v>0</v>
      </c>
      <c r="I14" s="282">
        <f t="shared" si="6"/>
        <v>1854.34</v>
      </c>
      <c r="J14" s="183">
        <f t="shared" si="7"/>
        <v>942.57238037552997</v>
      </c>
    </row>
    <row r="15" spans="1:10">
      <c r="A15" s="177" t="s">
        <v>164</v>
      </c>
      <c r="B15" s="178">
        <f t="shared" si="8"/>
        <v>0</v>
      </c>
      <c r="C15" s="178">
        <f t="shared" si="0"/>
        <v>2009</v>
      </c>
      <c r="D15" s="178" t="str">
        <f t="shared" si="1"/>
        <v>Diesel</v>
      </c>
      <c r="E15" s="182">
        <f t="shared" si="2"/>
        <v>0</v>
      </c>
      <c r="F15" s="282">
        <f t="shared" si="3"/>
        <v>0</v>
      </c>
      <c r="G15" s="180">
        <f t="shared" si="4"/>
        <v>0</v>
      </c>
      <c r="H15" s="182">
        <f t="shared" si="5"/>
        <v>0</v>
      </c>
      <c r="I15" s="282">
        <f t="shared" si="6"/>
        <v>14.02</v>
      </c>
      <c r="J15" s="183">
        <f t="shared" si="7"/>
        <v>0</v>
      </c>
    </row>
    <row r="16" spans="1:10">
      <c r="A16" s="177" t="s">
        <v>157</v>
      </c>
      <c r="B16" s="178">
        <f t="shared" si="8"/>
        <v>6.8</v>
      </c>
      <c r="C16" s="178">
        <f t="shared" si="0"/>
        <v>2009</v>
      </c>
      <c r="D16" s="178" t="str">
        <f t="shared" si="1"/>
        <v>Fuel Oil</v>
      </c>
      <c r="E16" s="182">
        <f t="shared" si="2"/>
        <v>0</v>
      </c>
      <c r="F16" s="282">
        <f t="shared" si="3"/>
        <v>29478.95</v>
      </c>
      <c r="G16" s="180">
        <f t="shared" si="4"/>
        <v>15408.67</v>
      </c>
      <c r="H16" s="182">
        <f t="shared" si="5"/>
        <v>0</v>
      </c>
      <c r="I16" s="282">
        <f t="shared" si="6"/>
        <v>1848.91</v>
      </c>
      <c r="J16" s="183">
        <f t="shared" si="7"/>
        <v>933.85878787878789</v>
      </c>
    </row>
    <row r="17" spans="1:10">
      <c r="A17" s="184" t="s">
        <v>165</v>
      </c>
      <c r="B17" s="178">
        <f t="shared" si="8"/>
        <v>0</v>
      </c>
      <c r="C17" s="178">
        <f t="shared" si="0"/>
        <v>2009</v>
      </c>
      <c r="D17" s="178" t="str">
        <f t="shared" si="1"/>
        <v>Diesel</v>
      </c>
      <c r="E17" s="182">
        <f t="shared" si="2"/>
        <v>0</v>
      </c>
      <c r="F17" s="283">
        <f t="shared" si="3"/>
        <v>0</v>
      </c>
      <c r="G17" s="185">
        <f t="shared" si="4"/>
        <v>0</v>
      </c>
      <c r="H17" s="182">
        <f t="shared" si="5"/>
        <v>0</v>
      </c>
      <c r="I17" s="282">
        <f t="shared" si="6"/>
        <v>12.71</v>
      </c>
      <c r="J17" s="183">
        <f t="shared" si="7"/>
        <v>0</v>
      </c>
    </row>
    <row r="18" spans="1:10">
      <c r="A18" s="184" t="s">
        <v>158</v>
      </c>
      <c r="B18" s="178">
        <f t="shared" si="8"/>
        <v>6.8</v>
      </c>
      <c r="C18" s="178">
        <f t="shared" si="0"/>
        <v>2009</v>
      </c>
      <c r="D18" s="178" t="str">
        <f t="shared" si="1"/>
        <v>Fuel Oil</v>
      </c>
      <c r="E18" s="274">
        <f t="shared" si="2"/>
        <v>0</v>
      </c>
      <c r="F18" s="283">
        <f t="shared" si="3"/>
        <v>30964.92</v>
      </c>
      <c r="G18" s="185">
        <f t="shared" si="4"/>
        <v>12903.04</v>
      </c>
      <c r="H18" s="182">
        <f t="shared" si="5"/>
        <v>0</v>
      </c>
      <c r="I18" s="282">
        <f t="shared" si="6"/>
        <v>1899.16</v>
      </c>
      <c r="J18" s="183">
        <f t="shared" si="7"/>
        <v>782.00242424242424</v>
      </c>
    </row>
    <row r="19" spans="1:10">
      <c r="A19" s="177" t="s">
        <v>166</v>
      </c>
      <c r="B19" s="178">
        <f t="shared" si="8"/>
        <v>0</v>
      </c>
      <c r="C19" s="178">
        <f t="shared" si="0"/>
        <v>2009</v>
      </c>
      <c r="D19" s="178" t="str">
        <f t="shared" si="1"/>
        <v>Diesel</v>
      </c>
      <c r="E19" s="182">
        <f t="shared" si="2"/>
        <v>0</v>
      </c>
      <c r="F19" s="282">
        <f t="shared" si="3"/>
        <v>0</v>
      </c>
      <c r="G19" s="180">
        <f t="shared" si="4"/>
        <v>0</v>
      </c>
      <c r="H19" s="186">
        <f t="shared" si="5"/>
        <v>0</v>
      </c>
      <c r="I19" s="286">
        <f t="shared" si="6"/>
        <v>11.85</v>
      </c>
      <c r="J19" s="188">
        <f t="shared" si="7"/>
        <v>0</v>
      </c>
    </row>
    <row r="20" spans="1:10">
      <c r="A20" s="184" t="s">
        <v>143</v>
      </c>
      <c r="B20" s="178">
        <f t="shared" si="8"/>
        <v>6.8</v>
      </c>
      <c r="C20" s="178">
        <f t="shared" si="0"/>
        <v>2009</v>
      </c>
      <c r="D20" s="178" t="str">
        <f t="shared" si="1"/>
        <v>Fuel Oil</v>
      </c>
      <c r="E20" s="274">
        <f t="shared" si="2"/>
        <v>0</v>
      </c>
      <c r="F20" s="283">
        <f t="shared" si="3"/>
        <v>29702.3</v>
      </c>
      <c r="G20" s="185">
        <f t="shared" si="4"/>
        <v>10086.31</v>
      </c>
      <c r="H20" s="182">
        <f t="shared" si="5"/>
        <v>0</v>
      </c>
      <c r="I20" s="282">
        <f t="shared" si="6"/>
        <v>1854.59</v>
      </c>
      <c r="J20" s="183">
        <f t="shared" si="7"/>
        <v>611.66221952698606</v>
      </c>
    </row>
    <row r="21" spans="1:10">
      <c r="A21" s="184" t="s">
        <v>167</v>
      </c>
      <c r="B21" s="178">
        <f t="shared" si="8"/>
        <v>0</v>
      </c>
      <c r="C21" s="178">
        <f t="shared" si="0"/>
        <v>2009</v>
      </c>
      <c r="D21" s="178" t="str">
        <f t="shared" si="1"/>
        <v>Diesel</v>
      </c>
      <c r="E21" s="274">
        <f t="shared" si="2"/>
        <v>0</v>
      </c>
      <c r="F21" s="283">
        <f t="shared" si="3"/>
        <v>0</v>
      </c>
      <c r="G21" s="185">
        <f t="shared" si="4"/>
        <v>0</v>
      </c>
      <c r="H21" s="182">
        <f t="shared" si="5"/>
        <v>0</v>
      </c>
      <c r="I21" s="282">
        <f t="shared" si="6"/>
        <v>10.44</v>
      </c>
      <c r="J21" s="183">
        <f t="shared" si="7"/>
        <v>0</v>
      </c>
    </row>
    <row r="22" spans="1:10">
      <c r="A22" s="189" t="s">
        <v>155</v>
      </c>
      <c r="B22" s="178">
        <f t="shared" si="8"/>
        <v>6.8</v>
      </c>
      <c r="C22" s="178">
        <f t="shared" si="0"/>
        <v>2009</v>
      </c>
      <c r="D22" s="178" t="str">
        <f t="shared" si="1"/>
        <v>Fuel Oil</v>
      </c>
      <c r="E22" s="182">
        <f t="shared" si="2"/>
        <v>0</v>
      </c>
      <c r="F22" s="282">
        <f t="shared" si="3"/>
        <v>29160.21</v>
      </c>
      <c r="G22" s="180">
        <f t="shared" si="4"/>
        <v>12859.91</v>
      </c>
      <c r="H22" s="182">
        <f t="shared" si="5"/>
        <v>0</v>
      </c>
      <c r="I22" s="282">
        <f t="shared" si="6"/>
        <v>1797.84</v>
      </c>
      <c r="J22" s="183">
        <f t="shared" si="7"/>
        <v>779.86112795633721</v>
      </c>
    </row>
    <row r="23" spans="1:10">
      <c r="A23" s="189" t="s">
        <v>168</v>
      </c>
      <c r="B23" s="178">
        <f t="shared" si="8"/>
        <v>0</v>
      </c>
      <c r="C23" s="178">
        <f t="shared" si="0"/>
        <v>2009</v>
      </c>
      <c r="D23" s="178" t="str">
        <f t="shared" si="1"/>
        <v>Diesel</v>
      </c>
      <c r="E23" s="182">
        <f t="shared" si="2"/>
        <v>0</v>
      </c>
      <c r="F23" s="282">
        <f t="shared" si="3"/>
        <v>0</v>
      </c>
      <c r="G23" s="180">
        <f t="shared" si="4"/>
        <v>0</v>
      </c>
      <c r="H23" s="182">
        <f t="shared" si="5"/>
        <v>0</v>
      </c>
      <c r="I23" s="282">
        <f t="shared" si="6"/>
        <v>12.12</v>
      </c>
      <c r="J23" s="183">
        <f t="shared" si="7"/>
        <v>0</v>
      </c>
    </row>
    <row r="24" spans="1:10">
      <c r="A24" s="177" t="s">
        <v>156</v>
      </c>
      <c r="B24" s="178">
        <f t="shared" si="8"/>
        <v>6.8</v>
      </c>
      <c r="C24" s="178">
        <f t="shared" si="0"/>
        <v>2009</v>
      </c>
      <c r="D24" s="178" t="str">
        <f t="shared" si="1"/>
        <v>Fuel Oil</v>
      </c>
      <c r="E24" s="182">
        <f t="shared" si="2"/>
        <v>0</v>
      </c>
      <c r="F24" s="282">
        <f t="shared" si="3"/>
        <v>26158.66</v>
      </c>
      <c r="G24" s="180">
        <f t="shared" si="4"/>
        <v>9966.4699999999993</v>
      </c>
      <c r="H24" s="182">
        <f t="shared" si="5"/>
        <v>0</v>
      </c>
      <c r="I24" s="282">
        <f t="shared" si="6"/>
        <v>1658.17</v>
      </c>
      <c r="J24" s="183">
        <f t="shared" si="7"/>
        <v>604.3947847180109</v>
      </c>
    </row>
    <row r="25" spans="1:10">
      <c r="A25" s="189" t="s">
        <v>169</v>
      </c>
      <c r="B25" s="178">
        <f t="shared" si="8"/>
        <v>0</v>
      </c>
      <c r="C25" s="178">
        <f t="shared" si="0"/>
        <v>2009</v>
      </c>
      <c r="D25" s="178" t="str">
        <f t="shared" si="1"/>
        <v>Diesel</v>
      </c>
      <c r="E25" s="182">
        <f t="shared" si="2"/>
        <v>0</v>
      </c>
      <c r="F25" s="282">
        <f t="shared" si="3"/>
        <v>0</v>
      </c>
      <c r="G25" s="180">
        <f t="shared" si="4"/>
        <v>0</v>
      </c>
      <c r="H25" s="182">
        <f t="shared" si="5"/>
        <v>0</v>
      </c>
      <c r="I25" s="282">
        <f t="shared" si="6"/>
        <v>15.92</v>
      </c>
      <c r="J25" s="183">
        <f t="shared" si="7"/>
        <v>0</v>
      </c>
    </row>
    <row r="26" spans="1:10">
      <c r="A26" s="189" t="s">
        <v>144</v>
      </c>
      <c r="B26" s="178">
        <f t="shared" si="8"/>
        <v>6.8</v>
      </c>
      <c r="C26" s="178">
        <f t="shared" si="0"/>
        <v>2009</v>
      </c>
      <c r="D26" s="178" t="str">
        <f t="shared" si="1"/>
        <v>Fuel Oil</v>
      </c>
      <c r="E26" s="182">
        <f t="shared" si="2"/>
        <v>0</v>
      </c>
      <c r="F26" s="282">
        <f t="shared" si="3"/>
        <v>1523.29</v>
      </c>
      <c r="G26" s="180">
        <f t="shared" si="4"/>
        <v>31022.880000000001</v>
      </c>
      <c r="H26" s="182">
        <f t="shared" si="5"/>
        <v>0</v>
      </c>
      <c r="I26" s="282">
        <f t="shared" si="6"/>
        <v>95.07</v>
      </c>
      <c r="J26" s="183">
        <f t="shared" si="7"/>
        <v>1827.0247349823321</v>
      </c>
    </row>
    <row r="27" spans="1:10">
      <c r="A27" s="189" t="s">
        <v>170</v>
      </c>
      <c r="B27" s="178">
        <f t="shared" si="8"/>
        <v>0</v>
      </c>
      <c r="C27" s="178">
        <f t="shared" si="0"/>
        <v>2009</v>
      </c>
      <c r="D27" s="178" t="str">
        <f t="shared" si="1"/>
        <v>Diesel</v>
      </c>
      <c r="E27" s="182">
        <f t="shared" si="2"/>
        <v>0</v>
      </c>
      <c r="F27" s="282">
        <f t="shared" si="3"/>
        <v>0</v>
      </c>
      <c r="G27" s="180">
        <f t="shared" si="4"/>
        <v>0</v>
      </c>
      <c r="H27" s="182">
        <f t="shared" si="5"/>
        <v>0</v>
      </c>
      <c r="I27" s="282">
        <f t="shared" si="6"/>
        <v>15.35</v>
      </c>
      <c r="J27" s="188">
        <f t="shared" si="7"/>
        <v>0</v>
      </c>
    </row>
    <row r="28" spans="1:10">
      <c r="A28" s="189" t="s">
        <v>154</v>
      </c>
      <c r="B28" s="178">
        <f t="shared" si="8"/>
        <v>6.8</v>
      </c>
      <c r="C28" s="178">
        <f t="shared" si="0"/>
        <v>2009</v>
      </c>
      <c r="D28" s="178" t="str">
        <f t="shared" si="1"/>
        <v>Fuel Oil</v>
      </c>
      <c r="E28" s="182">
        <f t="shared" si="2"/>
        <v>0</v>
      </c>
      <c r="F28" s="282">
        <f t="shared" si="3"/>
        <v>1827.95</v>
      </c>
      <c r="G28" s="180">
        <f t="shared" si="4"/>
        <v>32588.02</v>
      </c>
      <c r="H28" s="182">
        <f t="shared" si="5"/>
        <v>0</v>
      </c>
      <c r="I28" s="282">
        <f t="shared" si="6"/>
        <v>114.08</v>
      </c>
      <c r="J28" s="183">
        <f t="shared" si="7"/>
        <v>1989.5006105006107</v>
      </c>
    </row>
    <row r="29" spans="1:10">
      <c r="A29" s="189" t="s">
        <v>171</v>
      </c>
      <c r="B29" s="178">
        <f t="shared" si="8"/>
        <v>0</v>
      </c>
      <c r="C29" s="178">
        <f t="shared" si="0"/>
        <v>2009</v>
      </c>
      <c r="D29" s="178" t="str">
        <f t="shared" si="1"/>
        <v>Diesel</v>
      </c>
      <c r="E29" s="182">
        <f t="shared" si="2"/>
        <v>0</v>
      </c>
      <c r="F29" s="282">
        <f t="shared" si="3"/>
        <v>0</v>
      </c>
      <c r="G29" s="180">
        <f t="shared" si="4"/>
        <v>0</v>
      </c>
      <c r="H29" s="182">
        <f t="shared" si="5"/>
        <v>0</v>
      </c>
      <c r="I29" s="282">
        <f t="shared" si="6"/>
        <v>0</v>
      </c>
      <c r="J29" s="183">
        <f t="shared" si="7"/>
        <v>0</v>
      </c>
    </row>
    <row r="30" spans="1:10">
      <c r="A30" s="189" t="s">
        <v>147</v>
      </c>
      <c r="B30" s="178">
        <f t="shared" si="8"/>
        <v>40</v>
      </c>
      <c r="C30" s="178">
        <f t="shared" si="0"/>
        <v>2009</v>
      </c>
      <c r="D30" s="178" t="str">
        <f t="shared" si="1"/>
        <v>Wind</v>
      </c>
      <c r="E30" s="182">
        <f t="shared" si="2"/>
        <v>0</v>
      </c>
      <c r="F30" s="282">
        <f t="shared" si="3"/>
        <v>109845.58</v>
      </c>
      <c r="G30" s="180">
        <f t="shared" si="4"/>
        <v>110583.33</v>
      </c>
      <c r="H30" s="182">
        <f t="shared" si="5"/>
        <v>0</v>
      </c>
      <c r="I30" s="282">
        <f t="shared" si="6"/>
        <v>0</v>
      </c>
      <c r="J30" s="183">
        <f t="shared" si="7"/>
        <v>0</v>
      </c>
    </row>
    <row r="31" spans="1:10">
      <c r="A31" s="184" t="s">
        <v>188</v>
      </c>
      <c r="B31" s="178">
        <f t="shared" si="8"/>
        <v>6.8</v>
      </c>
      <c r="C31" s="178">
        <f t="shared" si="0"/>
        <v>2008</v>
      </c>
      <c r="D31" s="178" t="str">
        <f t="shared" si="1"/>
        <v>Fuel Oil</v>
      </c>
      <c r="E31" s="274">
        <f t="shared" si="2"/>
        <v>16130.27</v>
      </c>
      <c r="F31" s="283">
        <f t="shared" si="3"/>
        <v>32815.040000000001</v>
      </c>
      <c r="G31" s="185">
        <f t="shared" si="4"/>
        <v>15173.71</v>
      </c>
      <c r="H31" s="182">
        <f t="shared" si="5"/>
        <v>997.41</v>
      </c>
      <c r="I31" s="282">
        <f t="shared" si="6"/>
        <v>2081.0500000000002</v>
      </c>
      <c r="J31" s="188">
        <f t="shared" si="7"/>
        <v>925.22621951219514</v>
      </c>
    </row>
    <row r="32" spans="1:10">
      <c r="A32" s="184" t="s">
        <v>189</v>
      </c>
      <c r="B32" s="178">
        <f t="shared" si="8"/>
        <v>0</v>
      </c>
      <c r="C32" s="178">
        <f t="shared" si="0"/>
        <v>2008</v>
      </c>
      <c r="D32" s="178" t="str">
        <f t="shared" si="1"/>
        <v>Diesel</v>
      </c>
      <c r="E32" s="274">
        <f t="shared" si="2"/>
        <v>0</v>
      </c>
      <c r="F32" s="283">
        <f t="shared" si="3"/>
        <v>0</v>
      </c>
      <c r="G32" s="185">
        <f t="shared" si="4"/>
        <v>0</v>
      </c>
      <c r="H32" s="182">
        <f t="shared" si="5"/>
        <v>38.24</v>
      </c>
      <c r="I32" s="282">
        <f t="shared" si="6"/>
        <v>20.470000000000002</v>
      </c>
      <c r="J32" s="188">
        <f t="shared" si="7"/>
        <v>0</v>
      </c>
    </row>
    <row r="33" spans="1:10">
      <c r="A33" s="184" t="s">
        <v>190</v>
      </c>
      <c r="B33" s="178">
        <f t="shared" si="8"/>
        <v>6.8</v>
      </c>
      <c r="C33" s="178">
        <f t="shared" si="0"/>
        <v>2008</v>
      </c>
      <c r="D33" s="178" t="str">
        <f t="shared" si="1"/>
        <v>Fuel Oil</v>
      </c>
      <c r="E33" s="274">
        <f t="shared" si="2"/>
        <v>17472.28</v>
      </c>
      <c r="F33" s="282">
        <f t="shared" si="3"/>
        <v>33574.99</v>
      </c>
      <c r="G33" s="180">
        <f t="shared" si="4"/>
        <v>15257.08</v>
      </c>
      <c r="H33" s="182">
        <f t="shared" si="5"/>
        <v>1061.08</v>
      </c>
      <c r="I33" s="282">
        <f t="shared" si="6"/>
        <v>2095.1999999999998</v>
      </c>
      <c r="J33" s="188">
        <f t="shared" si="7"/>
        <v>932.58435207823959</v>
      </c>
    </row>
    <row r="34" spans="1:10">
      <c r="A34" s="184" t="s">
        <v>191</v>
      </c>
      <c r="B34" s="178">
        <f t="shared" si="8"/>
        <v>0</v>
      </c>
      <c r="C34" s="178">
        <f t="shared" si="0"/>
        <v>2008</v>
      </c>
      <c r="D34" s="178" t="str">
        <f t="shared" si="1"/>
        <v>Diesel</v>
      </c>
      <c r="E34" s="274">
        <f t="shared" si="2"/>
        <v>0</v>
      </c>
      <c r="F34" s="283">
        <f t="shared" si="3"/>
        <v>0</v>
      </c>
      <c r="G34" s="185">
        <f t="shared" si="4"/>
        <v>0</v>
      </c>
      <c r="H34" s="182">
        <f t="shared" si="5"/>
        <v>41</v>
      </c>
      <c r="I34" s="282">
        <f t="shared" si="6"/>
        <v>18.95</v>
      </c>
      <c r="J34" s="188">
        <f t="shared" si="7"/>
        <v>0</v>
      </c>
    </row>
    <row r="35" spans="1:10">
      <c r="A35" s="189" t="s">
        <v>192</v>
      </c>
      <c r="B35" s="178">
        <f t="shared" si="8"/>
        <v>6.8</v>
      </c>
      <c r="C35" s="178">
        <f t="shared" si="0"/>
        <v>2008</v>
      </c>
      <c r="D35" s="178" t="str">
        <f t="shared" si="1"/>
        <v>Fuel Oil</v>
      </c>
      <c r="E35" s="182">
        <f t="shared" si="2"/>
        <v>15024.89</v>
      </c>
      <c r="F35" s="282">
        <f t="shared" si="3"/>
        <v>32559.659999999996</v>
      </c>
      <c r="G35" s="180">
        <f t="shared" si="4"/>
        <v>14498.4</v>
      </c>
      <c r="H35" s="182">
        <f t="shared" si="5"/>
        <v>927.3</v>
      </c>
      <c r="I35" s="282">
        <f t="shared" si="6"/>
        <v>2051.73</v>
      </c>
      <c r="J35" s="183">
        <f t="shared" si="7"/>
        <v>887.8383343539499</v>
      </c>
    </row>
    <row r="36" spans="1:10">
      <c r="A36" s="184" t="s">
        <v>193</v>
      </c>
      <c r="B36" s="178">
        <f t="shared" si="8"/>
        <v>0</v>
      </c>
      <c r="C36" s="178">
        <f t="shared" si="0"/>
        <v>2008</v>
      </c>
      <c r="D36" s="178" t="str">
        <f t="shared" si="1"/>
        <v>Diesel</v>
      </c>
      <c r="E36" s="274">
        <f t="shared" si="2"/>
        <v>0</v>
      </c>
      <c r="F36" s="283">
        <f t="shared" si="3"/>
        <v>0</v>
      </c>
      <c r="G36" s="185">
        <f t="shared" si="4"/>
        <v>0</v>
      </c>
      <c r="H36" s="182">
        <f t="shared" si="5"/>
        <v>39.369999999999997</v>
      </c>
      <c r="I36" s="282">
        <f t="shared" si="6"/>
        <v>21.049999999999997</v>
      </c>
      <c r="J36" s="188">
        <f t="shared" si="7"/>
        <v>0</v>
      </c>
    </row>
    <row r="37" spans="1:10">
      <c r="A37" s="184" t="s">
        <v>194</v>
      </c>
      <c r="B37" s="178">
        <f t="shared" si="8"/>
        <v>6.8</v>
      </c>
      <c r="C37" s="178">
        <f t="shared" si="0"/>
        <v>2008</v>
      </c>
      <c r="D37" s="178" t="str">
        <f t="shared" si="1"/>
        <v>Fuel Oil</v>
      </c>
      <c r="E37" s="274">
        <f t="shared" si="2"/>
        <v>15385.06</v>
      </c>
      <c r="F37" s="282">
        <f t="shared" si="3"/>
        <v>31489.81</v>
      </c>
      <c r="G37" s="185">
        <f t="shared" si="4"/>
        <v>18034.009999999998</v>
      </c>
      <c r="H37" s="182">
        <f t="shared" si="5"/>
        <v>924.55</v>
      </c>
      <c r="I37" s="282">
        <f t="shared" si="6"/>
        <v>1974.94</v>
      </c>
      <c r="J37" s="188">
        <f t="shared" si="7"/>
        <v>1096.2924012158055</v>
      </c>
    </row>
    <row r="38" spans="1:10">
      <c r="A38" s="189" t="s">
        <v>195</v>
      </c>
      <c r="B38" s="178">
        <f t="shared" si="8"/>
        <v>0</v>
      </c>
      <c r="C38" s="178">
        <f t="shared" si="0"/>
        <v>2008</v>
      </c>
      <c r="D38" s="178" t="str">
        <f t="shared" si="1"/>
        <v>Diesel</v>
      </c>
      <c r="E38" s="182">
        <f t="shared" si="2"/>
        <v>0</v>
      </c>
      <c r="F38" s="282">
        <f t="shared" si="3"/>
        <v>0</v>
      </c>
      <c r="G38" s="180">
        <f t="shared" si="4"/>
        <v>0</v>
      </c>
      <c r="H38" s="182">
        <f t="shared" si="5"/>
        <v>28.14</v>
      </c>
      <c r="I38" s="282">
        <f t="shared" si="6"/>
        <v>20.73</v>
      </c>
      <c r="J38" s="188">
        <f t="shared" si="7"/>
        <v>0</v>
      </c>
    </row>
    <row r="39" spans="1:10">
      <c r="A39" s="190" t="s">
        <v>196</v>
      </c>
      <c r="B39" s="191">
        <f t="shared" si="8"/>
        <v>6.8</v>
      </c>
      <c r="C39" s="192">
        <f t="shared" si="0"/>
        <v>2008</v>
      </c>
      <c r="D39" s="192" t="str">
        <f t="shared" si="1"/>
        <v>Fuel Oil</v>
      </c>
      <c r="E39" s="194">
        <f t="shared" si="2"/>
        <v>14408.54</v>
      </c>
      <c r="F39" s="284">
        <f t="shared" si="3"/>
        <v>31739.919999999998</v>
      </c>
      <c r="G39" s="193">
        <f t="shared" si="4"/>
        <v>13235.44</v>
      </c>
      <c r="H39" s="194">
        <f t="shared" si="5"/>
        <v>864.55</v>
      </c>
      <c r="I39" s="284">
        <f t="shared" si="6"/>
        <v>1983.6100000000001</v>
      </c>
      <c r="J39" s="273">
        <f t="shared" si="7"/>
        <v>805.56542909312236</v>
      </c>
    </row>
    <row r="40" spans="1:10">
      <c r="A40" s="195"/>
      <c r="B40" s="196"/>
      <c r="C40" s="197"/>
      <c r="D40" s="197"/>
      <c r="E40" s="180"/>
      <c r="F40" s="180"/>
      <c r="G40" s="180"/>
      <c r="H40" s="180"/>
      <c r="I40" s="198"/>
      <c r="J40" s="199"/>
    </row>
    <row r="41" spans="1:10">
      <c r="A41" s="195"/>
      <c r="B41" s="196"/>
      <c r="C41" s="197"/>
      <c r="D41" s="197"/>
      <c r="E41" s="180"/>
      <c r="F41" s="180"/>
      <c r="G41" s="180"/>
      <c r="H41" s="180"/>
      <c r="I41" s="198"/>
      <c r="J41" s="199"/>
    </row>
    <row r="42" spans="1:10">
      <c r="A42" s="348" t="s">
        <v>107</v>
      </c>
      <c r="B42" s="348" t="s">
        <v>186</v>
      </c>
      <c r="C42" s="348" t="s">
        <v>109</v>
      </c>
      <c r="D42" s="348" t="s">
        <v>92</v>
      </c>
      <c r="E42" s="345" t="s">
        <v>131</v>
      </c>
      <c r="F42" s="346"/>
      <c r="G42" s="347"/>
      <c r="H42" s="345" t="s">
        <v>132</v>
      </c>
      <c r="I42" s="346"/>
      <c r="J42" s="347"/>
    </row>
    <row r="43" spans="1:10">
      <c r="A43" s="349"/>
      <c r="B43" s="349"/>
      <c r="C43" s="349"/>
      <c r="D43" s="349"/>
      <c r="E43" s="176">
        <v>2008</v>
      </c>
      <c r="F43" s="200">
        <v>2009</v>
      </c>
      <c r="G43" s="281">
        <v>2010</v>
      </c>
      <c r="H43" s="175">
        <v>2008</v>
      </c>
      <c r="I43" s="200">
        <v>2009</v>
      </c>
      <c r="J43" s="285">
        <v>2010</v>
      </c>
    </row>
    <row r="44" spans="1:10">
      <c r="A44" s="177" t="s">
        <v>197</v>
      </c>
      <c r="B44" s="178">
        <f>VLOOKUP($A44,data,2,FALSE)</f>
        <v>0</v>
      </c>
      <c r="C44" s="178">
        <f t="shared" ref="C44:C80" si="9">VLOOKUP($A44,data,3,FALSE)</f>
        <v>2008</v>
      </c>
      <c r="D44" s="178" t="str">
        <f t="shared" ref="D44:D80" si="10">VLOOKUP($A44,data,5,FALSE)</f>
        <v>Diesel</v>
      </c>
      <c r="E44" s="182">
        <f t="shared" ref="E44:E80" si="11">VLOOKUP($A44,data,7,FALSE)</f>
        <v>0</v>
      </c>
      <c r="F44" s="282">
        <f t="shared" ref="F44:F80" si="12">VLOOKUP($A44,data,8,FALSE)</f>
        <v>0</v>
      </c>
      <c r="G44" s="180">
        <f t="shared" ref="G44:G80" si="13">VLOOKUP($A44,data,9,FALSE)</f>
        <v>0</v>
      </c>
      <c r="H44" s="182">
        <f t="shared" ref="H44:H80" si="14">VLOOKUP($A44,data,10,FALSE)</f>
        <v>29.51</v>
      </c>
      <c r="I44" s="282">
        <f t="shared" ref="I44:I80" si="15">VLOOKUP($A44,data,11,FALSE)</f>
        <v>17.18</v>
      </c>
      <c r="J44" s="188">
        <f t="shared" ref="J44:J80" si="16">VLOOKUP($A44,data,13,FALSE)</f>
        <v>0</v>
      </c>
    </row>
    <row r="45" spans="1:10">
      <c r="A45" s="177" t="s">
        <v>198</v>
      </c>
      <c r="B45" s="178">
        <f t="shared" ref="B45:B80" si="17">VLOOKUP(A45,data,2,FALSE)</f>
        <v>6.8</v>
      </c>
      <c r="C45" s="178">
        <f t="shared" si="9"/>
        <v>2008</v>
      </c>
      <c r="D45" s="179" t="str">
        <f t="shared" si="10"/>
        <v>Fuel Oil</v>
      </c>
      <c r="E45" s="182">
        <f t="shared" si="11"/>
        <v>15485.3</v>
      </c>
      <c r="F45" s="282">
        <f t="shared" si="12"/>
        <v>30811.63</v>
      </c>
      <c r="G45" s="180">
        <f t="shared" si="13"/>
        <v>12938.57</v>
      </c>
      <c r="H45" s="182">
        <f t="shared" si="14"/>
        <v>958.58</v>
      </c>
      <c r="I45" s="282">
        <f t="shared" si="15"/>
        <v>1939.5100000000002</v>
      </c>
      <c r="J45" s="183">
        <f t="shared" si="16"/>
        <v>787.01763990267636</v>
      </c>
    </row>
    <row r="46" spans="1:10">
      <c r="A46" s="177" t="s">
        <v>199</v>
      </c>
      <c r="B46" s="178">
        <f t="shared" si="17"/>
        <v>0</v>
      </c>
      <c r="C46" s="178">
        <f t="shared" si="9"/>
        <v>2008</v>
      </c>
      <c r="D46" s="179" t="str">
        <f t="shared" si="10"/>
        <v>Diesel</v>
      </c>
      <c r="E46" s="182">
        <f t="shared" si="11"/>
        <v>0</v>
      </c>
      <c r="F46" s="282">
        <f t="shared" si="12"/>
        <v>0</v>
      </c>
      <c r="G46" s="180">
        <f t="shared" si="13"/>
        <v>0</v>
      </c>
      <c r="H46" s="182">
        <f t="shared" si="14"/>
        <v>27.4</v>
      </c>
      <c r="I46" s="282">
        <f t="shared" si="15"/>
        <v>20.25</v>
      </c>
      <c r="J46" s="183">
        <f t="shared" si="16"/>
        <v>0</v>
      </c>
    </row>
    <row r="47" spans="1:10">
      <c r="A47" s="177" t="s">
        <v>200</v>
      </c>
      <c r="B47" s="178">
        <f t="shared" si="17"/>
        <v>6.8</v>
      </c>
      <c r="C47" s="178">
        <f t="shared" si="9"/>
        <v>2008</v>
      </c>
      <c r="D47" s="178" t="str">
        <f t="shared" si="10"/>
        <v>Fuel Oil</v>
      </c>
      <c r="E47" s="182">
        <f t="shared" si="11"/>
        <v>5886.26</v>
      </c>
      <c r="F47" s="282">
        <f t="shared" si="12"/>
        <v>35098.589999999997</v>
      </c>
      <c r="G47" s="180">
        <f t="shared" si="13"/>
        <v>19685.72</v>
      </c>
      <c r="H47" s="182">
        <f t="shared" si="14"/>
        <v>297.14999999999998</v>
      </c>
      <c r="I47" s="282">
        <f t="shared" si="15"/>
        <v>2215.54</v>
      </c>
      <c r="J47" s="183">
        <f t="shared" si="16"/>
        <v>1203.2836185819071</v>
      </c>
    </row>
    <row r="48" spans="1:10">
      <c r="A48" s="177" t="s">
        <v>201</v>
      </c>
      <c r="B48" s="178">
        <f t="shared" si="17"/>
        <v>0</v>
      </c>
      <c r="C48" s="178">
        <f t="shared" si="9"/>
        <v>2008</v>
      </c>
      <c r="D48" s="178" t="str">
        <f t="shared" si="10"/>
        <v>Diesel</v>
      </c>
      <c r="E48" s="182">
        <f t="shared" si="11"/>
        <v>0</v>
      </c>
      <c r="F48" s="282">
        <f t="shared" si="12"/>
        <v>0</v>
      </c>
      <c r="G48" s="180">
        <f t="shared" si="13"/>
        <v>0</v>
      </c>
      <c r="H48" s="182">
        <f t="shared" si="14"/>
        <v>78.19</v>
      </c>
      <c r="I48" s="282">
        <f t="shared" si="15"/>
        <v>18.05</v>
      </c>
      <c r="J48" s="183">
        <f t="shared" si="16"/>
        <v>0</v>
      </c>
    </row>
    <row r="49" spans="1:10">
      <c r="A49" s="177" t="s">
        <v>202</v>
      </c>
      <c r="B49" s="178">
        <f t="shared" si="17"/>
        <v>6.8</v>
      </c>
      <c r="C49" s="178">
        <f t="shared" si="9"/>
        <v>2008</v>
      </c>
      <c r="D49" s="178" t="str">
        <f t="shared" si="10"/>
        <v>Fuel Oil</v>
      </c>
      <c r="E49" s="182">
        <f t="shared" si="11"/>
        <v>5988.31</v>
      </c>
      <c r="F49" s="282">
        <f t="shared" si="12"/>
        <v>33355.479999999996</v>
      </c>
      <c r="G49" s="180">
        <f t="shared" si="13"/>
        <v>19051.240000000002</v>
      </c>
      <c r="H49" s="182">
        <f t="shared" si="14"/>
        <v>307.37</v>
      </c>
      <c r="I49" s="282">
        <f t="shared" si="15"/>
        <v>2060.42</v>
      </c>
      <c r="J49" s="183">
        <f t="shared" si="16"/>
        <v>1158.1300911854105</v>
      </c>
    </row>
    <row r="50" spans="1:10">
      <c r="A50" s="177" t="s">
        <v>203</v>
      </c>
      <c r="B50" s="178">
        <f t="shared" si="17"/>
        <v>0</v>
      </c>
      <c r="C50" s="178">
        <f t="shared" si="9"/>
        <v>2008</v>
      </c>
      <c r="D50" s="178" t="str">
        <f t="shared" si="10"/>
        <v>Diesel</v>
      </c>
      <c r="E50" s="182">
        <f t="shared" si="11"/>
        <v>0</v>
      </c>
      <c r="F50" s="282">
        <f t="shared" si="12"/>
        <v>0</v>
      </c>
      <c r="G50" s="180">
        <f t="shared" si="13"/>
        <v>0</v>
      </c>
      <c r="H50" s="182">
        <f t="shared" si="14"/>
        <v>73.489999999999995</v>
      </c>
      <c r="I50" s="282">
        <f t="shared" si="15"/>
        <v>17.29</v>
      </c>
      <c r="J50" s="183">
        <f t="shared" si="16"/>
        <v>0</v>
      </c>
    </row>
    <row r="51" spans="1:10">
      <c r="A51" s="177" t="s">
        <v>204</v>
      </c>
      <c r="B51" s="178">
        <f t="shared" si="17"/>
        <v>6.8</v>
      </c>
      <c r="C51" s="178">
        <f t="shared" si="9"/>
        <v>2008</v>
      </c>
      <c r="D51" s="178" t="str">
        <f t="shared" si="10"/>
        <v>Fuel Oil</v>
      </c>
      <c r="E51" s="182">
        <f t="shared" si="11"/>
        <v>6110.84</v>
      </c>
      <c r="F51" s="282">
        <f t="shared" si="12"/>
        <v>33727.53</v>
      </c>
      <c r="G51" s="180">
        <f t="shared" si="13"/>
        <v>18998.88</v>
      </c>
      <c r="H51" s="182">
        <f t="shared" si="14"/>
        <v>318.83999999999997</v>
      </c>
      <c r="I51" s="282">
        <f t="shared" si="15"/>
        <v>2130.61</v>
      </c>
      <c r="J51" s="183">
        <f t="shared" si="16"/>
        <v>1157.762340036563</v>
      </c>
    </row>
    <row r="52" spans="1:10">
      <c r="A52" s="177" t="s">
        <v>205</v>
      </c>
      <c r="B52" s="178">
        <f t="shared" si="17"/>
        <v>0</v>
      </c>
      <c r="C52" s="178">
        <f t="shared" si="9"/>
        <v>2008</v>
      </c>
      <c r="D52" s="178" t="str">
        <f t="shared" si="10"/>
        <v>Diesel</v>
      </c>
      <c r="E52" s="182">
        <f t="shared" si="11"/>
        <v>0</v>
      </c>
      <c r="F52" s="282">
        <f t="shared" si="12"/>
        <v>0</v>
      </c>
      <c r="G52" s="180">
        <f t="shared" si="13"/>
        <v>0</v>
      </c>
      <c r="H52" s="182">
        <f t="shared" si="14"/>
        <v>70.84</v>
      </c>
      <c r="I52" s="282">
        <f t="shared" si="15"/>
        <v>18.32</v>
      </c>
      <c r="J52" s="183">
        <f t="shared" si="16"/>
        <v>0</v>
      </c>
    </row>
    <row r="53" spans="1:10">
      <c r="A53" s="177" t="s">
        <v>86</v>
      </c>
      <c r="B53" s="178">
        <f t="shared" si="17"/>
        <v>0.45</v>
      </c>
      <c r="C53" s="178">
        <f t="shared" si="9"/>
        <v>2007</v>
      </c>
      <c r="D53" s="178" t="str">
        <f t="shared" si="10"/>
        <v>Water</v>
      </c>
      <c r="E53" s="182">
        <f t="shared" si="11"/>
        <v>1614.63</v>
      </c>
      <c r="F53" s="282">
        <f t="shared" si="12"/>
        <v>1419.52</v>
      </c>
      <c r="G53" s="180">
        <f t="shared" si="13"/>
        <v>1507.14</v>
      </c>
      <c r="H53" s="182">
        <f t="shared" si="14"/>
        <v>0</v>
      </c>
      <c r="I53" s="282">
        <f t="shared" si="15"/>
        <v>0</v>
      </c>
      <c r="J53" s="183">
        <f t="shared" si="16"/>
        <v>0</v>
      </c>
    </row>
    <row r="54" spans="1:10">
      <c r="A54" s="177" t="s">
        <v>87</v>
      </c>
      <c r="B54" s="178">
        <f t="shared" si="17"/>
        <v>0.45</v>
      </c>
      <c r="C54" s="178">
        <f t="shared" si="9"/>
        <v>2007</v>
      </c>
      <c r="D54" s="178" t="str">
        <f t="shared" si="10"/>
        <v>Water</v>
      </c>
      <c r="E54" s="182">
        <f t="shared" si="11"/>
        <v>2070.23</v>
      </c>
      <c r="F54" s="282">
        <f t="shared" si="12"/>
        <v>1675.79</v>
      </c>
      <c r="G54" s="180">
        <f t="shared" si="13"/>
        <v>1883.93</v>
      </c>
      <c r="H54" s="182">
        <f t="shared" si="14"/>
        <v>0</v>
      </c>
      <c r="I54" s="282">
        <f t="shared" si="15"/>
        <v>0</v>
      </c>
      <c r="J54" s="183">
        <f t="shared" si="16"/>
        <v>0</v>
      </c>
    </row>
    <row r="55" spans="1:10">
      <c r="A55" s="177" t="s">
        <v>206</v>
      </c>
      <c r="B55" s="178">
        <f t="shared" si="17"/>
        <v>15</v>
      </c>
      <c r="C55" s="178">
        <f t="shared" si="9"/>
        <v>2007</v>
      </c>
      <c r="D55" s="178" t="str">
        <f t="shared" si="10"/>
        <v>Diesel</v>
      </c>
      <c r="E55" s="182">
        <f t="shared" si="11"/>
        <v>12614.17</v>
      </c>
      <c r="F55" s="282">
        <f t="shared" si="12"/>
        <v>10235.73</v>
      </c>
      <c r="G55" s="180">
        <f t="shared" si="13"/>
        <v>2184.21</v>
      </c>
      <c r="H55" s="182">
        <f t="shared" si="14"/>
        <v>895.12</v>
      </c>
      <c r="I55" s="282">
        <f t="shared" si="15"/>
        <v>704.7600000000001</v>
      </c>
      <c r="J55" s="183">
        <f t="shared" si="16"/>
        <v>153.6012658227848</v>
      </c>
    </row>
    <row r="56" spans="1:10">
      <c r="A56" s="177" t="s">
        <v>207</v>
      </c>
      <c r="B56" s="178">
        <f t="shared" si="17"/>
        <v>15</v>
      </c>
      <c r="C56" s="178">
        <f t="shared" si="9"/>
        <v>2007</v>
      </c>
      <c r="D56" s="178" t="str">
        <f t="shared" si="10"/>
        <v>Diesel</v>
      </c>
      <c r="E56" s="182">
        <f t="shared" si="11"/>
        <v>13152.67</v>
      </c>
      <c r="F56" s="282">
        <f t="shared" si="12"/>
        <v>10039.59</v>
      </c>
      <c r="G56" s="180">
        <f t="shared" si="13"/>
        <v>2751.32</v>
      </c>
      <c r="H56" s="182">
        <f t="shared" si="14"/>
        <v>951.63</v>
      </c>
      <c r="I56" s="282">
        <f t="shared" si="15"/>
        <v>716.31000000000006</v>
      </c>
      <c r="J56" s="183">
        <f t="shared" si="16"/>
        <v>195.26756564939674</v>
      </c>
    </row>
    <row r="57" spans="1:10">
      <c r="A57" s="177" t="s">
        <v>208</v>
      </c>
      <c r="B57" s="178">
        <f t="shared" si="17"/>
        <v>15</v>
      </c>
      <c r="C57" s="178">
        <f t="shared" si="9"/>
        <v>2007</v>
      </c>
      <c r="D57" s="178" t="str">
        <f t="shared" si="10"/>
        <v>Diesel</v>
      </c>
      <c r="E57" s="182">
        <f t="shared" si="11"/>
        <v>11188.62</v>
      </c>
      <c r="F57" s="282">
        <f t="shared" si="12"/>
        <v>8052.3899999999994</v>
      </c>
      <c r="G57" s="180">
        <f t="shared" si="13"/>
        <v>2698.91</v>
      </c>
      <c r="H57" s="182">
        <f t="shared" si="14"/>
        <v>809.34</v>
      </c>
      <c r="I57" s="282">
        <f t="shared" si="15"/>
        <v>573.25</v>
      </c>
      <c r="J57" s="183">
        <f t="shared" si="16"/>
        <v>191.95661450924607</v>
      </c>
    </row>
    <row r="58" spans="1:10">
      <c r="A58" s="184" t="s">
        <v>209</v>
      </c>
      <c r="B58" s="178">
        <f t="shared" si="17"/>
        <v>15</v>
      </c>
      <c r="C58" s="178">
        <f t="shared" si="9"/>
        <v>2007</v>
      </c>
      <c r="D58" s="178" t="str">
        <f t="shared" si="10"/>
        <v>Diesel</v>
      </c>
      <c r="E58" s="182">
        <f t="shared" si="11"/>
        <v>10600.82</v>
      </c>
      <c r="F58" s="283">
        <f t="shared" si="12"/>
        <v>10846.28</v>
      </c>
      <c r="G58" s="185">
        <f t="shared" si="13"/>
        <v>2713.55</v>
      </c>
      <c r="H58" s="182">
        <f t="shared" si="14"/>
        <v>765.96</v>
      </c>
      <c r="I58" s="282">
        <f t="shared" si="15"/>
        <v>771.7299999999999</v>
      </c>
      <c r="J58" s="183">
        <f t="shared" si="16"/>
        <v>192.99786628733997</v>
      </c>
    </row>
    <row r="59" spans="1:10">
      <c r="A59" s="184" t="s">
        <v>84</v>
      </c>
      <c r="B59" s="178">
        <f t="shared" si="17"/>
        <v>5</v>
      </c>
      <c r="C59" s="178">
        <f t="shared" si="9"/>
        <v>2005</v>
      </c>
      <c r="D59" s="178" t="str">
        <f t="shared" si="10"/>
        <v>Steam</v>
      </c>
      <c r="E59" s="274">
        <f t="shared" si="11"/>
        <v>35877.89</v>
      </c>
      <c r="F59" s="283">
        <f t="shared" si="12"/>
        <v>38612.07</v>
      </c>
      <c r="G59" s="185">
        <f t="shared" si="13"/>
        <v>35174.35</v>
      </c>
      <c r="H59" s="182">
        <f t="shared" si="14"/>
        <v>0</v>
      </c>
      <c r="I59" s="282">
        <f t="shared" si="15"/>
        <v>0</v>
      </c>
      <c r="J59" s="183">
        <f t="shared" si="16"/>
        <v>0</v>
      </c>
    </row>
    <row r="60" spans="1:10">
      <c r="A60" s="177" t="s">
        <v>85</v>
      </c>
      <c r="B60" s="178">
        <f t="shared" si="17"/>
        <v>5</v>
      </c>
      <c r="C60" s="178">
        <f t="shared" si="9"/>
        <v>2005</v>
      </c>
      <c r="D60" s="178" t="str">
        <f t="shared" si="10"/>
        <v>Steam</v>
      </c>
      <c r="E60" s="182">
        <f t="shared" si="11"/>
        <v>35578.5</v>
      </c>
      <c r="F60" s="282">
        <f t="shared" si="12"/>
        <v>34265.919999999998</v>
      </c>
      <c r="G60" s="180">
        <f t="shared" si="13"/>
        <v>33454.300000000003</v>
      </c>
      <c r="H60" s="186">
        <f t="shared" si="14"/>
        <v>0</v>
      </c>
      <c r="I60" s="286">
        <f t="shared" si="15"/>
        <v>0</v>
      </c>
      <c r="J60" s="188">
        <f t="shared" si="16"/>
        <v>0</v>
      </c>
    </row>
    <row r="61" spans="1:10">
      <c r="A61" s="184" t="s">
        <v>45</v>
      </c>
      <c r="B61" s="178">
        <f t="shared" si="17"/>
        <v>1.6</v>
      </c>
      <c r="C61" s="178">
        <f t="shared" si="9"/>
        <v>2004</v>
      </c>
      <c r="D61" s="178" t="str">
        <f t="shared" si="10"/>
        <v>Fuel Oil</v>
      </c>
      <c r="E61" s="274">
        <f t="shared" si="11"/>
        <v>987.24</v>
      </c>
      <c r="F61" s="283">
        <f t="shared" si="12"/>
        <v>0</v>
      </c>
      <c r="G61" s="185">
        <f t="shared" si="13"/>
        <v>396.47</v>
      </c>
      <c r="H61" s="182">
        <f t="shared" si="14"/>
        <v>59.6</v>
      </c>
      <c r="I61" s="282">
        <f t="shared" si="15"/>
        <v>0</v>
      </c>
      <c r="J61" s="183">
        <f t="shared" si="16"/>
        <v>28.771407837445576</v>
      </c>
    </row>
    <row r="62" spans="1:10">
      <c r="A62" s="184" t="s">
        <v>129</v>
      </c>
      <c r="B62" s="178">
        <f t="shared" si="17"/>
        <v>0</v>
      </c>
      <c r="C62" s="178">
        <f t="shared" si="9"/>
        <v>2004</v>
      </c>
      <c r="D62" s="178" t="str">
        <f t="shared" si="10"/>
        <v>Diesel</v>
      </c>
      <c r="E62" s="274">
        <f t="shared" si="11"/>
        <v>0</v>
      </c>
      <c r="F62" s="283">
        <f t="shared" si="12"/>
        <v>0</v>
      </c>
      <c r="G62" s="185">
        <f t="shared" si="13"/>
        <v>0</v>
      </c>
      <c r="H62" s="182">
        <f t="shared" si="14"/>
        <v>11.11</v>
      </c>
      <c r="I62" s="282">
        <f t="shared" si="15"/>
        <v>0</v>
      </c>
      <c r="J62" s="183">
        <f t="shared" si="16"/>
        <v>0</v>
      </c>
    </row>
    <row r="63" spans="1:10">
      <c r="A63" s="189" t="s">
        <v>130</v>
      </c>
      <c r="B63" s="178">
        <f t="shared" si="17"/>
        <v>1.6</v>
      </c>
      <c r="C63" s="178">
        <f t="shared" si="9"/>
        <v>2004</v>
      </c>
      <c r="D63" s="178" t="str">
        <f t="shared" si="10"/>
        <v>Fuel Oil</v>
      </c>
      <c r="E63" s="182">
        <f t="shared" si="11"/>
        <v>2544.21</v>
      </c>
      <c r="F63" s="282">
        <f t="shared" si="12"/>
        <v>2959.48</v>
      </c>
      <c r="G63" s="180">
        <f t="shared" si="13"/>
        <v>624.9</v>
      </c>
      <c r="H63" s="182">
        <f t="shared" si="14"/>
        <v>158.63</v>
      </c>
      <c r="I63" s="282">
        <f t="shared" si="15"/>
        <v>190.25</v>
      </c>
      <c r="J63" s="183">
        <f t="shared" si="16"/>
        <v>45.447272727272725</v>
      </c>
    </row>
    <row r="64" spans="1:10">
      <c r="A64" s="189" t="s">
        <v>114</v>
      </c>
      <c r="B64" s="178">
        <f t="shared" si="17"/>
        <v>0</v>
      </c>
      <c r="C64" s="178">
        <f t="shared" si="9"/>
        <v>2004</v>
      </c>
      <c r="D64" s="178" t="str">
        <f t="shared" si="10"/>
        <v>Diesel</v>
      </c>
      <c r="E64" s="182">
        <f t="shared" si="11"/>
        <v>0</v>
      </c>
      <c r="F64" s="282">
        <f t="shared" si="12"/>
        <v>0</v>
      </c>
      <c r="G64" s="180">
        <f t="shared" si="13"/>
        <v>0</v>
      </c>
      <c r="H64" s="182">
        <f t="shared" si="14"/>
        <v>24.45</v>
      </c>
      <c r="I64" s="282">
        <f t="shared" si="15"/>
        <v>14.899999999999999</v>
      </c>
      <c r="J64" s="183">
        <f t="shared" si="16"/>
        <v>0</v>
      </c>
    </row>
    <row r="65" spans="1:10">
      <c r="A65" s="177" t="s">
        <v>94</v>
      </c>
      <c r="B65" s="178">
        <f t="shared" si="17"/>
        <v>1.6</v>
      </c>
      <c r="C65" s="178">
        <f t="shared" si="9"/>
        <v>2004</v>
      </c>
      <c r="D65" s="178" t="str">
        <f t="shared" si="10"/>
        <v>Fuel Oil</v>
      </c>
      <c r="E65" s="182">
        <f t="shared" si="11"/>
        <v>3990.53</v>
      </c>
      <c r="F65" s="282">
        <f t="shared" si="12"/>
        <v>3063.7</v>
      </c>
      <c r="G65" s="180">
        <f t="shared" si="13"/>
        <v>580.58000000000004</v>
      </c>
      <c r="H65" s="182">
        <f t="shared" si="14"/>
        <v>247.38</v>
      </c>
      <c r="I65" s="282">
        <f t="shared" si="15"/>
        <v>191.82</v>
      </c>
      <c r="J65" s="183">
        <f t="shared" si="16"/>
        <v>43.456586826347312</v>
      </c>
    </row>
    <row r="66" spans="1:10">
      <c r="A66" s="189" t="s">
        <v>115</v>
      </c>
      <c r="B66" s="178">
        <f t="shared" si="17"/>
        <v>0</v>
      </c>
      <c r="C66" s="178">
        <f t="shared" si="9"/>
        <v>2004</v>
      </c>
      <c r="D66" s="178" t="str">
        <f t="shared" si="10"/>
        <v>Diesel</v>
      </c>
      <c r="E66" s="182">
        <f t="shared" si="11"/>
        <v>0</v>
      </c>
      <c r="F66" s="282">
        <f t="shared" si="12"/>
        <v>0</v>
      </c>
      <c r="G66" s="180">
        <f t="shared" si="13"/>
        <v>0</v>
      </c>
      <c r="H66" s="182">
        <f t="shared" si="14"/>
        <v>38.6</v>
      </c>
      <c r="I66" s="282">
        <f t="shared" si="15"/>
        <v>17.97</v>
      </c>
      <c r="J66" s="183">
        <f t="shared" si="16"/>
        <v>0</v>
      </c>
    </row>
    <row r="67" spans="1:10">
      <c r="A67" s="189" t="s">
        <v>46</v>
      </c>
      <c r="B67" s="178">
        <f t="shared" si="17"/>
        <v>1.6</v>
      </c>
      <c r="C67" s="178">
        <f t="shared" si="9"/>
        <v>2004</v>
      </c>
      <c r="D67" s="178" t="str">
        <f t="shared" si="10"/>
        <v>Fuel Oil</v>
      </c>
      <c r="E67" s="182">
        <f t="shared" si="11"/>
        <v>4078.02</v>
      </c>
      <c r="F67" s="282">
        <f t="shared" si="12"/>
        <v>2957.88</v>
      </c>
      <c r="G67" s="180">
        <f t="shared" si="13"/>
        <v>638.1</v>
      </c>
      <c r="H67" s="182">
        <f t="shared" si="14"/>
        <v>252.15</v>
      </c>
      <c r="I67" s="282">
        <f t="shared" si="15"/>
        <v>182.86</v>
      </c>
      <c r="J67" s="183">
        <f t="shared" si="16"/>
        <v>47.583892617449663</v>
      </c>
    </row>
    <row r="68" spans="1:10">
      <c r="A68" s="189" t="s">
        <v>116</v>
      </c>
      <c r="B68" s="178">
        <f t="shared" si="17"/>
        <v>0</v>
      </c>
      <c r="C68" s="178">
        <f t="shared" si="9"/>
        <v>2004</v>
      </c>
      <c r="D68" s="178" t="str">
        <f t="shared" si="10"/>
        <v>Diesel</v>
      </c>
      <c r="E68" s="182">
        <f t="shared" si="11"/>
        <v>0</v>
      </c>
      <c r="F68" s="282">
        <f t="shared" si="12"/>
        <v>0</v>
      </c>
      <c r="G68" s="180">
        <f t="shared" si="13"/>
        <v>0</v>
      </c>
      <c r="H68" s="182">
        <f t="shared" si="14"/>
        <v>42.36</v>
      </c>
      <c r="I68" s="282">
        <f t="shared" si="15"/>
        <v>17.809999999999999</v>
      </c>
      <c r="J68" s="188">
        <f t="shared" si="16"/>
        <v>0</v>
      </c>
    </row>
    <row r="69" spans="1:10">
      <c r="A69" s="189" t="s">
        <v>78</v>
      </c>
      <c r="B69" s="178">
        <f t="shared" si="17"/>
        <v>16.5</v>
      </c>
      <c r="C69" s="178">
        <f t="shared" si="9"/>
        <v>2004</v>
      </c>
      <c r="D69" s="178" t="str">
        <f t="shared" si="10"/>
        <v>Bagasse</v>
      </c>
      <c r="E69" s="182">
        <f t="shared" si="11"/>
        <v>32002.33</v>
      </c>
      <c r="F69" s="282">
        <f t="shared" si="12"/>
        <v>40249.78</v>
      </c>
      <c r="G69" s="180">
        <f t="shared" si="13"/>
        <v>38905.15</v>
      </c>
      <c r="H69" s="182">
        <f t="shared" si="14"/>
        <v>0</v>
      </c>
      <c r="I69" s="282">
        <f t="shared" si="15"/>
        <v>0</v>
      </c>
      <c r="J69" s="183">
        <f t="shared" si="16"/>
        <v>0</v>
      </c>
    </row>
    <row r="70" spans="1:10">
      <c r="A70" s="189" t="s">
        <v>82</v>
      </c>
      <c r="B70" s="178">
        <f t="shared" si="17"/>
        <v>20</v>
      </c>
      <c r="C70" s="178">
        <f t="shared" si="9"/>
        <v>2004</v>
      </c>
      <c r="D70" s="178" t="str">
        <f t="shared" si="10"/>
        <v>Bagasse</v>
      </c>
      <c r="E70" s="182">
        <f t="shared" si="11"/>
        <v>37875.46</v>
      </c>
      <c r="F70" s="282">
        <f t="shared" si="12"/>
        <v>40178.49</v>
      </c>
      <c r="G70" s="180">
        <f t="shared" si="13"/>
        <v>35327.89</v>
      </c>
      <c r="H70" s="182">
        <f t="shared" si="14"/>
        <v>0</v>
      </c>
      <c r="I70" s="282">
        <f t="shared" si="15"/>
        <v>0</v>
      </c>
      <c r="J70" s="183">
        <f t="shared" si="16"/>
        <v>0</v>
      </c>
    </row>
    <row r="71" spans="1:10">
      <c r="A71" s="189" t="s">
        <v>83</v>
      </c>
      <c r="B71" s="178">
        <f t="shared" si="17"/>
        <v>15</v>
      </c>
      <c r="C71" s="178">
        <f t="shared" si="9"/>
        <v>2004</v>
      </c>
      <c r="D71" s="178" t="str">
        <f t="shared" si="10"/>
        <v>Bagasse</v>
      </c>
      <c r="E71" s="182">
        <f t="shared" si="11"/>
        <v>29253.21</v>
      </c>
      <c r="F71" s="282">
        <f t="shared" si="12"/>
        <v>37611.75</v>
      </c>
      <c r="G71" s="180">
        <f t="shared" si="13"/>
        <v>36847.870000000003</v>
      </c>
      <c r="H71" s="182">
        <f t="shared" si="14"/>
        <v>0</v>
      </c>
      <c r="I71" s="282">
        <f t="shared" si="15"/>
        <v>0</v>
      </c>
      <c r="J71" s="183">
        <f t="shared" si="16"/>
        <v>0</v>
      </c>
    </row>
    <row r="72" spans="1:10">
      <c r="A72" s="184" t="s">
        <v>76</v>
      </c>
      <c r="B72" s="178">
        <f t="shared" si="17"/>
        <v>20</v>
      </c>
      <c r="C72" s="178">
        <f t="shared" si="9"/>
        <v>2004</v>
      </c>
      <c r="D72" s="178" t="str">
        <f t="shared" si="10"/>
        <v>Bagasse</v>
      </c>
      <c r="E72" s="274">
        <f t="shared" si="11"/>
        <v>31296.3</v>
      </c>
      <c r="F72" s="283">
        <f t="shared" si="12"/>
        <v>29973.119999999999</v>
      </c>
      <c r="G72" s="185">
        <f t="shared" si="13"/>
        <v>31551.84</v>
      </c>
      <c r="H72" s="182">
        <f t="shared" si="14"/>
        <v>0</v>
      </c>
      <c r="I72" s="282">
        <f t="shared" si="15"/>
        <v>0</v>
      </c>
      <c r="J72" s="188">
        <f t="shared" si="16"/>
        <v>0</v>
      </c>
    </row>
    <row r="73" spans="1:10">
      <c r="A73" s="184" t="s">
        <v>77</v>
      </c>
      <c r="B73" s="178">
        <f t="shared" si="17"/>
        <v>20</v>
      </c>
      <c r="C73" s="178">
        <f t="shared" si="9"/>
        <v>2004</v>
      </c>
      <c r="D73" s="178" t="str">
        <f t="shared" si="10"/>
        <v>Bagasse</v>
      </c>
      <c r="E73" s="274">
        <f t="shared" si="11"/>
        <v>36218.42</v>
      </c>
      <c r="F73" s="283">
        <f t="shared" si="12"/>
        <v>33181.769999999997</v>
      </c>
      <c r="G73" s="185">
        <f t="shared" si="13"/>
        <v>38937.35</v>
      </c>
      <c r="H73" s="182">
        <f t="shared" si="14"/>
        <v>0</v>
      </c>
      <c r="I73" s="282">
        <f t="shared" si="15"/>
        <v>0</v>
      </c>
      <c r="J73" s="188">
        <f t="shared" si="16"/>
        <v>0</v>
      </c>
    </row>
    <row r="74" spans="1:10">
      <c r="A74" s="184" t="s">
        <v>66</v>
      </c>
      <c r="B74" s="178">
        <f t="shared" si="17"/>
        <v>7.5</v>
      </c>
      <c r="C74" s="178">
        <f t="shared" si="9"/>
        <v>2002</v>
      </c>
      <c r="D74" s="178" t="str">
        <f t="shared" si="10"/>
        <v>Steam</v>
      </c>
      <c r="E74" s="274">
        <f t="shared" si="11"/>
        <v>43619.22</v>
      </c>
      <c r="F74" s="282">
        <f t="shared" si="12"/>
        <v>38488.53</v>
      </c>
      <c r="G74" s="180">
        <f t="shared" si="13"/>
        <v>44357.120000000003</v>
      </c>
      <c r="H74" s="182">
        <f t="shared" si="14"/>
        <v>0</v>
      </c>
      <c r="I74" s="282">
        <f t="shared" si="15"/>
        <v>0</v>
      </c>
      <c r="J74" s="188">
        <f t="shared" si="16"/>
        <v>0</v>
      </c>
    </row>
    <row r="75" spans="1:10">
      <c r="A75" s="184" t="s">
        <v>56</v>
      </c>
      <c r="B75" s="178">
        <f t="shared" si="17"/>
        <v>7.2</v>
      </c>
      <c r="C75" s="178">
        <f t="shared" si="9"/>
        <v>2000</v>
      </c>
      <c r="D75" s="178" t="str">
        <f t="shared" si="10"/>
        <v>Fuel Oil</v>
      </c>
      <c r="E75" s="274">
        <f t="shared" si="11"/>
        <v>12138.51</v>
      </c>
      <c r="F75" s="283">
        <f t="shared" si="12"/>
        <v>0</v>
      </c>
      <c r="G75" s="185">
        <f t="shared" si="13"/>
        <v>30845.25</v>
      </c>
      <c r="H75" s="182">
        <f t="shared" si="14"/>
        <v>635.79999999999995</v>
      </c>
      <c r="I75" s="282">
        <f t="shared" si="15"/>
        <v>0</v>
      </c>
      <c r="J75" s="188">
        <f t="shared" si="16"/>
        <v>1851.4555822328932</v>
      </c>
    </row>
    <row r="76" spans="1:10">
      <c r="A76" s="189" t="s">
        <v>57</v>
      </c>
      <c r="B76" s="178">
        <f t="shared" si="17"/>
        <v>7.2</v>
      </c>
      <c r="C76" s="178">
        <f t="shared" si="9"/>
        <v>2000</v>
      </c>
      <c r="D76" s="178" t="str">
        <f t="shared" si="10"/>
        <v>Fuel Oil</v>
      </c>
      <c r="E76" s="182">
        <f t="shared" si="11"/>
        <v>29580.66</v>
      </c>
      <c r="F76" s="282">
        <f t="shared" si="12"/>
        <v>27699.31</v>
      </c>
      <c r="G76" s="180">
        <f t="shared" si="13"/>
        <v>32805.86</v>
      </c>
      <c r="H76" s="182">
        <f t="shared" si="14"/>
        <v>1541.14</v>
      </c>
      <c r="I76" s="282">
        <f t="shared" si="15"/>
        <v>1527.62</v>
      </c>
      <c r="J76" s="183">
        <f t="shared" si="16"/>
        <v>1971.5060096153845</v>
      </c>
    </row>
    <row r="77" spans="1:10">
      <c r="A77" s="184" t="s">
        <v>58</v>
      </c>
      <c r="B77" s="178">
        <f t="shared" si="17"/>
        <v>7.2</v>
      </c>
      <c r="C77" s="178">
        <f t="shared" si="9"/>
        <v>2000</v>
      </c>
      <c r="D77" s="178" t="str">
        <f t="shared" si="10"/>
        <v>Fuel Oil</v>
      </c>
      <c r="E77" s="274">
        <f t="shared" si="11"/>
        <v>31940.11</v>
      </c>
      <c r="F77" s="283">
        <f t="shared" si="12"/>
        <v>30533.72</v>
      </c>
      <c r="G77" s="185">
        <f t="shared" si="13"/>
        <v>29660.15</v>
      </c>
      <c r="H77" s="182">
        <f t="shared" si="14"/>
        <v>1671.65</v>
      </c>
      <c r="I77" s="282">
        <f t="shared" si="15"/>
        <v>1710.68</v>
      </c>
      <c r="J77" s="188">
        <f t="shared" si="16"/>
        <v>1762.3380867498518</v>
      </c>
    </row>
    <row r="78" spans="1:10">
      <c r="A78" s="184" t="s">
        <v>59</v>
      </c>
      <c r="B78" s="178">
        <f t="shared" si="17"/>
        <v>7.2</v>
      </c>
      <c r="C78" s="178">
        <f t="shared" si="9"/>
        <v>2000</v>
      </c>
      <c r="D78" s="178" t="str">
        <f t="shared" si="10"/>
        <v>Fuel Oil</v>
      </c>
      <c r="E78" s="274">
        <f t="shared" si="11"/>
        <v>30569.26</v>
      </c>
      <c r="F78" s="282">
        <f t="shared" si="12"/>
        <v>37984.03</v>
      </c>
      <c r="G78" s="185">
        <f t="shared" si="13"/>
        <v>27303.8</v>
      </c>
      <c r="H78" s="182">
        <f t="shared" si="14"/>
        <v>1607.73</v>
      </c>
      <c r="I78" s="282">
        <f t="shared" si="15"/>
        <v>2102.87</v>
      </c>
      <c r="J78" s="188">
        <f t="shared" si="16"/>
        <v>1621.3657957244654</v>
      </c>
    </row>
    <row r="79" spans="1:10">
      <c r="A79" s="189" t="s">
        <v>60</v>
      </c>
      <c r="B79" s="178">
        <f t="shared" si="17"/>
        <v>18.5</v>
      </c>
      <c r="C79" s="178">
        <f t="shared" si="9"/>
        <v>1999</v>
      </c>
      <c r="D79" s="178" t="str">
        <f t="shared" si="10"/>
        <v>Fuel Oil</v>
      </c>
      <c r="E79" s="182">
        <f t="shared" si="11"/>
        <v>133158.47</v>
      </c>
      <c r="F79" s="282">
        <f t="shared" si="12"/>
        <v>131933.21</v>
      </c>
      <c r="G79" s="180">
        <f t="shared" si="13"/>
        <v>129898.58</v>
      </c>
      <c r="H79" s="182">
        <f t="shared" si="14"/>
        <v>7876.59</v>
      </c>
      <c r="I79" s="282">
        <f t="shared" si="15"/>
        <v>7805.97</v>
      </c>
      <c r="J79" s="188">
        <f t="shared" si="16"/>
        <v>7380.6011363636362</v>
      </c>
    </row>
    <row r="80" spans="1:10">
      <c r="A80" s="190" t="s">
        <v>117</v>
      </c>
      <c r="B80" s="191">
        <f t="shared" si="17"/>
        <v>0</v>
      </c>
      <c r="C80" s="192">
        <f t="shared" si="9"/>
        <v>1999</v>
      </c>
      <c r="D80" s="192" t="str">
        <f t="shared" si="10"/>
        <v>Diesel</v>
      </c>
      <c r="E80" s="194">
        <f t="shared" si="11"/>
        <v>0</v>
      </c>
      <c r="F80" s="284">
        <f t="shared" si="12"/>
        <v>0</v>
      </c>
      <c r="G80" s="193">
        <f t="shared" si="13"/>
        <v>0</v>
      </c>
      <c r="H80" s="194">
        <f t="shared" si="14"/>
        <v>76.099999999999994</v>
      </c>
      <c r="I80" s="284">
        <f t="shared" si="15"/>
        <v>18.04</v>
      </c>
      <c r="J80" s="273">
        <f t="shared" si="16"/>
        <v>0</v>
      </c>
    </row>
    <row r="83" spans="1:10" ht="15" customHeight="1">
      <c r="A83" s="348" t="s">
        <v>107</v>
      </c>
      <c r="B83" s="348" t="s">
        <v>186</v>
      </c>
      <c r="C83" s="348" t="s">
        <v>109</v>
      </c>
      <c r="D83" s="348" t="s">
        <v>92</v>
      </c>
      <c r="E83" s="345" t="s">
        <v>131</v>
      </c>
      <c r="F83" s="346"/>
      <c r="G83" s="347"/>
      <c r="H83" s="345" t="s">
        <v>132</v>
      </c>
      <c r="I83" s="346"/>
      <c r="J83" s="347"/>
    </row>
    <row r="84" spans="1:10">
      <c r="A84" s="349"/>
      <c r="B84" s="349"/>
      <c r="C84" s="349"/>
      <c r="D84" s="349"/>
      <c r="E84" s="176">
        <v>2008</v>
      </c>
      <c r="F84" s="200">
        <v>2009</v>
      </c>
      <c r="G84" s="281">
        <v>2010</v>
      </c>
      <c r="H84" s="175">
        <v>2008</v>
      </c>
      <c r="I84" s="200">
        <v>2009</v>
      </c>
      <c r="J84" s="285">
        <v>2010</v>
      </c>
    </row>
    <row r="85" spans="1:10">
      <c r="A85" s="177" t="s">
        <v>61</v>
      </c>
      <c r="B85" s="178">
        <f>VLOOKUP($A85,data,2,FALSE)</f>
        <v>18.5</v>
      </c>
      <c r="C85" s="178">
        <f t="shared" ref="C85:C121" si="18">VLOOKUP($A85,data,3,FALSE)</f>
        <v>1999</v>
      </c>
      <c r="D85" s="178" t="str">
        <f t="shared" ref="D85:D121" si="19">VLOOKUP($A85,data,5,FALSE)</f>
        <v>Fuel Oil</v>
      </c>
      <c r="E85" s="182">
        <f t="shared" ref="E85:E121" si="20">VLOOKUP($A85,data,7,FALSE)</f>
        <v>133171.09</v>
      </c>
      <c r="F85" s="282">
        <f t="shared" ref="F85:F121" si="21">VLOOKUP($A85,data,8,FALSE)</f>
        <v>135301.32</v>
      </c>
      <c r="G85" s="180">
        <f t="shared" ref="G85:G121" si="22">VLOOKUP($A85,data,9,FALSE)</f>
        <v>127105.79</v>
      </c>
      <c r="H85" s="182">
        <f t="shared" ref="H85:H121" si="23">VLOOKUP($A85,data,10,FALSE)</f>
        <v>7879.12</v>
      </c>
      <c r="I85" s="282">
        <f t="shared" ref="I85:I121" si="24">VLOOKUP($A85,data,11,FALSE)</f>
        <v>8007.33</v>
      </c>
      <c r="J85" s="188">
        <f t="shared" ref="J85:J121" si="25">VLOOKUP($A85,data,13,FALSE)</f>
        <v>7226.0255827174524</v>
      </c>
    </row>
    <row r="86" spans="1:10">
      <c r="A86" s="177" t="s">
        <v>118</v>
      </c>
      <c r="B86" s="178">
        <f t="shared" ref="B86:B121" si="26">VLOOKUP(A86,data,2,FALSE)</f>
        <v>0</v>
      </c>
      <c r="C86" s="178">
        <f t="shared" si="18"/>
        <v>1999</v>
      </c>
      <c r="D86" s="179" t="str">
        <f t="shared" si="19"/>
        <v>Diesel</v>
      </c>
      <c r="E86" s="182">
        <f t="shared" si="20"/>
        <v>0</v>
      </c>
      <c r="F86" s="282">
        <f t="shared" si="21"/>
        <v>0</v>
      </c>
      <c r="G86" s="180">
        <f t="shared" si="22"/>
        <v>0</v>
      </c>
      <c r="H86" s="182">
        <f t="shared" si="23"/>
        <v>76.28</v>
      </c>
      <c r="I86" s="282">
        <f t="shared" si="24"/>
        <v>18.86</v>
      </c>
      <c r="J86" s="183">
        <f t="shared" si="25"/>
        <v>0</v>
      </c>
    </row>
    <row r="87" spans="1:10">
      <c r="A87" s="177" t="s">
        <v>62</v>
      </c>
      <c r="B87" s="178">
        <f t="shared" si="26"/>
        <v>18.5</v>
      </c>
      <c r="C87" s="178">
        <f t="shared" si="18"/>
        <v>1999</v>
      </c>
      <c r="D87" s="179" t="str">
        <f t="shared" si="19"/>
        <v>Fuel Oil</v>
      </c>
      <c r="E87" s="182">
        <f t="shared" si="20"/>
        <v>127900.08</v>
      </c>
      <c r="F87" s="282">
        <f t="shared" si="21"/>
        <v>124567.28</v>
      </c>
      <c r="G87" s="180">
        <f t="shared" si="22"/>
        <v>123384.24</v>
      </c>
      <c r="H87" s="182">
        <f t="shared" si="23"/>
        <v>7567.22</v>
      </c>
      <c r="I87" s="282">
        <f t="shared" si="24"/>
        <v>7372.57</v>
      </c>
      <c r="J87" s="183">
        <f t="shared" si="25"/>
        <v>7010.4681818181816</v>
      </c>
    </row>
    <row r="88" spans="1:10">
      <c r="A88" s="177" t="s">
        <v>119</v>
      </c>
      <c r="B88" s="178">
        <f t="shared" si="26"/>
        <v>0</v>
      </c>
      <c r="C88" s="178">
        <f t="shared" si="18"/>
        <v>1999</v>
      </c>
      <c r="D88" s="178" t="str">
        <f t="shared" si="19"/>
        <v>Diesel</v>
      </c>
      <c r="E88" s="182">
        <f t="shared" si="20"/>
        <v>0</v>
      </c>
      <c r="F88" s="282">
        <f t="shared" si="21"/>
        <v>0</v>
      </c>
      <c r="G88" s="180">
        <f t="shared" si="22"/>
        <v>0</v>
      </c>
      <c r="H88" s="182">
        <f t="shared" si="23"/>
        <v>69.5</v>
      </c>
      <c r="I88" s="282">
        <f t="shared" si="24"/>
        <v>17.309999999999999</v>
      </c>
      <c r="J88" s="183">
        <f t="shared" si="25"/>
        <v>0</v>
      </c>
    </row>
    <row r="89" spans="1:10">
      <c r="A89" s="177" t="s">
        <v>63</v>
      </c>
      <c r="B89" s="178">
        <f t="shared" si="26"/>
        <v>18.5</v>
      </c>
      <c r="C89" s="178">
        <f t="shared" si="18"/>
        <v>1999</v>
      </c>
      <c r="D89" s="178" t="str">
        <f t="shared" si="19"/>
        <v>Fuel Oil</v>
      </c>
      <c r="E89" s="182">
        <f t="shared" si="20"/>
        <v>124611</v>
      </c>
      <c r="F89" s="282">
        <f t="shared" si="21"/>
        <v>119375.86</v>
      </c>
      <c r="G89" s="180">
        <f t="shared" si="22"/>
        <v>128221.81</v>
      </c>
      <c r="H89" s="182">
        <f t="shared" si="23"/>
        <v>7360.36</v>
      </c>
      <c r="I89" s="282">
        <f t="shared" si="24"/>
        <v>7065.13</v>
      </c>
      <c r="J89" s="183">
        <f t="shared" si="25"/>
        <v>7285.3301136363625</v>
      </c>
    </row>
    <row r="90" spans="1:10">
      <c r="A90" s="177" t="s">
        <v>120</v>
      </c>
      <c r="B90" s="178">
        <f t="shared" si="26"/>
        <v>0</v>
      </c>
      <c r="C90" s="178">
        <f t="shared" si="18"/>
        <v>1999</v>
      </c>
      <c r="D90" s="178" t="str">
        <f t="shared" si="19"/>
        <v>Diesel</v>
      </c>
      <c r="E90" s="182">
        <f t="shared" si="20"/>
        <v>0</v>
      </c>
      <c r="F90" s="282">
        <f t="shared" si="21"/>
        <v>0</v>
      </c>
      <c r="G90" s="180">
        <f t="shared" si="22"/>
        <v>0</v>
      </c>
      <c r="H90" s="182">
        <f t="shared" si="23"/>
        <v>78.92</v>
      </c>
      <c r="I90" s="282">
        <f t="shared" si="24"/>
        <v>17.010000000000002</v>
      </c>
      <c r="J90" s="183">
        <f t="shared" si="25"/>
        <v>0</v>
      </c>
    </row>
    <row r="91" spans="1:10">
      <c r="A91" s="177" t="s">
        <v>79</v>
      </c>
      <c r="B91" s="178">
        <f t="shared" si="26"/>
        <v>3</v>
      </c>
      <c r="C91" s="178">
        <f t="shared" si="18"/>
        <v>1999</v>
      </c>
      <c r="D91" s="178" t="str">
        <f t="shared" si="19"/>
        <v>Bagasse</v>
      </c>
      <c r="E91" s="182">
        <f t="shared" si="20"/>
        <v>0</v>
      </c>
      <c r="F91" s="282">
        <f t="shared" si="21"/>
        <v>2.73</v>
      </c>
      <c r="G91" s="180">
        <f t="shared" si="22"/>
        <v>0</v>
      </c>
      <c r="H91" s="182">
        <f t="shared" si="23"/>
        <v>0</v>
      </c>
      <c r="I91" s="282">
        <f t="shared" si="24"/>
        <v>0</v>
      </c>
      <c r="J91" s="183">
        <f t="shared" si="25"/>
        <v>0</v>
      </c>
    </row>
    <row r="92" spans="1:10">
      <c r="A92" s="177" t="s">
        <v>80</v>
      </c>
      <c r="B92" s="178">
        <f t="shared" si="26"/>
        <v>4</v>
      </c>
      <c r="C92" s="178">
        <f t="shared" si="18"/>
        <v>1999</v>
      </c>
      <c r="D92" s="178" t="str">
        <f t="shared" si="19"/>
        <v>Bagasse</v>
      </c>
      <c r="E92" s="182">
        <f t="shared" si="20"/>
        <v>116.36</v>
      </c>
      <c r="F92" s="282">
        <f t="shared" si="21"/>
        <v>15.1</v>
      </c>
      <c r="G92" s="180">
        <f t="shared" si="22"/>
        <v>0</v>
      </c>
      <c r="H92" s="182">
        <f t="shared" si="23"/>
        <v>0</v>
      </c>
      <c r="I92" s="282">
        <f t="shared" si="24"/>
        <v>0</v>
      </c>
      <c r="J92" s="183">
        <f t="shared" si="25"/>
        <v>0</v>
      </c>
    </row>
    <row r="93" spans="1:10">
      <c r="A93" s="177" t="s">
        <v>81</v>
      </c>
      <c r="B93" s="178">
        <f t="shared" si="26"/>
        <v>4</v>
      </c>
      <c r="C93" s="178">
        <f t="shared" si="18"/>
        <v>1999</v>
      </c>
      <c r="D93" s="178" t="str">
        <f t="shared" si="19"/>
        <v>Bagasse</v>
      </c>
      <c r="E93" s="182">
        <f t="shared" si="20"/>
        <v>124.52</v>
      </c>
      <c r="F93" s="282">
        <f t="shared" si="21"/>
        <v>16.809999999999999</v>
      </c>
      <c r="G93" s="180">
        <f t="shared" si="22"/>
        <v>0</v>
      </c>
      <c r="H93" s="182">
        <f t="shared" si="23"/>
        <v>0</v>
      </c>
      <c r="I93" s="282">
        <f t="shared" si="24"/>
        <v>0</v>
      </c>
      <c r="J93" s="183">
        <f t="shared" si="25"/>
        <v>0</v>
      </c>
    </row>
    <row r="94" spans="1:10">
      <c r="A94" s="177" t="s">
        <v>75</v>
      </c>
      <c r="B94" s="178">
        <f t="shared" si="26"/>
        <v>19.3</v>
      </c>
      <c r="C94" s="178">
        <f t="shared" si="18"/>
        <v>1999</v>
      </c>
      <c r="D94" s="178" t="str">
        <f t="shared" si="19"/>
        <v>Bagasse</v>
      </c>
      <c r="E94" s="182">
        <f t="shared" si="20"/>
        <v>30737.83</v>
      </c>
      <c r="F94" s="282">
        <f t="shared" si="21"/>
        <v>24772.68</v>
      </c>
      <c r="G94" s="180">
        <f t="shared" si="22"/>
        <v>42989.29</v>
      </c>
      <c r="H94" s="182">
        <f t="shared" si="23"/>
        <v>0</v>
      </c>
      <c r="I94" s="282">
        <f t="shared" si="24"/>
        <v>0</v>
      </c>
      <c r="J94" s="183">
        <f t="shared" si="25"/>
        <v>0</v>
      </c>
    </row>
    <row r="95" spans="1:10">
      <c r="A95" s="177" t="s">
        <v>67</v>
      </c>
      <c r="B95" s="178">
        <f t="shared" si="26"/>
        <v>10.44</v>
      </c>
      <c r="C95" s="178">
        <f t="shared" si="18"/>
        <v>1999</v>
      </c>
      <c r="D95" s="178" t="str">
        <f t="shared" si="19"/>
        <v>Fuel Oil</v>
      </c>
      <c r="E95" s="182">
        <f t="shared" si="20"/>
        <v>79498.05</v>
      </c>
      <c r="F95" s="282">
        <f t="shared" si="21"/>
        <v>79667.360000000001</v>
      </c>
      <c r="G95" s="180">
        <f t="shared" si="22"/>
        <v>74899.59</v>
      </c>
      <c r="H95" s="182">
        <f t="shared" si="23"/>
        <v>4879.3100000000004</v>
      </c>
      <c r="I95" s="282">
        <f t="shared" si="24"/>
        <v>4888</v>
      </c>
      <c r="J95" s="183">
        <f t="shared" si="25"/>
        <v>4533.873486682809</v>
      </c>
    </row>
    <row r="96" spans="1:10">
      <c r="A96" s="177" t="s">
        <v>121</v>
      </c>
      <c r="B96" s="178">
        <f t="shared" si="26"/>
        <v>0</v>
      </c>
      <c r="C96" s="178">
        <f t="shared" si="18"/>
        <v>1999</v>
      </c>
      <c r="D96" s="178" t="str">
        <f t="shared" si="19"/>
        <v>Diesel</v>
      </c>
      <c r="E96" s="182">
        <f t="shared" si="20"/>
        <v>0</v>
      </c>
      <c r="F96" s="282">
        <f t="shared" si="21"/>
        <v>0</v>
      </c>
      <c r="G96" s="180">
        <f t="shared" si="22"/>
        <v>0</v>
      </c>
      <c r="H96" s="182">
        <f t="shared" si="23"/>
        <v>17.62</v>
      </c>
      <c r="I96" s="282">
        <f t="shared" si="24"/>
        <v>20.05</v>
      </c>
      <c r="J96" s="183">
        <f t="shared" si="25"/>
        <v>0</v>
      </c>
    </row>
    <row r="97" spans="1:10">
      <c r="A97" s="177" t="s">
        <v>68</v>
      </c>
      <c r="B97" s="178">
        <f t="shared" si="26"/>
        <v>10.44</v>
      </c>
      <c r="C97" s="178">
        <f t="shared" si="18"/>
        <v>1999</v>
      </c>
      <c r="D97" s="178" t="str">
        <f t="shared" si="19"/>
        <v>Fuel Oil</v>
      </c>
      <c r="E97" s="182">
        <f t="shared" si="20"/>
        <v>78660</v>
      </c>
      <c r="F97" s="282">
        <f t="shared" si="21"/>
        <v>76662.600000000006</v>
      </c>
      <c r="G97" s="180">
        <f t="shared" si="22"/>
        <v>75038.98</v>
      </c>
      <c r="H97" s="182">
        <f t="shared" si="23"/>
        <v>4827.54</v>
      </c>
      <c r="I97" s="282">
        <f t="shared" si="24"/>
        <v>4703.7299999999996</v>
      </c>
      <c r="J97" s="183">
        <f t="shared" si="25"/>
        <v>4539.5632183908037</v>
      </c>
    </row>
    <row r="98" spans="1:10">
      <c r="A98" s="177" t="s">
        <v>69</v>
      </c>
      <c r="B98" s="178">
        <f t="shared" si="26"/>
        <v>10.44</v>
      </c>
      <c r="C98" s="178">
        <f t="shared" si="18"/>
        <v>1999</v>
      </c>
      <c r="D98" s="178" t="str">
        <f t="shared" si="19"/>
        <v>Fuel Oil</v>
      </c>
      <c r="E98" s="182">
        <f t="shared" si="20"/>
        <v>78491.490000000005</v>
      </c>
      <c r="F98" s="282">
        <f t="shared" si="21"/>
        <v>80865.570000000007</v>
      </c>
      <c r="G98" s="180">
        <f t="shared" si="22"/>
        <v>76935.73</v>
      </c>
      <c r="H98" s="182">
        <f t="shared" si="23"/>
        <v>4817.0600000000004</v>
      </c>
      <c r="I98" s="282">
        <f t="shared" si="24"/>
        <v>4961.4399999999996</v>
      </c>
      <c r="J98" s="183">
        <f t="shared" si="25"/>
        <v>4657.126513317191</v>
      </c>
    </row>
    <row r="99" spans="1:10">
      <c r="A99" s="184" t="s">
        <v>70</v>
      </c>
      <c r="B99" s="178">
        <f t="shared" si="26"/>
        <v>10.44</v>
      </c>
      <c r="C99" s="178">
        <f t="shared" si="18"/>
        <v>1999</v>
      </c>
      <c r="D99" s="178" t="str">
        <f t="shared" si="19"/>
        <v>Fuel Oil</v>
      </c>
      <c r="E99" s="182">
        <f t="shared" si="20"/>
        <v>78346.490000000005</v>
      </c>
      <c r="F99" s="283">
        <f t="shared" si="21"/>
        <v>75518.789999999994</v>
      </c>
      <c r="G99" s="185">
        <f t="shared" si="22"/>
        <v>73549.320000000007</v>
      </c>
      <c r="H99" s="182">
        <f t="shared" si="23"/>
        <v>4808.18</v>
      </c>
      <c r="I99" s="282">
        <f t="shared" si="24"/>
        <v>4633.33</v>
      </c>
      <c r="J99" s="183">
        <f t="shared" si="25"/>
        <v>4449.4446460980034</v>
      </c>
    </row>
    <row r="100" spans="1:10">
      <c r="A100" s="184" t="s">
        <v>71</v>
      </c>
      <c r="B100" s="178">
        <f t="shared" si="26"/>
        <v>10.44</v>
      </c>
      <c r="C100" s="178">
        <f t="shared" si="18"/>
        <v>1999</v>
      </c>
      <c r="D100" s="178" t="str">
        <f t="shared" si="19"/>
        <v>Fuel Oil</v>
      </c>
      <c r="E100" s="274">
        <f t="shared" si="20"/>
        <v>77965.929999999993</v>
      </c>
      <c r="F100" s="283">
        <f t="shared" si="21"/>
        <v>77898</v>
      </c>
      <c r="G100" s="185">
        <f t="shared" si="22"/>
        <v>76273.97</v>
      </c>
      <c r="H100" s="182">
        <f t="shared" si="23"/>
        <v>4784.6000000000004</v>
      </c>
      <c r="I100" s="282">
        <f t="shared" si="24"/>
        <v>4779.24</v>
      </c>
      <c r="J100" s="183">
        <f t="shared" si="25"/>
        <v>4614.2752571082874</v>
      </c>
    </row>
    <row r="101" spans="1:10">
      <c r="A101" s="177" t="s">
        <v>44</v>
      </c>
      <c r="B101" s="178">
        <f t="shared" si="26"/>
        <v>40</v>
      </c>
      <c r="C101" s="178">
        <f t="shared" si="18"/>
        <v>1998</v>
      </c>
      <c r="D101" s="178" t="str">
        <f t="shared" si="19"/>
        <v>Diesel</v>
      </c>
      <c r="E101" s="182">
        <f t="shared" si="20"/>
        <v>12540.81</v>
      </c>
      <c r="F101" s="282">
        <f t="shared" si="21"/>
        <v>7339.1</v>
      </c>
      <c r="G101" s="180">
        <f t="shared" si="22"/>
        <v>3390.2</v>
      </c>
      <c r="H101" s="186">
        <f t="shared" si="23"/>
        <v>1192</v>
      </c>
      <c r="I101" s="286">
        <f t="shared" si="24"/>
        <v>603.57000000000005</v>
      </c>
      <c r="J101" s="188">
        <f t="shared" si="25"/>
        <v>251.49851632047475</v>
      </c>
    </row>
    <row r="102" spans="1:10">
      <c r="A102" s="184" t="s">
        <v>42</v>
      </c>
      <c r="B102" s="178">
        <f t="shared" si="26"/>
        <v>6.2</v>
      </c>
      <c r="C102" s="178">
        <f t="shared" si="18"/>
        <v>1998</v>
      </c>
      <c r="D102" s="178" t="str">
        <f t="shared" si="19"/>
        <v>Fuel Oil</v>
      </c>
      <c r="E102" s="274">
        <f t="shared" si="20"/>
        <v>22746.25</v>
      </c>
      <c r="F102" s="283">
        <f t="shared" si="21"/>
        <v>21316.65</v>
      </c>
      <c r="G102" s="185">
        <f t="shared" si="22"/>
        <v>22541.66</v>
      </c>
      <c r="H102" s="182">
        <f t="shared" si="23"/>
        <v>1500.58</v>
      </c>
      <c r="I102" s="282">
        <f t="shared" si="24"/>
        <v>1397.83</v>
      </c>
      <c r="J102" s="183">
        <f t="shared" si="25"/>
        <v>1406.2170929507172</v>
      </c>
    </row>
    <row r="103" spans="1:10">
      <c r="A103" s="184" t="s">
        <v>47</v>
      </c>
      <c r="B103" s="178">
        <f t="shared" si="26"/>
        <v>3.9</v>
      </c>
      <c r="C103" s="178">
        <f t="shared" si="18"/>
        <v>1997</v>
      </c>
      <c r="D103" s="178" t="str">
        <f t="shared" si="19"/>
        <v>Fuel Oil</v>
      </c>
      <c r="E103" s="274">
        <f t="shared" si="20"/>
        <v>352.36</v>
      </c>
      <c r="F103" s="283">
        <f t="shared" si="21"/>
        <v>0</v>
      </c>
      <c r="G103" s="185">
        <f t="shared" si="22"/>
        <v>0</v>
      </c>
      <c r="H103" s="182">
        <f t="shared" si="23"/>
        <v>23.7</v>
      </c>
      <c r="I103" s="282">
        <f t="shared" si="24"/>
        <v>0</v>
      </c>
      <c r="J103" s="183">
        <f t="shared" si="25"/>
        <v>0</v>
      </c>
    </row>
    <row r="104" spans="1:10">
      <c r="A104" s="189" t="s">
        <v>48</v>
      </c>
      <c r="B104" s="178">
        <f t="shared" si="26"/>
        <v>3.9</v>
      </c>
      <c r="C104" s="178">
        <f t="shared" si="18"/>
        <v>1997</v>
      </c>
      <c r="D104" s="178" t="str">
        <f t="shared" si="19"/>
        <v>Fuel Oil</v>
      </c>
      <c r="E104" s="182">
        <f t="shared" si="20"/>
        <v>12342.61</v>
      </c>
      <c r="F104" s="282">
        <f t="shared" si="21"/>
        <v>13809.72</v>
      </c>
      <c r="G104" s="180">
        <f t="shared" si="22"/>
        <v>18243.060000000001</v>
      </c>
      <c r="H104" s="182">
        <f t="shared" si="23"/>
        <v>795.08</v>
      </c>
      <c r="I104" s="282">
        <f t="shared" si="24"/>
        <v>877.55</v>
      </c>
      <c r="J104" s="183">
        <f t="shared" si="25"/>
        <v>1110.3505782105906</v>
      </c>
    </row>
    <row r="105" spans="1:10">
      <c r="A105" s="189" t="s">
        <v>49</v>
      </c>
      <c r="B105" s="178">
        <f t="shared" si="26"/>
        <v>3.9</v>
      </c>
      <c r="C105" s="178">
        <f t="shared" si="18"/>
        <v>1997</v>
      </c>
      <c r="D105" s="178" t="str">
        <f t="shared" si="19"/>
        <v>Fuel Oil</v>
      </c>
      <c r="E105" s="182">
        <f t="shared" si="20"/>
        <v>9374.9</v>
      </c>
      <c r="F105" s="282">
        <f t="shared" si="21"/>
        <v>14793.14</v>
      </c>
      <c r="G105" s="180">
        <f t="shared" si="22"/>
        <v>16412.54</v>
      </c>
      <c r="H105" s="182">
        <f t="shared" si="23"/>
        <v>604.73</v>
      </c>
      <c r="I105" s="282">
        <f t="shared" si="24"/>
        <v>939.75</v>
      </c>
      <c r="J105" s="183">
        <f t="shared" si="25"/>
        <v>999.54567600487201</v>
      </c>
    </row>
    <row r="106" spans="1:10">
      <c r="A106" s="177" t="s">
        <v>50</v>
      </c>
      <c r="B106" s="178">
        <f t="shared" si="26"/>
        <v>3.9</v>
      </c>
      <c r="C106" s="178">
        <f t="shared" si="18"/>
        <v>1997</v>
      </c>
      <c r="D106" s="178" t="str">
        <f t="shared" si="19"/>
        <v>Fuel Oil</v>
      </c>
      <c r="E106" s="182">
        <f t="shared" si="20"/>
        <v>5703.73</v>
      </c>
      <c r="F106" s="282">
        <f t="shared" si="21"/>
        <v>0</v>
      </c>
      <c r="G106" s="180">
        <f t="shared" si="22"/>
        <v>18178.509999999998</v>
      </c>
      <c r="H106" s="182">
        <f t="shared" si="23"/>
        <v>381.11</v>
      </c>
      <c r="I106" s="282">
        <f t="shared" si="24"/>
        <v>0</v>
      </c>
      <c r="J106" s="183">
        <f t="shared" si="25"/>
        <v>1107.7702620353441</v>
      </c>
    </row>
    <row r="107" spans="1:10">
      <c r="A107" s="189" t="s">
        <v>51</v>
      </c>
      <c r="B107" s="178">
        <f t="shared" si="26"/>
        <v>3.9</v>
      </c>
      <c r="C107" s="178">
        <f t="shared" si="18"/>
        <v>1997</v>
      </c>
      <c r="D107" s="178" t="str">
        <f t="shared" si="19"/>
        <v>Fuel Oil</v>
      </c>
      <c r="E107" s="182">
        <f t="shared" si="20"/>
        <v>927.94</v>
      </c>
      <c r="F107" s="282">
        <f t="shared" si="21"/>
        <v>0</v>
      </c>
      <c r="G107" s="180">
        <f t="shared" si="22"/>
        <v>2453.7800000000002</v>
      </c>
      <c r="H107" s="182">
        <f t="shared" si="23"/>
        <v>61.4</v>
      </c>
      <c r="I107" s="282">
        <f t="shared" si="24"/>
        <v>0</v>
      </c>
      <c r="J107" s="183">
        <f t="shared" si="25"/>
        <v>150.4463519313305</v>
      </c>
    </row>
    <row r="108" spans="1:10">
      <c r="A108" s="189" t="s">
        <v>52</v>
      </c>
      <c r="B108" s="178">
        <f t="shared" si="26"/>
        <v>3.9</v>
      </c>
      <c r="C108" s="178">
        <f t="shared" si="18"/>
        <v>1997</v>
      </c>
      <c r="D108" s="178" t="str">
        <f t="shared" si="19"/>
        <v>Fuel Oil</v>
      </c>
      <c r="E108" s="182">
        <f t="shared" si="20"/>
        <v>0</v>
      </c>
      <c r="F108" s="282">
        <f t="shared" si="21"/>
        <v>0</v>
      </c>
      <c r="G108" s="180">
        <f t="shared" si="22"/>
        <v>11784.37</v>
      </c>
      <c r="H108" s="182">
        <f t="shared" si="23"/>
        <v>0</v>
      </c>
      <c r="I108" s="282">
        <f t="shared" si="24"/>
        <v>0</v>
      </c>
      <c r="J108" s="183">
        <f t="shared" si="25"/>
        <v>716.81082725060821</v>
      </c>
    </row>
    <row r="109" spans="1:10">
      <c r="A109" s="189" t="s">
        <v>53</v>
      </c>
      <c r="B109" s="178">
        <f t="shared" si="26"/>
        <v>3.9</v>
      </c>
      <c r="C109" s="178">
        <f t="shared" si="18"/>
        <v>1997</v>
      </c>
      <c r="D109" s="178" t="str">
        <f t="shared" si="19"/>
        <v>Fuel Oil</v>
      </c>
      <c r="E109" s="182">
        <f t="shared" si="20"/>
        <v>0</v>
      </c>
      <c r="F109" s="282">
        <f t="shared" si="21"/>
        <v>0</v>
      </c>
      <c r="G109" s="180">
        <f t="shared" si="22"/>
        <v>14749.06</v>
      </c>
      <c r="H109" s="182">
        <f t="shared" si="23"/>
        <v>0</v>
      </c>
      <c r="I109" s="282">
        <f t="shared" si="24"/>
        <v>0</v>
      </c>
      <c r="J109" s="188">
        <f t="shared" si="25"/>
        <v>904.85030674846621</v>
      </c>
    </row>
    <row r="110" spans="1:10">
      <c r="A110" s="189" t="s">
        <v>54</v>
      </c>
      <c r="B110" s="178">
        <f t="shared" si="26"/>
        <v>3.9</v>
      </c>
      <c r="C110" s="178">
        <f t="shared" si="18"/>
        <v>1997</v>
      </c>
      <c r="D110" s="178" t="str">
        <f t="shared" si="19"/>
        <v>Fuel Oil</v>
      </c>
      <c r="E110" s="182">
        <f t="shared" si="20"/>
        <v>0</v>
      </c>
      <c r="F110" s="282">
        <f t="shared" si="21"/>
        <v>6348.15</v>
      </c>
      <c r="G110" s="180">
        <f t="shared" si="22"/>
        <v>19254.25</v>
      </c>
      <c r="H110" s="182">
        <f t="shared" si="23"/>
        <v>0</v>
      </c>
      <c r="I110" s="282">
        <f t="shared" si="24"/>
        <v>401.31</v>
      </c>
      <c r="J110" s="183">
        <f t="shared" si="25"/>
        <v>1180.5180870631516</v>
      </c>
    </row>
    <row r="111" spans="1:10">
      <c r="A111" s="189" t="s">
        <v>55</v>
      </c>
      <c r="B111" s="178">
        <f t="shared" si="26"/>
        <v>3.9</v>
      </c>
      <c r="C111" s="178">
        <f t="shared" si="18"/>
        <v>1997</v>
      </c>
      <c r="D111" s="178" t="str">
        <f t="shared" si="19"/>
        <v>Fuel Oil</v>
      </c>
      <c r="E111" s="182">
        <f t="shared" si="20"/>
        <v>20574.189999999999</v>
      </c>
      <c r="F111" s="282">
        <f t="shared" si="21"/>
        <v>19800.91</v>
      </c>
      <c r="G111" s="180">
        <f t="shared" si="22"/>
        <v>18994.48</v>
      </c>
      <c r="H111" s="182">
        <f t="shared" si="23"/>
        <v>1319.61</v>
      </c>
      <c r="I111" s="282">
        <f t="shared" si="24"/>
        <v>1254.21</v>
      </c>
      <c r="J111" s="183">
        <f t="shared" si="25"/>
        <v>1164.591048436542</v>
      </c>
    </row>
    <row r="112" spans="1:10">
      <c r="A112" s="189" t="s">
        <v>41</v>
      </c>
      <c r="B112" s="178">
        <f t="shared" si="26"/>
        <v>6.2</v>
      </c>
      <c r="C112" s="178">
        <f t="shared" si="18"/>
        <v>1994</v>
      </c>
      <c r="D112" s="178" t="str">
        <f t="shared" si="19"/>
        <v>Fuel Oil</v>
      </c>
      <c r="E112" s="182">
        <f t="shared" si="20"/>
        <v>19889.95</v>
      </c>
      <c r="F112" s="282">
        <f t="shared" si="21"/>
        <v>9168.0499999999993</v>
      </c>
      <c r="G112" s="180">
        <f t="shared" si="22"/>
        <v>13699.54</v>
      </c>
      <c r="H112" s="182">
        <f t="shared" si="23"/>
        <v>1345.22</v>
      </c>
      <c r="I112" s="282">
        <f t="shared" si="24"/>
        <v>619.71</v>
      </c>
      <c r="J112" s="183">
        <f t="shared" si="25"/>
        <v>876.49008317338451</v>
      </c>
    </row>
    <row r="113" spans="1:11">
      <c r="A113" s="184" t="s">
        <v>43</v>
      </c>
      <c r="B113" s="178">
        <f t="shared" si="26"/>
        <v>25</v>
      </c>
      <c r="C113" s="178">
        <f t="shared" si="18"/>
        <v>1992</v>
      </c>
      <c r="D113" s="178" t="str">
        <f t="shared" si="19"/>
        <v>Diesel</v>
      </c>
      <c r="E113" s="274">
        <f t="shared" si="20"/>
        <v>1510.05</v>
      </c>
      <c r="F113" s="283">
        <f t="shared" si="21"/>
        <v>924.49</v>
      </c>
      <c r="G113" s="185">
        <f t="shared" si="22"/>
        <v>218.82</v>
      </c>
      <c r="H113" s="182">
        <f t="shared" si="23"/>
        <v>170.5</v>
      </c>
      <c r="I113" s="282">
        <f t="shared" si="24"/>
        <v>102.57</v>
      </c>
      <c r="J113" s="188">
        <f t="shared" si="25"/>
        <v>25.094036697247702</v>
      </c>
    </row>
    <row r="114" spans="1:11">
      <c r="A114" s="184" t="s">
        <v>65</v>
      </c>
      <c r="B114" s="178">
        <f t="shared" si="26"/>
        <v>35</v>
      </c>
      <c r="C114" s="178">
        <f t="shared" si="18"/>
        <v>1989</v>
      </c>
      <c r="D114" s="178" t="str">
        <f t="shared" si="19"/>
        <v>Steam</v>
      </c>
      <c r="E114" s="274">
        <f t="shared" si="20"/>
        <v>174764.45</v>
      </c>
      <c r="F114" s="283">
        <f t="shared" si="21"/>
        <v>151473.37</v>
      </c>
      <c r="G114" s="185">
        <f t="shared" si="22"/>
        <v>155260.54999999999</v>
      </c>
      <c r="H114" s="182">
        <f t="shared" si="23"/>
        <v>0</v>
      </c>
      <c r="I114" s="282">
        <f t="shared" si="24"/>
        <v>0</v>
      </c>
      <c r="J114" s="188">
        <f t="shared" si="25"/>
        <v>0</v>
      </c>
    </row>
    <row r="115" spans="1:11">
      <c r="A115" s="184" t="s">
        <v>64</v>
      </c>
      <c r="B115" s="178">
        <f t="shared" si="26"/>
        <v>35</v>
      </c>
      <c r="C115" s="178">
        <f t="shared" si="18"/>
        <v>1983</v>
      </c>
      <c r="D115" s="178" t="str">
        <f t="shared" si="19"/>
        <v>Steam</v>
      </c>
      <c r="E115" s="274">
        <f t="shared" si="20"/>
        <v>0</v>
      </c>
      <c r="F115" s="282">
        <f t="shared" si="21"/>
        <v>0</v>
      </c>
      <c r="G115" s="180">
        <f t="shared" si="22"/>
        <v>0</v>
      </c>
      <c r="H115" s="182">
        <f t="shared" si="23"/>
        <v>0</v>
      </c>
      <c r="I115" s="282">
        <f t="shared" si="24"/>
        <v>0</v>
      </c>
      <c r="J115" s="188">
        <f t="shared" si="25"/>
        <v>0</v>
      </c>
    </row>
    <row r="116" spans="1:11">
      <c r="A116" s="184" t="s">
        <v>73</v>
      </c>
      <c r="B116" s="178">
        <f t="shared" si="26"/>
        <v>53</v>
      </c>
      <c r="C116" s="178">
        <f t="shared" si="18"/>
        <v>1977</v>
      </c>
      <c r="D116" s="178" t="str">
        <f t="shared" si="19"/>
        <v>Fuel Oil</v>
      </c>
      <c r="E116" s="274">
        <f t="shared" si="20"/>
        <v>269247.21000000002</v>
      </c>
      <c r="F116" s="283">
        <f t="shared" si="21"/>
        <v>249714.19</v>
      </c>
      <c r="G116" s="185">
        <f t="shared" si="22"/>
        <v>193572.1</v>
      </c>
      <c r="H116" s="182">
        <f t="shared" si="23"/>
        <v>21304.61</v>
      </c>
      <c r="I116" s="282">
        <f t="shared" si="24"/>
        <v>20047.099999999999</v>
      </c>
      <c r="J116" s="188">
        <f t="shared" si="25"/>
        <v>14913.104776579354</v>
      </c>
    </row>
    <row r="117" spans="1:11">
      <c r="A117" s="189" t="s">
        <v>72</v>
      </c>
      <c r="B117" s="178">
        <f t="shared" si="26"/>
        <v>53</v>
      </c>
      <c r="C117" s="178">
        <f t="shared" si="18"/>
        <v>1976</v>
      </c>
      <c r="D117" s="178" t="str">
        <f t="shared" si="19"/>
        <v>Fuel Oil</v>
      </c>
      <c r="E117" s="182">
        <f t="shared" si="20"/>
        <v>290354.38</v>
      </c>
      <c r="F117" s="282">
        <f t="shared" si="21"/>
        <v>246714.09</v>
      </c>
      <c r="G117" s="180">
        <f t="shared" si="22"/>
        <v>177088.7</v>
      </c>
      <c r="H117" s="182">
        <f t="shared" si="23"/>
        <v>23062.3</v>
      </c>
      <c r="I117" s="282">
        <f t="shared" si="24"/>
        <v>19787.43</v>
      </c>
      <c r="J117" s="183">
        <f t="shared" si="25"/>
        <v>13643.197226502312</v>
      </c>
    </row>
    <row r="118" spans="1:11">
      <c r="A118" s="184" t="s">
        <v>40</v>
      </c>
      <c r="B118" s="178">
        <f t="shared" si="26"/>
        <v>45</v>
      </c>
      <c r="C118" s="178">
        <f t="shared" si="18"/>
        <v>1971</v>
      </c>
      <c r="D118" s="178" t="str">
        <f t="shared" si="19"/>
        <v>Fuel Oil</v>
      </c>
      <c r="E118" s="274">
        <f t="shared" si="20"/>
        <v>166471.15</v>
      </c>
      <c r="F118" s="283">
        <f t="shared" si="21"/>
        <v>131475.01</v>
      </c>
      <c r="G118" s="185">
        <f t="shared" si="22"/>
        <v>126267.91</v>
      </c>
      <c r="H118" s="182">
        <f t="shared" si="23"/>
        <v>15457.58</v>
      </c>
      <c r="I118" s="282">
        <f t="shared" si="24"/>
        <v>12189.53</v>
      </c>
      <c r="J118" s="188">
        <f t="shared" si="25"/>
        <v>10810.608732876713</v>
      </c>
    </row>
    <row r="119" spans="1:11">
      <c r="A119" s="184" t="s">
        <v>122</v>
      </c>
      <c r="B119" s="178">
        <f t="shared" si="26"/>
        <v>0</v>
      </c>
      <c r="C119" s="178">
        <f t="shared" si="18"/>
        <v>1971</v>
      </c>
      <c r="D119" s="178" t="str">
        <f t="shared" si="19"/>
        <v>Diesel</v>
      </c>
      <c r="E119" s="274">
        <f t="shared" si="20"/>
        <v>0</v>
      </c>
      <c r="F119" s="282">
        <f t="shared" si="21"/>
        <v>0</v>
      </c>
      <c r="G119" s="185">
        <f t="shared" si="22"/>
        <v>0</v>
      </c>
      <c r="H119" s="182">
        <f t="shared" si="23"/>
        <v>3.41</v>
      </c>
      <c r="I119" s="282">
        <f t="shared" si="24"/>
        <v>7.57</v>
      </c>
      <c r="J119" s="188">
        <f t="shared" si="25"/>
        <v>0</v>
      </c>
    </row>
    <row r="120" spans="1:11">
      <c r="A120" s="189" t="s">
        <v>74</v>
      </c>
      <c r="B120" s="178">
        <f t="shared" si="26"/>
        <v>14</v>
      </c>
      <c r="C120" s="178">
        <f t="shared" si="18"/>
        <v>1967</v>
      </c>
      <c r="D120" s="178" t="str">
        <f t="shared" si="19"/>
        <v>Diesel</v>
      </c>
      <c r="E120" s="182">
        <f t="shared" si="20"/>
        <v>0</v>
      </c>
      <c r="F120" s="282">
        <f t="shared" si="21"/>
        <v>0</v>
      </c>
      <c r="G120" s="180">
        <f t="shared" si="22"/>
        <v>0</v>
      </c>
      <c r="H120" s="182">
        <f t="shared" si="23"/>
        <v>0.41</v>
      </c>
      <c r="I120" s="282">
        <f t="shared" si="24"/>
        <v>0</v>
      </c>
      <c r="J120" s="188">
        <f t="shared" si="25"/>
        <v>0</v>
      </c>
    </row>
    <row r="121" spans="1:11">
      <c r="A121" s="190" t="s">
        <v>36</v>
      </c>
      <c r="B121" s="191">
        <f t="shared" si="26"/>
        <v>25</v>
      </c>
      <c r="C121" s="192">
        <f t="shared" si="18"/>
        <v>1965</v>
      </c>
      <c r="D121" s="192" t="str">
        <f t="shared" si="19"/>
        <v>Water</v>
      </c>
      <c r="E121" s="194">
        <f t="shared" si="20"/>
        <v>294816.11</v>
      </c>
      <c r="F121" s="284">
        <f t="shared" si="21"/>
        <v>178999.58</v>
      </c>
      <c r="G121" s="193">
        <f t="shared" si="22"/>
        <v>269778.52</v>
      </c>
      <c r="H121" s="194">
        <f t="shared" si="23"/>
        <v>0</v>
      </c>
      <c r="I121" s="284">
        <f t="shared" si="24"/>
        <v>0</v>
      </c>
      <c r="J121" s="273">
        <f t="shared" si="25"/>
        <v>0</v>
      </c>
    </row>
    <row r="122" spans="1:11">
      <c r="A122" s="289"/>
      <c r="B122" s="292"/>
      <c r="C122" s="292"/>
      <c r="D122" s="196"/>
      <c r="E122" s="278"/>
      <c r="F122" s="185"/>
      <c r="G122" s="293"/>
      <c r="H122" s="180"/>
      <c r="I122" s="180"/>
      <c r="J122" s="180"/>
      <c r="K122" s="64"/>
    </row>
    <row r="124" spans="1:11">
      <c r="A124" s="348" t="s">
        <v>107</v>
      </c>
      <c r="B124" s="348" t="s">
        <v>186</v>
      </c>
      <c r="C124" s="348" t="s">
        <v>109</v>
      </c>
      <c r="D124" s="348" t="s">
        <v>92</v>
      </c>
      <c r="E124" s="345" t="s">
        <v>131</v>
      </c>
      <c r="F124" s="346"/>
      <c r="G124" s="347"/>
      <c r="H124" s="345" t="s">
        <v>132</v>
      </c>
      <c r="I124" s="346"/>
      <c r="J124" s="347"/>
    </row>
    <row r="125" spans="1:11">
      <c r="A125" s="349"/>
      <c r="B125" s="349"/>
      <c r="C125" s="349"/>
      <c r="D125" s="349"/>
      <c r="E125" s="176">
        <v>2008</v>
      </c>
      <c r="F125" s="200">
        <v>2009</v>
      </c>
      <c r="G125" s="281">
        <v>2010</v>
      </c>
      <c r="H125" s="175">
        <v>2008</v>
      </c>
      <c r="I125" s="200">
        <v>2009</v>
      </c>
      <c r="J125" s="285">
        <v>2010</v>
      </c>
    </row>
    <row r="126" spans="1:11">
      <c r="A126" s="189" t="s">
        <v>37</v>
      </c>
      <c r="B126" s="275">
        <f t="shared" ref="B126:B128" si="27">VLOOKUP(A126,data,2,FALSE)</f>
        <v>25</v>
      </c>
      <c r="C126" s="276">
        <f t="shared" ref="C126:C129" si="28">VLOOKUP($A126,data,3,FALSE)</f>
        <v>1965</v>
      </c>
      <c r="D126" s="276" t="str">
        <f t="shared" ref="D126:D129" si="29">VLOOKUP($A126,data,5,FALSE)</f>
        <v>Water</v>
      </c>
      <c r="E126" s="277">
        <f t="shared" ref="E126:E129" si="30">VLOOKUP($A126,data,7,FALSE)</f>
        <v>0</v>
      </c>
      <c r="F126" s="287">
        <f t="shared" ref="F126:F129" si="31">VLOOKUP($A126,data,8,FALSE)</f>
        <v>0</v>
      </c>
      <c r="G126" s="278">
        <f t="shared" ref="G126:G129" si="32">VLOOKUP($A126,data,9,FALSE)</f>
        <v>0</v>
      </c>
      <c r="H126" s="277">
        <f t="shared" ref="H126:H129" si="33">VLOOKUP($A126,data,10,FALSE)</f>
        <v>0</v>
      </c>
      <c r="I126" s="287">
        <f t="shared" ref="I126:I129" si="34">VLOOKUP($A126,data,11,FALSE)</f>
        <v>0</v>
      </c>
      <c r="J126" s="279">
        <f>VLOOKUP($A126,data,13,FALSE)</f>
        <v>0</v>
      </c>
    </row>
    <row r="127" spans="1:11">
      <c r="A127" s="189" t="s">
        <v>38</v>
      </c>
      <c r="B127" s="178">
        <f t="shared" si="27"/>
        <v>27.2</v>
      </c>
      <c r="C127" s="179">
        <f t="shared" si="28"/>
        <v>1965</v>
      </c>
      <c r="D127" s="179" t="str">
        <f t="shared" si="29"/>
        <v>Water</v>
      </c>
      <c r="E127" s="182">
        <f t="shared" si="30"/>
        <v>230967.39</v>
      </c>
      <c r="F127" s="282">
        <f t="shared" si="31"/>
        <v>108064.65</v>
      </c>
      <c r="G127" s="180">
        <f t="shared" si="32"/>
        <v>226077.36</v>
      </c>
      <c r="H127" s="182">
        <f t="shared" si="33"/>
        <v>0</v>
      </c>
      <c r="I127" s="282">
        <f t="shared" si="34"/>
        <v>0</v>
      </c>
      <c r="J127" s="188">
        <f>VLOOKUP($A127,data,13,FALSE)</f>
        <v>0</v>
      </c>
    </row>
    <row r="128" spans="1:11">
      <c r="A128" s="189" t="s">
        <v>39</v>
      </c>
      <c r="B128" s="178">
        <f t="shared" si="27"/>
        <v>27.2</v>
      </c>
      <c r="C128" s="179">
        <f t="shared" si="28"/>
        <v>1965</v>
      </c>
      <c r="D128" s="179" t="str">
        <f t="shared" si="29"/>
        <v>Water</v>
      </c>
      <c r="E128" s="182">
        <f t="shared" si="30"/>
        <v>0</v>
      </c>
      <c r="F128" s="282">
        <f t="shared" si="31"/>
        <v>0</v>
      </c>
      <c r="G128" s="180">
        <f t="shared" si="32"/>
        <v>0</v>
      </c>
      <c r="H128" s="182">
        <f t="shared" si="33"/>
        <v>0</v>
      </c>
      <c r="I128" s="282">
        <f t="shared" si="34"/>
        <v>0</v>
      </c>
      <c r="J128" s="188">
        <f>VLOOKUP($A128,data,13,FALSE)</f>
        <v>0</v>
      </c>
    </row>
    <row r="129" spans="1:11">
      <c r="A129" s="195" t="s">
        <v>133</v>
      </c>
      <c r="B129" s="178">
        <f t="shared" ref="B129" si="35">VLOOKUP(A129,data,2,FALSE)</f>
        <v>0</v>
      </c>
      <c r="C129" s="179">
        <f t="shared" si="28"/>
        <v>0</v>
      </c>
      <c r="D129" s="179">
        <f t="shared" si="29"/>
        <v>0</v>
      </c>
      <c r="E129" s="182">
        <f t="shared" si="30"/>
        <v>28200</v>
      </c>
      <c r="F129" s="282">
        <f t="shared" si="31"/>
        <v>1687.25</v>
      </c>
      <c r="G129" s="180">
        <f t="shared" si="32"/>
        <v>10248.82</v>
      </c>
      <c r="H129" s="182">
        <f t="shared" si="33"/>
        <v>0</v>
      </c>
      <c r="I129" s="282">
        <f t="shared" si="34"/>
        <v>0</v>
      </c>
      <c r="J129" s="188">
        <f>VLOOKUP($A129,data,13,FALSE)</f>
        <v>0</v>
      </c>
    </row>
    <row r="130" spans="1:11">
      <c r="A130" s="184"/>
      <c r="B130" s="178"/>
      <c r="C130" s="178"/>
      <c r="D130" s="178"/>
      <c r="E130" s="185"/>
      <c r="F130" s="283"/>
      <c r="G130" s="185"/>
      <c r="H130" s="182"/>
      <c r="I130" s="282"/>
      <c r="J130" s="188"/>
    </row>
    <row r="131" spans="1:11">
      <c r="A131" s="201" t="s">
        <v>134</v>
      </c>
      <c r="B131" s="45"/>
      <c r="C131" s="202"/>
      <c r="D131" s="202"/>
      <c r="E131" s="204">
        <f>E132-E129</f>
        <v>3036047.5499999989</v>
      </c>
      <c r="F131" s="288">
        <f t="shared" ref="F131:G131" si="36">F132-F129</f>
        <v>3109884.1700000009</v>
      </c>
      <c r="G131" s="288">
        <f t="shared" si="36"/>
        <v>3320917.7299999995</v>
      </c>
      <c r="H131" s="204"/>
      <c r="I131" s="288"/>
      <c r="J131" s="205"/>
    </row>
    <row r="132" spans="1:11">
      <c r="A132" s="206" t="s">
        <v>135</v>
      </c>
      <c r="B132" s="280">
        <f>SUM(B85:B121,B44:B80,B3:B39,B126:B129)</f>
        <v>1060.0999999999992</v>
      </c>
      <c r="C132" s="45"/>
      <c r="D132" s="109"/>
      <c r="E132" s="204">
        <f t="shared" ref="E132:G132" si="37">SUM(E85:E121,E44:E80,E3:E39,E126:E129)</f>
        <v>3064247.5499999989</v>
      </c>
      <c r="F132" s="288">
        <f t="shared" si="37"/>
        <v>3111571.4200000009</v>
      </c>
      <c r="G132" s="203">
        <f t="shared" si="37"/>
        <v>3331166.5499999993</v>
      </c>
      <c r="H132" s="109"/>
      <c r="I132" s="45"/>
      <c r="J132" s="174"/>
    </row>
    <row r="133" spans="1:11">
      <c r="A133" s="289"/>
      <c r="B133" s="292"/>
      <c r="C133" s="292"/>
      <c r="D133" s="196"/>
      <c r="E133" s="293"/>
      <c r="F133" s="185"/>
      <c r="G133" s="185"/>
      <c r="H133" s="278"/>
      <c r="I133" s="180"/>
      <c r="J133" s="187"/>
      <c r="K133" s="64"/>
    </row>
    <row r="134" spans="1:11">
      <c r="A134" s="290"/>
      <c r="B134" s="196"/>
      <c r="C134" s="196"/>
      <c r="D134" s="196"/>
      <c r="E134" s="180"/>
      <c r="F134" s="180"/>
      <c r="G134" s="180"/>
      <c r="H134" s="180"/>
      <c r="I134" s="180"/>
      <c r="J134" s="180"/>
    </row>
    <row r="135" spans="1:11">
      <c r="A135" s="291"/>
      <c r="B135" s="196"/>
      <c r="C135" s="196"/>
      <c r="D135" s="196"/>
      <c r="E135" s="185"/>
      <c r="F135" s="185"/>
      <c r="G135" s="185"/>
      <c r="H135" s="180"/>
      <c r="I135" s="180"/>
      <c r="J135" s="187"/>
    </row>
    <row r="136" spans="1:11">
      <c r="A136" s="291"/>
      <c r="B136" s="196"/>
      <c r="C136" s="196"/>
      <c r="D136" s="196"/>
      <c r="E136" s="185"/>
      <c r="F136" s="181"/>
      <c r="G136" s="185"/>
      <c r="H136" s="180"/>
      <c r="I136" s="180"/>
      <c r="J136" s="187"/>
    </row>
    <row r="137" spans="1:11">
      <c r="A137" s="290"/>
      <c r="B137" s="196"/>
      <c r="C137" s="196"/>
      <c r="D137" s="196"/>
      <c r="E137" s="181"/>
      <c r="F137" s="180"/>
      <c r="G137" s="180"/>
      <c r="H137" s="180"/>
      <c r="I137" s="180"/>
      <c r="J137" s="187"/>
    </row>
    <row r="138" spans="1:11">
      <c r="A138" s="290"/>
      <c r="B138" s="196"/>
      <c r="C138" s="197"/>
      <c r="D138" s="197"/>
      <c r="E138" s="180"/>
      <c r="F138" s="180"/>
      <c r="G138" s="180"/>
      <c r="H138" s="180"/>
      <c r="I138" s="198"/>
      <c r="J138" s="199"/>
    </row>
  </sheetData>
  <mergeCells count="24">
    <mergeCell ref="H124:J124"/>
    <mergeCell ref="A124:A125"/>
    <mergeCell ref="B124:B125"/>
    <mergeCell ref="C124:C125"/>
    <mergeCell ref="D124:D125"/>
    <mergeCell ref="E124:G124"/>
    <mergeCell ref="H1:J1"/>
    <mergeCell ref="A1:A2"/>
    <mergeCell ref="B1:B2"/>
    <mergeCell ref="C1:C2"/>
    <mergeCell ref="D1:D2"/>
    <mergeCell ref="E1:G1"/>
    <mergeCell ref="H83:J83"/>
    <mergeCell ref="A42:A43"/>
    <mergeCell ref="B42:B43"/>
    <mergeCell ref="C42:C43"/>
    <mergeCell ref="D42:D43"/>
    <mergeCell ref="E42:G42"/>
    <mergeCell ref="H42:J42"/>
    <mergeCell ref="A83:A84"/>
    <mergeCell ref="B83:B84"/>
    <mergeCell ref="C83:C84"/>
    <mergeCell ref="D83:D84"/>
    <mergeCell ref="E83:G8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DATA &amp; OM</vt:lpstr>
      <vt:lpstr>BM</vt:lpstr>
      <vt:lpstr>CM</vt:lpstr>
      <vt:lpstr>COEF</vt:lpstr>
      <vt:lpstr>Renew. share</vt:lpstr>
      <vt:lpstr>Dynamic Table</vt:lpstr>
      <vt:lpstr>Graphs</vt:lpstr>
      <vt:lpstr>Data</vt:lpstr>
      <vt:lpstr>CM!_ftn1</vt:lpstr>
      <vt:lpstr>CM!_ftn2</vt:lpstr>
      <vt:lpstr>CM!_ftnref1</vt:lpstr>
      <vt:lpstr>CM!_ftnref2</vt:lpstr>
      <vt:lpstr>data</vt:lpstr>
      <vt:lpstr>datos</vt:lpstr>
      <vt:lpstr>diesel</vt:lpstr>
      <vt:lpstr>fuel</vt:lpstr>
      <vt:lpstr>fueloil</vt:lpstr>
    </vt:vector>
  </TitlesOfParts>
  <Company>ROMA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ROMA</dc:creator>
  <cp:lastModifiedBy>degener.s</cp:lastModifiedBy>
  <dcterms:created xsi:type="dcterms:W3CDTF">2009-06-18T19:18:54Z</dcterms:created>
  <dcterms:modified xsi:type="dcterms:W3CDTF">2012-12-13T15:04:03Z</dcterms:modified>
</cp:coreProperties>
</file>