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0" yWindow="15" windowWidth="19440" windowHeight="11760" tabRatio="676"/>
  </bookViews>
  <sheets>
    <sheet name="Parameters" sheetId="4" r:id="rId1"/>
    <sheet name="Cashflows" sheetId="2" r:id="rId2"/>
    <sheet name="Generation" sheetId="7" r:id="rId3"/>
    <sheet name="Calculation" sheetId="8" r:id="rId4"/>
    <sheet name="Tax" sheetId="5" r:id="rId5"/>
    <sheet name="Sensitivity" sheetId="3" r:id="rId6"/>
  </sheets>
  <calcPr calcId="145621" iterate="1"/>
</workbook>
</file>

<file path=xl/calcChain.xml><?xml version="1.0" encoding="utf-8"?>
<calcChain xmlns="http://schemas.openxmlformats.org/spreadsheetml/2006/main">
  <c r="B26" i="4" l="1"/>
  <c r="B30" i="4"/>
  <c r="B12" i="4"/>
  <c r="B38" i="4" l="1"/>
  <c r="B35" i="4" l="1"/>
  <c r="B36" i="4" s="1"/>
  <c r="B20" i="4" l="1"/>
  <c r="B5" i="4"/>
  <c r="B14" i="4" l="1"/>
  <c r="E43" i="8"/>
  <c r="F43" i="8"/>
  <c r="AA16" i="8" l="1"/>
  <c r="Z16" i="8"/>
  <c r="Y16" i="8"/>
  <c r="X16" i="8"/>
  <c r="W16" i="8"/>
  <c r="V16" i="8"/>
  <c r="U16" i="8"/>
  <c r="T16" i="8"/>
  <c r="S16" i="8"/>
  <c r="R16" i="8"/>
  <c r="Q16" i="8"/>
  <c r="P16" i="8"/>
  <c r="O16" i="8"/>
  <c r="N16" i="8"/>
  <c r="M16" i="8"/>
  <c r="L16" i="8"/>
  <c r="K16" i="8"/>
  <c r="J16" i="8"/>
  <c r="I16" i="8"/>
  <c r="H16" i="8"/>
  <c r="G16" i="8"/>
  <c r="F16" i="8"/>
  <c r="E16" i="8"/>
  <c r="AA15" i="8"/>
  <c r="Z15" i="8"/>
  <c r="Y15" i="8"/>
  <c r="X15" i="8"/>
  <c r="W15" i="8"/>
  <c r="V15" i="8"/>
  <c r="U15" i="8"/>
  <c r="T15" i="8"/>
  <c r="S15" i="8"/>
  <c r="R15" i="8"/>
  <c r="Q15" i="8"/>
  <c r="P15" i="8"/>
  <c r="O15" i="8"/>
  <c r="N15" i="8"/>
  <c r="M15" i="8"/>
  <c r="L15" i="8"/>
  <c r="K15" i="8"/>
  <c r="J15" i="8"/>
  <c r="I15" i="8"/>
  <c r="H15" i="8"/>
  <c r="G15" i="8"/>
  <c r="F15" i="8"/>
  <c r="E15" i="8"/>
  <c r="AA14" i="8"/>
  <c r="Z14" i="8"/>
  <c r="Y14" i="8"/>
  <c r="X14" i="8"/>
  <c r="W14" i="8"/>
  <c r="V14" i="8"/>
  <c r="U14" i="8"/>
  <c r="T14" i="8"/>
  <c r="S14" i="8"/>
  <c r="R14" i="8"/>
  <c r="Q14" i="8"/>
  <c r="P14" i="8"/>
  <c r="O14" i="8"/>
  <c r="N14" i="8"/>
  <c r="M14" i="8"/>
  <c r="L14" i="8"/>
  <c r="K14" i="8"/>
  <c r="J14" i="8"/>
  <c r="I14" i="8"/>
  <c r="H14" i="8"/>
  <c r="G14" i="8"/>
  <c r="F14" i="8"/>
  <c r="E14" i="8"/>
  <c r="AA13" i="8"/>
  <c r="Z13" i="8"/>
  <c r="Y13" i="8"/>
  <c r="X13" i="8"/>
  <c r="W13" i="8"/>
  <c r="V13" i="8"/>
  <c r="U13" i="8"/>
  <c r="T13" i="8"/>
  <c r="S13" i="8"/>
  <c r="R13" i="8"/>
  <c r="Q13" i="8"/>
  <c r="P13" i="8"/>
  <c r="O13" i="8"/>
  <c r="N13" i="8"/>
  <c r="M13" i="8"/>
  <c r="L13" i="8"/>
  <c r="K13" i="8"/>
  <c r="J13" i="8"/>
  <c r="I13" i="8"/>
  <c r="H13" i="8"/>
  <c r="G13" i="8"/>
  <c r="F13" i="8"/>
  <c r="E13" i="8"/>
  <c r="AA12" i="8"/>
  <c r="Z12" i="8"/>
  <c r="Y12" i="8"/>
  <c r="X12" i="8"/>
  <c r="W12" i="8"/>
  <c r="V12" i="8"/>
  <c r="U12" i="8"/>
  <c r="T12" i="8"/>
  <c r="S12" i="8"/>
  <c r="R12" i="8"/>
  <c r="Q12" i="8"/>
  <c r="P12" i="8"/>
  <c r="O12" i="8"/>
  <c r="N12" i="8"/>
  <c r="M12" i="8"/>
  <c r="L12" i="8"/>
  <c r="K12" i="8"/>
  <c r="J12" i="8"/>
  <c r="I12" i="8"/>
  <c r="H12" i="8"/>
  <c r="G12" i="8"/>
  <c r="F12" i="8"/>
  <c r="E12" i="8"/>
  <c r="AA11" i="8"/>
  <c r="Z11" i="8"/>
  <c r="Y11" i="8"/>
  <c r="X11" i="8"/>
  <c r="W11" i="8"/>
  <c r="V11" i="8"/>
  <c r="U11" i="8"/>
  <c r="T11" i="8"/>
  <c r="S11" i="8"/>
  <c r="R11" i="8"/>
  <c r="Q11" i="8"/>
  <c r="P11" i="8"/>
  <c r="O11" i="8"/>
  <c r="N11" i="8"/>
  <c r="M11" i="8"/>
  <c r="L11" i="8"/>
  <c r="K11" i="8"/>
  <c r="J11" i="8"/>
  <c r="I11" i="8"/>
  <c r="H11" i="8"/>
  <c r="G11" i="8"/>
  <c r="F11" i="8"/>
  <c r="E11" i="8"/>
  <c r="AA10" i="8"/>
  <c r="Z10" i="8"/>
  <c r="Y10" i="8"/>
  <c r="X10" i="8"/>
  <c r="W10" i="8"/>
  <c r="V10" i="8"/>
  <c r="U10" i="8"/>
  <c r="T10" i="8"/>
  <c r="S10" i="8"/>
  <c r="R10" i="8"/>
  <c r="Q10" i="8"/>
  <c r="P10" i="8"/>
  <c r="O10" i="8"/>
  <c r="N10" i="8"/>
  <c r="M10" i="8"/>
  <c r="L10" i="8"/>
  <c r="K10" i="8"/>
  <c r="J10" i="8"/>
  <c r="I10" i="8"/>
  <c r="H10" i="8"/>
  <c r="G10" i="8"/>
  <c r="F10" i="8"/>
  <c r="E10" i="8"/>
  <c r="AA9" i="8"/>
  <c r="Z9" i="8"/>
  <c r="Y9" i="8"/>
  <c r="X9" i="8"/>
  <c r="W9" i="8"/>
  <c r="V9" i="8"/>
  <c r="U9" i="8"/>
  <c r="T9" i="8"/>
  <c r="S9" i="8"/>
  <c r="R9" i="8"/>
  <c r="Q9" i="8"/>
  <c r="P9" i="8"/>
  <c r="O9" i="8"/>
  <c r="N9" i="8"/>
  <c r="M9" i="8"/>
  <c r="L9" i="8"/>
  <c r="K9" i="8"/>
  <c r="J9" i="8"/>
  <c r="I9" i="8"/>
  <c r="H9" i="8"/>
  <c r="G9" i="8"/>
  <c r="F9" i="8"/>
  <c r="E9" i="8"/>
  <c r="AA8" i="8"/>
  <c r="Z8" i="8"/>
  <c r="Y8" i="8"/>
  <c r="X8" i="8"/>
  <c r="W8" i="8"/>
  <c r="V8" i="8"/>
  <c r="U8" i="8"/>
  <c r="T8" i="8"/>
  <c r="S8" i="8"/>
  <c r="R8" i="8"/>
  <c r="Q8" i="8"/>
  <c r="P8" i="8"/>
  <c r="O8" i="8"/>
  <c r="N8" i="8"/>
  <c r="M8" i="8"/>
  <c r="L8" i="8"/>
  <c r="K8" i="8"/>
  <c r="J8" i="8"/>
  <c r="I8" i="8"/>
  <c r="H8" i="8"/>
  <c r="G8" i="8"/>
  <c r="F8" i="8"/>
  <c r="E8" i="8"/>
  <c r="AA7" i="8"/>
  <c r="Z7" i="8"/>
  <c r="Y7" i="8"/>
  <c r="X7" i="8"/>
  <c r="W7" i="8"/>
  <c r="V7" i="8"/>
  <c r="U7" i="8"/>
  <c r="T7" i="8"/>
  <c r="S7" i="8"/>
  <c r="R7" i="8"/>
  <c r="Q7" i="8"/>
  <c r="P7" i="8"/>
  <c r="O7" i="8"/>
  <c r="N7" i="8"/>
  <c r="M7" i="8"/>
  <c r="L7" i="8"/>
  <c r="K7" i="8"/>
  <c r="J7" i="8"/>
  <c r="I7" i="8"/>
  <c r="H7" i="8"/>
  <c r="G7" i="8"/>
  <c r="F7" i="8"/>
  <c r="E7" i="8"/>
  <c r="G3" i="8"/>
  <c r="H3" i="8" s="1"/>
  <c r="I3" i="8" s="1"/>
  <c r="J3" i="8" s="1"/>
  <c r="K3" i="8" s="1"/>
  <c r="L3" i="8" s="1"/>
  <c r="M3" i="8" s="1"/>
  <c r="N3" i="8" s="1"/>
  <c r="O3" i="8" s="1"/>
  <c r="P3" i="8" s="1"/>
  <c r="Q3" i="8" s="1"/>
  <c r="R3" i="8" s="1"/>
  <c r="S3" i="8" s="1"/>
  <c r="T3" i="8" s="1"/>
  <c r="U3" i="8" s="1"/>
  <c r="V3" i="8" s="1"/>
  <c r="W3" i="8" s="1"/>
  <c r="X3" i="8" s="1"/>
  <c r="Y3" i="8" s="1"/>
  <c r="Z3" i="8" s="1"/>
  <c r="AA3" i="8" s="1"/>
  <c r="F3" i="8"/>
  <c r="F2" i="8"/>
  <c r="G2" i="8" s="1"/>
  <c r="H2" i="8" s="1"/>
  <c r="AA16" i="7"/>
  <c r="Z16" i="7"/>
  <c r="Y16" i="7"/>
  <c r="X16" i="7"/>
  <c r="W16" i="7"/>
  <c r="V16" i="7"/>
  <c r="U16" i="7"/>
  <c r="T16" i="7"/>
  <c r="S16" i="7"/>
  <c r="R16" i="7"/>
  <c r="Q16" i="7"/>
  <c r="P16" i="7"/>
  <c r="O16" i="7"/>
  <c r="N16" i="7"/>
  <c r="M16" i="7"/>
  <c r="L16" i="7"/>
  <c r="K16" i="7"/>
  <c r="J16" i="7"/>
  <c r="I16" i="7"/>
  <c r="H16" i="7"/>
  <c r="G16" i="7"/>
  <c r="F16" i="7"/>
  <c r="E16" i="7"/>
  <c r="AA15" i="7"/>
  <c r="Z15" i="7"/>
  <c r="Y15" i="7"/>
  <c r="X15" i="7"/>
  <c r="W15" i="7"/>
  <c r="V15" i="7"/>
  <c r="U15" i="7"/>
  <c r="T15" i="7"/>
  <c r="S15" i="7"/>
  <c r="R15" i="7"/>
  <c r="Q15" i="7"/>
  <c r="P15" i="7"/>
  <c r="O15" i="7"/>
  <c r="N15" i="7"/>
  <c r="M15" i="7"/>
  <c r="L15" i="7"/>
  <c r="K15" i="7"/>
  <c r="J15" i="7"/>
  <c r="I15" i="7"/>
  <c r="H15" i="7"/>
  <c r="G15" i="7"/>
  <c r="F15" i="7"/>
  <c r="E15" i="7"/>
  <c r="AA14" i="7"/>
  <c r="Z14" i="7"/>
  <c r="Y14" i="7"/>
  <c r="X14" i="7"/>
  <c r="W14" i="7"/>
  <c r="V14" i="7"/>
  <c r="U14" i="7"/>
  <c r="T14" i="7"/>
  <c r="S14" i="7"/>
  <c r="R14" i="7"/>
  <c r="Q14" i="7"/>
  <c r="P14" i="7"/>
  <c r="O14" i="7"/>
  <c r="N14" i="7"/>
  <c r="M14" i="7"/>
  <c r="L14" i="7"/>
  <c r="K14" i="7"/>
  <c r="J14" i="7"/>
  <c r="I14" i="7"/>
  <c r="H14" i="7"/>
  <c r="G14" i="7"/>
  <c r="F14" i="7"/>
  <c r="E14" i="7"/>
  <c r="AA13" i="7"/>
  <c r="Z13" i="7"/>
  <c r="Y13" i="7"/>
  <c r="X13" i="7"/>
  <c r="W13" i="7"/>
  <c r="V13" i="7"/>
  <c r="U13" i="7"/>
  <c r="T13" i="7"/>
  <c r="S13" i="7"/>
  <c r="R13" i="7"/>
  <c r="Q13" i="7"/>
  <c r="P13" i="7"/>
  <c r="O13" i="7"/>
  <c r="N13" i="7"/>
  <c r="M13" i="7"/>
  <c r="L13" i="7"/>
  <c r="K13" i="7"/>
  <c r="J13" i="7"/>
  <c r="I13" i="7"/>
  <c r="H13" i="7"/>
  <c r="G13" i="7"/>
  <c r="F13" i="7"/>
  <c r="E13" i="7"/>
  <c r="AA12" i="7"/>
  <c r="Z12" i="7"/>
  <c r="Y12" i="7"/>
  <c r="X12" i="7"/>
  <c r="W12" i="7"/>
  <c r="V12" i="7"/>
  <c r="U12" i="7"/>
  <c r="T12" i="7"/>
  <c r="S12" i="7"/>
  <c r="R12" i="7"/>
  <c r="Q12" i="7"/>
  <c r="P12" i="7"/>
  <c r="O12" i="7"/>
  <c r="N12" i="7"/>
  <c r="M12" i="7"/>
  <c r="L12" i="7"/>
  <c r="K12" i="7"/>
  <c r="J12" i="7"/>
  <c r="I12" i="7"/>
  <c r="H12" i="7"/>
  <c r="G12" i="7"/>
  <c r="F12" i="7"/>
  <c r="E12" i="7"/>
  <c r="AA11" i="7"/>
  <c r="Z11" i="7"/>
  <c r="Y11" i="7"/>
  <c r="X11" i="7"/>
  <c r="W11" i="7"/>
  <c r="V11" i="7"/>
  <c r="U11" i="7"/>
  <c r="T11" i="7"/>
  <c r="S11" i="7"/>
  <c r="R11" i="7"/>
  <c r="Q11" i="7"/>
  <c r="P11" i="7"/>
  <c r="O11" i="7"/>
  <c r="N11" i="7"/>
  <c r="M11" i="7"/>
  <c r="L11" i="7"/>
  <c r="K11" i="7"/>
  <c r="J11" i="7"/>
  <c r="I11" i="7"/>
  <c r="H11" i="7"/>
  <c r="G11" i="7"/>
  <c r="F11" i="7"/>
  <c r="E11" i="7"/>
  <c r="AA10" i="7"/>
  <c r="Z10" i="7"/>
  <c r="Y10" i="7"/>
  <c r="X10" i="7"/>
  <c r="W10" i="7"/>
  <c r="V10" i="7"/>
  <c r="U10" i="7"/>
  <c r="T10" i="7"/>
  <c r="S10" i="7"/>
  <c r="R10" i="7"/>
  <c r="Q10" i="7"/>
  <c r="P10" i="7"/>
  <c r="O10" i="7"/>
  <c r="N10" i="7"/>
  <c r="M10" i="7"/>
  <c r="L10" i="7"/>
  <c r="K10" i="7"/>
  <c r="J10" i="7"/>
  <c r="I10" i="7"/>
  <c r="H10" i="7"/>
  <c r="G10" i="7"/>
  <c r="F10" i="7"/>
  <c r="E10" i="7"/>
  <c r="AA9" i="7"/>
  <c r="Z9" i="7"/>
  <c r="Y9" i="7"/>
  <c r="X9" i="7"/>
  <c r="W9" i="7"/>
  <c r="V9" i="7"/>
  <c r="U9" i="7"/>
  <c r="T9" i="7"/>
  <c r="S9" i="7"/>
  <c r="R9" i="7"/>
  <c r="Q9" i="7"/>
  <c r="P9" i="7"/>
  <c r="O9" i="7"/>
  <c r="N9" i="7"/>
  <c r="M9" i="7"/>
  <c r="L9" i="7"/>
  <c r="K9" i="7"/>
  <c r="J9" i="7"/>
  <c r="I9" i="7"/>
  <c r="H9" i="7"/>
  <c r="G9" i="7"/>
  <c r="F9" i="7"/>
  <c r="E9" i="7"/>
  <c r="AA8" i="7"/>
  <c r="Z8" i="7"/>
  <c r="Y8" i="7"/>
  <c r="X8" i="7"/>
  <c r="W8" i="7"/>
  <c r="V8" i="7"/>
  <c r="U8" i="7"/>
  <c r="T8" i="7"/>
  <c r="S8" i="7"/>
  <c r="R8" i="7"/>
  <c r="Q8" i="7"/>
  <c r="P8" i="7"/>
  <c r="O8" i="7"/>
  <c r="N8" i="7"/>
  <c r="M8" i="7"/>
  <c r="L8" i="7"/>
  <c r="K8" i="7"/>
  <c r="J8" i="7"/>
  <c r="I8" i="7"/>
  <c r="H8" i="7"/>
  <c r="G8" i="7"/>
  <c r="F8" i="7"/>
  <c r="E8" i="7"/>
  <c r="AA7" i="7"/>
  <c r="Z7" i="7"/>
  <c r="Y7" i="7"/>
  <c r="X7" i="7"/>
  <c r="W7" i="7"/>
  <c r="V7" i="7"/>
  <c r="U7" i="7"/>
  <c r="T7" i="7"/>
  <c r="S7" i="7"/>
  <c r="R7" i="7"/>
  <c r="Q7" i="7"/>
  <c r="P7" i="7"/>
  <c r="O7" i="7"/>
  <c r="N7" i="7"/>
  <c r="M7" i="7"/>
  <c r="L7" i="7"/>
  <c r="K7" i="7"/>
  <c r="J7" i="7"/>
  <c r="I7" i="7"/>
  <c r="H7" i="7"/>
  <c r="G7" i="7"/>
  <c r="F7" i="7"/>
  <c r="E7" i="7"/>
  <c r="D19" i="7"/>
  <c r="Y19" i="7" s="1"/>
  <c r="Y19" i="8" s="1"/>
  <c r="I2" i="8" l="1"/>
  <c r="J2" i="8" s="1"/>
  <c r="K2" i="8" s="1"/>
  <c r="L2" i="8" s="1"/>
  <c r="M2" i="8" s="1"/>
  <c r="N2" i="8" s="1"/>
  <c r="O2" i="8" s="1"/>
  <c r="P2" i="8" s="1"/>
  <c r="Q2" i="8" s="1"/>
  <c r="R2" i="8" s="1"/>
  <c r="S2" i="8" s="1"/>
  <c r="T2" i="8" s="1"/>
  <c r="U2" i="8" s="1"/>
  <c r="V2" i="8" s="1"/>
  <c r="W2" i="8" s="1"/>
  <c r="X2" i="8" s="1"/>
  <c r="Y2" i="8" s="1"/>
  <c r="Z2" i="8" s="1"/>
  <c r="AA2" i="8" s="1"/>
  <c r="I51" i="8"/>
  <c r="E49" i="8"/>
  <c r="E51" i="8"/>
  <c r="E45" i="8"/>
  <c r="G49" i="8"/>
  <c r="G45" i="8"/>
  <c r="I49" i="8"/>
  <c r="I45" i="8"/>
  <c r="M49" i="8"/>
  <c r="O51" i="8"/>
  <c r="Q45" i="8"/>
  <c r="U49" i="8"/>
  <c r="W51" i="8"/>
  <c r="Y45" i="8"/>
  <c r="F27" i="8"/>
  <c r="F19" i="8"/>
  <c r="F20" i="8"/>
  <c r="F21" i="8"/>
  <c r="F22" i="8"/>
  <c r="F23" i="8"/>
  <c r="F24" i="8"/>
  <c r="F25" i="8"/>
  <c r="F26" i="8"/>
  <c r="F28" i="8"/>
  <c r="G51" i="8"/>
  <c r="G43" i="8"/>
  <c r="F49" i="8"/>
  <c r="F51" i="8"/>
  <c r="F45" i="8"/>
  <c r="H49" i="8"/>
  <c r="H51" i="8"/>
  <c r="H45" i="8"/>
  <c r="J45" i="8"/>
  <c r="N49" i="8"/>
  <c r="P51" i="8"/>
  <c r="R45" i="8"/>
  <c r="V49" i="8"/>
  <c r="X51" i="8"/>
  <c r="Z45" i="8"/>
  <c r="E19" i="8"/>
  <c r="E20" i="8"/>
  <c r="E21" i="8"/>
  <c r="E22" i="8"/>
  <c r="E23" i="8"/>
  <c r="E24" i="8"/>
  <c r="E25" i="8"/>
  <c r="E26" i="8"/>
  <c r="E27" i="8"/>
  <c r="E28" i="8"/>
  <c r="L19" i="7"/>
  <c r="L19" i="8" s="1"/>
  <c r="H19" i="7"/>
  <c r="H19" i="8" s="1"/>
  <c r="X19" i="7"/>
  <c r="X19" i="8" s="1"/>
  <c r="X31" i="8" s="1"/>
  <c r="G19" i="7"/>
  <c r="G19" i="8" s="1"/>
  <c r="T19" i="7"/>
  <c r="T19" i="8" s="1"/>
  <c r="P19" i="7"/>
  <c r="P19" i="8" s="1"/>
  <c r="F19" i="7"/>
  <c r="K19" i="7"/>
  <c r="K19" i="8" s="1"/>
  <c r="O19" i="7"/>
  <c r="O19" i="8" s="1"/>
  <c r="S19" i="7"/>
  <c r="S19" i="8" s="1"/>
  <c r="W19" i="7"/>
  <c r="W19" i="8" s="1"/>
  <c r="AA19" i="7"/>
  <c r="AA19" i="8" s="1"/>
  <c r="E19" i="7"/>
  <c r="E31" i="7" s="1"/>
  <c r="J19" i="7"/>
  <c r="J19" i="8" s="1"/>
  <c r="N19" i="7"/>
  <c r="N19" i="8" s="1"/>
  <c r="R19" i="7"/>
  <c r="R19" i="8" s="1"/>
  <c r="V19" i="7"/>
  <c r="V19" i="8" s="1"/>
  <c r="Z19" i="7"/>
  <c r="Z19" i="8" s="1"/>
  <c r="I19" i="7"/>
  <c r="I19" i="8" s="1"/>
  <c r="M19" i="7"/>
  <c r="M19" i="8" s="1"/>
  <c r="Q19" i="7"/>
  <c r="Q19" i="8" s="1"/>
  <c r="U19" i="7"/>
  <c r="U19" i="8" s="1"/>
  <c r="Y31" i="7"/>
  <c r="D20" i="7"/>
  <c r="X31" i="7"/>
  <c r="F31" i="7"/>
  <c r="P31" i="7" l="1"/>
  <c r="G31" i="7"/>
  <c r="X45" i="8"/>
  <c r="V51" i="8"/>
  <c r="P45" i="8"/>
  <c r="N51" i="8"/>
  <c r="L49" i="8"/>
  <c r="AA49" i="8"/>
  <c r="W45" i="8"/>
  <c r="U51" i="8"/>
  <c r="O45" i="8"/>
  <c r="M51" i="8"/>
  <c r="K49" i="8"/>
  <c r="Z49" i="8"/>
  <c r="V45" i="8"/>
  <c r="T51" i="8"/>
  <c r="R49" i="8"/>
  <c r="N45" i="8"/>
  <c r="L51" i="8"/>
  <c r="J49" i="8"/>
  <c r="AA51" i="8"/>
  <c r="Y49" i="8"/>
  <c r="U45" i="8"/>
  <c r="S51" i="8"/>
  <c r="Q49" i="8"/>
  <c r="M45" i="8"/>
  <c r="K51" i="8"/>
  <c r="T49" i="8"/>
  <c r="S49" i="8"/>
  <c r="Z51" i="8"/>
  <c r="X49" i="8"/>
  <c r="T45" i="8"/>
  <c r="R51" i="8"/>
  <c r="P49" i="8"/>
  <c r="L45" i="8"/>
  <c r="J51" i="8"/>
  <c r="AA45" i="8"/>
  <c r="Y51" i="8"/>
  <c r="W49" i="8"/>
  <c r="S45" i="8"/>
  <c r="Q51" i="8"/>
  <c r="O49" i="8"/>
  <c r="K45" i="8"/>
  <c r="E42" i="8"/>
  <c r="F42" i="8"/>
  <c r="L31" i="8"/>
  <c r="O31" i="8"/>
  <c r="Z31" i="7"/>
  <c r="T31" i="7"/>
  <c r="L31" i="7"/>
  <c r="AA31" i="8"/>
  <c r="U31" i="8"/>
  <c r="N31" i="7"/>
  <c r="I31" i="7"/>
  <c r="T31" i="8"/>
  <c r="H31" i="7"/>
  <c r="K31" i="8"/>
  <c r="W31" i="7"/>
  <c r="Q31" i="8"/>
  <c r="W31" i="8"/>
  <c r="N31" i="8"/>
  <c r="S31" i="8"/>
  <c r="P31" i="8"/>
  <c r="Y31" i="8"/>
  <c r="J31" i="8"/>
  <c r="Z31" i="8"/>
  <c r="I31" i="8"/>
  <c r="M31" i="8"/>
  <c r="R31" i="8"/>
  <c r="V31" i="8"/>
  <c r="H31" i="8"/>
  <c r="Y20" i="7"/>
  <c r="Y20" i="8" s="1"/>
  <c r="U20" i="7"/>
  <c r="U20" i="8" s="1"/>
  <c r="U32" i="8" s="1"/>
  <c r="Q20" i="7"/>
  <c r="Q20" i="8" s="1"/>
  <c r="Q32" i="8" s="1"/>
  <c r="M20" i="7"/>
  <c r="M20" i="8" s="1"/>
  <c r="M32" i="8" s="1"/>
  <c r="I20" i="7"/>
  <c r="I20" i="8" s="1"/>
  <c r="I32" i="8" s="1"/>
  <c r="E20" i="7"/>
  <c r="E32" i="7" s="1"/>
  <c r="Z20" i="7"/>
  <c r="Z20" i="8" s="1"/>
  <c r="Z32" i="8" s="1"/>
  <c r="V20" i="7"/>
  <c r="V20" i="8" s="1"/>
  <c r="V32" i="8" s="1"/>
  <c r="R20" i="7"/>
  <c r="R20" i="8" s="1"/>
  <c r="R32" i="8" s="1"/>
  <c r="N20" i="7"/>
  <c r="J20" i="7"/>
  <c r="J20" i="8" s="1"/>
  <c r="J32" i="8" s="1"/>
  <c r="F20" i="7"/>
  <c r="F32" i="7" s="1"/>
  <c r="AA20" i="7"/>
  <c r="AA20" i="8" s="1"/>
  <c r="AA32" i="8" s="1"/>
  <c r="W20" i="7"/>
  <c r="W20" i="8" s="1"/>
  <c r="W32" i="8" s="1"/>
  <c r="S20" i="7"/>
  <c r="S20" i="8" s="1"/>
  <c r="S32" i="8" s="1"/>
  <c r="O20" i="7"/>
  <c r="O20" i="8" s="1"/>
  <c r="O32" i="8" s="1"/>
  <c r="K20" i="7"/>
  <c r="K20" i="8" s="1"/>
  <c r="K32" i="8" s="1"/>
  <c r="G20" i="7"/>
  <c r="G20" i="8" s="1"/>
  <c r="X20" i="7"/>
  <c r="X20" i="8" s="1"/>
  <c r="X32" i="8" s="1"/>
  <c r="T20" i="7"/>
  <c r="T20" i="8" s="1"/>
  <c r="T32" i="8" s="1"/>
  <c r="P20" i="7"/>
  <c r="P20" i="8" s="1"/>
  <c r="P32" i="8" s="1"/>
  <c r="L20" i="7"/>
  <c r="H20" i="7"/>
  <c r="H20" i="8" s="1"/>
  <c r="H32" i="8" s="1"/>
  <c r="R31" i="7"/>
  <c r="AA31" i="7"/>
  <c r="K31" i="7"/>
  <c r="V31" i="7"/>
  <c r="O31" i="7"/>
  <c r="M31" i="7"/>
  <c r="J31" i="7"/>
  <c r="S31" i="7"/>
  <c r="Q31" i="7"/>
  <c r="U31" i="7"/>
  <c r="D21" i="7"/>
  <c r="T32" i="7"/>
  <c r="R32" i="7"/>
  <c r="Q32" i="7"/>
  <c r="M32" i="7"/>
  <c r="Z32" i="7"/>
  <c r="V32" i="7" l="1"/>
  <c r="I32" i="7"/>
  <c r="X32" i="7"/>
  <c r="AA32" i="7"/>
  <c r="Y32" i="7"/>
  <c r="K32" i="7"/>
  <c r="P32" i="7"/>
  <c r="N32" i="7"/>
  <c r="N20" i="8"/>
  <c r="S32" i="7"/>
  <c r="L32" i="7"/>
  <c r="L20" i="8"/>
  <c r="Y32" i="8"/>
  <c r="G32" i="7"/>
  <c r="W32" i="7"/>
  <c r="U32" i="7"/>
  <c r="H32" i="7"/>
  <c r="O32" i="7"/>
  <c r="Y21" i="7"/>
  <c r="Y21" i="8" s="1"/>
  <c r="Y33" i="8" s="1"/>
  <c r="U21" i="7"/>
  <c r="U21" i="8" s="1"/>
  <c r="U33" i="8" s="1"/>
  <c r="Q21" i="7"/>
  <c r="Q21" i="8" s="1"/>
  <c r="Q33" i="8" s="1"/>
  <c r="M21" i="7"/>
  <c r="M21" i="8" s="1"/>
  <c r="M33" i="8" s="1"/>
  <c r="I21" i="7"/>
  <c r="I21" i="8" s="1"/>
  <c r="F21" i="7"/>
  <c r="F33" i="7" s="1"/>
  <c r="Z21" i="7"/>
  <c r="Z21" i="8" s="1"/>
  <c r="Z33" i="8" s="1"/>
  <c r="V21" i="7"/>
  <c r="V21" i="8" s="1"/>
  <c r="R21" i="7"/>
  <c r="R21" i="8" s="1"/>
  <c r="N21" i="7"/>
  <c r="N21" i="8" s="1"/>
  <c r="N33" i="8" s="1"/>
  <c r="J21" i="7"/>
  <c r="J21" i="8" s="1"/>
  <c r="J33" i="8" s="1"/>
  <c r="G21" i="7"/>
  <c r="G21" i="8" s="1"/>
  <c r="AA21" i="7"/>
  <c r="W21" i="7"/>
  <c r="W21" i="8" s="1"/>
  <c r="W33" i="8" s="1"/>
  <c r="S21" i="7"/>
  <c r="S21" i="8" s="1"/>
  <c r="O21" i="7"/>
  <c r="O21" i="8" s="1"/>
  <c r="O33" i="8" s="1"/>
  <c r="K21" i="7"/>
  <c r="K21" i="8" s="1"/>
  <c r="X21" i="7"/>
  <c r="X21" i="8" s="1"/>
  <c r="X33" i="8" s="1"/>
  <c r="T21" i="7"/>
  <c r="T21" i="8" s="1"/>
  <c r="P21" i="7"/>
  <c r="L21" i="7"/>
  <c r="H21" i="7"/>
  <c r="H21" i="8" s="1"/>
  <c r="E21" i="7"/>
  <c r="E33" i="7" s="1"/>
  <c r="J32" i="7"/>
  <c r="D22" i="7"/>
  <c r="M33" i="7"/>
  <c r="I33" i="7"/>
  <c r="N33" i="7"/>
  <c r="Y33" i="7" l="1"/>
  <c r="U33" i="7"/>
  <c r="H33" i="8"/>
  <c r="G33" i="7"/>
  <c r="S33" i="7"/>
  <c r="Q33" i="7"/>
  <c r="H33" i="7"/>
  <c r="T33" i="8"/>
  <c r="S33" i="8"/>
  <c r="P33" i="7"/>
  <c r="P21" i="8"/>
  <c r="L33" i="7"/>
  <c r="L21" i="8"/>
  <c r="L33" i="8" s="1"/>
  <c r="K33" i="8"/>
  <c r="AA33" i="7"/>
  <c r="AA21" i="8"/>
  <c r="R33" i="8"/>
  <c r="I33" i="8"/>
  <c r="N32" i="8"/>
  <c r="J33" i="7"/>
  <c r="Z33" i="7"/>
  <c r="X33" i="7"/>
  <c r="V33" i="8"/>
  <c r="L32" i="8"/>
  <c r="O33" i="7"/>
  <c r="V33" i="7"/>
  <c r="T33" i="7"/>
  <c r="Y22" i="7"/>
  <c r="Y22" i="8" s="1"/>
  <c r="U22" i="7"/>
  <c r="U22" i="8" s="1"/>
  <c r="Q22" i="7"/>
  <c r="M22" i="7"/>
  <c r="M22" i="8" s="1"/>
  <c r="M34" i="8" s="1"/>
  <c r="I22" i="7"/>
  <c r="I22" i="8" s="1"/>
  <c r="I34" i="8" s="1"/>
  <c r="G22" i="7"/>
  <c r="G22" i="8" s="1"/>
  <c r="Z22" i="7"/>
  <c r="Z22" i="8" s="1"/>
  <c r="V22" i="7"/>
  <c r="V22" i="8" s="1"/>
  <c r="R22" i="7"/>
  <c r="R22" i="8" s="1"/>
  <c r="N22" i="7"/>
  <c r="N22" i="8" s="1"/>
  <c r="N34" i="8" s="1"/>
  <c r="J22" i="7"/>
  <c r="J22" i="8" s="1"/>
  <c r="J34" i="8" s="1"/>
  <c r="AA22" i="7"/>
  <c r="AA22" i="8" s="1"/>
  <c r="AA34" i="8" s="1"/>
  <c r="W22" i="7"/>
  <c r="W22" i="8" s="1"/>
  <c r="W34" i="8" s="1"/>
  <c r="S22" i="7"/>
  <c r="S22" i="8" s="1"/>
  <c r="S34" i="8" s="1"/>
  <c r="O22" i="7"/>
  <c r="O22" i="8" s="1"/>
  <c r="K22" i="7"/>
  <c r="K22" i="8" s="1"/>
  <c r="E22" i="7"/>
  <c r="E34" i="7" s="1"/>
  <c r="X22" i="7"/>
  <c r="X22" i="8" s="1"/>
  <c r="T22" i="7"/>
  <c r="T22" i="8" s="1"/>
  <c r="T34" i="8" s="1"/>
  <c r="P22" i="7"/>
  <c r="P22" i="8" s="1"/>
  <c r="P34" i="8" s="1"/>
  <c r="L22" i="7"/>
  <c r="L22" i="8" s="1"/>
  <c r="L34" i="8" s="1"/>
  <c r="H22" i="7"/>
  <c r="H22" i="8" s="1"/>
  <c r="F22" i="7"/>
  <c r="R33" i="7"/>
  <c r="W33" i="7"/>
  <c r="K33" i="7"/>
  <c r="I34" i="7"/>
  <c r="V34" i="7"/>
  <c r="D23" i="7"/>
  <c r="S34" i="7"/>
  <c r="G34" i="7" l="1"/>
  <c r="W34" i="7"/>
  <c r="Z34" i="8"/>
  <c r="O34" i="8"/>
  <c r="K34" i="8"/>
  <c r="V34" i="8"/>
  <c r="K34" i="7"/>
  <c r="AA34" i="7"/>
  <c r="Z34" i="7"/>
  <c r="J34" i="7"/>
  <c r="H34" i="8"/>
  <c r="R34" i="8"/>
  <c r="O34" i="7"/>
  <c r="H34" i="7"/>
  <c r="R34" i="7"/>
  <c r="X34" i="7"/>
  <c r="Y34" i="7"/>
  <c r="N34" i="7"/>
  <c r="L34" i="7"/>
  <c r="U34" i="7"/>
  <c r="Y34" i="8"/>
  <c r="AA33" i="8"/>
  <c r="X34" i="8"/>
  <c r="U34" i="8"/>
  <c r="Q34" i="7"/>
  <c r="Q22" i="8"/>
  <c r="P33" i="8"/>
  <c r="Y23" i="7"/>
  <c r="U23" i="7"/>
  <c r="U23" i="8" s="1"/>
  <c r="U35" i="8" s="1"/>
  <c r="Q23" i="7"/>
  <c r="Q23" i="8" s="1"/>
  <c r="Q35" i="8" s="1"/>
  <c r="M23" i="7"/>
  <c r="M23" i="8" s="1"/>
  <c r="I23" i="7"/>
  <c r="I23" i="8" s="1"/>
  <c r="I35" i="8" s="1"/>
  <c r="Z23" i="7"/>
  <c r="Z23" i="8" s="1"/>
  <c r="Z35" i="8" s="1"/>
  <c r="V23" i="7"/>
  <c r="V23" i="8" s="1"/>
  <c r="V35" i="8" s="1"/>
  <c r="R23" i="7"/>
  <c r="R23" i="8" s="1"/>
  <c r="R35" i="8" s="1"/>
  <c r="N23" i="7"/>
  <c r="N23" i="8" s="1"/>
  <c r="N35" i="8" s="1"/>
  <c r="J23" i="7"/>
  <c r="J23" i="8" s="1"/>
  <c r="J35" i="8" s="1"/>
  <c r="E23" i="7"/>
  <c r="E35" i="7" s="1"/>
  <c r="AA23" i="7"/>
  <c r="AA23" i="8" s="1"/>
  <c r="AA35" i="8" s="1"/>
  <c r="W23" i="7"/>
  <c r="S23" i="7"/>
  <c r="O23" i="7"/>
  <c r="O23" i="8" s="1"/>
  <c r="K23" i="7"/>
  <c r="K23" i="8" s="1"/>
  <c r="F23" i="7"/>
  <c r="F35" i="7" s="1"/>
  <c r="X23" i="7"/>
  <c r="X23" i="8" s="1"/>
  <c r="X35" i="8" s="1"/>
  <c r="T23" i="7"/>
  <c r="T23" i="8" s="1"/>
  <c r="P23" i="7"/>
  <c r="P23" i="8" s="1"/>
  <c r="P35" i="8" s="1"/>
  <c r="L23" i="7"/>
  <c r="L23" i="8" s="1"/>
  <c r="L35" i="8" s="1"/>
  <c r="H23" i="7"/>
  <c r="H23" i="8" s="1"/>
  <c r="H35" i="8" s="1"/>
  <c r="G23" i="7"/>
  <c r="G23" i="8" s="1"/>
  <c r="F34" i="7"/>
  <c r="T34" i="7"/>
  <c r="P34" i="7"/>
  <c r="M34" i="7"/>
  <c r="Z35" i="7"/>
  <c r="N35" i="7"/>
  <c r="J35" i="7"/>
  <c r="L35" i="7"/>
  <c r="D24" i="7"/>
  <c r="M35" i="7" l="1"/>
  <c r="I35" i="7"/>
  <c r="H35" i="7"/>
  <c r="G35" i="7"/>
  <c r="M35" i="8"/>
  <c r="W35" i="7"/>
  <c r="W23" i="8"/>
  <c r="Y35" i="7"/>
  <c r="Y23" i="8"/>
  <c r="Q34" i="8"/>
  <c r="X35" i="7"/>
  <c r="V35" i="7"/>
  <c r="O35" i="8"/>
  <c r="K35" i="8"/>
  <c r="S35" i="7"/>
  <c r="S23" i="8"/>
  <c r="T35" i="8"/>
  <c r="Q35" i="7"/>
  <c r="T35" i="7"/>
  <c r="O35" i="7"/>
  <c r="Y24" i="7"/>
  <c r="U24" i="7"/>
  <c r="U24" i="8" s="1"/>
  <c r="U36" i="8" s="1"/>
  <c r="Q24" i="7"/>
  <c r="Q24" i="8" s="1"/>
  <c r="Q36" i="8" s="1"/>
  <c r="M24" i="7"/>
  <c r="I24" i="7"/>
  <c r="E24" i="7"/>
  <c r="E36" i="7" s="1"/>
  <c r="Z24" i="7"/>
  <c r="Z24" i="8" s="1"/>
  <c r="Z36" i="8" s="1"/>
  <c r="V24" i="7"/>
  <c r="R24" i="7"/>
  <c r="N24" i="7"/>
  <c r="N24" i="8" s="1"/>
  <c r="J24" i="7"/>
  <c r="J24" i="8" s="1"/>
  <c r="J36" i="8" s="1"/>
  <c r="F24" i="7"/>
  <c r="F36" i="7" s="1"/>
  <c r="AA24" i="7"/>
  <c r="AA24" i="8" s="1"/>
  <c r="W24" i="7"/>
  <c r="W24" i="8" s="1"/>
  <c r="W36" i="8" s="1"/>
  <c r="S24" i="7"/>
  <c r="S24" i="8" s="1"/>
  <c r="S36" i="8" s="1"/>
  <c r="O24" i="7"/>
  <c r="K24" i="7"/>
  <c r="K24" i="8" s="1"/>
  <c r="G24" i="7"/>
  <c r="G24" i="8" s="1"/>
  <c r="X24" i="7"/>
  <c r="X24" i="8" s="1"/>
  <c r="X36" i="8" s="1"/>
  <c r="T24" i="7"/>
  <c r="P24" i="7"/>
  <c r="L24" i="7"/>
  <c r="L24" i="8" s="1"/>
  <c r="H24" i="7"/>
  <c r="H24" i="8" s="1"/>
  <c r="H36" i="8" s="1"/>
  <c r="K35" i="7"/>
  <c r="AA35" i="7"/>
  <c r="U35" i="7"/>
  <c r="P35" i="7"/>
  <c r="R35" i="7"/>
  <c r="D25" i="7"/>
  <c r="K36" i="7"/>
  <c r="N36" i="7" l="1"/>
  <c r="U36" i="7"/>
  <c r="L36" i="7"/>
  <c r="W35" i="8"/>
  <c r="K36" i="8"/>
  <c r="AA36" i="8"/>
  <c r="Z36" i="7"/>
  <c r="J36" i="7"/>
  <c r="G36" i="7"/>
  <c r="X36" i="7"/>
  <c r="H36" i="7"/>
  <c r="Q36" i="7"/>
  <c r="S36" i="7"/>
  <c r="T36" i="7"/>
  <c r="T24" i="8"/>
  <c r="T36" i="8" s="1"/>
  <c r="O36" i="7"/>
  <c r="O24" i="8"/>
  <c r="O36" i="8" s="1"/>
  <c r="V36" i="7"/>
  <c r="V24" i="8"/>
  <c r="V36" i="8" s="1"/>
  <c r="M36" i="7"/>
  <c r="M24" i="8"/>
  <c r="M36" i="8" s="1"/>
  <c r="R36" i="7"/>
  <c r="R24" i="8"/>
  <c r="R36" i="8" s="1"/>
  <c r="Y36" i="7"/>
  <c r="Y24" i="8"/>
  <c r="Y36" i="8" s="1"/>
  <c r="L36" i="8"/>
  <c r="W36" i="7"/>
  <c r="P36" i="7"/>
  <c r="P24" i="8"/>
  <c r="I36" i="7"/>
  <c r="I24" i="8"/>
  <c r="I36" i="8" s="1"/>
  <c r="N36" i="8"/>
  <c r="S35" i="8"/>
  <c r="Y35" i="8"/>
  <c r="AA36" i="7"/>
  <c r="Y25" i="7"/>
  <c r="Y25" i="8" s="1"/>
  <c r="Y37" i="8" s="1"/>
  <c r="U25" i="7"/>
  <c r="U25" i="8" s="1"/>
  <c r="U37" i="8" s="1"/>
  <c r="Q25" i="7"/>
  <c r="Q25" i="8" s="1"/>
  <c r="Q37" i="8" s="1"/>
  <c r="M25" i="7"/>
  <c r="M25" i="8" s="1"/>
  <c r="M37" i="8" s="1"/>
  <c r="I25" i="7"/>
  <c r="I25" i="8" s="1"/>
  <c r="I37" i="8" s="1"/>
  <c r="F25" i="7"/>
  <c r="Z25" i="7"/>
  <c r="V25" i="7"/>
  <c r="V25" i="8" s="1"/>
  <c r="V37" i="8" s="1"/>
  <c r="R25" i="7"/>
  <c r="R25" i="8" s="1"/>
  <c r="R37" i="8" s="1"/>
  <c r="N25" i="7"/>
  <c r="J25" i="7"/>
  <c r="G25" i="7"/>
  <c r="G25" i="8" s="1"/>
  <c r="AA25" i="7"/>
  <c r="AA25" i="8" s="1"/>
  <c r="AA37" i="8" s="1"/>
  <c r="W25" i="7"/>
  <c r="W25" i="8" s="1"/>
  <c r="W37" i="8" s="1"/>
  <c r="S25" i="7"/>
  <c r="S25" i="8" s="1"/>
  <c r="S37" i="8" s="1"/>
  <c r="O25" i="7"/>
  <c r="O25" i="8" s="1"/>
  <c r="O37" i="8" s="1"/>
  <c r="K25" i="7"/>
  <c r="K25" i="8" s="1"/>
  <c r="K37" i="8" s="1"/>
  <c r="X25" i="7"/>
  <c r="T25" i="7"/>
  <c r="T25" i="8" s="1"/>
  <c r="T37" i="8" s="1"/>
  <c r="P25" i="7"/>
  <c r="P25" i="8" s="1"/>
  <c r="P37" i="8" s="1"/>
  <c r="L25" i="7"/>
  <c r="L25" i="8" s="1"/>
  <c r="L37" i="8" s="1"/>
  <c r="H25" i="7"/>
  <c r="E25" i="7"/>
  <c r="E37" i="7" s="1"/>
  <c r="D26" i="7"/>
  <c r="U37" i="7"/>
  <c r="Q37" i="7"/>
  <c r="AA37" i="7"/>
  <c r="R37" i="7"/>
  <c r="F37" i="7"/>
  <c r="W37" i="7" l="1"/>
  <c r="K37" i="7"/>
  <c r="T37" i="7"/>
  <c r="S37" i="7"/>
  <c r="J37" i="7"/>
  <c r="J25" i="8"/>
  <c r="J37" i="8" s="1"/>
  <c r="Z37" i="7"/>
  <c r="Z25" i="8"/>
  <c r="Z37" i="8" s="1"/>
  <c r="P36" i="8"/>
  <c r="V37" i="7"/>
  <c r="I37" i="7"/>
  <c r="Y37" i="7"/>
  <c r="L37" i="7"/>
  <c r="H37" i="7"/>
  <c r="H25" i="8"/>
  <c r="H37" i="8" s="1"/>
  <c r="X37" i="7"/>
  <c r="X25" i="8"/>
  <c r="X37" i="8" s="1"/>
  <c r="N37" i="7"/>
  <c r="N25" i="8"/>
  <c r="N37" i="8" s="1"/>
  <c r="O37" i="7"/>
  <c r="M37" i="7"/>
  <c r="G37" i="7"/>
  <c r="P37" i="7"/>
  <c r="Y26" i="7"/>
  <c r="Y26" i="8" s="1"/>
  <c r="Y38" i="8" s="1"/>
  <c r="U26" i="7"/>
  <c r="U26" i="8" s="1"/>
  <c r="U38" i="8" s="1"/>
  <c r="Q26" i="7"/>
  <c r="Q26" i="8" s="1"/>
  <c r="Q38" i="8" s="1"/>
  <c r="M26" i="7"/>
  <c r="M26" i="8" s="1"/>
  <c r="M38" i="8" s="1"/>
  <c r="I26" i="7"/>
  <c r="I26" i="8" s="1"/>
  <c r="I38" i="8" s="1"/>
  <c r="G26" i="7"/>
  <c r="G26" i="8" s="1"/>
  <c r="Z26" i="7"/>
  <c r="Z26" i="8" s="1"/>
  <c r="Z38" i="8" s="1"/>
  <c r="V26" i="7"/>
  <c r="V26" i="8" s="1"/>
  <c r="V38" i="8" s="1"/>
  <c r="R26" i="7"/>
  <c r="N26" i="7"/>
  <c r="J26" i="7"/>
  <c r="J26" i="8" s="1"/>
  <c r="J38" i="8" s="1"/>
  <c r="AA26" i="7"/>
  <c r="AA26" i="8" s="1"/>
  <c r="AA38" i="8" s="1"/>
  <c r="W26" i="7"/>
  <c r="W26" i="8" s="1"/>
  <c r="W38" i="8" s="1"/>
  <c r="S26" i="7"/>
  <c r="S26" i="8" s="1"/>
  <c r="S38" i="8" s="1"/>
  <c r="O26" i="7"/>
  <c r="O26" i="8" s="1"/>
  <c r="O38" i="8" s="1"/>
  <c r="K26" i="7"/>
  <c r="K26" i="8" s="1"/>
  <c r="K38" i="8" s="1"/>
  <c r="E26" i="7"/>
  <c r="E38" i="7" s="1"/>
  <c r="X26" i="7"/>
  <c r="T26" i="7"/>
  <c r="T26" i="8" s="1"/>
  <c r="T38" i="8" s="1"/>
  <c r="P26" i="7"/>
  <c r="P26" i="8" s="1"/>
  <c r="P38" i="8" s="1"/>
  <c r="L26" i="7"/>
  <c r="H26" i="7"/>
  <c r="F26" i="7"/>
  <c r="F38" i="7" s="1"/>
  <c r="D27" i="7"/>
  <c r="Y38" i="7"/>
  <c r="U38" i="7"/>
  <c r="Q38" i="7"/>
  <c r="M38" i="7"/>
  <c r="I38" i="7"/>
  <c r="W38" i="7"/>
  <c r="S38" i="7"/>
  <c r="G38" i="7"/>
  <c r="J38" i="7" l="1"/>
  <c r="O38" i="7"/>
  <c r="T38" i="7"/>
  <c r="Z38" i="7"/>
  <c r="L38" i="7"/>
  <c r="L26" i="8"/>
  <c r="L38" i="8" s="1"/>
  <c r="R38" i="7"/>
  <c r="R26" i="8"/>
  <c r="R38" i="8" s="1"/>
  <c r="H38" i="7"/>
  <c r="H26" i="8"/>
  <c r="H38" i="8" s="1"/>
  <c r="X38" i="7"/>
  <c r="X26" i="8"/>
  <c r="X38" i="8" s="1"/>
  <c r="N38" i="7"/>
  <c r="N26" i="8"/>
  <c r="N38" i="8" s="1"/>
  <c r="P38" i="7"/>
  <c r="K38" i="7"/>
  <c r="AA38" i="7"/>
  <c r="V38" i="7"/>
  <c r="Y27" i="7"/>
  <c r="Y27" i="8" s="1"/>
  <c r="Y39" i="8" s="1"/>
  <c r="U27" i="7"/>
  <c r="Q27" i="7"/>
  <c r="Q27" i="8" s="1"/>
  <c r="Q39" i="8" s="1"/>
  <c r="M27" i="7"/>
  <c r="M27" i="8" s="1"/>
  <c r="M39" i="8" s="1"/>
  <c r="I27" i="7"/>
  <c r="I27" i="8" s="1"/>
  <c r="I39" i="8" s="1"/>
  <c r="Z27" i="7"/>
  <c r="V27" i="7"/>
  <c r="V27" i="8" s="1"/>
  <c r="V39" i="8" s="1"/>
  <c r="R27" i="7"/>
  <c r="R27" i="8" s="1"/>
  <c r="R39" i="8" s="1"/>
  <c r="N27" i="7"/>
  <c r="N27" i="8" s="1"/>
  <c r="N39" i="8" s="1"/>
  <c r="J27" i="7"/>
  <c r="E27" i="7"/>
  <c r="E39" i="7" s="1"/>
  <c r="AA27" i="7"/>
  <c r="W27" i="7"/>
  <c r="W27" i="8" s="1"/>
  <c r="W39" i="8" s="1"/>
  <c r="S27" i="7"/>
  <c r="O27" i="7"/>
  <c r="K27" i="7"/>
  <c r="F27" i="7"/>
  <c r="F39" i="7" s="1"/>
  <c r="X27" i="7"/>
  <c r="T27" i="7"/>
  <c r="T27" i="8" s="1"/>
  <c r="T39" i="8" s="1"/>
  <c r="P27" i="7"/>
  <c r="P27" i="8" s="1"/>
  <c r="P39" i="8" s="1"/>
  <c r="L27" i="7"/>
  <c r="L27" i="8" s="1"/>
  <c r="L39" i="8" s="1"/>
  <c r="H27" i="7"/>
  <c r="G27" i="7"/>
  <c r="G27" i="8" s="1"/>
  <c r="D28" i="7"/>
  <c r="Y39" i="7"/>
  <c r="M39" i="7"/>
  <c r="I39" i="7"/>
  <c r="Q39" i="7" l="1"/>
  <c r="V39" i="7"/>
  <c r="T39" i="7"/>
  <c r="R39" i="7"/>
  <c r="P39" i="7"/>
  <c r="H39" i="7"/>
  <c r="H27" i="8"/>
  <c r="H39" i="8" s="1"/>
  <c r="S39" i="7"/>
  <c r="S27" i="8"/>
  <c r="S39" i="8" s="1"/>
  <c r="K39" i="7"/>
  <c r="K27" i="8"/>
  <c r="K39" i="8" s="1"/>
  <c r="AA39" i="7"/>
  <c r="AA27" i="8"/>
  <c r="AA39" i="8" s="1"/>
  <c r="G39" i="7"/>
  <c r="X39" i="7"/>
  <c r="X27" i="8"/>
  <c r="X39" i="8" s="1"/>
  <c r="J39" i="7"/>
  <c r="J27" i="8"/>
  <c r="J39" i="8" s="1"/>
  <c r="Z39" i="7"/>
  <c r="Z27" i="8"/>
  <c r="Z39" i="8" s="1"/>
  <c r="U39" i="7"/>
  <c r="U27" i="8"/>
  <c r="U39" i="8" s="1"/>
  <c r="O39" i="7"/>
  <c r="O27" i="8"/>
  <c r="O39" i="8" s="1"/>
  <c r="L39" i="7"/>
  <c r="W39" i="7"/>
  <c r="N39" i="7"/>
  <c r="Y28" i="7"/>
  <c r="U28" i="7"/>
  <c r="Q28" i="7"/>
  <c r="M28" i="7"/>
  <c r="I28" i="7"/>
  <c r="I40" i="7" s="1"/>
  <c r="E28" i="7"/>
  <c r="Z28" i="7"/>
  <c r="V28" i="7"/>
  <c r="V40" i="7" s="1"/>
  <c r="R28" i="7"/>
  <c r="R40" i="7" s="1"/>
  <c r="N28" i="7"/>
  <c r="J28" i="7"/>
  <c r="J40" i="7" s="1"/>
  <c r="F28" i="7"/>
  <c r="F40" i="7" s="1"/>
  <c r="AA28" i="7"/>
  <c r="AA40" i="7" s="1"/>
  <c r="W28" i="7"/>
  <c r="S28" i="7"/>
  <c r="S40" i="7" s="1"/>
  <c r="O28" i="7"/>
  <c r="K28" i="7"/>
  <c r="K40" i="7" s="1"/>
  <c r="G28" i="7"/>
  <c r="X28" i="7"/>
  <c r="T28" i="7"/>
  <c r="P28" i="7"/>
  <c r="P40" i="7" s="1"/>
  <c r="L28" i="7"/>
  <c r="H28" i="7"/>
  <c r="Y40" i="7"/>
  <c r="X28" i="8" l="1"/>
  <c r="X42" i="8" s="1"/>
  <c r="J28" i="8"/>
  <c r="J42" i="8" s="1"/>
  <c r="Q28" i="8"/>
  <c r="Q42" i="8" s="1"/>
  <c r="T28" i="8"/>
  <c r="T42" i="8" s="1"/>
  <c r="V28" i="8"/>
  <c r="V42" i="8" s="1"/>
  <c r="M28" i="8"/>
  <c r="M42" i="8" s="1"/>
  <c r="P28" i="8"/>
  <c r="P42" i="8" s="1"/>
  <c r="K28" i="8"/>
  <c r="K42" i="8" s="1"/>
  <c r="AA28" i="8"/>
  <c r="AA42" i="8" s="1"/>
  <c r="R28" i="8"/>
  <c r="R42" i="8" s="1"/>
  <c r="I28" i="8"/>
  <c r="I42" i="8" s="1"/>
  <c r="Y28" i="8"/>
  <c r="Y42" i="8" s="1"/>
  <c r="M40" i="7"/>
  <c r="H28" i="8"/>
  <c r="H42" i="8" s="1"/>
  <c r="S28" i="8"/>
  <c r="S42" i="8" s="1"/>
  <c r="Z28" i="8"/>
  <c r="Z42" i="8" s="1"/>
  <c r="O28" i="8"/>
  <c r="O42" i="8" s="1"/>
  <c r="L28" i="8"/>
  <c r="L42" i="8" s="1"/>
  <c r="G28" i="8"/>
  <c r="W28" i="8"/>
  <c r="W42" i="8" s="1"/>
  <c r="N28" i="8"/>
  <c r="N42" i="8" s="1"/>
  <c r="U28" i="8"/>
  <c r="U42" i="8" s="1"/>
  <c r="Z40" i="7"/>
  <c r="O40" i="7"/>
  <c r="F44" i="8"/>
  <c r="F46" i="8" s="1"/>
  <c r="E44" i="8"/>
  <c r="E46" i="8" s="1"/>
  <c r="L40" i="7"/>
  <c r="N40" i="7"/>
  <c r="E40" i="7"/>
  <c r="U40" i="7"/>
  <c r="H40" i="7"/>
  <c r="X40" i="7"/>
  <c r="Q40" i="7"/>
  <c r="T40" i="7"/>
  <c r="G40" i="7"/>
  <c r="W40" i="7"/>
  <c r="E14" i="2" l="1"/>
  <c r="G42" i="8"/>
  <c r="G44" i="8" s="1"/>
  <c r="G46" i="8" s="1"/>
  <c r="D14" i="2"/>
  <c r="U40" i="8"/>
  <c r="L40" i="8"/>
  <c r="L43" i="8" s="1"/>
  <c r="H40" i="8"/>
  <c r="H43" i="8" s="1"/>
  <c r="H44" i="8" s="1"/>
  <c r="H46" i="8" s="1"/>
  <c r="Y40" i="8"/>
  <c r="Y43" i="8" s="1"/>
  <c r="K40" i="8"/>
  <c r="K43" i="8" s="1"/>
  <c r="K44" i="8" s="1"/>
  <c r="K46" i="8" s="1"/>
  <c r="J40" i="8"/>
  <c r="J43" i="8" s="1"/>
  <c r="S40" i="8"/>
  <c r="I40" i="8"/>
  <c r="I43" i="8" s="1"/>
  <c r="AA40" i="8"/>
  <c r="P40" i="8"/>
  <c r="P43" i="8" s="1"/>
  <c r="Q40" i="8"/>
  <c r="Q43" i="8" s="1"/>
  <c r="Q44" i="8" s="1"/>
  <c r="Q46" i="8" s="1"/>
  <c r="X40" i="8"/>
  <c r="X43" i="8" s="1"/>
  <c r="W40" i="8"/>
  <c r="W43" i="8" s="1"/>
  <c r="Z40" i="8"/>
  <c r="Z43" i="8" s="1"/>
  <c r="R40" i="8"/>
  <c r="R43" i="8" s="1"/>
  <c r="M40" i="8"/>
  <c r="T40" i="8"/>
  <c r="T43" i="8" s="1"/>
  <c r="N40" i="8"/>
  <c r="O40" i="8"/>
  <c r="O43" i="8" s="1"/>
  <c r="V40" i="8"/>
  <c r="V43" i="8" s="1"/>
  <c r="V44" i="8" s="1"/>
  <c r="V46" i="8" s="1"/>
  <c r="N43" i="8" l="1"/>
  <c r="N44" i="8" s="1"/>
  <c r="N46" i="8" s="1"/>
  <c r="U43" i="8"/>
  <c r="U44" i="8" s="1"/>
  <c r="U46" i="8" s="1"/>
  <c r="S43" i="8"/>
  <c r="S44" i="8" s="1"/>
  <c r="S46" i="8" s="1"/>
  <c r="R14" i="2" s="1"/>
  <c r="M43" i="8"/>
  <c r="M44" i="8" s="1"/>
  <c r="M46" i="8" s="1"/>
  <c r="AA43" i="8"/>
  <c r="AA44" i="8" s="1"/>
  <c r="AA46" i="8" s="1"/>
  <c r="F14" i="2"/>
  <c r="U14" i="2"/>
  <c r="P14" i="2"/>
  <c r="G14" i="2"/>
  <c r="J14" i="2"/>
  <c r="Z44" i="8"/>
  <c r="Z46" i="8" s="1"/>
  <c r="O44" i="8"/>
  <c r="O46" i="8" s="1"/>
  <c r="T44" i="8"/>
  <c r="T46" i="8" s="1"/>
  <c r="R44" i="8"/>
  <c r="R46" i="8" s="1"/>
  <c r="W44" i="8"/>
  <c r="W46" i="8" s="1"/>
  <c r="X44" i="8"/>
  <c r="X46" i="8" s="1"/>
  <c r="P44" i="8"/>
  <c r="P46" i="8" s="1"/>
  <c r="I44" i="8"/>
  <c r="I46" i="8" s="1"/>
  <c r="J44" i="8"/>
  <c r="J46" i="8" s="1"/>
  <c r="Y44" i="8"/>
  <c r="Y46" i="8" s="1"/>
  <c r="L44" i="8"/>
  <c r="L46" i="8" s="1"/>
  <c r="Z14" i="2" l="1"/>
  <c r="L14" i="2"/>
  <c r="T14" i="2"/>
  <c r="M14" i="2"/>
  <c r="V14" i="2"/>
  <c r="X14" i="2"/>
  <c r="N14" i="2"/>
  <c r="K14" i="2"/>
  <c r="O14" i="2"/>
  <c r="S14" i="2"/>
  <c r="I14" i="2"/>
  <c r="Y14" i="2"/>
  <c r="W14" i="2"/>
  <c r="H14" i="2"/>
  <c r="Q14" i="2"/>
  <c r="F3" i="7"/>
  <c r="G3" i="7" s="1"/>
  <c r="H3" i="7" s="1"/>
  <c r="I3" i="7" s="1"/>
  <c r="J3" i="7" s="1"/>
  <c r="K3" i="7" s="1"/>
  <c r="L3" i="7" s="1"/>
  <c r="M3" i="7" s="1"/>
  <c r="N3" i="7" s="1"/>
  <c r="O3" i="7" s="1"/>
  <c r="P3" i="7" s="1"/>
  <c r="Q3" i="7" s="1"/>
  <c r="R3" i="7" s="1"/>
  <c r="S3" i="7" s="1"/>
  <c r="T3" i="7" s="1"/>
  <c r="U3" i="7" s="1"/>
  <c r="V3" i="7" s="1"/>
  <c r="W3" i="7" s="1"/>
  <c r="X3" i="7" s="1"/>
  <c r="Y3" i="7" s="1"/>
  <c r="Z3" i="7" s="1"/>
  <c r="AA3" i="7" s="1"/>
  <c r="F2" i="7"/>
  <c r="G2" i="7" s="1"/>
  <c r="H2" i="7" s="1"/>
  <c r="I2" i="7" s="1"/>
  <c r="J2" i="7" s="1"/>
  <c r="K2" i="7" s="1"/>
  <c r="L2" i="7" s="1"/>
  <c r="M2" i="7" s="1"/>
  <c r="N2" i="7" s="1"/>
  <c r="O2" i="7" s="1"/>
  <c r="P2" i="7" s="1"/>
  <c r="Q2" i="7" s="1"/>
  <c r="R2" i="7" s="1"/>
  <c r="S2" i="7" s="1"/>
  <c r="T2" i="7" s="1"/>
  <c r="U2" i="7" s="1"/>
  <c r="V2" i="7" s="1"/>
  <c r="W2" i="7" s="1"/>
  <c r="X2" i="7" s="1"/>
  <c r="Y2" i="7" s="1"/>
  <c r="Z2" i="7" s="1"/>
  <c r="AA2" i="7" s="1"/>
  <c r="B15" i="4" l="1"/>
  <c r="B16" i="4" s="1"/>
  <c r="F47" i="8" l="1"/>
  <c r="E47" i="8"/>
  <c r="Q47" i="8"/>
  <c r="K47" i="8"/>
  <c r="G47" i="8"/>
  <c r="V47" i="8"/>
  <c r="H47" i="8"/>
  <c r="N47" i="8"/>
  <c r="M47" i="8"/>
  <c r="U47" i="8"/>
  <c r="Y47" i="8"/>
  <c r="L47" i="8"/>
  <c r="P47" i="8"/>
  <c r="T47" i="8"/>
  <c r="J47" i="8"/>
  <c r="Z47" i="8"/>
  <c r="X47" i="8"/>
  <c r="R47" i="8"/>
  <c r="AA47" i="8"/>
  <c r="S47" i="8"/>
  <c r="W47" i="8"/>
  <c r="O47" i="8"/>
  <c r="I47" i="8"/>
  <c r="B43" i="4"/>
  <c r="B45" i="4" s="1"/>
  <c r="B19" i="4"/>
  <c r="Z50" i="8" l="1"/>
  <c r="Z52" i="8" s="1"/>
  <c r="X50" i="8"/>
  <c r="X52" i="8" s="1"/>
  <c r="V50" i="8"/>
  <c r="V52" i="8" s="1"/>
  <c r="T50" i="8"/>
  <c r="T52" i="8" s="1"/>
  <c r="R50" i="8"/>
  <c r="R52" i="8" s="1"/>
  <c r="P50" i="8"/>
  <c r="P52" i="8" s="1"/>
  <c r="N50" i="8"/>
  <c r="N52" i="8" s="1"/>
  <c r="L50" i="8"/>
  <c r="L52" i="8" s="1"/>
  <c r="I50" i="8"/>
  <c r="I52" i="8" s="1"/>
  <c r="G50" i="8"/>
  <c r="G52" i="8" s="1"/>
  <c r="E50" i="8"/>
  <c r="E52" i="8" s="1"/>
  <c r="AA50" i="8"/>
  <c r="AA52" i="8" s="1"/>
  <c r="Y50" i="8"/>
  <c r="Y52" i="8" s="1"/>
  <c r="W50" i="8"/>
  <c r="W52" i="8" s="1"/>
  <c r="U50" i="8"/>
  <c r="U52" i="8" s="1"/>
  <c r="S50" i="8"/>
  <c r="S52" i="8" s="1"/>
  <c r="Q50" i="8"/>
  <c r="Q52" i="8" s="1"/>
  <c r="O50" i="8"/>
  <c r="O52" i="8" s="1"/>
  <c r="M50" i="8"/>
  <c r="M52" i="8" s="1"/>
  <c r="K50" i="8"/>
  <c r="K52" i="8" s="1"/>
  <c r="J50" i="8"/>
  <c r="J52" i="8" s="1"/>
  <c r="H50" i="8"/>
  <c r="H52" i="8" s="1"/>
  <c r="F50" i="8"/>
  <c r="F52" i="8" s="1"/>
  <c r="B21" i="4"/>
  <c r="H53" i="8" l="1"/>
  <c r="G15" i="2"/>
  <c r="J15" i="2"/>
  <c r="K53" i="8"/>
  <c r="O53" i="8"/>
  <c r="N15" i="2"/>
  <c r="S53" i="8"/>
  <c r="R15" i="2"/>
  <c r="V15" i="2"/>
  <c r="W53" i="8"/>
  <c r="AA53" i="8"/>
  <c r="Z15" i="2"/>
  <c r="F15" i="2"/>
  <c r="G53" i="8"/>
  <c r="L53" i="8"/>
  <c r="K15" i="2"/>
  <c r="O15" i="2"/>
  <c r="P53" i="8"/>
  <c r="S15" i="2"/>
  <c r="T53" i="8"/>
  <c r="X53" i="8"/>
  <c r="W15" i="2"/>
  <c r="E15" i="2"/>
  <c r="F53" i="8"/>
  <c r="J53" i="8"/>
  <c r="I15" i="2"/>
  <c r="M53" i="8"/>
  <c r="L15" i="2"/>
  <c r="P15" i="2"/>
  <c r="Q53" i="8"/>
  <c r="U53" i="8"/>
  <c r="T15" i="2"/>
  <c r="X15" i="2"/>
  <c r="Y53" i="8"/>
  <c r="D15" i="2"/>
  <c r="E53" i="8"/>
  <c r="H15" i="2"/>
  <c r="I53" i="8"/>
  <c r="N53" i="8"/>
  <c r="M15" i="2"/>
  <c r="R53" i="8"/>
  <c r="Q15" i="2"/>
  <c r="V53" i="8"/>
  <c r="U15" i="2"/>
  <c r="Y15" i="2"/>
  <c r="Z53" i="8"/>
  <c r="C4" i="3" l="1"/>
  <c r="C3" i="3"/>
  <c r="B7" i="4" l="1"/>
  <c r="B6" i="4"/>
  <c r="B23" i="4" l="1"/>
  <c r="B24" i="4"/>
  <c r="J42" i="7"/>
  <c r="T42" i="7"/>
  <c r="M42" i="7"/>
  <c r="K42" i="7"/>
  <c r="R42" i="7"/>
  <c r="Y42" i="7"/>
  <c r="F43" i="7"/>
  <c r="H42" i="7"/>
  <c r="Z42" i="7"/>
  <c r="L42" i="7"/>
  <c r="W42" i="7"/>
  <c r="U42" i="7"/>
  <c r="Y43" i="7"/>
  <c r="R43" i="7"/>
  <c r="X42" i="7"/>
  <c r="Q42" i="7"/>
  <c r="V42" i="7"/>
  <c r="P42" i="7"/>
  <c r="AA42" i="7"/>
  <c r="I42" i="7"/>
  <c r="V43" i="7"/>
  <c r="V44" i="7" s="1"/>
  <c r="O42" i="7"/>
  <c r="N42" i="7"/>
  <c r="I43" i="7"/>
  <c r="I44" i="7" s="1"/>
  <c r="S43" i="7"/>
  <c r="F42" i="7"/>
  <c r="AA43" i="7"/>
  <c r="AA44" i="7" s="1"/>
  <c r="K43" i="7"/>
  <c r="K44" i="7" s="1"/>
  <c r="P43" i="7"/>
  <c r="S42" i="7"/>
  <c r="G42" i="7"/>
  <c r="J43" i="7"/>
  <c r="E42" i="7"/>
  <c r="Q43" i="7"/>
  <c r="G43" i="7"/>
  <c r="W43" i="7"/>
  <c r="Z43" i="7"/>
  <c r="Z44" i="7" s="1"/>
  <c r="L43" i="7"/>
  <c r="L44" i="7" s="1"/>
  <c r="T43" i="7"/>
  <c r="M43" i="7"/>
  <c r="O43" i="7"/>
  <c r="E43" i="7"/>
  <c r="U43" i="7"/>
  <c r="N43" i="7"/>
  <c r="H43" i="7"/>
  <c r="X43" i="7"/>
  <c r="Y7" i="2"/>
  <c r="Z7" i="2"/>
  <c r="U44" i="7" l="1"/>
  <c r="U55" i="8" s="1"/>
  <c r="B25" i="4"/>
  <c r="B27" i="4" s="1"/>
  <c r="G44" i="7"/>
  <c r="G55" i="8" s="1"/>
  <c r="K55" i="8"/>
  <c r="K56" i="8"/>
  <c r="Z55" i="8"/>
  <c r="Z56" i="8"/>
  <c r="V55" i="8"/>
  <c r="V56" i="8"/>
  <c r="H44" i="7"/>
  <c r="H45" i="7" s="1"/>
  <c r="AA56" i="8"/>
  <c r="AA55" i="8"/>
  <c r="I56" i="8"/>
  <c r="I55" i="8"/>
  <c r="L55" i="8"/>
  <c r="L56" i="8"/>
  <c r="Q44" i="7"/>
  <c r="N44" i="7"/>
  <c r="R44" i="7"/>
  <c r="E44" i="7"/>
  <c r="J44" i="7"/>
  <c r="J45" i="7" s="1"/>
  <c r="Z6" i="2"/>
  <c r="AA45" i="7"/>
  <c r="Y6" i="2"/>
  <c r="Z45" i="7"/>
  <c r="U6" i="2"/>
  <c r="V45" i="7"/>
  <c r="X44" i="7"/>
  <c r="M44" i="7"/>
  <c r="P44" i="7"/>
  <c r="S44" i="7"/>
  <c r="Y44" i="7"/>
  <c r="K6" i="2"/>
  <c r="L45" i="7"/>
  <c r="J6" i="2"/>
  <c r="K45" i="7"/>
  <c r="H6" i="2"/>
  <c r="I45" i="7"/>
  <c r="O44" i="7"/>
  <c r="F44" i="7"/>
  <c r="T44" i="7"/>
  <c r="W44" i="7"/>
  <c r="D23" i="5"/>
  <c r="B50" i="4"/>
  <c r="B51" i="4"/>
  <c r="E3" i="5"/>
  <c r="F3" i="5" s="1"/>
  <c r="G3" i="5" s="1"/>
  <c r="H3" i="5" s="1"/>
  <c r="I3" i="5" s="1"/>
  <c r="J3" i="5" s="1"/>
  <c r="K3" i="5" s="1"/>
  <c r="L3" i="5" s="1"/>
  <c r="M3" i="5" s="1"/>
  <c r="N3" i="5" s="1"/>
  <c r="O3" i="5" s="1"/>
  <c r="P3" i="5" s="1"/>
  <c r="Q3" i="5" s="1"/>
  <c r="R3" i="5" s="1"/>
  <c r="S3" i="5" s="1"/>
  <c r="T3" i="5" s="1"/>
  <c r="U3" i="5" s="1"/>
  <c r="V3" i="5" s="1"/>
  <c r="W3" i="5" s="1"/>
  <c r="X3" i="5" s="1"/>
  <c r="Y3" i="5" s="1"/>
  <c r="Z3" i="5" s="1"/>
  <c r="E2" i="5"/>
  <c r="F2" i="5" s="1"/>
  <c r="G2" i="5" s="1"/>
  <c r="H2" i="5" s="1"/>
  <c r="I2" i="5" s="1"/>
  <c r="J2" i="5" s="1"/>
  <c r="K2" i="5" s="1"/>
  <c r="L2" i="5" s="1"/>
  <c r="M2" i="5" s="1"/>
  <c r="N2" i="5" s="1"/>
  <c r="O2" i="5" s="1"/>
  <c r="P2" i="5" s="1"/>
  <c r="Q2" i="5" s="1"/>
  <c r="R2" i="5" s="1"/>
  <c r="S2" i="5" s="1"/>
  <c r="T2" i="5" s="1"/>
  <c r="U2" i="5" s="1"/>
  <c r="V2" i="5" s="1"/>
  <c r="W2" i="5" s="1"/>
  <c r="X2" i="5" s="1"/>
  <c r="Y2" i="5" s="1"/>
  <c r="Z2" i="5" s="1"/>
  <c r="B9" i="4"/>
  <c r="T6" i="2" l="1"/>
  <c r="U45" i="7"/>
  <c r="U56" i="8"/>
  <c r="U57" i="8" s="1"/>
  <c r="T16" i="2" s="1"/>
  <c r="G45" i="7"/>
  <c r="AA57" i="8"/>
  <c r="AA58" i="8" s="1"/>
  <c r="G56" i="8"/>
  <c r="G57" i="8" s="1"/>
  <c r="F6" i="2"/>
  <c r="Z57" i="8"/>
  <c r="Z58" i="8" s="1"/>
  <c r="I6" i="2"/>
  <c r="T55" i="8"/>
  <c r="T56" i="8"/>
  <c r="Q56" i="8"/>
  <c r="Q55" i="8"/>
  <c r="W55" i="8"/>
  <c r="W56" i="8"/>
  <c r="X55" i="8"/>
  <c r="X56" i="8"/>
  <c r="N55" i="8"/>
  <c r="N56" i="8"/>
  <c r="F55" i="8"/>
  <c r="F56" i="8"/>
  <c r="P55" i="8"/>
  <c r="P56" i="8"/>
  <c r="D6" i="2"/>
  <c r="E56" i="8"/>
  <c r="E55" i="8"/>
  <c r="N45" i="7"/>
  <c r="V57" i="8"/>
  <c r="K57" i="8"/>
  <c r="S55" i="8"/>
  <c r="S56" i="8"/>
  <c r="J55" i="8"/>
  <c r="J56" i="8"/>
  <c r="Y56" i="8"/>
  <c r="Y55" i="8"/>
  <c r="H56" i="8"/>
  <c r="H55" i="8"/>
  <c r="O56" i="8"/>
  <c r="O55" i="8"/>
  <c r="M56" i="8"/>
  <c r="M55" i="8"/>
  <c r="R45" i="7"/>
  <c r="R55" i="8"/>
  <c r="R56" i="8"/>
  <c r="P6" i="2"/>
  <c r="I57" i="8"/>
  <c r="G6" i="2"/>
  <c r="M6" i="2"/>
  <c r="Q45" i="7"/>
  <c r="L57" i="8"/>
  <c r="E45" i="7"/>
  <c r="Q6" i="2"/>
  <c r="N6" i="2"/>
  <c r="O45" i="7"/>
  <c r="W6" i="2"/>
  <c r="X45" i="7"/>
  <c r="V6" i="2"/>
  <c r="W45" i="7"/>
  <c r="O6" i="2"/>
  <c r="P45" i="7"/>
  <c r="R6" i="2"/>
  <c r="S45" i="7"/>
  <c r="E6" i="2"/>
  <c r="F45" i="7"/>
  <c r="X6" i="2"/>
  <c r="Y45" i="7"/>
  <c r="S6" i="2"/>
  <c r="T45" i="7"/>
  <c r="L6" i="2"/>
  <c r="M45" i="7"/>
  <c r="U58" i="8" l="1"/>
  <c r="Z16" i="2"/>
  <c r="O57" i="8"/>
  <c r="N16" i="2" s="1"/>
  <c r="N6" i="5" s="1"/>
  <c r="H57" i="8"/>
  <c r="G16" i="2" s="1"/>
  <c r="G6" i="5" s="1"/>
  <c r="Q57" i="8"/>
  <c r="P16" i="2" s="1"/>
  <c r="P6" i="5" s="1"/>
  <c r="Y16" i="2"/>
  <c r="Y6" i="5" s="1"/>
  <c r="S57" i="8"/>
  <c r="R16" i="2" s="1"/>
  <c r="R6" i="5" s="1"/>
  <c r="P57" i="8"/>
  <c r="P58" i="8" s="1"/>
  <c r="N57" i="8"/>
  <c r="M16" i="2" s="1"/>
  <c r="M6" i="5" s="1"/>
  <c r="W57" i="8"/>
  <c r="W58" i="8" s="1"/>
  <c r="T57" i="8"/>
  <c r="S16" i="2" s="1"/>
  <c r="S6" i="5" s="1"/>
  <c r="E57" i="8"/>
  <c r="D16" i="2" s="1"/>
  <c r="D6" i="5" s="1"/>
  <c r="H16" i="2"/>
  <c r="H6" i="5" s="1"/>
  <c r="I58" i="8"/>
  <c r="U16" i="2"/>
  <c r="U6" i="5" s="1"/>
  <c r="V58" i="8"/>
  <c r="M57" i="8"/>
  <c r="Y57" i="8"/>
  <c r="J57" i="8"/>
  <c r="F57" i="8"/>
  <c r="X57" i="8"/>
  <c r="K16" i="2"/>
  <c r="K6" i="5" s="1"/>
  <c r="L58" i="8"/>
  <c r="G58" i="8"/>
  <c r="F16" i="2"/>
  <c r="F6" i="5" s="1"/>
  <c r="K58" i="8"/>
  <c r="J16" i="2"/>
  <c r="J6" i="5" s="1"/>
  <c r="R57" i="8"/>
  <c r="D8" i="2"/>
  <c r="E8" i="2" s="1"/>
  <c r="F8" i="2" s="1"/>
  <c r="T6" i="5"/>
  <c r="Q58" i="8" l="1"/>
  <c r="N58" i="8"/>
  <c r="V16" i="2"/>
  <c r="V6" i="5" s="1"/>
  <c r="H58" i="8"/>
  <c r="O16" i="2"/>
  <c r="O6" i="5" s="1"/>
  <c r="E58" i="8"/>
  <c r="O58" i="8"/>
  <c r="T58" i="8"/>
  <c r="S58" i="8"/>
  <c r="I16" i="2"/>
  <c r="I6" i="5" s="1"/>
  <c r="J58" i="8"/>
  <c r="Q16" i="2"/>
  <c r="Q6" i="5" s="1"/>
  <c r="R58" i="8"/>
  <c r="E16" i="2"/>
  <c r="E6" i="5" s="1"/>
  <c r="F58" i="8"/>
  <c r="W16" i="2"/>
  <c r="W6" i="5" s="1"/>
  <c r="X58" i="8"/>
  <c r="L16" i="2"/>
  <c r="L6" i="5" s="1"/>
  <c r="M58" i="8"/>
  <c r="X16" i="2"/>
  <c r="X6" i="5" s="1"/>
  <c r="Y58" i="8"/>
  <c r="Z6" i="5"/>
  <c r="E7" i="2"/>
  <c r="E10" i="2" s="1"/>
  <c r="F7" i="2"/>
  <c r="F10" i="2" s="1"/>
  <c r="G7" i="2"/>
  <c r="H7" i="2"/>
  <c r="I7" i="2"/>
  <c r="J7" i="2"/>
  <c r="K7" i="2"/>
  <c r="L7" i="2"/>
  <c r="M7" i="2"/>
  <c r="N7" i="2"/>
  <c r="O7" i="2"/>
  <c r="P7" i="2"/>
  <c r="Q7" i="2"/>
  <c r="R7" i="2"/>
  <c r="S7" i="2"/>
  <c r="T7" i="2"/>
  <c r="U7" i="2"/>
  <c r="V7" i="2"/>
  <c r="W7" i="2"/>
  <c r="X7" i="2"/>
  <c r="D7" i="2"/>
  <c r="D10" i="2" s="1"/>
  <c r="D5" i="5" l="1"/>
  <c r="E5" i="5"/>
  <c r="F5" i="5"/>
  <c r="G8" i="2"/>
  <c r="G10" i="2" s="1"/>
  <c r="D9" i="5" l="1"/>
  <c r="D15" i="5" s="1"/>
  <c r="D11" i="5"/>
  <c r="D13" i="5" s="1"/>
  <c r="D16" i="5" s="1"/>
  <c r="E11" i="5"/>
  <c r="F11" i="5"/>
  <c r="G5" i="5"/>
  <c r="H8" i="2"/>
  <c r="H10" i="2" s="1"/>
  <c r="E3" i="2"/>
  <c r="F3" i="2" s="1"/>
  <c r="G3" i="2" s="1"/>
  <c r="H3" i="2" s="1"/>
  <c r="I3" i="2" s="1"/>
  <c r="J3" i="2" s="1"/>
  <c r="K3" i="2" s="1"/>
  <c r="L3" i="2" s="1"/>
  <c r="M3" i="2" s="1"/>
  <c r="N3" i="2" s="1"/>
  <c r="O3" i="2" s="1"/>
  <c r="P3" i="2" s="1"/>
  <c r="Q3" i="2" s="1"/>
  <c r="R3" i="2" s="1"/>
  <c r="S3" i="2" s="1"/>
  <c r="T3" i="2" s="1"/>
  <c r="U3" i="2" s="1"/>
  <c r="V3" i="2" s="1"/>
  <c r="W3" i="2" s="1"/>
  <c r="X3" i="2" s="1"/>
  <c r="Y3" i="2" s="1"/>
  <c r="Z3" i="2" s="1"/>
  <c r="E2" i="2"/>
  <c r="F2" i="2" s="1"/>
  <c r="G2" i="2" s="1"/>
  <c r="H2" i="2" s="1"/>
  <c r="I2" i="2" s="1"/>
  <c r="J2" i="2" s="1"/>
  <c r="K2" i="2" s="1"/>
  <c r="L2" i="2" s="1"/>
  <c r="M2" i="2" s="1"/>
  <c r="N2" i="2" s="1"/>
  <c r="O2" i="2" s="1"/>
  <c r="P2" i="2" s="1"/>
  <c r="Q2" i="2" s="1"/>
  <c r="R2" i="2" s="1"/>
  <c r="S2" i="2" s="1"/>
  <c r="T2" i="2" s="1"/>
  <c r="U2" i="2" s="1"/>
  <c r="V2" i="2" s="1"/>
  <c r="W2" i="2" s="1"/>
  <c r="X2" i="2" s="1"/>
  <c r="Y2" i="2" s="1"/>
  <c r="Z2" i="2" s="1"/>
  <c r="G11" i="5" l="1"/>
  <c r="D18" i="5"/>
  <c r="D24" i="5" s="1"/>
  <c r="H5" i="5"/>
  <c r="I8" i="2"/>
  <c r="I10" i="2" s="1"/>
  <c r="H11" i="5" l="1"/>
  <c r="I5" i="5"/>
  <c r="N26" i="5"/>
  <c r="D25" i="5"/>
  <c r="D19" i="5" s="1"/>
  <c r="D20" i="5" s="1"/>
  <c r="D17" i="2" s="1"/>
  <c r="J8" i="2"/>
  <c r="J10" i="2" s="1"/>
  <c r="I11" i="5" l="1"/>
  <c r="J5" i="5"/>
  <c r="D27" i="5"/>
  <c r="E23" i="5" s="1"/>
  <c r="K8" i="2"/>
  <c r="K10" i="2" s="1"/>
  <c r="J11" i="5" l="1"/>
  <c r="L8" i="2"/>
  <c r="L10" i="2" s="1"/>
  <c r="K5" i="5"/>
  <c r="K11" i="5" l="1"/>
  <c r="M8" i="2"/>
  <c r="M10" i="2" s="1"/>
  <c r="L5" i="5"/>
  <c r="L11" i="5" l="1"/>
  <c r="N8" i="2"/>
  <c r="N10" i="2" s="1"/>
  <c r="M5" i="5"/>
  <c r="M11" i="5" l="1"/>
  <c r="O8" i="2"/>
  <c r="O10" i="2" s="1"/>
  <c r="N5" i="5"/>
  <c r="N11" i="5" l="1"/>
  <c r="P8" i="2"/>
  <c r="P10" i="2" s="1"/>
  <c r="O5" i="5"/>
  <c r="O11" i="5" l="1"/>
  <c r="Q8" i="2"/>
  <c r="Q10" i="2" s="1"/>
  <c r="P5" i="5"/>
  <c r="Q5" i="5" l="1"/>
  <c r="Q11" i="5" s="1"/>
  <c r="P11" i="5"/>
  <c r="R8" i="2"/>
  <c r="R10" i="2" s="1"/>
  <c r="S8" i="2" l="1"/>
  <c r="S10" i="2" s="1"/>
  <c r="R5" i="5"/>
  <c r="R11" i="5" l="1"/>
  <c r="T8" i="2"/>
  <c r="T10" i="2" s="1"/>
  <c r="S5" i="5"/>
  <c r="S11" i="5" l="1"/>
  <c r="U8" i="2"/>
  <c r="U10" i="2" s="1"/>
  <c r="T5" i="5"/>
  <c r="T11" i="5" l="1"/>
  <c r="U5" i="5"/>
  <c r="V8" i="2"/>
  <c r="V10" i="2" s="1"/>
  <c r="U11" i="5" l="1"/>
  <c r="W8" i="2"/>
  <c r="W10" i="2" s="1"/>
  <c r="V5" i="5"/>
  <c r="V11" i="5" l="1"/>
  <c r="X8" i="2"/>
  <c r="W5" i="5"/>
  <c r="Y8" i="2" l="1"/>
  <c r="Y10" i="2" s="1"/>
  <c r="Y5" i="5" s="1"/>
  <c r="W11" i="5"/>
  <c r="X10" i="2"/>
  <c r="Y11" i="5" l="1"/>
  <c r="Z8" i="2"/>
  <c r="X5" i="5"/>
  <c r="X11" i="5" l="1"/>
  <c r="B41" i="4"/>
  <c r="C2" i="3" s="1"/>
  <c r="B47" i="4" s="1"/>
  <c r="Z9" i="2" l="1"/>
  <c r="Z10" i="2" s="1"/>
  <c r="E13" i="2"/>
  <c r="E12" i="5"/>
  <c r="D13" i="2"/>
  <c r="D18" i="2" s="1"/>
  <c r="D19" i="2" s="1"/>
  <c r="E8" i="5"/>
  <c r="F8" i="5" s="1"/>
  <c r="F9" i="5" l="1"/>
  <c r="F15" i="5" s="1"/>
  <c r="E13" i="5"/>
  <c r="E16" i="5" s="1"/>
  <c r="F12" i="5"/>
  <c r="G12" i="5" s="1"/>
  <c r="G13" i="5" s="1"/>
  <c r="G16" i="5" s="1"/>
  <c r="Z5" i="5"/>
  <c r="G8" i="5"/>
  <c r="G9" i="5" s="1"/>
  <c r="G15" i="5" s="1"/>
  <c r="E9" i="5"/>
  <c r="E15" i="5" s="1"/>
  <c r="E18" i="5" l="1"/>
  <c r="E24" i="5" s="1"/>
  <c r="E25" i="5" s="1"/>
  <c r="E19" i="5" s="1"/>
  <c r="E20" i="5" s="1"/>
  <c r="E17" i="2" s="1"/>
  <c r="E18" i="2" s="1"/>
  <c r="E19" i="2" s="1"/>
  <c r="H12" i="5"/>
  <c r="H13" i="5" s="1"/>
  <c r="H16" i="5" s="1"/>
  <c r="Z11" i="5"/>
  <c r="F13" i="5"/>
  <c r="F16" i="5" s="1"/>
  <c r="F18" i="5" s="1"/>
  <c r="G18" i="5"/>
  <c r="H8" i="5"/>
  <c r="I8" i="5" s="1"/>
  <c r="I9" i="5" s="1"/>
  <c r="I15" i="5" s="1"/>
  <c r="I12" i="5" l="1"/>
  <c r="I13" i="5" s="1"/>
  <c r="I16" i="5" s="1"/>
  <c r="I18" i="5" s="1"/>
  <c r="G24" i="5"/>
  <c r="F24" i="5"/>
  <c r="H9" i="5"/>
  <c r="H15" i="5" s="1"/>
  <c r="H18" i="5" s="1"/>
  <c r="J8" i="5"/>
  <c r="E27" i="5"/>
  <c r="F23" i="5" s="1"/>
  <c r="F25" i="5" l="1"/>
  <c r="F19" i="5" s="1"/>
  <c r="F20" i="5" s="1"/>
  <c r="F17" i="2" s="1"/>
  <c r="F18" i="2" s="1"/>
  <c r="F19" i="2" s="1"/>
  <c r="J12" i="5"/>
  <c r="K12" i="5" s="1"/>
  <c r="I24" i="5"/>
  <c r="H24" i="5"/>
  <c r="J9" i="5"/>
  <c r="J15" i="5" s="1"/>
  <c r="K8" i="5"/>
  <c r="F27" i="5" l="1"/>
  <c r="G23" i="5" s="1"/>
  <c r="K13" i="5"/>
  <c r="K16" i="5" s="1"/>
  <c r="L12" i="5"/>
  <c r="L13" i="5" s="1"/>
  <c r="L16" i="5" s="1"/>
  <c r="J13" i="5"/>
  <c r="J16" i="5" s="1"/>
  <c r="J18" i="5" s="1"/>
  <c r="J24" i="5" s="1"/>
  <c r="K9" i="5"/>
  <c r="K15" i="5" s="1"/>
  <c r="L8" i="5"/>
  <c r="M8" i="5" s="1"/>
  <c r="M9" i="5" s="1"/>
  <c r="M15" i="5" s="1"/>
  <c r="G25" i="5"/>
  <c r="G19" i="5" s="1"/>
  <c r="G20" i="5" s="1"/>
  <c r="G17" i="2" s="1"/>
  <c r="G18" i="2" s="1"/>
  <c r="G19" i="2" s="1"/>
  <c r="M12" i="5" l="1"/>
  <c r="N12" i="5" s="1"/>
  <c r="K18" i="5"/>
  <c r="K24" i="5" s="1"/>
  <c r="N8" i="5"/>
  <c r="N9" i="5" s="1"/>
  <c r="N15" i="5" s="1"/>
  <c r="L9" i="5"/>
  <c r="L15" i="5" s="1"/>
  <c r="L18" i="5" s="1"/>
  <c r="G27" i="5"/>
  <c r="H23" i="5" s="1"/>
  <c r="M13" i="5" l="1"/>
  <c r="M16" i="5" s="1"/>
  <c r="M18" i="5" s="1"/>
  <c r="M24" i="5" s="1"/>
  <c r="O8" i="5"/>
  <c r="O9" i="5" s="1"/>
  <c r="O15" i="5" s="1"/>
  <c r="N13" i="5"/>
  <c r="N16" i="5" s="1"/>
  <c r="N18" i="5" s="1"/>
  <c r="O12" i="5"/>
  <c r="L24" i="5"/>
  <c r="H25" i="5"/>
  <c r="H19" i="5" s="1"/>
  <c r="H20" i="5" s="1"/>
  <c r="H17" i="2" s="1"/>
  <c r="H18" i="2" s="1"/>
  <c r="H19" i="2" s="1"/>
  <c r="P8" i="5" l="1"/>
  <c r="P9" i="5" s="1"/>
  <c r="P15" i="5" s="1"/>
  <c r="H27" i="5"/>
  <c r="I23" i="5" s="1"/>
  <c r="I25" i="5" s="1"/>
  <c r="I19" i="5" s="1"/>
  <c r="I20" i="5" s="1"/>
  <c r="I17" i="2" s="1"/>
  <c r="I18" i="2" s="1"/>
  <c r="I19" i="2" s="1"/>
  <c r="N24" i="5"/>
  <c r="O13" i="5"/>
  <c r="O16" i="5" s="1"/>
  <c r="O18" i="5" s="1"/>
  <c r="P12" i="5"/>
  <c r="Q8" i="5" l="1"/>
  <c r="Q9" i="5" s="1"/>
  <c r="Q15" i="5" s="1"/>
  <c r="I27" i="5"/>
  <c r="J23" i="5" s="1"/>
  <c r="O24" i="5"/>
  <c r="P13" i="5"/>
  <c r="P16" i="5" s="1"/>
  <c r="P18" i="5" s="1"/>
  <c r="Q12" i="5"/>
  <c r="R8" i="5" l="1"/>
  <c r="Q13" i="5"/>
  <c r="Q16" i="5" s="1"/>
  <c r="Q18" i="5" s="1"/>
  <c r="R12" i="5"/>
  <c r="J25" i="5"/>
  <c r="J19" i="5" s="1"/>
  <c r="J20" i="5" s="1"/>
  <c r="J17" i="2" s="1"/>
  <c r="J18" i="2" s="1"/>
  <c r="J19" i="2" s="1"/>
  <c r="P24" i="5"/>
  <c r="S8" i="5" l="1"/>
  <c r="R9" i="5"/>
  <c r="R15" i="5" s="1"/>
  <c r="J27" i="5"/>
  <c r="K23" i="5" s="1"/>
  <c r="K25" i="5" s="1"/>
  <c r="K19" i="5" s="1"/>
  <c r="K20" i="5" s="1"/>
  <c r="K17" i="2" s="1"/>
  <c r="K18" i="2" s="1"/>
  <c r="K19" i="2" s="1"/>
  <c r="Q24" i="5"/>
  <c r="R13" i="5"/>
  <c r="R16" i="5" s="1"/>
  <c r="S12" i="5"/>
  <c r="S9" i="5" l="1"/>
  <c r="S15" i="5" s="1"/>
  <c r="T8" i="5"/>
  <c r="R18" i="5"/>
  <c r="R24" i="5" s="1"/>
  <c r="S13" i="5"/>
  <c r="S16" i="5" s="1"/>
  <c r="T12" i="5"/>
  <c r="K27" i="5"/>
  <c r="L23" i="5" s="1"/>
  <c r="S18" i="5" l="1"/>
  <c r="S24" i="5" s="1"/>
  <c r="L25" i="5"/>
  <c r="L19" i="5" s="1"/>
  <c r="L20" i="5" s="1"/>
  <c r="L17" i="2" s="1"/>
  <c r="L18" i="2" s="1"/>
  <c r="L19" i="2" s="1"/>
  <c r="T9" i="5"/>
  <c r="T15" i="5" s="1"/>
  <c r="U8" i="5"/>
  <c r="U9" i="5" s="1"/>
  <c r="U15" i="5" s="1"/>
  <c r="T13" i="5"/>
  <c r="T16" i="5" s="1"/>
  <c r="U12" i="5"/>
  <c r="T18" i="5" l="1"/>
  <c r="T24" i="5" s="1"/>
  <c r="L27" i="5"/>
  <c r="M23" i="5" s="1"/>
  <c r="V8" i="5"/>
  <c r="W8" i="5" s="1"/>
  <c r="W9" i="5" s="1"/>
  <c r="W15" i="5" s="1"/>
  <c r="U13" i="5"/>
  <c r="U16" i="5" s="1"/>
  <c r="U18" i="5" s="1"/>
  <c r="V12" i="5"/>
  <c r="M25" i="5" l="1"/>
  <c r="M19" i="5" s="1"/>
  <c r="M20" i="5" s="1"/>
  <c r="M17" i="2" s="1"/>
  <c r="M18" i="2" s="1"/>
  <c r="M19" i="2" s="1"/>
  <c r="X8" i="5"/>
  <c r="Y8" i="5" s="1"/>
  <c r="V9" i="5"/>
  <c r="V15" i="5" s="1"/>
  <c r="V13" i="5"/>
  <c r="V16" i="5" s="1"/>
  <c r="W12" i="5"/>
  <c r="U24" i="5"/>
  <c r="X9" i="5" l="1"/>
  <c r="X15" i="5" s="1"/>
  <c r="M27" i="5"/>
  <c r="N23" i="5" s="1"/>
  <c r="N25" i="5" s="1"/>
  <c r="N19" i="5" s="1"/>
  <c r="N20" i="5" s="1"/>
  <c r="N17" i="2" s="1"/>
  <c r="N18" i="2" s="1"/>
  <c r="N19" i="2" s="1"/>
  <c r="V18" i="5"/>
  <c r="V24" i="5" s="1"/>
  <c r="W13" i="5"/>
  <c r="W16" i="5" s="1"/>
  <c r="W18" i="5" s="1"/>
  <c r="X12" i="5"/>
  <c r="Y9" i="5"/>
  <c r="Y15" i="5" s="1"/>
  <c r="Z8" i="5"/>
  <c r="Z9" i="5" s="1"/>
  <c r="Z15" i="5" s="1"/>
  <c r="N27" i="5" l="1"/>
  <c r="O23" i="5" s="1"/>
  <c r="O25" i="5" s="1"/>
  <c r="O19" i="5" s="1"/>
  <c r="O20" i="5" s="1"/>
  <c r="O17" i="2" s="1"/>
  <c r="O18" i="2" s="1"/>
  <c r="O19" i="2" s="1"/>
  <c r="X13" i="5"/>
  <c r="X16" i="5" s="1"/>
  <c r="X18" i="5" s="1"/>
  <c r="Y12" i="5"/>
  <c r="W24" i="5"/>
  <c r="O26" i="5" l="1"/>
  <c r="O27" i="5" s="1"/>
  <c r="P23" i="5" s="1"/>
  <c r="X24" i="5"/>
  <c r="Y13" i="5"/>
  <c r="Y16" i="5" s="1"/>
  <c r="Y18" i="5" s="1"/>
  <c r="Z12" i="5"/>
  <c r="Z13" i="5" s="1"/>
  <c r="Z16" i="5" s="1"/>
  <c r="Z18" i="5" s="1"/>
  <c r="P25" i="5" l="1"/>
  <c r="P19" i="5" s="1"/>
  <c r="P20" i="5" s="1"/>
  <c r="P17" i="2" s="1"/>
  <c r="P18" i="2" s="1"/>
  <c r="P19" i="2" s="1"/>
  <c r="Y24" i="5"/>
  <c r="Z24" i="5"/>
  <c r="P26" i="5" l="1"/>
  <c r="P27" i="5" s="1"/>
  <c r="Q23" i="5" s="1"/>
  <c r="Q25" i="5" s="1"/>
  <c r="Q19" i="5" s="1"/>
  <c r="Q20" i="5" s="1"/>
  <c r="Q17" i="2" s="1"/>
  <c r="Q18" i="2" s="1"/>
  <c r="Q19" i="2" s="1"/>
  <c r="Q26" i="5" l="1"/>
  <c r="Q27" i="5" s="1"/>
  <c r="R23" i="5" s="1"/>
  <c r="R25" i="5" l="1"/>
  <c r="R19" i="5" s="1"/>
  <c r="R20" i="5" s="1"/>
  <c r="R17" i="2" s="1"/>
  <c r="R18" i="2" s="1"/>
  <c r="R19" i="2" s="1"/>
  <c r="R26" i="5" l="1"/>
  <c r="R27" i="5" s="1"/>
  <c r="S23" i="5" s="1"/>
  <c r="S25" i="5" l="1"/>
  <c r="S19" i="5" s="1"/>
  <c r="S20" i="5" s="1"/>
  <c r="S17" i="2" s="1"/>
  <c r="S18" i="2" s="1"/>
  <c r="S19" i="2" s="1"/>
  <c r="S26" i="5" l="1"/>
  <c r="S27" i="5" s="1"/>
  <c r="T23" i="5" s="1"/>
  <c r="T25" i="5" s="1"/>
  <c r="T19" i="5" s="1"/>
  <c r="T20" i="5" s="1"/>
  <c r="T17" i="2" s="1"/>
  <c r="T18" i="2" s="1"/>
  <c r="T19" i="2" s="1"/>
  <c r="T26" i="5" l="1"/>
  <c r="T27" i="5" s="1"/>
  <c r="U23" i="5" s="1"/>
  <c r="U25" i="5" s="1"/>
  <c r="U19" i="5" s="1"/>
  <c r="U20" i="5" s="1"/>
  <c r="U17" i="2" s="1"/>
  <c r="U18" i="2" s="1"/>
  <c r="U19" i="2" s="1"/>
  <c r="U26" i="5" l="1"/>
  <c r="U27" i="5" s="1"/>
  <c r="V23" i="5" s="1"/>
  <c r="V25" i="5" s="1"/>
  <c r="V19" i="5" s="1"/>
  <c r="V20" i="5" s="1"/>
  <c r="V17" i="2" s="1"/>
  <c r="V18" i="2" s="1"/>
  <c r="V19" i="2" s="1"/>
  <c r="V26" i="5" l="1"/>
  <c r="V27" i="5" s="1"/>
  <c r="W23" i="5" s="1"/>
  <c r="W25" i="5" s="1"/>
  <c r="W19" i="5" s="1"/>
  <c r="W20" i="5" s="1"/>
  <c r="W17" i="2" s="1"/>
  <c r="W18" i="2" s="1"/>
  <c r="W19" i="2" s="1"/>
  <c r="W26" i="5" l="1"/>
  <c r="W27" i="5" s="1"/>
  <c r="X23" i="5" s="1"/>
  <c r="X25" i="5" l="1"/>
  <c r="X19" i="5" s="1"/>
  <c r="X20" i="5" s="1"/>
  <c r="X17" i="2" s="1"/>
  <c r="X18" i="2" s="1"/>
  <c r="X19" i="2" s="1"/>
  <c r="X26" i="5" l="1"/>
  <c r="X27" i="5" s="1"/>
  <c r="Y23" i="5" s="1"/>
  <c r="Y25" i="5" l="1"/>
  <c r="Y19" i="5" s="1"/>
  <c r="Y20" i="5" s="1"/>
  <c r="Y17" i="2" s="1"/>
  <c r="Y18" i="2" s="1"/>
  <c r="Y19" i="2" s="1"/>
  <c r="Y26" i="5" l="1"/>
  <c r="Y27" i="5" s="1"/>
  <c r="Z23" i="5" s="1"/>
  <c r="Z25" i="5" s="1"/>
  <c r="Z19" i="5" s="1"/>
  <c r="Z20" i="5" s="1"/>
  <c r="Z17" i="2" s="1"/>
  <c r="Z18" i="2" s="1"/>
  <c r="Z19" i="2" s="1"/>
  <c r="C20" i="2" s="1"/>
  <c r="B6" i="3" s="1"/>
  <c r="Z26" i="5" l="1"/>
  <c r="Z27" i="5" s="1"/>
</calcChain>
</file>

<file path=xl/sharedStrings.xml><?xml version="1.0" encoding="utf-8"?>
<sst xmlns="http://schemas.openxmlformats.org/spreadsheetml/2006/main" count="293" uniqueCount="185">
  <si>
    <t>Year</t>
  </si>
  <si>
    <t>Year number</t>
  </si>
  <si>
    <t>Salvage value</t>
  </si>
  <si>
    <t>Decrease in Total costs</t>
  </si>
  <si>
    <t>Increase in power generation</t>
  </si>
  <si>
    <t>%</t>
  </si>
  <si>
    <t xml:space="preserve">Base case </t>
  </si>
  <si>
    <t>Value</t>
  </si>
  <si>
    <t>Unit</t>
  </si>
  <si>
    <t>Installed Capacity</t>
  </si>
  <si>
    <t>MW</t>
  </si>
  <si>
    <t>Input values</t>
  </si>
  <si>
    <t>Source/Reference/Assumptions</t>
  </si>
  <si>
    <t>Generation in kWh</t>
  </si>
  <si>
    <t>Total cost, INR</t>
  </si>
  <si>
    <t>INR</t>
  </si>
  <si>
    <t>INR/ kWh</t>
  </si>
  <si>
    <t>Cash inflow</t>
  </si>
  <si>
    <t>Total</t>
  </si>
  <si>
    <t>Cash outflow</t>
  </si>
  <si>
    <t>Net cashflow</t>
  </si>
  <si>
    <t>IRR</t>
  </si>
  <si>
    <t>value</t>
  </si>
  <si>
    <t>Salvage/Residual Value</t>
  </si>
  <si>
    <t>% of total value</t>
  </si>
  <si>
    <t>Generation based incentives</t>
  </si>
  <si>
    <t xml:space="preserve">Electricity Tariff </t>
  </si>
  <si>
    <t xml:space="preserve">Maximum Claimable Generation Based Incentives </t>
  </si>
  <si>
    <t>INR/ Yr.</t>
  </si>
  <si>
    <t>kWh/ Yr.</t>
  </si>
  <si>
    <t>Administrative expenses</t>
  </si>
  <si>
    <t>Other expenses</t>
  </si>
  <si>
    <t>Tax</t>
  </si>
  <si>
    <t>Operating Revenue</t>
  </si>
  <si>
    <t>Operating Cost</t>
  </si>
  <si>
    <t>Financing Cost</t>
  </si>
  <si>
    <t>Tax Depreciation</t>
  </si>
  <si>
    <t>Total Project Cost</t>
  </si>
  <si>
    <t>Non-capitalised Project Cost</t>
  </si>
  <si>
    <t>Minimum Alternate Tax</t>
  </si>
  <si>
    <t>Corporate Tax</t>
  </si>
  <si>
    <t>Profit Before Tax for Corporate Tax</t>
  </si>
  <si>
    <t>Profit Before Tax &amp; Depreciation</t>
  </si>
  <si>
    <t>Accounting Depreciation</t>
  </si>
  <si>
    <t>Profit Before Tax for Minimum Alternate Tax</t>
  </si>
  <si>
    <t>Tax Expenses</t>
  </si>
  <si>
    <t>Minimum Alternate Tax Credit</t>
  </si>
  <si>
    <t>Addition</t>
  </si>
  <si>
    <t>Utilisation</t>
  </si>
  <si>
    <t>Expiry</t>
  </si>
  <si>
    <t>Opening Balance</t>
  </si>
  <si>
    <t>Closing Balance</t>
  </si>
  <si>
    <t>Tax Credit</t>
  </si>
  <si>
    <t>Net Tax Expenses</t>
  </si>
  <si>
    <t>Electricity Generation</t>
  </si>
  <si>
    <t>Electricity tariff, INR/kWh</t>
  </si>
  <si>
    <t>O &amp; M and Insurance</t>
  </si>
  <si>
    <t>Increase in electricity price</t>
  </si>
  <si>
    <t>Comment</t>
  </si>
  <si>
    <t>Item</t>
  </si>
  <si>
    <t>IRR  for input value improvement of 10 %</t>
  </si>
  <si>
    <t xml:space="preserve">Not likely. The current capacity factor of 33.3% is calculated based on historical wind availability data. </t>
  </si>
  <si>
    <t xml:space="preserve">Not possible. The tariff was fixed in PPA and there is no increase planned. </t>
  </si>
  <si>
    <t>Generation Based Incentives (GBI)</t>
  </si>
  <si>
    <t>Capital expenditures</t>
  </si>
  <si>
    <t>GBI registration fee</t>
  </si>
  <si>
    <t>Upfront fee</t>
  </si>
  <si>
    <t>Monitoring fee</t>
  </si>
  <si>
    <t>Commitment fee</t>
  </si>
  <si>
    <t>Initial debt service reserve account</t>
  </si>
  <si>
    <t>Interest during construction</t>
  </si>
  <si>
    <t>Capitalised Project Cost</t>
  </si>
  <si>
    <t>Total Project Cost:</t>
  </si>
  <si>
    <t>O&amp;M and insurance</t>
  </si>
  <si>
    <t>Remarks</t>
  </si>
  <si>
    <t>Operational Guideline issued by Indian Renewable Energy Development Agency Ltd. (Page 2, roman ii)</t>
  </si>
  <si>
    <t>Corporate tax: Finance Bill 2010, First Schedule, Page 29 Para E
Surcharge: Finance Bill 2010, First Schedule, Page 29 Surcharge on Income Tax, Roman (i)
Cess: Finance Bill 2010, Chapter II, Page 3 Para 11 &amp; 12
Note: Finance Bill 2010 was issued on 26th February 2010.</t>
  </si>
  <si>
    <t>MAT: Income Tax Act, Section 115JB
Surcharge: Finance Bill 2010, First Schedule, Page 29 Surcharge on Income Tax, Roman (i)
Cess: Finance Bill 2010, Chapter II, Page 3 Para 11 &amp; 12
Note: Finance Bill 2010 was issued on 26th February 2010.</t>
  </si>
  <si>
    <t>Administration Expenses:</t>
  </si>
  <si>
    <t>Salaries</t>
  </si>
  <si>
    <t>Metering and certification charges</t>
  </si>
  <si>
    <t>Land tax</t>
  </si>
  <si>
    <t>Total administration expenses</t>
  </si>
  <si>
    <t>Other Expenses:</t>
  </si>
  <si>
    <t>Reactive power consumptions</t>
  </si>
  <si>
    <t>Letter of credit fee under PPA</t>
  </si>
  <si>
    <t>Total other expenses</t>
  </si>
  <si>
    <t>Insurance</t>
  </si>
  <si>
    <t>Tax Depreciation Rate</t>
  </si>
  <si>
    <t>Accounting Depreciation Rate</t>
  </si>
  <si>
    <t>Maximum allowable depreciation</t>
  </si>
  <si>
    <t>http://bit.ly/indiaincometaxrule_deprate</t>
  </si>
  <si>
    <t>Tax and accounting depreciation: Input has been included in the Parameters Worksheet. Depreciation will commence only when wind farm achieve commercial operation date, i.e. all 51 WTGs are operation. Number of operating months in Year 1 is 8 months. Depreciation is pro-rated accordingly.</t>
  </si>
  <si>
    <t>straight line method</t>
  </si>
  <si>
    <t xml:space="preserve">http://www.mca.gov.in/Ministry/companies_act.html </t>
  </si>
  <si>
    <t>Accounting depreciation rate: Schedule XIV of India Companies Act 1956
Maximum allowable depreciationSection 205 of India Companies Act 1956</t>
  </si>
  <si>
    <t>Section 205 of India Companies Act 1956. The maximum allowable depreciation as per India Companies Act 1956 is 95%, which effective means the RV is 5%</t>
  </si>
  <si>
    <t>Batch 2</t>
  </si>
  <si>
    <t>Batch 1</t>
  </si>
  <si>
    <t>Batch 3</t>
  </si>
  <si>
    <t>Batch 4</t>
  </si>
  <si>
    <t>Batch 5</t>
  </si>
  <si>
    <t>Batch 6</t>
  </si>
  <si>
    <t>Batch 7</t>
  </si>
  <si>
    <t>Batch 8</t>
  </si>
  <si>
    <t>Batch 9</t>
  </si>
  <si>
    <t>Batch 10</t>
  </si>
  <si>
    <t>Financial year ended</t>
  </si>
  <si>
    <t>Commissioning Dates</t>
  </si>
  <si>
    <t>92% Operating Days</t>
  </si>
  <si>
    <t>End dates</t>
  </si>
  <si>
    <t>Total Operating Days</t>
  </si>
  <si>
    <t>96% Operating Days</t>
  </si>
  <si>
    <t>No. of Unit</t>
  </si>
  <si>
    <t>Generation at 92% guaranteed level</t>
  </si>
  <si>
    <t>Generation at 96% guaranteed level</t>
  </si>
  <si>
    <t>Generation %</t>
  </si>
  <si>
    <t>Interim Period</t>
  </si>
  <si>
    <t>O&amp;M Period</t>
  </si>
  <si>
    <t>Free O&amp;M</t>
  </si>
  <si>
    <t>Interim O&amp;M</t>
  </si>
  <si>
    <t>O&amp;M fee</t>
  </si>
  <si>
    <t>Total O&amp;M</t>
  </si>
  <si>
    <t>Normal O&amp;M</t>
  </si>
  <si>
    <t>INR/unit/day</t>
  </si>
  <si>
    <t>INR/unit/Yr.</t>
  </si>
  <si>
    <t>O &amp; M:</t>
  </si>
  <si>
    <t>Free O&amp;M period</t>
  </si>
  <si>
    <t>Years</t>
  </si>
  <si>
    <t>Annual O &amp; M (before escalation)</t>
  </si>
  <si>
    <t>Total O&amp;M and Insurance</t>
  </si>
  <si>
    <t>Gujarat tariff order No.1 of 2010, issued on 30 Jan 2010 (Page 26)
According to the tariff order, in case the Company does not avail accelerated depreciation, a fresh petition may be filed with the GERC for determination of tariff for the Project. 
And according to the Operational Guideline issued by Indian Renewable Energy Development Agency Ltd., a company can only avail either accelerated depreciation or GBI, but not both. With this, we have chosen not to file the petition but adopt the tariff as per the order.</t>
  </si>
  <si>
    <t>O&amp;M and Insurance %</t>
  </si>
  <si>
    <t>(1) This covers 1 account executive, 1 diploma engineer, annual audit and tax and miscellaneous. 
(2) The estimation is arrived base on group experience in India and is within reasonable limits.
(3) The IRR does not hit the bench mark if we take this out from IRR calculation.</t>
  </si>
  <si>
    <t>INR 10,000 per MW according to Vestas local expert. 
Please refer to attached email, item 3.</t>
  </si>
  <si>
    <t>INR 3000 per location according to Vestas local expert. 
Please refer to attached email, item 4.</t>
  </si>
  <si>
    <t>Total Administrative Expenses</t>
  </si>
  <si>
    <t>Total number of WTG</t>
  </si>
  <si>
    <t>unit</t>
  </si>
  <si>
    <t>Capacity per WTG</t>
  </si>
  <si>
    <t>Supply Agreement, Page 15, Definition of WTG</t>
  </si>
  <si>
    <t>Administrative Expenses %</t>
  </si>
  <si>
    <t>5% of electricity generation according to Vestas O&amp;M expert.
Reactive charge rate at INR 0.10/kVARh according to GUVNL circular, Page 2.</t>
  </si>
  <si>
    <t>Total Other Expenses</t>
  </si>
  <si>
    <t>Other Expenses %</t>
  </si>
  <si>
    <t>Assuming LC fee of 1% p.a. 
LC amount equivalent to estimated 1 month revenue according to PPA Template, Clause 6.5.</t>
  </si>
  <si>
    <t>Assuming 3.6% for Year 0, 78.7% for Year 1 and 98.5% for Year 2. Please refer to Calculation Tab for calculations.</t>
  </si>
  <si>
    <t>INR/MW</t>
  </si>
  <si>
    <t>Total operating costs (before escalation)</t>
  </si>
  <si>
    <t>We assume 0.20% of WTG cost to cover all types of insurance during operation. And we assume the same conservative 5% escalation p.a., which is below the escalation rate determined in Gujarat Tariff Order (see cell E26)</t>
  </si>
  <si>
    <t>Base on the attached historical escalation index for material and labour cost, we assume a conservative 3% escalation p.a., which is also below the escalation rate determined in Gujarat Tariff ORder (see cell E26). 
Assuming 6.6% for Year 0. Please refer to Calculation Tab for calculations.</t>
  </si>
  <si>
    <t>Gujarat tariff order No.1 of 2010, issued on 30 Jan 2010 (Clause 3.3, Page 13-14)
Base year operation cost is estimated to be at INR 650,000/MW, with escalation of 5.72% p.a. for subsequent years. Our total operating costs is well within the range.</t>
  </si>
  <si>
    <t>This is the total of Capitalised Project Cost and Non-capitalised Project Cost. Link to another sheet is for ease of sensitivity analysis. Assuming 48.7% for Year 0 and 51.3% for Year 1 base on estimated monthly disbursement schedule.</t>
  </si>
  <si>
    <t>Development fee:</t>
  </si>
  <si>
    <t>Total development fee</t>
  </si>
  <si>
    <t>Assuming LC fee of 1% p.a. 
LC amount INR334,125,000 (Supply Agreement, Definition of Payment Security)</t>
  </si>
  <si>
    <t>This is calculated base on 6 months debt service amount immediately after commercial operation date. Estimated debt service amount is INR854,742,234 which covers both principal and interest for commercial and ECA loan. 6 months debt service = INR854,742,234 x 6 months / 12 months.
Financing term sheet with HSBC, Page 9 (Debt Service Reserve Account)</t>
  </si>
  <si>
    <t>Calculated by applying the relevant upfront fee % mentioned in the Term Sheet to the loan amount.
Loan = 70% of Project Cost (Commercial Loan 40%, ECA Loan 60%)
Upfront fee = Commercial Loan x 2.65% + ECA Loan x 0.8%
Financing term sheet with HSBC, Page 7 (Upfront Fee)</t>
  </si>
  <si>
    <t>Total of Security Trustee Fee, EKF Agency Fee and Facility Agency Fee USD 60,000. 
Construction period 9 months Exchange rate 46.4575 INR/USD
Included formula in Cell B38
Financing term sheet with HSBC, Page 7 (total of Security Trustee Fee, EKF Agency Fee and Facility Agency Fee)</t>
  </si>
  <si>
    <t>0.75% applied to undrawn amount during the construction period.
Financing term sheet with HSBC, Page 9 (Commitment fee)</t>
  </si>
  <si>
    <t>Interest rate 11.42% p.a. applied to monthly drawdown amount.
Financing term sheet with HSBC, Page 6 (Interest Rate, Applicable Margin)
Management Estimation</t>
  </si>
  <si>
    <t xml:space="preserve">(1) All 51 WTGs will be commissioned in 10 batches, with 5 units per batch for the first 9 batches and 6 units for last batch. Please see below attached email and commissioning schedule provided by Vestas prior to Board Decision, and management assumes 1 month construction delay from the commissioning schedule.
(2) Vestas guaranteed availability level: 92% from commissioning of last batch, and 96% thereafter (please refer to O&amp;M agreement below, Page 57, Para E). Production estimation from technical advisor is based on availability guaranteed of 96%. Some adjustment was made to reflect 92% availability factor during the initial period.
Please note that this field is linked to Sensitivity sheet for ease of sensitivity analysis.
Yearly production estimation from technical advisor. We assume 0.5% for Year 0, 78.7% for Year 1 and 98.5% for Year 2. Please refer to Generation tab for calculations. </t>
  </si>
  <si>
    <t xml:space="preserve">   Legal, technical and market advisory fee</t>
  </si>
  <si>
    <t xml:space="preserve">   Owners engineer and lenders engineer to oversea construction</t>
  </si>
  <si>
    <t xml:space="preserve">   Insurance advisor and premium</t>
  </si>
  <si>
    <t xml:space="preserve">   Letter of credit fee for LC issue to Vestas</t>
  </si>
  <si>
    <t>These 48,5 million INR are a sunk cost and have thus been taken out.</t>
  </si>
  <si>
    <t>(1) Escalation rate: Please see above explanation and evidence document.
(2) Contract with Vestas: Minimum Term is 7 years and will automatically get extended for further terms of 1 year upto 8 extensions of 1 year each. In short, total contract term is 15 years which will fully cover the loan tenure. (Please see above attached O&amp;M agreement, Page 3-4, Clause 4.4)
(3) Assuming 1% for Year 0, 24.5% for Year 1 and 41.1% for Year 2. Please refer to Calculation Tab for calculations.</t>
  </si>
  <si>
    <t>Total cost to be incurred in Year 0 and Year 1 is arrived based on an estimated monthly disbursement schedule. From which we arrived at 48.7% in Year 0 and 51.3% in Year 1.</t>
  </si>
  <si>
    <t>INR16.5mill,  mainly to cover delays in Start Up and other items, based on management estimation. Actual cost incurred are close to INR20.8million. As it is difficult to verify the assumptions at time of investment decisions of all these small costs, and as they do not have an impact on the additionality assessment, they are taken out for simplicity and conservativeness.</t>
  </si>
  <si>
    <t>INR23.5mill, based on quote from Germanischer Lloyd for power measurement tests (INR15.5mill) and OE and LE estimation of (INR8,0mill) at time of investment decision. Actual cost incurred to date are still small because we are paying monthly fee to OE and LE over the construction period, and the construction started not very long ago. As it is difficult to verify the assumptions at time of investment decisions of all these small costs, and as they do not have an impact on the additionality assessment, they are taken out for simplicity and conservativeness.</t>
  </si>
  <si>
    <t xml:space="preserve">Reference guidance provided a solution on how this value is determined: Rs 75,000 per MW with service tax at applicable rate. Included formula in cell B28 for reference.
Applicable service tax is 10.3% (base 10% and cess 3%)
Operational Guideline issued by Indian Renewable Energy Development Agency Ltd., Page 4 Clause 3.4, see Cell E8.
</t>
  </si>
  <si>
    <t>Difference between initial IRR as per PDD published for GSP and this final version is attributable to the following:</t>
  </si>
  <si>
    <t>According to the above provided guideline, the GBI is @ Re. 0.50 per unit of electricity fed into the grid with a cap of Rs62 Lakh/MW. The same has been reflected in the formula in cell B9.
1 Lakh = Rs 100,000. Hence, maximum claimable GBI =
62 x 100,000 x 91.8 = 569,160,000</t>
  </si>
  <si>
    <t xml:space="preserve"> - The actual costs are lower than foreseen at time of investment decision. These lower costs are assumed because the higher ones cannot be evidenced/verified other than based on oral confirmation.</t>
  </si>
  <si>
    <t xml:space="preserve"> - Development fees have been reduced so as only to take into account incremental costs, not sunk costs that would anyway have occurred, whether or not the final decision had been to go ahead with the project.</t>
  </si>
  <si>
    <t xml:space="preserve"> - Upfront fee, commitment fee, IDC and Initial DSRA are calculated base on debt amount. Difference in those numbers is due to correction of Equity and Debt amount.</t>
  </si>
  <si>
    <t xml:space="preserve"> - Amount submitted earlier was taken from a wrong version, which is prior to decision making date. </t>
  </si>
  <si>
    <t xml:space="preserve"> - Other Expenses are calculated based on generation estimation. Difference in Other Expenses is due to correction of generation estimation base on EYA report from the advisor (the same copy was shared under Prelim Findings, Section B4 .</t>
  </si>
  <si>
    <t>Memorandum of Understanding before decision date: INR123million per WTG
Actual contracts signed with Vestas:
Development Agreement with Vestas, Schedule 2: INR 65,366,190
Supply Agreement with Vestas, Schedule 13: INR 5,753,563,674
Erection &amp; Commissioning Agreement with Vestas, Schedule 11: INR 377,570,136
We adopted the value available at the time / before the decision date.</t>
  </si>
  <si>
    <t>It is payable during the 92% availability guaranteed period. This value was taken out as it was the negotiated price at the decision date and there is no evidence for this price other than oral confirmation. The final agreed interim period is shorter and the price is lower (INR3929/unit/day, see O&amp;M Agreement, Page 57, Clause H and H1: INR3562*1.103=3929). This is conservative.</t>
  </si>
  <si>
    <t>O&amp;M Agreement, Page 57-58, confirmed by official email from Vestas from 2010-09-17 (before the investment decision)
Clause H: Price before tax is INR2,315,227 per unit/Yr.
Clause H1: Service tax 10.3% and VAT 2%
Total O&amp;M fee is INR2,600,000 per unit/Yr. Formula has been provided in Cell B12.
Total O&amp;M cost of INR 2,600,000/WTG/year has included VAT cost. It is considered because O&amp;M cost is subjected to VAT and it should not be excluded because it is not reimbursable. Electricity revenue is not subjected to VAT. Please refer to Gujarat Government Gazette, Schedule I &amp; II as attached above.</t>
  </si>
  <si>
    <t>O&amp;M Agreement, Page 87, Para A, confirmed by official email from Vestas from 2010-09-17 (before the investment decision)</t>
  </si>
  <si>
    <t xml:space="preserve">O&amp;M Agreement, Page 87-88, confirmed by official email from Vestas from 2010-09-17 (before the investment decision)
Escalation rate is fixed at 5% p.a. for initial 7 years and price formula index will be applicable for subsequent period. Base on historical index for component mentioned in the price escalation formula, we assume a conservative 5% escalation p.a. for subsequent period. </t>
  </si>
  <si>
    <t xml:space="preserve">Actual fixed price EPC contract is 6,196,500,000 ie more than 10% less than the value assumed at the time of investment decision. Still, the benchmark is not crossed by far.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</si>
</sst>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k_r_-;\-* #,##0\ _k_r_-;_-* &quot;-&quot;\ _k_r_-;_-@_-"/>
    <numFmt numFmtId="43" formatCode="_-* #,##0.00\ _k_r_-;\-* #,##0.00\ _k_r_-;_-* &quot;-&quot;??\ _k_r_-;_-@_-"/>
    <numFmt numFmtId="164" formatCode="_(* #,##0.00_);_(* \(#,##0.00\);_(* &quot;-&quot;??_);_(@_)"/>
    <numFmt numFmtId="165" formatCode="#,##0.0"/>
    <numFmt numFmtId="166" formatCode="_-* #,##0\ _k_r_-;\-* #,##0\ _k_r_-;_-* &quot;-&quot;??\ _k_r_-;_-@_-"/>
    <numFmt numFmtId="167" formatCode="&quot;Escalate @&quot;\ 0\ &quot;%/ Yr.&quot;"/>
    <numFmt numFmtId="168" formatCode="0.0%"/>
    <numFmt numFmtId="169" formatCode="_([$€-2]* #,##0.00_);_([$€-2]* \(#,##0.00\);_([$€-2]* &quot;-&quot;??_)"/>
    <numFmt numFmtId="170" formatCode="_(* #,##0_);_(* \(#,##0\);_(* &quot;-&quot;??_);_(@_)"/>
    <numFmt numFmtId="171" formatCode="_-* #,##0.0000\ _k_r_-;\-* #,##0.0000\ _k_r_-;_-* &quot;-&quot;??\ _k_r_-;_-@_-"/>
  </numFmts>
  <fonts count="12" x14ac:knownFonts="1">
    <font>
      <sz val="11"/>
      <color theme="1"/>
      <name val="Calibri"/>
      <family val="2"/>
      <charset val="204"/>
      <scheme val="minor"/>
    </font>
    <font>
      <sz val="11"/>
      <color theme="1"/>
      <name val="Calibri"/>
      <family val="2"/>
      <charset val="204"/>
      <scheme val="minor"/>
    </font>
    <font>
      <sz val="10"/>
      <name val="Arial"/>
      <family val="2"/>
    </font>
    <font>
      <b/>
      <sz val="10"/>
      <color indexed="8"/>
      <name val="Arial"/>
      <family val="2"/>
    </font>
    <font>
      <sz val="10"/>
      <color theme="1"/>
      <name val="Arial"/>
      <family val="2"/>
    </font>
    <font>
      <sz val="10"/>
      <color rgb="FF00B0F0"/>
      <name val="Arial"/>
      <family val="2"/>
    </font>
    <font>
      <sz val="10"/>
      <color rgb="FFFF0000"/>
      <name val="Arial"/>
      <family val="2"/>
    </font>
    <font>
      <b/>
      <sz val="10"/>
      <name val="Arial"/>
      <family val="2"/>
    </font>
    <font>
      <u/>
      <sz val="9.9"/>
      <color theme="10"/>
      <name val="Calibri"/>
      <family val="2"/>
      <charset val="204"/>
    </font>
    <font>
      <b/>
      <sz val="10"/>
      <color theme="1"/>
      <name val="Arial"/>
      <family val="2"/>
    </font>
    <font>
      <b/>
      <u/>
      <sz val="10"/>
      <color rgb="FFFF0000"/>
      <name val="Arial"/>
      <family val="2"/>
    </font>
    <font>
      <u/>
      <sz val="9.9"/>
      <color theme="1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alignment vertical="top"/>
      <protection locked="0"/>
    </xf>
    <xf numFmtId="0" fontId="2" fillId="0" borderId="0"/>
  </cellStyleXfs>
  <cellXfs count="163">
    <xf numFmtId="0" fontId="0" fillId="0" borderId="0" xfId="0"/>
    <xf numFmtId="0" fontId="4" fillId="0" borderId="0" xfId="0" applyFont="1" applyBorder="1" applyAlignment="1"/>
    <xf numFmtId="0" fontId="4" fillId="0" borderId="0" xfId="0" applyFont="1" applyBorder="1"/>
    <xf numFmtId="0" fontId="4" fillId="0" borderId="0" xfId="0" applyFont="1" applyBorder="1" applyAlignment="1">
      <alignment horizontal="right"/>
    </xf>
    <xf numFmtId="0" fontId="3" fillId="0" borderId="1" xfId="0" applyFont="1" applyBorder="1" applyAlignment="1"/>
    <xf numFmtId="0" fontId="3" fillId="0" borderId="1" xfId="0" applyFont="1" applyBorder="1" applyAlignment="1">
      <alignment horizontal="right"/>
    </xf>
    <xf numFmtId="0" fontId="4" fillId="0" borderId="1" xfId="0" applyFont="1" applyBorder="1" applyAlignment="1"/>
    <xf numFmtId="10" fontId="5" fillId="0" borderId="1" xfId="3" applyNumberFormat="1" applyFont="1" applyFill="1" applyBorder="1" applyAlignment="1">
      <alignment horizontal="right"/>
    </xf>
    <xf numFmtId="0" fontId="4" fillId="0" borderId="1" xfId="0" applyFont="1" applyBorder="1" applyAlignment="1">
      <alignment horizontal="right"/>
    </xf>
    <xf numFmtId="168" fontId="2" fillId="0" borderId="1" xfId="3" applyNumberFormat="1" applyFont="1" applyFill="1" applyBorder="1" applyAlignment="1">
      <alignment horizontal="right"/>
    </xf>
    <xf numFmtId="168" fontId="2" fillId="0" borderId="1" xfId="3" applyNumberFormat="1" applyFont="1" applyBorder="1" applyAlignment="1">
      <alignment horizontal="right"/>
    </xf>
    <xf numFmtId="41" fontId="2" fillId="0" borderId="1" xfId="2" applyFont="1" applyBorder="1" applyAlignment="1"/>
    <xf numFmtId="41" fontId="2" fillId="0" borderId="1" xfId="2" applyFont="1" applyBorder="1" applyAlignment="1">
      <alignment horizontal="right"/>
    </xf>
    <xf numFmtId="43" fontId="2" fillId="0" borderId="1" xfId="1" applyFont="1" applyBorder="1" applyAlignment="1"/>
    <xf numFmtId="43" fontId="2" fillId="0" borderId="1" xfId="1" applyFont="1" applyBorder="1" applyAlignment="1">
      <alignment horizontal="right"/>
    </xf>
    <xf numFmtId="166" fontId="2" fillId="0" borderId="1" xfId="1" applyNumberFormat="1" applyFont="1" applyBorder="1" applyAlignment="1">
      <alignment horizontal="right"/>
    </xf>
    <xf numFmtId="41" fontId="2" fillId="2" borderId="1" xfId="2" applyFont="1" applyFill="1" applyBorder="1" applyAlignment="1"/>
    <xf numFmtId="41" fontId="2" fillId="2" borderId="1" xfId="2" applyFont="1" applyFill="1" applyBorder="1" applyAlignment="1">
      <alignment horizontal="right"/>
    </xf>
    <xf numFmtId="0" fontId="2" fillId="0" borderId="1" xfId="0" applyFont="1" applyBorder="1" applyAlignment="1"/>
    <xf numFmtId="10" fontId="2" fillId="0" borderId="1" xfId="3" applyNumberFormat="1" applyFont="1" applyFill="1" applyBorder="1" applyAlignment="1">
      <alignment horizontal="right"/>
    </xf>
    <xf numFmtId="0" fontId="2" fillId="0" borderId="1" xfId="0" applyFont="1" applyBorder="1" applyAlignment="1">
      <alignment horizontal="right"/>
    </xf>
    <xf numFmtId="0" fontId="7" fillId="0" borderId="1" xfId="0" applyFont="1" applyBorder="1" applyAlignment="1"/>
    <xf numFmtId="0" fontId="7" fillId="0" borderId="1" xfId="0" applyFont="1" applyBorder="1" applyAlignment="1">
      <alignment horizontal="right"/>
    </xf>
    <xf numFmtId="0" fontId="4" fillId="0" borderId="1" xfId="0" applyFont="1" applyBorder="1"/>
    <xf numFmtId="41" fontId="2" fillId="0" borderId="1" xfId="2" applyFont="1" applyFill="1" applyBorder="1" applyAlignment="1">
      <alignment horizontal="right"/>
    </xf>
    <xf numFmtId="41" fontId="2" fillId="0" borderId="1" xfId="2" applyNumberFormat="1" applyFont="1" applyFill="1" applyBorder="1" applyAlignment="1">
      <alignment horizontal="right"/>
    </xf>
    <xf numFmtId="10" fontId="7" fillId="0" borderId="1" xfId="0" applyNumberFormat="1" applyFont="1" applyBorder="1" applyAlignment="1"/>
    <xf numFmtId="166" fontId="2" fillId="0" borderId="1" xfId="1" applyNumberFormat="1" applyFont="1" applyFill="1" applyBorder="1" applyAlignment="1">
      <alignment horizontal="right"/>
    </xf>
    <xf numFmtId="10" fontId="2" fillId="0" borderId="1" xfId="3" applyNumberFormat="1" applyFont="1" applyBorder="1" applyAlignment="1">
      <alignment horizontal="right"/>
    </xf>
    <xf numFmtId="0" fontId="3" fillId="0" borderId="1" xfId="0" applyFont="1" applyBorder="1"/>
    <xf numFmtId="10" fontId="5" fillId="0" borderId="1" xfId="3" applyNumberFormat="1" applyFont="1" applyFill="1" applyBorder="1"/>
    <xf numFmtId="41" fontId="2" fillId="0" borderId="1" xfId="2" applyFont="1" applyBorder="1"/>
    <xf numFmtId="41" fontId="2" fillId="2" borderId="1" xfId="2" applyFont="1" applyFill="1" applyBorder="1"/>
    <xf numFmtId="41" fontId="4" fillId="0" borderId="1" xfId="0" applyNumberFormat="1" applyFont="1" applyBorder="1"/>
    <xf numFmtId="0" fontId="4" fillId="2" borderId="1" xfId="0" applyFont="1" applyFill="1" applyBorder="1" applyAlignment="1"/>
    <xf numFmtId="41" fontId="4" fillId="2" borderId="1" xfId="0" applyNumberFormat="1" applyFont="1" applyFill="1" applyBorder="1"/>
    <xf numFmtId="0" fontId="3" fillId="3" borderId="0" xfId="0" applyFont="1" applyFill="1" applyBorder="1"/>
    <xf numFmtId="0" fontId="4" fillId="3" borderId="0" xfId="0" applyFont="1" applyFill="1" applyBorder="1"/>
    <xf numFmtId="41" fontId="5" fillId="3" borderId="0" xfId="2" applyFont="1" applyFill="1" applyBorder="1"/>
    <xf numFmtId="43" fontId="5" fillId="3" borderId="0" xfId="1" applyFont="1" applyFill="1" applyBorder="1"/>
    <xf numFmtId="41" fontId="6" fillId="3" borderId="0" xfId="2" applyFont="1" applyFill="1" applyBorder="1"/>
    <xf numFmtId="10" fontId="6" fillId="3" borderId="0" xfId="3" applyNumberFormat="1" applyFont="1" applyFill="1" applyBorder="1"/>
    <xf numFmtId="166" fontId="4" fillId="0" borderId="0" xfId="1" applyNumberFormat="1" applyFont="1" applyBorder="1"/>
    <xf numFmtId="0" fontId="2" fillId="3" borderId="1" xfId="0" applyFont="1" applyFill="1" applyBorder="1" applyAlignment="1">
      <alignment vertical="top" wrapText="1"/>
    </xf>
    <xf numFmtId="0" fontId="9" fillId="0" borderId="1" xfId="0" applyFont="1" applyBorder="1" applyAlignment="1">
      <alignment vertical="top"/>
    </xf>
    <xf numFmtId="0" fontId="9" fillId="0" borderId="1" xfId="0" applyFont="1" applyBorder="1" applyAlignment="1">
      <alignment horizontal="center" vertical="top"/>
    </xf>
    <xf numFmtId="0" fontId="9" fillId="0" borderId="1" xfId="0" applyFont="1" applyBorder="1" applyAlignment="1">
      <alignment horizontal="center" vertical="top" wrapText="1"/>
    </xf>
    <xf numFmtId="0" fontId="9" fillId="0" borderId="0" xfId="0" applyFont="1" applyAlignment="1">
      <alignment vertical="top"/>
    </xf>
    <xf numFmtId="0" fontId="4" fillId="0" borderId="1" xfId="0" applyFont="1" applyBorder="1" applyAlignment="1">
      <alignment vertical="top"/>
    </xf>
    <xf numFmtId="9" fontId="4" fillId="0" borderId="1" xfId="3" applyFont="1" applyBorder="1" applyAlignment="1">
      <alignment vertical="top"/>
    </xf>
    <xf numFmtId="0" fontId="4" fillId="0" borderId="1" xfId="0" applyFont="1" applyBorder="1" applyAlignment="1">
      <alignment vertical="top" wrapText="1"/>
    </xf>
    <xf numFmtId="0" fontId="4" fillId="0" borderId="0" xfId="0" applyFont="1"/>
    <xf numFmtId="0" fontId="4" fillId="0" borderId="1" xfId="0" applyFont="1" applyBorder="1" applyAlignment="1">
      <alignment horizontal="center" vertical="top"/>
    </xf>
    <xf numFmtId="0" fontId="9" fillId="0" borderId="0" xfId="0" applyFont="1"/>
    <xf numFmtId="10" fontId="9" fillId="0" borderId="0" xfId="0" applyNumberFormat="1" applyFont="1"/>
    <xf numFmtId="0" fontId="6" fillId="0" borderId="0" xfId="0" applyFont="1" applyBorder="1" applyAlignment="1"/>
    <xf numFmtId="0" fontId="2" fillId="3" borderId="4" xfId="0" applyFont="1" applyFill="1" applyBorder="1" applyAlignment="1">
      <alignment vertical="top" wrapText="1"/>
    </xf>
    <xf numFmtId="0" fontId="11" fillId="3" borderId="2" xfId="4" applyFont="1" applyFill="1" applyBorder="1" applyAlignment="1" applyProtection="1">
      <alignment vertical="top"/>
    </xf>
    <xf numFmtId="0" fontId="9" fillId="0" borderId="0" xfId="0" applyFont="1" applyBorder="1" applyAlignment="1"/>
    <xf numFmtId="0" fontId="10" fillId="0" borderId="0" xfId="0" applyFont="1" applyBorder="1" applyAlignment="1"/>
    <xf numFmtId="15" fontId="2" fillId="4" borderId="0" xfId="5" applyNumberFormat="1" applyFont="1" applyFill="1" applyBorder="1"/>
    <xf numFmtId="15" fontId="2" fillId="4" borderId="1" xfId="5" applyNumberFormat="1" applyFont="1" applyFill="1" applyBorder="1"/>
    <xf numFmtId="14" fontId="3" fillId="0" borderId="1" xfId="0" applyNumberFormat="1" applyFont="1" applyBorder="1" applyAlignment="1">
      <alignment horizontal="right"/>
    </xf>
    <xf numFmtId="169" fontId="7" fillId="4" borderId="0" xfId="5" applyNumberFormat="1" applyFont="1" applyFill="1"/>
    <xf numFmtId="14" fontId="3" fillId="0" borderId="1" xfId="0" applyNumberFormat="1" applyFont="1" applyBorder="1" applyAlignment="1"/>
    <xf numFmtId="166" fontId="4" fillId="0" borderId="0" xfId="1" applyNumberFormat="1" applyFont="1" applyBorder="1" applyAlignment="1">
      <alignment horizontal="right"/>
    </xf>
    <xf numFmtId="166" fontId="4" fillId="0" borderId="1" xfId="1" applyNumberFormat="1" applyFont="1" applyBorder="1" applyAlignment="1">
      <alignment horizontal="right"/>
    </xf>
    <xf numFmtId="170" fontId="2" fillId="4" borderId="0" xfId="1" applyNumberFormat="1" applyFont="1" applyFill="1" applyAlignment="1">
      <alignment horizontal="right" wrapText="1"/>
    </xf>
    <xf numFmtId="15" fontId="4" fillId="0" borderId="1" xfId="0" applyNumberFormat="1" applyFont="1" applyBorder="1" applyAlignment="1"/>
    <xf numFmtId="166" fontId="4" fillId="0" borderId="1" xfId="0" applyNumberFormat="1" applyFont="1" applyBorder="1" applyAlignment="1">
      <alignment horizontal="right"/>
    </xf>
    <xf numFmtId="0" fontId="4" fillId="3" borderId="1" xfId="0" applyFont="1" applyFill="1" applyBorder="1"/>
    <xf numFmtId="0" fontId="4" fillId="3" borderId="0" xfId="0" applyFont="1" applyFill="1" applyBorder="1" applyAlignment="1">
      <alignment horizontal="right"/>
    </xf>
    <xf numFmtId="0" fontId="9" fillId="0" borderId="0" xfId="0" applyFont="1" applyBorder="1" applyAlignment="1">
      <alignment horizontal="right"/>
    </xf>
    <xf numFmtId="166" fontId="9" fillId="0" borderId="0" xfId="0" applyNumberFormat="1" applyFont="1" applyBorder="1" applyAlignment="1">
      <alignment horizontal="right"/>
    </xf>
    <xf numFmtId="168" fontId="4" fillId="0" borderId="0" xfId="3" applyNumberFormat="1" applyFont="1" applyBorder="1" applyAlignment="1">
      <alignment horizontal="center"/>
    </xf>
    <xf numFmtId="171" fontId="4" fillId="0" borderId="0" xfId="1" applyNumberFormat="1" applyFont="1" applyBorder="1" applyAlignment="1">
      <alignment horizontal="right"/>
    </xf>
    <xf numFmtId="43" fontId="4" fillId="0" borderId="0" xfId="1" applyFont="1" applyBorder="1" applyAlignment="1">
      <alignment horizontal="right"/>
    </xf>
    <xf numFmtId="0" fontId="2" fillId="3" borderId="0" xfId="0" applyFont="1" applyFill="1" applyBorder="1" applyAlignment="1">
      <alignment vertical="top" wrapText="1"/>
    </xf>
    <xf numFmtId="165" fontId="2" fillId="3" borderId="0" xfId="0" applyNumberFormat="1" applyFont="1" applyFill="1" applyBorder="1" applyAlignment="1">
      <alignment vertical="top" wrapText="1"/>
    </xf>
    <xf numFmtId="165" fontId="2" fillId="3" borderId="1" xfId="0" applyNumberFormat="1" applyFont="1" applyFill="1" applyBorder="1" applyAlignment="1">
      <alignment vertical="top" wrapText="1"/>
    </xf>
    <xf numFmtId="0" fontId="2" fillId="3" borderId="2" xfId="0" applyFont="1" applyFill="1" applyBorder="1" applyAlignment="1">
      <alignment vertical="top" wrapText="1"/>
    </xf>
    <xf numFmtId="165" fontId="2" fillId="3" borderId="2" xfId="0" applyNumberFormat="1" applyFont="1" applyFill="1" applyBorder="1" applyAlignment="1">
      <alignment vertical="top" wrapText="1"/>
    </xf>
    <xf numFmtId="167" fontId="2" fillId="3" borderId="2" xfId="0" applyNumberFormat="1" applyFont="1" applyFill="1" applyBorder="1" applyAlignment="1">
      <alignment vertical="top" wrapText="1"/>
    </xf>
    <xf numFmtId="165" fontId="2" fillId="3" borderId="4" xfId="0" applyNumberFormat="1" applyFont="1" applyFill="1" applyBorder="1" applyAlignment="1">
      <alignment vertical="top" wrapText="1"/>
    </xf>
    <xf numFmtId="167" fontId="2" fillId="3" borderId="4" xfId="0" applyNumberFormat="1" applyFont="1" applyFill="1" applyBorder="1" applyAlignment="1">
      <alignment vertical="top" wrapText="1"/>
    </xf>
    <xf numFmtId="165" fontId="2" fillId="3" borderId="6" xfId="0" applyNumberFormat="1" applyFont="1" applyFill="1" applyBorder="1" applyAlignment="1">
      <alignment vertical="top" wrapText="1"/>
    </xf>
    <xf numFmtId="165" fontId="2" fillId="3" borderId="13" xfId="0" applyNumberFormat="1" applyFont="1" applyFill="1" applyBorder="1" applyAlignment="1">
      <alignment vertical="top" wrapText="1"/>
    </xf>
    <xf numFmtId="0" fontId="4" fillId="3" borderId="2" xfId="0" applyFont="1" applyFill="1" applyBorder="1" applyAlignment="1">
      <alignment vertical="top"/>
    </xf>
    <xf numFmtId="0" fontId="2" fillId="3" borderId="5" xfId="0" applyFont="1" applyFill="1" applyBorder="1" applyAlignment="1">
      <alignment vertical="top" wrapText="1"/>
    </xf>
    <xf numFmtId="165" fontId="2" fillId="3" borderId="5" xfId="0" applyNumberFormat="1" applyFont="1" applyFill="1" applyBorder="1" applyAlignment="1">
      <alignment vertical="top" wrapText="1"/>
    </xf>
    <xf numFmtId="0" fontId="2" fillId="3" borderId="10" xfId="0" applyFont="1" applyFill="1" applyBorder="1" applyAlignment="1">
      <alignment vertical="top" wrapText="1"/>
    </xf>
    <xf numFmtId="0" fontId="2" fillId="3" borderId="11" xfId="0" applyFont="1" applyFill="1" applyBorder="1" applyAlignment="1">
      <alignment vertical="top" wrapText="1"/>
    </xf>
    <xf numFmtId="165" fontId="2" fillId="3" borderId="11" xfId="0" applyNumberFormat="1" applyFont="1" applyFill="1" applyBorder="1" applyAlignment="1">
      <alignment vertical="top" wrapText="1"/>
    </xf>
    <xf numFmtId="0" fontId="2" fillId="3" borderId="12" xfId="0" applyFont="1" applyFill="1" applyBorder="1" applyAlignment="1">
      <alignment vertical="top" wrapText="1"/>
    </xf>
    <xf numFmtId="0" fontId="2" fillId="3" borderId="13" xfId="0" applyFont="1" applyFill="1" applyBorder="1" applyAlignment="1">
      <alignment vertical="top" wrapText="1"/>
    </xf>
    <xf numFmtId="0" fontId="2" fillId="3" borderId="3" xfId="0" applyFont="1" applyFill="1" applyBorder="1" applyAlignment="1">
      <alignment vertical="top" wrapText="1"/>
    </xf>
    <xf numFmtId="0" fontId="2" fillId="3" borderId="6" xfId="0" applyFont="1" applyFill="1" applyBorder="1" applyAlignment="1">
      <alignment vertical="top" wrapText="1"/>
    </xf>
    <xf numFmtId="165" fontId="2" fillId="3" borderId="7" xfId="0" applyNumberFormat="1" applyFont="1" applyFill="1" applyBorder="1" applyAlignment="1">
      <alignment vertical="top" wrapText="1"/>
    </xf>
    <xf numFmtId="165" fontId="2" fillId="3" borderId="8" xfId="0" applyNumberFormat="1" applyFont="1" applyFill="1" applyBorder="1" applyAlignment="1">
      <alignment vertical="top" wrapText="1"/>
    </xf>
    <xf numFmtId="0" fontId="2" fillId="3" borderId="9" xfId="0" applyFont="1" applyFill="1" applyBorder="1" applyAlignment="1">
      <alignment vertical="top" wrapText="1"/>
    </xf>
    <xf numFmtId="165" fontId="2" fillId="3" borderId="9" xfId="0" applyNumberFormat="1" applyFont="1" applyFill="1" applyBorder="1" applyAlignment="1">
      <alignment vertical="top" wrapText="1"/>
    </xf>
    <xf numFmtId="0" fontId="2" fillId="3" borderId="14" xfId="0" applyFont="1" applyFill="1" applyBorder="1" applyAlignment="1">
      <alignment horizontal="left" vertical="top" wrapText="1"/>
    </xf>
    <xf numFmtId="168" fontId="4" fillId="0" borderId="1" xfId="3" applyNumberFormat="1" applyFont="1" applyBorder="1" applyAlignment="1">
      <alignment horizontal="center"/>
    </xf>
    <xf numFmtId="164" fontId="4" fillId="0" borderId="1" xfId="0" applyNumberFormat="1" applyFont="1" applyBorder="1" applyAlignment="1">
      <alignment horizontal="right"/>
    </xf>
    <xf numFmtId="0" fontId="4" fillId="2" borderId="1" xfId="0" applyFont="1" applyFill="1" applyBorder="1" applyAlignment="1">
      <alignment horizontal="right"/>
    </xf>
    <xf numFmtId="166" fontId="4" fillId="2" borderId="1" xfId="0" applyNumberFormat="1" applyFont="1" applyFill="1" applyBorder="1" applyAlignment="1">
      <alignment horizontal="right"/>
    </xf>
    <xf numFmtId="166" fontId="4" fillId="2" borderId="1" xfId="1" applyNumberFormat="1" applyFont="1" applyFill="1" applyBorder="1" applyAlignment="1">
      <alignment horizontal="right"/>
    </xf>
    <xf numFmtId="0" fontId="2" fillId="3" borderId="2" xfId="0" applyFont="1" applyFill="1" applyBorder="1" applyAlignment="1">
      <alignment horizontal="left" vertical="top" wrapText="1"/>
    </xf>
    <xf numFmtId="0" fontId="7" fillId="3" borderId="0" xfId="0" applyFont="1" applyFill="1" applyBorder="1" applyAlignment="1">
      <alignment vertical="top" wrapText="1"/>
    </xf>
    <xf numFmtId="0" fontId="4" fillId="3" borderId="0" xfId="0" applyFont="1" applyFill="1" applyAlignment="1">
      <alignment vertical="top"/>
    </xf>
    <xf numFmtId="0" fontId="7" fillId="3" borderId="1" xfId="0" applyFont="1" applyFill="1" applyBorder="1" applyAlignment="1">
      <alignment vertical="top" wrapText="1"/>
    </xf>
    <xf numFmtId="0" fontId="7" fillId="3" borderId="1" xfId="0" applyFont="1" applyFill="1" applyBorder="1" applyAlignment="1">
      <alignment horizontal="right" vertical="top" wrapText="1"/>
    </xf>
    <xf numFmtId="0" fontId="2" fillId="3" borderId="1" xfId="0" applyFont="1" applyFill="1" applyBorder="1" applyAlignment="1">
      <alignment horizontal="right" vertical="top" wrapText="1"/>
    </xf>
    <xf numFmtId="0" fontId="6" fillId="3" borderId="0" xfId="0" applyFont="1" applyFill="1" applyAlignment="1">
      <alignment vertical="top" wrapText="1"/>
    </xf>
    <xf numFmtId="4" fontId="2" fillId="3" borderId="1" xfId="0" applyNumberFormat="1" applyFont="1" applyFill="1" applyBorder="1" applyAlignment="1">
      <alignment vertical="top" wrapText="1"/>
    </xf>
    <xf numFmtId="0" fontId="6" fillId="3" borderId="0" xfId="0" applyNumberFormat="1" applyFont="1" applyFill="1" applyAlignment="1">
      <alignment vertical="top" wrapText="1"/>
    </xf>
    <xf numFmtId="0" fontId="4" fillId="3" borderId="0" xfId="0" applyNumberFormat="1" applyFont="1" applyFill="1" applyAlignment="1">
      <alignment vertical="top"/>
    </xf>
    <xf numFmtId="165" fontId="2" fillId="3" borderId="3" xfId="0" applyNumberFormat="1" applyFont="1" applyFill="1" applyBorder="1" applyAlignment="1">
      <alignment vertical="top" wrapText="1"/>
    </xf>
    <xf numFmtId="0" fontId="2" fillId="3" borderId="14" xfId="0" applyFont="1" applyFill="1" applyBorder="1" applyAlignment="1">
      <alignment vertical="top" wrapText="1"/>
    </xf>
    <xf numFmtId="165" fontId="2" fillId="3" borderId="14" xfId="0" applyNumberFormat="1" applyFont="1" applyFill="1" applyBorder="1" applyAlignment="1">
      <alignment vertical="top" wrapText="1"/>
    </xf>
    <xf numFmtId="167" fontId="2" fillId="3" borderId="14" xfId="0" applyNumberFormat="1" applyFont="1" applyFill="1" applyBorder="1" applyAlignment="1">
      <alignment vertical="top" wrapText="1"/>
    </xf>
    <xf numFmtId="165" fontId="2" fillId="3" borderId="12" xfId="0" applyNumberFormat="1" applyFont="1" applyFill="1" applyBorder="1" applyAlignment="1">
      <alignment vertical="top" wrapText="1"/>
    </xf>
    <xf numFmtId="0" fontId="2" fillId="3" borderId="10" xfId="0" applyFont="1" applyFill="1" applyBorder="1" applyAlignment="1">
      <alignment horizontal="left" vertical="top" wrapText="1"/>
    </xf>
    <xf numFmtId="43" fontId="4" fillId="3" borderId="0" xfId="1" applyFont="1" applyFill="1" applyAlignment="1">
      <alignment vertical="top"/>
    </xf>
    <xf numFmtId="165" fontId="2" fillId="3" borderId="10" xfId="0" applyNumberFormat="1" applyFont="1" applyFill="1" applyBorder="1" applyAlignment="1">
      <alignment vertical="top" wrapText="1"/>
    </xf>
    <xf numFmtId="167" fontId="2" fillId="3" borderId="10" xfId="0" applyNumberFormat="1" applyFont="1" applyFill="1" applyBorder="1" applyAlignment="1">
      <alignment vertical="top" wrapText="1"/>
    </xf>
    <xf numFmtId="165" fontId="2" fillId="3" borderId="15" xfId="0" applyNumberFormat="1" applyFont="1" applyFill="1" applyBorder="1" applyAlignment="1">
      <alignment vertical="top" wrapText="1"/>
    </xf>
    <xf numFmtId="167" fontId="2" fillId="3" borderId="3" xfId="0" applyNumberFormat="1" applyFont="1" applyFill="1" applyBorder="1" applyAlignment="1">
      <alignment vertical="top" wrapText="1"/>
    </xf>
    <xf numFmtId="43" fontId="2" fillId="3" borderId="14" xfId="1" applyFont="1" applyFill="1" applyBorder="1" applyAlignment="1">
      <alignment vertical="top" wrapText="1"/>
    </xf>
    <xf numFmtId="10" fontId="4" fillId="3" borderId="0" xfId="3" applyNumberFormat="1" applyFont="1" applyFill="1" applyAlignment="1">
      <alignment vertical="top"/>
    </xf>
    <xf numFmtId="167" fontId="2" fillId="3" borderId="0" xfId="0" applyNumberFormat="1" applyFont="1" applyFill="1" applyBorder="1" applyAlignment="1">
      <alignment vertical="top" wrapText="1"/>
    </xf>
    <xf numFmtId="167" fontId="2" fillId="3" borderId="5" xfId="0" applyNumberFormat="1" applyFont="1" applyFill="1" applyBorder="1" applyAlignment="1">
      <alignment vertical="top" wrapText="1"/>
    </xf>
    <xf numFmtId="167" fontId="2" fillId="3" borderId="11" xfId="0" applyNumberFormat="1" applyFont="1" applyFill="1" applyBorder="1" applyAlignment="1">
      <alignment vertical="top" wrapText="1"/>
    </xf>
    <xf numFmtId="167" fontId="2" fillId="3" borderId="13" xfId="0" applyNumberFormat="1" applyFont="1" applyFill="1" applyBorder="1" applyAlignment="1">
      <alignment vertical="top" wrapText="1"/>
    </xf>
    <xf numFmtId="43" fontId="2" fillId="3" borderId="6" xfId="1" applyFont="1" applyFill="1" applyBorder="1" applyAlignment="1">
      <alignment vertical="top" wrapText="1"/>
    </xf>
    <xf numFmtId="167" fontId="2" fillId="3" borderId="6" xfId="0" applyNumberFormat="1" applyFont="1" applyFill="1" applyBorder="1" applyAlignment="1">
      <alignment vertical="top" wrapText="1"/>
    </xf>
    <xf numFmtId="165" fontId="2" fillId="3" borderId="17" xfId="0" applyNumberFormat="1" applyFont="1" applyFill="1" applyBorder="1" applyAlignment="1">
      <alignment vertical="top" wrapText="1"/>
    </xf>
    <xf numFmtId="0" fontId="2" fillId="3" borderId="16" xfId="0" applyFont="1" applyFill="1" applyBorder="1" applyAlignment="1">
      <alignment vertical="top" wrapText="1"/>
    </xf>
    <xf numFmtId="167" fontId="2" fillId="3" borderId="16" xfId="0" applyNumberFormat="1" applyFont="1" applyFill="1" applyBorder="1" applyAlignment="1">
      <alignment vertical="top" wrapText="1"/>
    </xf>
    <xf numFmtId="0" fontId="6" fillId="3" borderId="0" xfId="0" applyFont="1" applyFill="1" applyAlignment="1">
      <alignment vertical="top"/>
    </xf>
    <xf numFmtId="166" fontId="2" fillId="3" borderId="6" xfId="1" applyNumberFormat="1" applyFont="1" applyFill="1" applyBorder="1" applyAlignment="1">
      <alignment vertical="top" wrapText="1"/>
    </xf>
    <xf numFmtId="166" fontId="2" fillId="3" borderId="9" xfId="1" applyNumberFormat="1" applyFont="1" applyFill="1" applyBorder="1" applyAlignment="1">
      <alignment vertical="top" wrapText="1"/>
    </xf>
    <xf numFmtId="166" fontId="2" fillId="3" borderId="0" xfId="1" applyNumberFormat="1" applyFont="1" applyFill="1" applyBorder="1" applyAlignment="1">
      <alignment vertical="top" wrapText="1"/>
    </xf>
    <xf numFmtId="0" fontId="4" fillId="3" borderId="1" xfId="0" applyFont="1" applyFill="1" applyBorder="1" applyAlignment="1">
      <alignment vertical="top"/>
    </xf>
    <xf numFmtId="10" fontId="4" fillId="3" borderId="1" xfId="3" applyNumberFormat="1" applyFont="1" applyFill="1" applyBorder="1" applyAlignment="1">
      <alignment vertical="top"/>
    </xf>
    <xf numFmtId="0" fontId="11" fillId="3" borderId="1" xfId="4" applyFont="1" applyFill="1" applyBorder="1" applyAlignment="1" applyProtection="1">
      <alignment vertical="top"/>
    </xf>
    <xf numFmtId="41" fontId="2" fillId="3" borderId="1" xfId="2" applyFont="1" applyFill="1" applyBorder="1" applyAlignment="1">
      <alignment horizontal="right"/>
    </xf>
    <xf numFmtId="41" fontId="2" fillId="3" borderId="1" xfId="2" applyFont="1" applyFill="1" applyBorder="1" applyAlignment="1"/>
    <xf numFmtId="41" fontId="2" fillId="3" borderId="1" xfId="2" applyFont="1" applyFill="1" applyBorder="1"/>
    <xf numFmtId="43" fontId="4" fillId="3" borderId="1" xfId="1" applyFont="1" applyFill="1" applyBorder="1" applyAlignment="1"/>
    <xf numFmtId="0" fontId="4" fillId="3" borderId="1" xfId="0" applyFont="1" applyFill="1" applyBorder="1" applyAlignment="1"/>
    <xf numFmtId="41" fontId="4" fillId="3" borderId="1" xfId="0" applyNumberFormat="1" applyFont="1" applyFill="1" applyBorder="1"/>
    <xf numFmtId="49" fontId="2" fillId="3" borderId="0" xfId="0" applyNumberFormat="1" applyFont="1" applyFill="1" applyBorder="1" applyAlignment="1">
      <alignment vertical="top"/>
    </xf>
    <xf numFmtId="0" fontId="2" fillId="0" borderId="0" xfId="0" applyFont="1" applyBorder="1" applyAlignment="1"/>
    <xf numFmtId="0" fontId="2" fillId="3" borderId="18" xfId="0" applyFont="1" applyFill="1" applyBorder="1" applyAlignment="1">
      <alignment vertical="top" wrapText="1"/>
    </xf>
    <xf numFmtId="0" fontId="2" fillId="3" borderId="3" xfId="0" applyFont="1" applyFill="1" applyBorder="1" applyAlignment="1">
      <alignment horizontal="left" vertical="top" wrapText="1"/>
    </xf>
    <xf numFmtId="10" fontId="4" fillId="5" borderId="1" xfId="0" applyNumberFormat="1" applyFont="1" applyFill="1" applyBorder="1" applyAlignment="1">
      <alignment horizontal="center" vertical="top"/>
    </xf>
    <xf numFmtId="41" fontId="4" fillId="0" borderId="1" xfId="1" applyNumberFormat="1" applyFont="1" applyBorder="1" applyAlignment="1">
      <alignment horizontal="center" vertical="top"/>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19" xfId="0" applyFont="1" applyFill="1" applyBorder="1" applyAlignment="1">
      <alignment horizontal="left" vertical="top" wrapText="1"/>
    </xf>
    <xf numFmtId="0" fontId="2" fillId="3" borderId="20" xfId="0" applyFont="1" applyFill="1" applyBorder="1" applyAlignment="1">
      <alignment horizontal="left" vertical="top" wrapText="1"/>
    </xf>
  </cellXfs>
  <cellStyles count="6">
    <cellStyle name="§Q\?1@" xfId="5"/>
    <cellStyle name="Comma" xfId="1" builtinId="3"/>
    <cellStyle name="Comma [0]" xfId="2" builtinId="6"/>
    <cellStyle name="Hyperlink" xfId="4"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mca.gov.in/Ministry/companies_act.html" TargetMode="External"/><Relationship Id="rId1" Type="http://schemas.openxmlformats.org/officeDocument/2006/relationships/hyperlink" Target="http://bit.ly/indiaincometaxrule_depra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tabSelected="1" zoomScale="90" zoomScaleNormal="90" workbookViewId="0">
      <pane xSplit="3" ySplit="2" topLeftCell="D3" activePane="bottomRight" state="frozen"/>
      <selection pane="topRight" activeCell="D1" sqref="D1"/>
      <selection pane="bottomLeft" activeCell="A3" sqref="A3"/>
      <selection pane="bottomRight" activeCell="B27" sqref="B27"/>
    </sheetView>
  </sheetViews>
  <sheetFormatPr defaultColWidth="9.140625" defaultRowHeight="12.75" x14ac:dyDescent="0.25"/>
  <cols>
    <col min="1" max="1" width="39.42578125" style="109" customWidth="1"/>
    <col min="2" max="2" width="15.42578125" style="109" customWidth="1"/>
    <col min="3" max="3" width="8.85546875" style="109" customWidth="1"/>
    <col min="4" max="4" width="18.5703125" style="109" bestFit="1" customWidth="1"/>
    <col min="5" max="5" width="72.42578125" style="109" customWidth="1"/>
    <col min="6" max="6" width="46.85546875" style="109" customWidth="1"/>
    <col min="7" max="7" width="16.28515625" style="109" bestFit="1" customWidth="1"/>
    <col min="8" max="16384" width="9.140625" style="109"/>
  </cols>
  <sheetData>
    <row r="1" spans="1:7" x14ac:dyDescent="0.25">
      <c r="A1" s="108" t="s">
        <v>11</v>
      </c>
      <c r="B1" s="108"/>
      <c r="C1" s="108"/>
      <c r="D1" s="108"/>
      <c r="E1" s="108"/>
    </row>
    <row r="2" spans="1:7" x14ac:dyDescent="0.25">
      <c r="A2" s="110" t="s">
        <v>59</v>
      </c>
      <c r="B2" s="111" t="s">
        <v>7</v>
      </c>
      <c r="C2" s="110" t="s">
        <v>8</v>
      </c>
      <c r="D2" s="110" t="s">
        <v>74</v>
      </c>
      <c r="E2" s="110" t="s">
        <v>12</v>
      </c>
    </row>
    <row r="3" spans="1:7" ht="15" customHeight="1" x14ac:dyDescent="0.25">
      <c r="A3" s="43" t="s">
        <v>137</v>
      </c>
      <c r="B3" s="112">
        <v>51</v>
      </c>
      <c r="C3" s="43" t="s">
        <v>138</v>
      </c>
      <c r="D3" s="110"/>
      <c r="E3" s="158" t="s">
        <v>140</v>
      </c>
    </row>
    <row r="4" spans="1:7" x14ac:dyDescent="0.25">
      <c r="A4" s="43" t="s">
        <v>139</v>
      </c>
      <c r="B4" s="112">
        <v>1.8</v>
      </c>
      <c r="C4" s="43" t="s">
        <v>10</v>
      </c>
      <c r="D4" s="110"/>
      <c r="E4" s="159"/>
    </row>
    <row r="5" spans="1:7" x14ac:dyDescent="0.25">
      <c r="A5" s="43" t="s">
        <v>9</v>
      </c>
      <c r="B5" s="79">
        <f>B3*B4</f>
        <v>91.8</v>
      </c>
      <c r="C5" s="43" t="s">
        <v>10</v>
      </c>
      <c r="D5" s="43"/>
      <c r="E5" s="160"/>
    </row>
    <row r="6" spans="1:7" ht="229.5" x14ac:dyDescent="0.25">
      <c r="A6" s="43" t="s">
        <v>54</v>
      </c>
      <c r="B6" s="79">
        <f>Sensitivity!C3</f>
        <v>268177083.30000001</v>
      </c>
      <c r="C6" s="43" t="s">
        <v>29</v>
      </c>
      <c r="D6" s="43"/>
      <c r="E6" s="43" t="s">
        <v>161</v>
      </c>
      <c r="F6" s="113"/>
    </row>
    <row r="7" spans="1:7" ht="127.5" x14ac:dyDescent="0.25">
      <c r="A7" s="43" t="s">
        <v>26</v>
      </c>
      <c r="B7" s="114">
        <f>Sensitivity!C4</f>
        <v>3.56</v>
      </c>
      <c r="C7" s="43" t="s">
        <v>16</v>
      </c>
      <c r="D7" s="43"/>
      <c r="E7" s="43" t="s">
        <v>131</v>
      </c>
      <c r="F7" s="115"/>
    </row>
    <row r="8" spans="1:7" ht="25.5" x14ac:dyDescent="0.25">
      <c r="A8" s="43" t="s">
        <v>63</v>
      </c>
      <c r="B8" s="114">
        <v>0.5</v>
      </c>
      <c r="C8" s="43" t="s">
        <v>16</v>
      </c>
      <c r="D8" s="43"/>
      <c r="E8" s="80" t="s">
        <v>75</v>
      </c>
      <c r="F8" s="116"/>
    </row>
    <row r="9" spans="1:7" ht="76.5" x14ac:dyDescent="0.25">
      <c r="A9" s="43" t="s">
        <v>27</v>
      </c>
      <c r="B9" s="79">
        <f>0.62*10^7*B5</f>
        <v>569160000</v>
      </c>
      <c r="C9" s="43" t="s">
        <v>15</v>
      </c>
      <c r="D9" s="43"/>
      <c r="E9" s="56" t="s">
        <v>173</v>
      </c>
      <c r="F9" s="113"/>
    </row>
    <row r="10" spans="1:7" x14ac:dyDescent="0.25">
      <c r="A10" s="80" t="s">
        <v>126</v>
      </c>
      <c r="B10" s="81"/>
      <c r="C10" s="80"/>
      <c r="D10" s="80"/>
      <c r="E10" s="107"/>
      <c r="F10" s="113"/>
    </row>
    <row r="11" spans="1:7" ht="63.75" x14ac:dyDescent="0.25">
      <c r="A11" s="95" t="s">
        <v>120</v>
      </c>
      <c r="B11" s="117"/>
      <c r="C11" s="95" t="s">
        <v>124</v>
      </c>
      <c r="D11" s="95"/>
      <c r="E11" s="155" t="s">
        <v>180</v>
      </c>
      <c r="F11" s="113"/>
    </row>
    <row r="12" spans="1:7" ht="114.75" x14ac:dyDescent="0.25">
      <c r="A12" s="95" t="s">
        <v>123</v>
      </c>
      <c r="B12" s="117">
        <f>ROUND(2315227*(1+10.3%+2%),0)</f>
        <v>2600000</v>
      </c>
      <c r="C12" s="95" t="s">
        <v>125</v>
      </c>
      <c r="D12" s="95"/>
      <c r="E12" s="155" t="s">
        <v>181</v>
      </c>
      <c r="F12" s="113"/>
    </row>
    <row r="13" spans="1:7" ht="25.5" x14ac:dyDescent="0.25">
      <c r="A13" s="95" t="s">
        <v>127</v>
      </c>
      <c r="B13" s="117">
        <v>2</v>
      </c>
      <c r="C13" s="95" t="s">
        <v>128</v>
      </c>
      <c r="D13" s="95"/>
      <c r="E13" s="155" t="s">
        <v>182</v>
      </c>
      <c r="F13" s="113"/>
    </row>
    <row r="14" spans="1:7" ht="76.5" x14ac:dyDescent="0.25">
      <c r="A14" s="118" t="s">
        <v>129</v>
      </c>
      <c r="B14" s="119">
        <f>B12*B3</f>
        <v>132600000</v>
      </c>
      <c r="C14" s="118" t="s">
        <v>28</v>
      </c>
      <c r="D14" s="120">
        <v>5</v>
      </c>
      <c r="E14" s="101" t="s">
        <v>183</v>
      </c>
    </row>
    <row r="15" spans="1:7" ht="38.25" x14ac:dyDescent="0.25">
      <c r="A15" s="90" t="s">
        <v>87</v>
      </c>
      <c r="B15" s="121">
        <f>0.2%*B30*1.05^2</f>
        <v>13831965</v>
      </c>
      <c r="C15" s="90" t="s">
        <v>28</v>
      </c>
      <c r="D15" s="120">
        <v>5</v>
      </c>
      <c r="E15" s="122" t="s">
        <v>149</v>
      </c>
      <c r="F15" s="113"/>
      <c r="G15" s="123"/>
    </row>
    <row r="16" spans="1:7" ht="114.75" x14ac:dyDescent="0.25">
      <c r="A16" s="56" t="s">
        <v>56</v>
      </c>
      <c r="B16" s="79">
        <f>B14+B15</f>
        <v>146431965</v>
      </c>
      <c r="C16" s="56" t="s">
        <v>28</v>
      </c>
      <c r="D16" s="84"/>
      <c r="E16" s="56" t="s">
        <v>167</v>
      </c>
      <c r="F16" s="113"/>
    </row>
    <row r="17" spans="1:7" x14ac:dyDescent="0.25">
      <c r="A17" s="80" t="s">
        <v>78</v>
      </c>
      <c r="B17" s="81"/>
      <c r="C17" s="80"/>
      <c r="D17" s="82"/>
      <c r="E17" s="80"/>
    </row>
    <row r="18" spans="1:7" ht="89.25" x14ac:dyDescent="0.25">
      <c r="A18" s="118" t="s">
        <v>79</v>
      </c>
      <c r="B18" s="119">
        <v>4550000</v>
      </c>
      <c r="C18" s="118" t="s">
        <v>28</v>
      </c>
      <c r="D18" s="120"/>
      <c r="E18" s="118" t="s">
        <v>133</v>
      </c>
      <c r="F18" s="113"/>
      <c r="G18" s="123"/>
    </row>
    <row r="19" spans="1:7" ht="35.25" customHeight="1" x14ac:dyDescent="0.25">
      <c r="A19" s="90" t="s">
        <v>80</v>
      </c>
      <c r="B19" s="124">
        <f>10000*B5</f>
        <v>918000</v>
      </c>
      <c r="C19" s="90" t="s">
        <v>28</v>
      </c>
      <c r="D19" s="125"/>
      <c r="E19" s="90" t="s">
        <v>134</v>
      </c>
      <c r="F19" s="113"/>
      <c r="G19" s="123"/>
    </row>
    <row r="20" spans="1:7" ht="35.25" customHeight="1" x14ac:dyDescent="0.25">
      <c r="A20" s="90" t="s">
        <v>81</v>
      </c>
      <c r="B20" s="126">
        <f>3000*B3</f>
        <v>153000</v>
      </c>
      <c r="C20" s="90" t="s">
        <v>28</v>
      </c>
      <c r="D20" s="125"/>
      <c r="E20" s="90" t="s">
        <v>135</v>
      </c>
      <c r="F20" s="113"/>
      <c r="G20" s="123"/>
    </row>
    <row r="21" spans="1:7" ht="51" x14ac:dyDescent="0.25">
      <c r="A21" s="56" t="s">
        <v>82</v>
      </c>
      <c r="B21" s="83">
        <f>SUM(B18:B20)</f>
        <v>5621000</v>
      </c>
      <c r="C21" s="56" t="s">
        <v>28</v>
      </c>
      <c r="D21" s="84">
        <v>3</v>
      </c>
      <c r="E21" s="56" t="s">
        <v>150</v>
      </c>
      <c r="F21" s="113"/>
      <c r="G21" s="123"/>
    </row>
    <row r="22" spans="1:7" x14ac:dyDescent="0.25">
      <c r="A22" s="95" t="s">
        <v>83</v>
      </c>
      <c r="B22" s="117"/>
      <c r="C22" s="95"/>
      <c r="D22" s="127"/>
      <c r="E22" s="95"/>
      <c r="F22" s="113"/>
      <c r="G22" s="123"/>
    </row>
    <row r="23" spans="1:7" ht="25.5" x14ac:dyDescent="0.25">
      <c r="A23" s="118" t="s">
        <v>84</v>
      </c>
      <c r="B23" s="119">
        <f>B6*5%*0.1</f>
        <v>1340885.4165000003</v>
      </c>
      <c r="C23" s="118" t="s">
        <v>28</v>
      </c>
      <c r="D23" s="128"/>
      <c r="E23" s="118" t="s">
        <v>142</v>
      </c>
      <c r="F23" s="113"/>
      <c r="G23" s="123"/>
    </row>
    <row r="24" spans="1:7" ht="38.25" x14ac:dyDescent="0.25">
      <c r="A24" s="90" t="s">
        <v>85</v>
      </c>
      <c r="B24" s="121">
        <f>B6*B7/12*1%</f>
        <v>795592.01379000011</v>
      </c>
      <c r="C24" s="90" t="s">
        <v>28</v>
      </c>
      <c r="D24" s="125"/>
      <c r="E24" s="90" t="s">
        <v>145</v>
      </c>
      <c r="F24" s="113"/>
      <c r="G24" s="123"/>
    </row>
    <row r="25" spans="1:7" ht="25.5" x14ac:dyDescent="0.25">
      <c r="A25" s="95" t="s">
        <v>86</v>
      </c>
      <c r="B25" s="81">
        <f>SUM(B23:B24)</f>
        <v>2136477.4302900005</v>
      </c>
      <c r="C25" s="95" t="s">
        <v>28</v>
      </c>
      <c r="D25" s="127">
        <v>0</v>
      </c>
      <c r="E25" s="154" t="s">
        <v>146</v>
      </c>
      <c r="F25" s="113"/>
      <c r="G25" s="129"/>
    </row>
    <row r="26" spans="1:7" ht="15" customHeight="1" x14ac:dyDescent="0.25">
      <c r="A26" s="80" t="s">
        <v>148</v>
      </c>
      <c r="B26" s="81">
        <f>B21+B25</f>
        <v>7757477.4302900005</v>
      </c>
      <c r="C26" s="80" t="s">
        <v>28</v>
      </c>
      <c r="D26" s="82"/>
      <c r="E26" s="161" t="s">
        <v>151</v>
      </c>
      <c r="F26" s="113"/>
      <c r="G26" s="129"/>
    </row>
    <row r="27" spans="1:7" x14ac:dyDescent="0.25">
      <c r="A27" s="56"/>
      <c r="B27" s="83">
        <f>B26/B5</f>
        <v>84504.111441067551</v>
      </c>
      <c r="C27" s="56" t="s">
        <v>147</v>
      </c>
      <c r="D27" s="84"/>
      <c r="E27" s="162"/>
      <c r="F27" s="113"/>
      <c r="G27" s="129"/>
    </row>
    <row r="28" spans="1:7" x14ac:dyDescent="0.25">
      <c r="A28" s="77"/>
      <c r="B28" s="78"/>
      <c r="C28" s="77"/>
      <c r="D28" s="130"/>
      <c r="E28" s="77"/>
    </row>
    <row r="29" spans="1:7" x14ac:dyDescent="0.25">
      <c r="A29" s="87" t="s">
        <v>72</v>
      </c>
      <c r="B29" s="89"/>
      <c r="C29" s="88"/>
      <c r="D29" s="131"/>
      <c r="E29" s="80"/>
    </row>
    <row r="30" spans="1:7" ht="102" x14ac:dyDescent="0.25">
      <c r="A30" s="90" t="s">
        <v>64</v>
      </c>
      <c r="B30" s="92">
        <f>123000000*51</f>
        <v>6273000000</v>
      </c>
      <c r="C30" s="91" t="s">
        <v>15</v>
      </c>
      <c r="D30" s="132"/>
      <c r="E30" s="90" t="s">
        <v>179</v>
      </c>
    </row>
    <row r="31" spans="1:7" x14ac:dyDescent="0.25">
      <c r="A31" s="93" t="s">
        <v>153</v>
      </c>
      <c r="B31" s="86"/>
      <c r="C31" s="94"/>
      <c r="D31" s="133"/>
      <c r="E31" s="93"/>
    </row>
    <row r="32" spans="1:7" ht="27.75" customHeight="1" x14ac:dyDescent="0.25">
      <c r="A32" s="95" t="s">
        <v>162</v>
      </c>
      <c r="B32" s="85"/>
      <c r="C32" s="96" t="s">
        <v>15</v>
      </c>
      <c r="D32" s="134"/>
      <c r="E32" s="95" t="s">
        <v>166</v>
      </c>
    </row>
    <row r="33" spans="1:6" ht="89.25" x14ac:dyDescent="0.25">
      <c r="A33" s="95" t="s">
        <v>163</v>
      </c>
      <c r="B33" s="85"/>
      <c r="C33" s="96" t="s">
        <v>15</v>
      </c>
      <c r="D33" s="135"/>
      <c r="E33" s="95" t="s">
        <v>170</v>
      </c>
    </row>
    <row r="34" spans="1:6" ht="63.75" x14ac:dyDescent="0.25">
      <c r="A34" s="95" t="s">
        <v>164</v>
      </c>
      <c r="B34" s="85"/>
      <c r="C34" s="96" t="s">
        <v>15</v>
      </c>
      <c r="D34" s="135"/>
      <c r="E34" s="95" t="s">
        <v>169</v>
      </c>
    </row>
    <row r="35" spans="1:6" ht="25.5" x14ac:dyDescent="0.25">
      <c r="A35" s="95" t="s">
        <v>165</v>
      </c>
      <c r="B35" s="85">
        <f>334125000*1%</f>
        <v>3341250</v>
      </c>
      <c r="C35" s="96" t="s">
        <v>15</v>
      </c>
      <c r="D35" s="135"/>
      <c r="E35" s="95" t="s">
        <v>155</v>
      </c>
    </row>
    <row r="36" spans="1:6" x14ac:dyDescent="0.25">
      <c r="A36" s="118" t="s">
        <v>154</v>
      </c>
      <c r="B36" s="136">
        <f>SUM(B32:B35)</f>
        <v>3341250</v>
      </c>
      <c r="C36" s="137" t="s">
        <v>15</v>
      </c>
      <c r="D36" s="138"/>
      <c r="E36" s="118"/>
      <c r="F36" s="113"/>
    </row>
    <row r="37" spans="1:6" ht="76.5" x14ac:dyDescent="0.25">
      <c r="A37" s="90" t="s">
        <v>66</v>
      </c>
      <c r="B37" s="92">
        <v>74890706.600250691</v>
      </c>
      <c r="C37" s="91" t="s">
        <v>15</v>
      </c>
      <c r="D37" s="132"/>
      <c r="E37" s="90" t="s">
        <v>157</v>
      </c>
      <c r="F37" s="113"/>
    </row>
    <row r="38" spans="1:6" ht="89.25" x14ac:dyDescent="0.25">
      <c r="A38" s="90" t="s">
        <v>67</v>
      </c>
      <c r="B38" s="92">
        <f>60000*46.4575/12*9</f>
        <v>2090587.5</v>
      </c>
      <c r="C38" s="91" t="s">
        <v>15</v>
      </c>
      <c r="D38" s="132"/>
      <c r="E38" s="90" t="s">
        <v>158</v>
      </c>
      <c r="F38" s="113"/>
    </row>
    <row r="39" spans="1:6" ht="25.5" x14ac:dyDescent="0.25">
      <c r="A39" s="90" t="s">
        <v>68</v>
      </c>
      <c r="B39" s="92">
        <v>29736688.899999999</v>
      </c>
      <c r="C39" s="91" t="s">
        <v>15</v>
      </c>
      <c r="D39" s="132"/>
      <c r="E39" s="90" t="s">
        <v>159</v>
      </c>
      <c r="F39" s="139"/>
    </row>
    <row r="40" spans="1:6" ht="38.25" x14ac:dyDescent="0.25">
      <c r="A40" s="93" t="s">
        <v>70</v>
      </c>
      <c r="B40" s="86">
        <v>205665346.80000001</v>
      </c>
      <c r="C40" s="94" t="s">
        <v>15</v>
      </c>
      <c r="D40" s="133"/>
      <c r="E40" s="93" t="s">
        <v>160</v>
      </c>
      <c r="F40" s="139"/>
    </row>
    <row r="41" spans="1:6" x14ac:dyDescent="0.25">
      <c r="A41" s="95" t="s">
        <v>71</v>
      </c>
      <c r="B41" s="97">
        <f>SUM(B30,B36:B40)</f>
        <v>6588724579.8002501</v>
      </c>
      <c r="C41" s="96" t="s">
        <v>15</v>
      </c>
      <c r="D41" s="135"/>
      <c r="E41" s="95"/>
    </row>
    <row r="42" spans="1:6" x14ac:dyDescent="0.25">
      <c r="A42" s="95"/>
      <c r="B42" s="85"/>
      <c r="C42" s="96"/>
      <c r="D42" s="135"/>
      <c r="E42" s="95"/>
    </row>
    <row r="43" spans="1:6" ht="89.25" customHeight="1" x14ac:dyDescent="0.25">
      <c r="A43" s="90" t="s">
        <v>65</v>
      </c>
      <c r="B43" s="92">
        <f>75000*B5*(1+10.3%)</f>
        <v>7594155</v>
      </c>
      <c r="C43" s="91" t="s">
        <v>15</v>
      </c>
      <c r="D43" s="132"/>
      <c r="E43" s="90" t="s">
        <v>171</v>
      </c>
      <c r="F43" s="113"/>
    </row>
    <row r="44" spans="1:6" ht="63.75" x14ac:dyDescent="0.25">
      <c r="A44" s="95" t="s">
        <v>69</v>
      </c>
      <c r="B44" s="85">
        <v>427371116.80000001</v>
      </c>
      <c r="C44" s="96" t="s">
        <v>15</v>
      </c>
      <c r="D44" s="135"/>
      <c r="E44" s="95" t="s">
        <v>156</v>
      </c>
      <c r="F44" s="113"/>
    </row>
    <row r="45" spans="1:6" x14ac:dyDescent="0.25">
      <c r="A45" s="95" t="s">
        <v>38</v>
      </c>
      <c r="B45" s="97">
        <f>SUM(B43:B44)</f>
        <v>434965271.80000001</v>
      </c>
      <c r="C45" s="96" t="s">
        <v>15</v>
      </c>
      <c r="D45" s="135"/>
      <c r="E45" s="95"/>
    </row>
    <row r="46" spans="1:6" x14ac:dyDescent="0.25">
      <c r="A46" s="95"/>
      <c r="B46" s="85"/>
      <c r="C46" s="96"/>
      <c r="D46" s="135"/>
      <c r="E46" s="95"/>
    </row>
    <row r="47" spans="1:6" ht="39" thickBot="1" x14ac:dyDescent="0.3">
      <c r="A47" s="95" t="s">
        <v>37</v>
      </c>
      <c r="B47" s="98">
        <f>Sensitivity!C2</f>
        <v>7023689851.6002502</v>
      </c>
      <c r="C47" s="96" t="s">
        <v>15</v>
      </c>
      <c r="D47" s="140"/>
      <c r="E47" s="95" t="s">
        <v>152</v>
      </c>
      <c r="F47" s="113"/>
    </row>
    <row r="48" spans="1:6" x14ac:dyDescent="0.25">
      <c r="A48" s="56"/>
      <c r="B48" s="100"/>
      <c r="C48" s="99"/>
      <c r="D48" s="141"/>
      <c r="E48" s="56"/>
    </row>
    <row r="49" spans="1:6" x14ac:dyDescent="0.25">
      <c r="A49" s="77"/>
      <c r="B49" s="78"/>
      <c r="C49" s="77"/>
      <c r="D49" s="142"/>
      <c r="E49" s="77"/>
    </row>
    <row r="50" spans="1:6" ht="76.5" x14ac:dyDescent="0.25">
      <c r="A50" s="43" t="s">
        <v>40</v>
      </c>
      <c r="B50" s="114">
        <f>30*(1.03)*(1.075)</f>
        <v>33.217500000000001</v>
      </c>
      <c r="C50" s="43" t="s">
        <v>5</v>
      </c>
      <c r="D50" s="43"/>
      <c r="E50" s="43" t="s">
        <v>76</v>
      </c>
    </row>
    <row r="51" spans="1:6" ht="76.5" x14ac:dyDescent="0.25">
      <c r="A51" s="43" t="s">
        <v>39</v>
      </c>
      <c r="B51" s="114">
        <f>18*(1.03)*(1.075)</f>
        <v>19.930499999999999</v>
      </c>
      <c r="C51" s="43" t="s">
        <v>5</v>
      </c>
      <c r="D51" s="43"/>
      <c r="E51" s="43" t="s">
        <v>77</v>
      </c>
    </row>
    <row r="52" spans="1:6" ht="25.5" x14ac:dyDescent="0.25">
      <c r="A52" s="43" t="s">
        <v>23</v>
      </c>
      <c r="B52" s="114">
        <v>5</v>
      </c>
      <c r="C52" s="43" t="s">
        <v>24</v>
      </c>
      <c r="D52" s="43"/>
      <c r="E52" s="43" t="s">
        <v>96</v>
      </c>
      <c r="F52" s="113"/>
    </row>
    <row r="53" spans="1:6" x14ac:dyDescent="0.25">
      <c r="A53" s="143" t="s">
        <v>88</v>
      </c>
      <c r="B53" s="144">
        <v>7.8399999999999997E-2</v>
      </c>
      <c r="C53" s="143" t="s">
        <v>5</v>
      </c>
      <c r="D53" s="143" t="s">
        <v>93</v>
      </c>
      <c r="E53" s="145" t="s">
        <v>91</v>
      </c>
    </row>
    <row r="54" spans="1:6" x14ac:dyDescent="0.25">
      <c r="A54" s="143" t="s">
        <v>89</v>
      </c>
      <c r="B54" s="144">
        <v>5.28E-2</v>
      </c>
      <c r="C54" s="143" t="s">
        <v>5</v>
      </c>
      <c r="D54" s="143" t="s">
        <v>93</v>
      </c>
      <c r="E54" s="57" t="s">
        <v>94</v>
      </c>
    </row>
    <row r="55" spans="1:6" ht="25.5" x14ac:dyDescent="0.25">
      <c r="A55" s="143" t="s">
        <v>90</v>
      </c>
      <c r="B55" s="144">
        <v>0.95</v>
      </c>
      <c r="C55" s="143" t="s">
        <v>5</v>
      </c>
      <c r="D55" s="143"/>
      <c r="E55" s="56" t="s">
        <v>95</v>
      </c>
    </row>
  </sheetData>
  <mergeCells count="2">
    <mergeCell ref="E3:E5"/>
    <mergeCell ref="E26:E27"/>
  </mergeCells>
  <hyperlinks>
    <hyperlink ref="E53" r:id="rId1"/>
    <hyperlink ref="E54"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29"/>
  <sheetViews>
    <sheetView showGridLines="0" workbookViewId="0">
      <selection activeCell="C20" sqref="C20"/>
    </sheetView>
  </sheetViews>
  <sheetFormatPr defaultColWidth="9.140625" defaultRowHeight="12.75" x14ac:dyDescent="0.2"/>
  <cols>
    <col min="1" max="1" width="2.5703125" style="37" customWidth="1"/>
    <col min="2" max="2" width="37" style="1" customWidth="1"/>
    <col min="3" max="3" width="14.7109375" style="1" customWidth="1"/>
    <col min="4" max="9" width="16.140625" style="3" bestFit="1" customWidth="1"/>
    <col min="10" max="25" width="14.5703125" style="3" bestFit="1" customWidth="1"/>
    <col min="26" max="26" width="16.140625" style="3" bestFit="1" customWidth="1"/>
    <col min="27" max="16384" width="9.140625" style="37"/>
  </cols>
  <sheetData>
    <row r="2" spans="2:26" s="36" customFormat="1" x14ac:dyDescent="0.2">
      <c r="B2" s="4" t="s">
        <v>1</v>
      </c>
      <c r="C2" s="4"/>
      <c r="D2" s="5">
        <v>0</v>
      </c>
      <c r="E2" s="5">
        <f>D2+1</f>
        <v>1</v>
      </c>
      <c r="F2" s="5">
        <f t="shared" ref="F2:X2" si="0">E2+1</f>
        <v>2</v>
      </c>
      <c r="G2" s="5">
        <f t="shared" si="0"/>
        <v>3</v>
      </c>
      <c r="H2" s="5">
        <f t="shared" si="0"/>
        <v>4</v>
      </c>
      <c r="I2" s="5">
        <f t="shared" si="0"/>
        <v>5</v>
      </c>
      <c r="J2" s="5">
        <f t="shared" si="0"/>
        <v>6</v>
      </c>
      <c r="K2" s="5">
        <f t="shared" si="0"/>
        <v>7</v>
      </c>
      <c r="L2" s="5">
        <f t="shared" si="0"/>
        <v>8</v>
      </c>
      <c r="M2" s="5">
        <f t="shared" si="0"/>
        <v>9</v>
      </c>
      <c r="N2" s="5">
        <f t="shared" si="0"/>
        <v>10</v>
      </c>
      <c r="O2" s="5">
        <f t="shared" si="0"/>
        <v>11</v>
      </c>
      <c r="P2" s="5">
        <f t="shared" si="0"/>
        <v>12</v>
      </c>
      <c r="Q2" s="5">
        <f t="shared" si="0"/>
        <v>13</v>
      </c>
      <c r="R2" s="5">
        <f t="shared" si="0"/>
        <v>14</v>
      </c>
      <c r="S2" s="5">
        <f t="shared" si="0"/>
        <v>15</v>
      </c>
      <c r="T2" s="5">
        <f t="shared" si="0"/>
        <v>16</v>
      </c>
      <c r="U2" s="5">
        <f t="shared" si="0"/>
        <v>17</v>
      </c>
      <c r="V2" s="5">
        <f t="shared" si="0"/>
        <v>18</v>
      </c>
      <c r="W2" s="5">
        <f t="shared" si="0"/>
        <v>19</v>
      </c>
      <c r="X2" s="5">
        <f t="shared" si="0"/>
        <v>20</v>
      </c>
      <c r="Y2" s="5">
        <f t="shared" ref="Y2:Y3" si="1">X2+1</f>
        <v>21</v>
      </c>
      <c r="Z2" s="5">
        <f t="shared" ref="Z2:Z3" si="2">Y2+1</f>
        <v>22</v>
      </c>
    </row>
    <row r="3" spans="2:26" s="36" customFormat="1" x14ac:dyDescent="0.2">
      <c r="B3" s="4" t="s">
        <v>0</v>
      </c>
      <c r="C3" s="4"/>
      <c r="D3" s="5">
        <v>2011</v>
      </c>
      <c r="E3" s="5">
        <f>D3+1</f>
        <v>2012</v>
      </c>
      <c r="F3" s="5">
        <f t="shared" ref="F3:X3" si="3">E3+1</f>
        <v>2013</v>
      </c>
      <c r="G3" s="5">
        <f t="shared" si="3"/>
        <v>2014</v>
      </c>
      <c r="H3" s="5">
        <f t="shared" si="3"/>
        <v>2015</v>
      </c>
      <c r="I3" s="5">
        <f t="shared" si="3"/>
        <v>2016</v>
      </c>
      <c r="J3" s="5">
        <f t="shared" si="3"/>
        <v>2017</v>
      </c>
      <c r="K3" s="5">
        <f t="shared" si="3"/>
        <v>2018</v>
      </c>
      <c r="L3" s="5">
        <f t="shared" si="3"/>
        <v>2019</v>
      </c>
      <c r="M3" s="5">
        <f t="shared" si="3"/>
        <v>2020</v>
      </c>
      <c r="N3" s="5">
        <f t="shared" si="3"/>
        <v>2021</v>
      </c>
      <c r="O3" s="5">
        <f t="shared" si="3"/>
        <v>2022</v>
      </c>
      <c r="P3" s="5">
        <f t="shared" si="3"/>
        <v>2023</v>
      </c>
      <c r="Q3" s="5">
        <f t="shared" si="3"/>
        <v>2024</v>
      </c>
      <c r="R3" s="5">
        <f t="shared" si="3"/>
        <v>2025</v>
      </c>
      <c r="S3" s="5">
        <f t="shared" si="3"/>
        <v>2026</v>
      </c>
      <c r="T3" s="5">
        <f t="shared" si="3"/>
        <v>2027</v>
      </c>
      <c r="U3" s="5">
        <f t="shared" si="3"/>
        <v>2028</v>
      </c>
      <c r="V3" s="5">
        <f t="shared" si="3"/>
        <v>2029</v>
      </c>
      <c r="W3" s="5">
        <f t="shared" si="3"/>
        <v>2030</v>
      </c>
      <c r="X3" s="5">
        <f t="shared" si="3"/>
        <v>2031</v>
      </c>
      <c r="Y3" s="5">
        <f t="shared" si="1"/>
        <v>2032</v>
      </c>
      <c r="Z3" s="5">
        <f t="shared" si="2"/>
        <v>2033</v>
      </c>
    </row>
    <row r="4" spans="2:26" x14ac:dyDescent="0.2">
      <c r="B4" s="6"/>
      <c r="C4" s="6"/>
      <c r="D4" s="7"/>
      <c r="E4" s="8"/>
      <c r="F4" s="8"/>
      <c r="G4" s="8"/>
      <c r="H4" s="8"/>
      <c r="I4" s="8"/>
      <c r="J4" s="8"/>
      <c r="K4" s="8"/>
      <c r="L4" s="8"/>
      <c r="M4" s="8"/>
      <c r="N4" s="8"/>
      <c r="O4" s="8"/>
      <c r="P4" s="8"/>
      <c r="Q4" s="8"/>
      <c r="R4" s="8"/>
      <c r="S4" s="8"/>
      <c r="T4" s="8"/>
      <c r="U4" s="8"/>
      <c r="V4" s="8"/>
      <c r="W4" s="8"/>
      <c r="X4" s="8"/>
      <c r="Y4" s="8"/>
      <c r="Z4" s="8"/>
    </row>
    <row r="5" spans="2:26" s="36" customFormat="1" x14ac:dyDescent="0.2">
      <c r="B5" s="4" t="s">
        <v>17</v>
      </c>
      <c r="C5" s="4"/>
      <c r="D5" s="9"/>
      <c r="E5" s="10"/>
      <c r="F5" s="10"/>
      <c r="G5" s="5"/>
      <c r="H5" s="5"/>
      <c r="I5" s="5"/>
      <c r="J5" s="5"/>
      <c r="K5" s="5"/>
      <c r="L5" s="5"/>
      <c r="M5" s="5"/>
      <c r="N5" s="5"/>
      <c r="O5" s="5"/>
      <c r="P5" s="5"/>
      <c r="Q5" s="5"/>
      <c r="R5" s="5"/>
      <c r="S5" s="5"/>
      <c r="T5" s="5"/>
      <c r="U5" s="5"/>
      <c r="V5" s="5"/>
      <c r="W5" s="5"/>
      <c r="X5" s="5"/>
      <c r="Y5" s="5"/>
      <c r="Z5" s="5"/>
    </row>
    <row r="6" spans="2:26" s="38" customFormat="1" x14ac:dyDescent="0.2">
      <c r="B6" s="11" t="s">
        <v>13</v>
      </c>
      <c r="C6" s="11"/>
      <c r="D6" s="12">
        <f>Generation!E44</f>
        <v>1380623.3583803384</v>
      </c>
      <c r="E6" s="12">
        <f>Generation!F44</f>
        <v>211014474.09485093</v>
      </c>
      <c r="F6" s="12">
        <f>Generation!G44</f>
        <v>264136058.75712329</v>
      </c>
      <c r="G6" s="12">
        <f>Generation!H44</f>
        <v>268177083.30000001</v>
      </c>
      <c r="H6" s="12">
        <f>Generation!I44</f>
        <v>268177083.30000001</v>
      </c>
      <c r="I6" s="12">
        <f>Generation!J44</f>
        <v>268177083.30000001</v>
      </c>
      <c r="J6" s="12">
        <f>Generation!K44</f>
        <v>268177083.30000001</v>
      </c>
      <c r="K6" s="12">
        <f>Generation!L44</f>
        <v>268177083.30000001</v>
      </c>
      <c r="L6" s="12">
        <f>Generation!M44</f>
        <v>268177083.30000001</v>
      </c>
      <c r="M6" s="12">
        <f>Generation!N44</f>
        <v>268177083.30000001</v>
      </c>
      <c r="N6" s="12">
        <f>Generation!O44</f>
        <v>268177083.30000001</v>
      </c>
      <c r="O6" s="12">
        <f>Generation!P44</f>
        <v>268177083.30000001</v>
      </c>
      <c r="P6" s="12">
        <f>Generation!Q44</f>
        <v>268177083.30000001</v>
      </c>
      <c r="Q6" s="12">
        <f>Generation!R44</f>
        <v>268177083.30000001</v>
      </c>
      <c r="R6" s="12">
        <f>Generation!S44</f>
        <v>268177083.30000001</v>
      </c>
      <c r="S6" s="12">
        <f>Generation!T44</f>
        <v>268177083.30000001</v>
      </c>
      <c r="T6" s="12">
        <f>Generation!U44</f>
        <v>268177083.30000001</v>
      </c>
      <c r="U6" s="12">
        <f>Generation!V44</f>
        <v>268177083.30000001</v>
      </c>
      <c r="V6" s="12">
        <f>Generation!W44</f>
        <v>268177083.30000001</v>
      </c>
      <c r="W6" s="12">
        <f>Generation!X44</f>
        <v>268177083.30000001</v>
      </c>
      <c r="X6" s="12">
        <f>Generation!Y44</f>
        <v>268177083.30000001</v>
      </c>
      <c r="Y6" s="12">
        <f>Generation!Z44</f>
        <v>268177083.30000001</v>
      </c>
      <c r="Z6" s="12">
        <f>Generation!AA44</f>
        <v>268177083.30000001</v>
      </c>
    </row>
    <row r="7" spans="2:26" s="39" customFormat="1" x14ac:dyDescent="0.2">
      <c r="B7" s="13" t="s">
        <v>55</v>
      </c>
      <c r="C7" s="13"/>
      <c r="D7" s="14">
        <f>Parameters!$B7</f>
        <v>3.56</v>
      </c>
      <c r="E7" s="14">
        <f>Parameters!$B7</f>
        <v>3.56</v>
      </c>
      <c r="F7" s="14">
        <f>Parameters!$B7</f>
        <v>3.56</v>
      </c>
      <c r="G7" s="14">
        <f>Parameters!$B7</f>
        <v>3.56</v>
      </c>
      <c r="H7" s="14">
        <f>Parameters!$B7</f>
        <v>3.56</v>
      </c>
      <c r="I7" s="14">
        <f>Parameters!$B7</f>
        <v>3.56</v>
      </c>
      <c r="J7" s="14">
        <f>Parameters!$B7</f>
        <v>3.56</v>
      </c>
      <c r="K7" s="14">
        <f>Parameters!$B7</f>
        <v>3.56</v>
      </c>
      <c r="L7" s="14">
        <f>Parameters!$B7</f>
        <v>3.56</v>
      </c>
      <c r="M7" s="14">
        <f>Parameters!$B7</f>
        <v>3.56</v>
      </c>
      <c r="N7" s="14">
        <f>Parameters!$B7</f>
        <v>3.56</v>
      </c>
      <c r="O7" s="14">
        <f>Parameters!$B7</f>
        <v>3.56</v>
      </c>
      <c r="P7" s="14">
        <f>Parameters!$B7</f>
        <v>3.56</v>
      </c>
      <c r="Q7" s="14">
        <f>Parameters!$B7</f>
        <v>3.56</v>
      </c>
      <c r="R7" s="14">
        <f>Parameters!$B7</f>
        <v>3.56</v>
      </c>
      <c r="S7" s="14">
        <f>Parameters!$B7</f>
        <v>3.56</v>
      </c>
      <c r="T7" s="14">
        <f>Parameters!$B7</f>
        <v>3.56</v>
      </c>
      <c r="U7" s="14">
        <f>Parameters!$B7</f>
        <v>3.56</v>
      </c>
      <c r="V7" s="14">
        <f>Parameters!$B7</f>
        <v>3.56</v>
      </c>
      <c r="W7" s="14">
        <f>Parameters!$B7</f>
        <v>3.56</v>
      </c>
      <c r="X7" s="14">
        <f>Parameters!$B7</f>
        <v>3.56</v>
      </c>
      <c r="Y7" s="14">
        <f>Parameters!$B7</f>
        <v>3.56</v>
      </c>
      <c r="Z7" s="14">
        <f>Parameters!$B7</f>
        <v>3.56</v>
      </c>
    </row>
    <row r="8" spans="2:26" s="39" customFormat="1" x14ac:dyDescent="0.2">
      <c r="B8" s="13" t="s">
        <v>25</v>
      </c>
      <c r="C8" s="13"/>
      <c r="D8" s="15">
        <f>MIN(D6*Parameters!$B$8,Parameters!$B$9-SUM($C$8:C8))</f>
        <v>690311.6791901692</v>
      </c>
      <c r="E8" s="15">
        <f>MIN(E6*Parameters!$B$8,Parameters!$B$9-SUM($C$8:D8))</f>
        <v>105507237.04742546</v>
      </c>
      <c r="F8" s="15">
        <f>MIN(F6*Parameters!$B$8,Parameters!$B$9-SUM($C$8:E8))</f>
        <v>132068029.37856165</v>
      </c>
      <c r="G8" s="15">
        <f>MIN(G6*Parameters!$B$8,Parameters!$B$9-SUM($C$8:F8))</f>
        <v>134088541.65000001</v>
      </c>
      <c r="H8" s="15">
        <f>MIN(H6*Parameters!$B$8,Parameters!$B$9-SUM($C$8:G8))</f>
        <v>134088541.65000001</v>
      </c>
      <c r="I8" s="15">
        <f>MIN(I6*Parameters!$B$8,Parameters!$B$9-SUM($C$8:H8))</f>
        <v>62717338.594822764</v>
      </c>
      <c r="J8" s="15">
        <f>MIN(J6*Parameters!$B$8,Parameters!$B$9-SUM($C$8:I8))</f>
        <v>0</v>
      </c>
      <c r="K8" s="15">
        <f>MIN(K6*Parameters!$B$8,Parameters!$B$9-SUM($C$8:J8))</f>
        <v>0</v>
      </c>
      <c r="L8" s="15">
        <f>MIN(L6*Parameters!$B$8,Parameters!$B$9-SUM($C$8:K8))</f>
        <v>0</v>
      </c>
      <c r="M8" s="15">
        <f>MIN(M6*Parameters!$B$8,Parameters!$B$9-SUM($C$8:L8))</f>
        <v>0</v>
      </c>
      <c r="N8" s="15">
        <f>MIN(N6*Parameters!$B$8,Parameters!$B$9-SUM($C$8:M8))</f>
        <v>0</v>
      </c>
      <c r="O8" s="15">
        <f>MIN(O6*Parameters!$B$8,Parameters!$B$9-SUM($C$8:N8))</f>
        <v>0</v>
      </c>
      <c r="P8" s="15">
        <f>MIN(P6*Parameters!$B$8,Parameters!$B$9-SUM($C$8:O8))</f>
        <v>0</v>
      </c>
      <c r="Q8" s="15">
        <f>MIN(Q6*Parameters!$B$8,Parameters!$B$9-SUM($C$8:P8))</f>
        <v>0</v>
      </c>
      <c r="R8" s="15">
        <f>MIN(R6*Parameters!$B$8,Parameters!$B$9-SUM($C$8:Q8))</f>
        <v>0</v>
      </c>
      <c r="S8" s="15">
        <f>MIN(S6*Parameters!$B$8,Parameters!$B$9-SUM($C$8:R8))</f>
        <v>0</v>
      </c>
      <c r="T8" s="15">
        <f>MIN(T6*Parameters!$B$8,Parameters!$B$9-SUM($C$8:S8))</f>
        <v>0</v>
      </c>
      <c r="U8" s="15">
        <f>MIN(U6*Parameters!$B$8,Parameters!$B$9-SUM($C$8:T8))</f>
        <v>0</v>
      </c>
      <c r="V8" s="15">
        <f>MIN(V6*Parameters!$B$8,Parameters!$B$9-SUM($C$8:U8))</f>
        <v>0</v>
      </c>
      <c r="W8" s="15">
        <f>MIN(W6*Parameters!$B$8,Parameters!$B$9-SUM($C$8:V8))</f>
        <v>0</v>
      </c>
      <c r="X8" s="15">
        <f>MIN(X6*Parameters!$B$8,Parameters!$B$9-SUM($C$8:W8))</f>
        <v>0</v>
      </c>
      <c r="Y8" s="15">
        <f>MIN(Y6*Parameters!$B$8,Parameters!$B$9-SUM($C$8:X8))</f>
        <v>0</v>
      </c>
      <c r="Z8" s="15">
        <f>MIN(Z6*Parameters!$B$8,Parameters!$B$9-SUM($C$8:Y8))</f>
        <v>0</v>
      </c>
    </row>
    <row r="9" spans="2:26" s="39" customFormat="1" x14ac:dyDescent="0.2">
      <c r="B9" s="13" t="s">
        <v>2</v>
      </c>
      <c r="C9" s="13"/>
      <c r="D9" s="14"/>
      <c r="E9" s="14"/>
      <c r="F9" s="14"/>
      <c r="G9" s="14"/>
      <c r="H9" s="14"/>
      <c r="I9" s="14"/>
      <c r="J9" s="14"/>
      <c r="K9" s="14"/>
      <c r="L9" s="14"/>
      <c r="M9" s="14"/>
      <c r="N9" s="14"/>
      <c r="O9" s="14"/>
      <c r="P9" s="14"/>
      <c r="Q9" s="14"/>
      <c r="R9" s="14"/>
      <c r="S9" s="14"/>
      <c r="T9" s="14"/>
      <c r="U9" s="14"/>
      <c r="V9" s="14"/>
      <c r="W9" s="14"/>
      <c r="X9" s="15"/>
      <c r="Y9" s="15"/>
      <c r="Z9" s="15">
        <f>Parameters!B47*Parameters!B52/100</f>
        <v>351184492.5800125</v>
      </c>
    </row>
    <row r="10" spans="2:26" s="40" customFormat="1" x14ac:dyDescent="0.2">
      <c r="B10" s="16" t="s">
        <v>18</v>
      </c>
      <c r="C10" s="16"/>
      <c r="D10" s="17">
        <f>D6*D7+D8+D9</f>
        <v>5605330.8350241743</v>
      </c>
      <c r="E10" s="17">
        <f t="shared" ref="E10:X10" si="4">E6*E7+E8+E9</f>
        <v>856718764.82509482</v>
      </c>
      <c r="F10" s="17">
        <f t="shared" si="4"/>
        <v>1072392398.5539205</v>
      </c>
      <c r="G10" s="17">
        <f t="shared" si="4"/>
        <v>1088798958.1980002</v>
      </c>
      <c r="H10" s="17">
        <f t="shared" si="4"/>
        <v>1088798958.1980002</v>
      </c>
      <c r="I10" s="17">
        <f t="shared" si="4"/>
        <v>1017427755.1428229</v>
      </c>
      <c r="J10" s="17">
        <f t="shared" si="4"/>
        <v>954710416.5480001</v>
      </c>
      <c r="K10" s="17">
        <f t="shared" si="4"/>
        <v>954710416.5480001</v>
      </c>
      <c r="L10" s="17">
        <f t="shared" si="4"/>
        <v>954710416.5480001</v>
      </c>
      <c r="M10" s="17">
        <f t="shared" si="4"/>
        <v>954710416.5480001</v>
      </c>
      <c r="N10" s="17">
        <f t="shared" si="4"/>
        <v>954710416.5480001</v>
      </c>
      <c r="O10" s="17">
        <f t="shared" si="4"/>
        <v>954710416.5480001</v>
      </c>
      <c r="P10" s="17">
        <f t="shared" si="4"/>
        <v>954710416.5480001</v>
      </c>
      <c r="Q10" s="17">
        <f t="shared" si="4"/>
        <v>954710416.5480001</v>
      </c>
      <c r="R10" s="17">
        <f t="shared" si="4"/>
        <v>954710416.5480001</v>
      </c>
      <c r="S10" s="17">
        <f t="shared" si="4"/>
        <v>954710416.5480001</v>
      </c>
      <c r="T10" s="17">
        <f t="shared" si="4"/>
        <v>954710416.5480001</v>
      </c>
      <c r="U10" s="17">
        <f t="shared" si="4"/>
        <v>954710416.5480001</v>
      </c>
      <c r="V10" s="17">
        <f t="shared" si="4"/>
        <v>954710416.5480001</v>
      </c>
      <c r="W10" s="17">
        <f t="shared" si="4"/>
        <v>954710416.5480001</v>
      </c>
      <c r="X10" s="17">
        <f t="shared" si="4"/>
        <v>954710416.5480001</v>
      </c>
      <c r="Y10" s="17">
        <f t="shared" ref="Y10:Z10" si="5">Y6*Y7+Y8+Y9</f>
        <v>954710416.5480001</v>
      </c>
      <c r="Z10" s="17">
        <f t="shared" si="5"/>
        <v>1305894909.1280127</v>
      </c>
    </row>
    <row r="11" spans="2:26" x14ac:dyDescent="0.2">
      <c r="B11" s="18"/>
      <c r="C11" s="18"/>
      <c r="D11" s="19"/>
      <c r="E11" s="20"/>
      <c r="F11" s="20"/>
      <c r="G11" s="20"/>
      <c r="H11" s="20"/>
      <c r="I11" s="20"/>
      <c r="J11" s="20"/>
      <c r="K11" s="20"/>
      <c r="L11" s="20"/>
      <c r="M11" s="20"/>
      <c r="N11" s="20"/>
      <c r="O11" s="20"/>
      <c r="P11" s="20"/>
      <c r="Q11" s="20"/>
      <c r="R11" s="20"/>
      <c r="S11" s="20"/>
      <c r="T11" s="20"/>
      <c r="U11" s="20"/>
      <c r="V11" s="20"/>
      <c r="W11" s="20"/>
      <c r="X11" s="20"/>
      <c r="Y11" s="20"/>
      <c r="Z11" s="20"/>
    </row>
    <row r="12" spans="2:26" s="36" customFormat="1" x14ac:dyDescent="0.2">
      <c r="B12" s="21" t="s">
        <v>19</v>
      </c>
      <c r="C12" s="21"/>
      <c r="D12" s="9"/>
      <c r="E12" s="9"/>
      <c r="F12" s="10"/>
      <c r="G12" s="22"/>
      <c r="H12" s="22"/>
      <c r="I12" s="22"/>
      <c r="J12" s="22"/>
      <c r="K12" s="22"/>
      <c r="L12" s="22"/>
      <c r="M12" s="22"/>
      <c r="N12" s="22"/>
      <c r="O12" s="22"/>
      <c r="P12" s="22"/>
      <c r="Q12" s="22"/>
      <c r="R12" s="22"/>
      <c r="S12" s="22"/>
      <c r="T12" s="22"/>
      <c r="U12" s="22"/>
      <c r="V12" s="22"/>
      <c r="W12" s="22"/>
      <c r="X12" s="22"/>
      <c r="Y12" s="22"/>
      <c r="Z12" s="22"/>
    </row>
    <row r="13" spans="2:26" s="38" customFormat="1" x14ac:dyDescent="0.2">
      <c r="B13" s="11" t="s">
        <v>14</v>
      </c>
      <c r="C13" s="11"/>
      <c r="D13" s="146">
        <f>Parameters!$B$47*48.7%</f>
        <v>3420536957.729322</v>
      </c>
      <c r="E13" s="146">
        <f>Parameters!$B$47*51.3%</f>
        <v>3603152893.8709283</v>
      </c>
      <c r="F13" s="12"/>
      <c r="G13" s="12"/>
      <c r="H13" s="12"/>
      <c r="I13" s="12"/>
      <c r="J13" s="12"/>
      <c r="K13" s="12"/>
      <c r="L13" s="12"/>
      <c r="M13" s="12"/>
      <c r="N13" s="12"/>
      <c r="O13" s="12"/>
      <c r="P13" s="12"/>
      <c r="Q13" s="12"/>
      <c r="R13" s="12"/>
      <c r="S13" s="12"/>
      <c r="T13" s="12"/>
      <c r="U13" s="12"/>
      <c r="V13" s="12"/>
      <c r="W13" s="12"/>
      <c r="X13" s="12"/>
      <c r="Y13" s="12"/>
      <c r="Z13" s="12"/>
    </row>
    <row r="14" spans="2:26" x14ac:dyDescent="0.2">
      <c r="B14" s="11" t="s">
        <v>73</v>
      </c>
      <c r="C14" s="11"/>
      <c r="D14" s="12">
        <f>Calculation!E46</f>
        <v>731850</v>
      </c>
      <c r="E14" s="12">
        <f>Calculation!F46</f>
        <v>12546000</v>
      </c>
      <c r="F14" s="12">
        <f>Calculation!G46</f>
        <v>13173300</v>
      </c>
      <c r="G14" s="12">
        <f>Calculation!H46</f>
        <v>146431965</v>
      </c>
      <c r="H14" s="12">
        <f>Calculation!I46</f>
        <v>153753563.25</v>
      </c>
      <c r="I14" s="12">
        <f>Calculation!J46</f>
        <v>161441241.41249999</v>
      </c>
      <c r="J14" s="12">
        <f>Calculation!K46</f>
        <v>169513303.48312503</v>
      </c>
      <c r="K14" s="12">
        <f>Calculation!L46</f>
        <v>177988968.65728125</v>
      </c>
      <c r="L14" s="12">
        <f>Calculation!M46</f>
        <v>186888417.09014535</v>
      </c>
      <c r="M14" s="12">
        <f>Calculation!N46</f>
        <v>196232837.94465259</v>
      </c>
      <c r="N14" s="12">
        <f>Calculation!O46</f>
        <v>206044479.84188524</v>
      </c>
      <c r="O14" s="12">
        <f>Calculation!P46</f>
        <v>216346703.83397949</v>
      </c>
      <c r="P14" s="12">
        <f>Calculation!Q46</f>
        <v>227164039.02567846</v>
      </c>
      <c r="Q14" s="12">
        <f>Calculation!R46</f>
        <v>238522240.97696239</v>
      </c>
      <c r="R14" s="12">
        <f>Calculation!S46</f>
        <v>250448353.02581051</v>
      </c>
      <c r="S14" s="12">
        <f>Calculation!T46</f>
        <v>262970770.67710102</v>
      </c>
      <c r="T14" s="12">
        <f>Calculation!U46</f>
        <v>276119309.2109561</v>
      </c>
      <c r="U14" s="12">
        <f>Calculation!V46</f>
        <v>289925274.67150384</v>
      </c>
      <c r="V14" s="12">
        <f>Calculation!W46</f>
        <v>304421538.40507919</v>
      </c>
      <c r="W14" s="12">
        <f>Calculation!X46</f>
        <v>319642615.32533312</v>
      </c>
      <c r="X14" s="12">
        <f>Calculation!Y46</f>
        <v>335624746.09159976</v>
      </c>
      <c r="Y14" s="12">
        <f>Calculation!Z46</f>
        <v>352405983.39617974</v>
      </c>
      <c r="Z14" s="12">
        <f>Calculation!AA46</f>
        <v>370026282.56598878</v>
      </c>
    </row>
    <row r="15" spans="2:26" x14ac:dyDescent="0.2">
      <c r="B15" s="11" t="s">
        <v>30</v>
      </c>
      <c r="C15" s="11"/>
      <c r="D15" s="12">
        <f>Calculation!E52</f>
        <v>370416.66666666669</v>
      </c>
      <c r="E15" s="12">
        <f>Calculation!F52</f>
        <v>5621000</v>
      </c>
      <c r="F15" s="12">
        <f>Calculation!G52</f>
        <v>5789630</v>
      </c>
      <c r="G15" s="12">
        <f>Calculation!H52</f>
        <v>5963318.9000000004</v>
      </c>
      <c r="H15" s="12">
        <f>Calculation!I52</f>
        <v>6142218.4669999992</v>
      </c>
      <c r="I15" s="12">
        <f>Calculation!J52</f>
        <v>6326485.0210100003</v>
      </c>
      <c r="J15" s="12">
        <f>Calculation!K52</f>
        <v>6516279.5716402987</v>
      </c>
      <c r="K15" s="12">
        <f>Calculation!L52</f>
        <v>6711767.9587895079</v>
      </c>
      <c r="L15" s="12">
        <f>Calculation!M52</f>
        <v>6913120.9975531939</v>
      </c>
      <c r="M15" s="12">
        <f>Calculation!N52</f>
        <v>7120514.6274797888</v>
      </c>
      <c r="N15" s="12">
        <f>Calculation!O52</f>
        <v>7334130.0663041826</v>
      </c>
      <c r="O15" s="12">
        <f>Calculation!P52</f>
        <v>7554153.9682933083</v>
      </c>
      <c r="P15" s="12">
        <f>Calculation!Q52</f>
        <v>7780778.5873421086</v>
      </c>
      <c r="Q15" s="12">
        <f>Calculation!R52</f>
        <v>8014201.9449623702</v>
      </c>
      <c r="R15" s="12">
        <f>Calculation!S52</f>
        <v>8254628.0033112401</v>
      </c>
      <c r="S15" s="12">
        <f>Calculation!T52</f>
        <v>8502266.8434105795</v>
      </c>
      <c r="T15" s="12">
        <f>Calculation!U52</f>
        <v>8757334.8487128969</v>
      </c>
      <c r="U15" s="12">
        <f>Calculation!V52</f>
        <v>9020054.8941742815</v>
      </c>
      <c r="V15" s="12">
        <f>Calculation!W52</f>
        <v>9290656.5409995113</v>
      </c>
      <c r="W15" s="12">
        <f>Calculation!X52</f>
        <v>9569376.2372294962</v>
      </c>
      <c r="X15" s="12">
        <f>Calculation!Y52</f>
        <v>9856457.5243463814</v>
      </c>
      <c r="Y15" s="12">
        <f>Calculation!Z52</f>
        <v>10152151.250076773</v>
      </c>
      <c r="Z15" s="12">
        <f>Calculation!AA52</f>
        <v>10456715.787579075</v>
      </c>
    </row>
    <row r="16" spans="2:26" x14ac:dyDescent="0.2">
      <c r="B16" s="11" t="s">
        <v>31</v>
      </c>
      <c r="C16" s="11"/>
      <c r="D16" s="12">
        <f>Calculation!E57</f>
        <v>77117.676160958916</v>
      </c>
      <c r="E16" s="12">
        <f>Calculation!F57</f>
        <v>1681081.9769556457</v>
      </c>
      <c r="F16" s="12">
        <f>Calculation!G57</f>
        <v>2104283.9347650823</v>
      </c>
      <c r="G16" s="12">
        <f>Calculation!H57</f>
        <v>2136477.4302900005</v>
      </c>
      <c r="H16" s="12">
        <f>Calculation!I57</f>
        <v>2136477.4302900005</v>
      </c>
      <c r="I16" s="12">
        <f>Calculation!J57</f>
        <v>2136477.4302900005</v>
      </c>
      <c r="J16" s="12">
        <f>Calculation!K57</f>
        <v>2136477.4302900005</v>
      </c>
      <c r="K16" s="12">
        <f>Calculation!L57</f>
        <v>2136477.4302900005</v>
      </c>
      <c r="L16" s="12">
        <f>Calculation!M57</f>
        <v>2136477.4302900005</v>
      </c>
      <c r="M16" s="12">
        <f>Calculation!N57</f>
        <v>2136477.4302900005</v>
      </c>
      <c r="N16" s="12">
        <f>Calculation!O57</f>
        <v>2136477.4302900005</v>
      </c>
      <c r="O16" s="12">
        <f>Calculation!P57</f>
        <v>2136477.4302900005</v>
      </c>
      <c r="P16" s="12">
        <f>Calculation!Q57</f>
        <v>2136477.4302900005</v>
      </c>
      <c r="Q16" s="12">
        <f>Calculation!R57</f>
        <v>2136477.4302900005</v>
      </c>
      <c r="R16" s="12">
        <f>Calculation!S57</f>
        <v>2136477.4302900005</v>
      </c>
      <c r="S16" s="12">
        <f>Calculation!T57</f>
        <v>2136477.4302900005</v>
      </c>
      <c r="T16" s="12">
        <f>Calculation!U57</f>
        <v>2136477.4302900005</v>
      </c>
      <c r="U16" s="12">
        <f>Calculation!V57</f>
        <v>2136477.4302900005</v>
      </c>
      <c r="V16" s="12">
        <f>Calculation!W57</f>
        <v>2136477.4302900005</v>
      </c>
      <c r="W16" s="12">
        <f>Calculation!X57</f>
        <v>2136477.4302900005</v>
      </c>
      <c r="X16" s="12">
        <f>Calculation!Y57</f>
        <v>2136477.4302900005</v>
      </c>
      <c r="Y16" s="12">
        <f>Calculation!Z57</f>
        <v>2136477.4302900005</v>
      </c>
      <c r="Z16" s="12">
        <f>Calculation!AA57</f>
        <v>2136477.4302900005</v>
      </c>
    </row>
    <row r="17" spans="2:26" x14ac:dyDescent="0.2">
      <c r="B17" s="11" t="s">
        <v>32</v>
      </c>
      <c r="C17" s="23"/>
      <c r="D17" s="24">
        <f>Tax!D20</f>
        <v>1470188.7760453885</v>
      </c>
      <c r="E17" s="24">
        <f>Tax!E20</f>
        <v>163596191.31245422</v>
      </c>
      <c r="F17" s="24">
        <f>Tax!F20</f>
        <v>177636951.55692837</v>
      </c>
      <c r="G17" s="24">
        <f>Tax!G20</f>
        <v>138753214.47559202</v>
      </c>
      <c r="H17" s="24">
        <f>Tax!H20</f>
        <v>136261736.61323008</v>
      </c>
      <c r="I17" s="24">
        <f>Tax!I20</f>
        <v>109939144.0021698</v>
      </c>
      <c r="J17" s="24">
        <f>Tax!J20</f>
        <v>86361629.831269085</v>
      </c>
      <c r="K17" s="24">
        <f>Tax!K20</f>
        <v>83705816.899078935</v>
      </c>
      <c r="L17" s="24">
        <f>Tax!L20</f>
        <v>81891981.661776155</v>
      </c>
      <c r="M17" s="24">
        <f>Tax!M20</f>
        <v>79988257.275956079</v>
      </c>
      <c r="N17" s="24">
        <f>Tax!N20</f>
        <v>77990173.362593234</v>
      </c>
      <c r="O17" s="24">
        <f>Tax!O20</f>
        <v>75893036.746062934</v>
      </c>
      <c r="P17" s="24">
        <f>Tax!P20</f>
        <v>73691920.335981831</v>
      </c>
      <c r="Q17" s="24">
        <f>Tax!Q20</f>
        <v>71381651.453790694</v>
      </c>
      <c r="R17" s="24">
        <f ca="1">Tax!R20</f>
        <v>186141946.14469975</v>
      </c>
      <c r="S17" s="24">
        <f ca="1">Tax!S20</f>
        <v>226244691.98804942</v>
      </c>
      <c r="T17" s="24">
        <f ca="1">Tax!T20</f>
        <v>221792348.98590481</v>
      </c>
      <c r="U17" s="24">
        <f ca="1">Tax!U20</f>
        <v>217119083.37794623</v>
      </c>
      <c r="V17" s="24">
        <f ca="1">Tax!V20</f>
        <v>212213899.87021163</v>
      </c>
      <c r="W17" s="24">
        <f ca="1">Tax!W20</f>
        <v>207065254.92913112</v>
      </c>
      <c r="X17" s="24">
        <f ca="1">Tax!X20</f>
        <v>201661029.41529843</v>
      </c>
      <c r="Y17" s="24">
        <f ca="1">Tax!Y20</f>
        <v>195988499.85030511</v>
      </c>
      <c r="Z17" s="24">
        <f ca="1">Tax!Z20</f>
        <v>190034308.24832895</v>
      </c>
    </row>
    <row r="18" spans="2:26" s="40" customFormat="1" x14ac:dyDescent="0.2">
      <c r="B18" s="16" t="s">
        <v>18</v>
      </c>
      <c r="C18" s="16"/>
      <c r="D18" s="17">
        <f>SUM(D13:D17)</f>
        <v>3423186530.8481946</v>
      </c>
      <c r="E18" s="17">
        <f t="shared" ref="E18:X18" si="6">SUM(E13:E17)</f>
        <v>3786597167.1603379</v>
      </c>
      <c r="F18" s="17">
        <f t="shared" si="6"/>
        <v>198704165.49169344</v>
      </c>
      <c r="G18" s="17">
        <f t="shared" si="6"/>
        <v>293284975.80588204</v>
      </c>
      <c r="H18" s="17">
        <f t="shared" si="6"/>
        <v>298293995.7605201</v>
      </c>
      <c r="I18" s="17">
        <f t="shared" si="6"/>
        <v>279843347.86596984</v>
      </c>
      <c r="J18" s="17">
        <f t="shared" si="6"/>
        <v>264527690.31632444</v>
      </c>
      <c r="K18" s="17">
        <f t="shared" si="6"/>
        <v>270543030.9454397</v>
      </c>
      <c r="L18" s="17">
        <f t="shared" si="6"/>
        <v>277829997.17976475</v>
      </c>
      <c r="M18" s="17">
        <f t="shared" si="6"/>
        <v>285478087.27837849</v>
      </c>
      <c r="N18" s="17">
        <f t="shared" si="6"/>
        <v>293505260.70107269</v>
      </c>
      <c r="O18" s="17">
        <f t="shared" si="6"/>
        <v>301930371.97862577</v>
      </c>
      <c r="P18" s="17">
        <f t="shared" si="6"/>
        <v>310773215.37929243</v>
      </c>
      <c r="Q18" s="17">
        <f t="shared" si="6"/>
        <v>320054571.80600548</v>
      </c>
      <c r="R18" s="17">
        <f t="shared" ca="1" si="6"/>
        <v>446981404.60411155</v>
      </c>
      <c r="S18" s="17">
        <f t="shared" ca="1" si="6"/>
        <v>499854206.938851</v>
      </c>
      <c r="T18" s="17">
        <f t="shared" ca="1" si="6"/>
        <v>508805470.47586381</v>
      </c>
      <c r="U18" s="17">
        <f t="shared" ca="1" si="6"/>
        <v>518200890.37391436</v>
      </c>
      <c r="V18" s="17">
        <f t="shared" ca="1" si="6"/>
        <v>528062572.24658036</v>
      </c>
      <c r="W18" s="17">
        <f t="shared" ca="1" si="6"/>
        <v>538413723.92198372</v>
      </c>
      <c r="X18" s="17">
        <f t="shared" ca="1" si="6"/>
        <v>549278710.46153462</v>
      </c>
      <c r="Y18" s="17">
        <f t="shared" ref="Y18:Z18" ca="1" si="7">SUM(Y13:Y17)</f>
        <v>560683111.92685163</v>
      </c>
      <c r="Z18" s="17">
        <f t="shared" ca="1" si="7"/>
        <v>572653784.03218675</v>
      </c>
    </row>
    <row r="19" spans="2:26" s="38" customFormat="1" x14ac:dyDescent="0.2">
      <c r="B19" s="21" t="s">
        <v>20</v>
      </c>
      <c r="C19" s="21"/>
      <c r="D19" s="25">
        <f>D10-D18</f>
        <v>-3417581200.0131702</v>
      </c>
      <c r="E19" s="25">
        <f t="shared" ref="E19:X19" si="8">E10-E18</f>
        <v>-2929878402.3352432</v>
      </c>
      <c r="F19" s="25">
        <f>F10-F18</f>
        <v>873688233.06222701</v>
      </c>
      <c r="G19" s="25">
        <f t="shared" si="8"/>
        <v>795513982.39211822</v>
      </c>
      <c r="H19" s="25">
        <f t="shared" si="8"/>
        <v>790504962.43748009</v>
      </c>
      <c r="I19" s="25">
        <f t="shared" si="8"/>
        <v>737584407.27685308</v>
      </c>
      <c r="J19" s="25">
        <f t="shared" si="8"/>
        <v>690182726.23167562</v>
      </c>
      <c r="K19" s="25">
        <f t="shared" si="8"/>
        <v>684167385.6025604</v>
      </c>
      <c r="L19" s="25">
        <f t="shared" si="8"/>
        <v>676880419.36823535</v>
      </c>
      <c r="M19" s="25">
        <f t="shared" si="8"/>
        <v>669232329.26962161</v>
      </c>
      <c r="N19" s="25">
        <f t="shared" si="8"/>
        <v>661205155.8469274</v>
      </c>
      <c r="O19" s="25">
        <f t="shared" si="8"/>
        <v>652780044.56937432</v>
      </c>
      <c r="P19" s="25">
        <f t="shared" si="8"/>
        <v>643937201.16870761</v>
      </c>
      <c r="Q19" s="25">
        <f t="shared" si="8"/>
        <v>634655844.74199462</v>
      </c>
      <c r="R19" s="25">
        <f t="shared" ca="1" si="8"/>
        <v>507729011.94388855</v>
      </c>
      <c r="S19" s="25">
        <f t="shared" ca="1" si="8"/>
        <v>454856209.6091491</v>
      </c>
      <c r="T19" s="25">
        <f t="shared" ca="1" si="8"/>
        <v>445904946.07213628</v>
      </c>
      <c r="U19" s="25">
        <f t="shared" ca="1" si="8"/>
        <v>436509526.17408574</v>
      </c>
      <c r="V19" s="25">
        <f t="shared" ca="1" si="8"/>
        <v>426647844.30141973</v>
      </c>
      <c r="W19" s="25">
        <f t="shared" ca="1" si="8"/>
        <v>416296692.62601638</v>
      </c>
      <c r="X19" s="25">
        <f t="shared" ca="1" si="8"/>
        <v>405431706.08646548</v>
      </c>
      <c r="Y19" s="25">
        <f t="shared" ref="Y19:Z19" ca="1" si="9">Y10-Y18</f>
        <v>394027304.62114847</v>
      </c>
      <c r="Z19" s="25">
        <f t="shared" ca="1" si="9"/>
        <v>733241125.09582591</v>
      </c>
    </row>
    <row r="20" spans="2:26" s="41" customFormat="1" x14ac:dyDescent="0.2">
      <c r="B20" s="21" t="s">
        <v>21</v>
      </c>
      <c r="C20" s="26">
        <f ca="1">IRR(D19:Z19)</f>
        <v>8.0244596883492836E-2</v>
      </c>
      <c r="D20" s="27"/>
      <c r="E20" s="27"/>
      <c r="F20" s="27"/>
      <c r="G20" s="27"/>
      <c r="H20" s="27"/>
      <c r="I20" s="27"/>
      <c r="J20" s="28"/>
      <c r="K20" s="28"/>
      <c r="L20" s="28"/>
      <c r="M20" s="28"/>
      <c r="N20" s="28"/>
      <c r="O20" s="28"/>
      <c r="P20" s="28"/>
      <c r="Q20" s="28"/>
      <c r="R20" s="28"/>
      <c r="S20" s="28"/>
      <c r="T20" s="28"/>
      <c r="U20" s="28"/>
      <c r="V20" s="28"/>
      <c r="W20" s="28"/>
      <c r="X20" s="28"/>
      <c r="Y20" s="28"/>
      <c r="Z20" s="28"/>
    </row>
    <row r="22" spans="2:26" x14ac:dyDescent="0.2">
      <c r="B22" s="153" t="s">
        <v>168</v>
      </c>
    </row>
    <row r="24" spans="2:26" x14ac:dyDescent="0.2">
      <c r="B24" s="1" t="s">
        <v>172</v>
      </c>
      <c r="E24" s="76"/>
    </row>
    <row r="25" spans="2:26" x14ac:dyDescent="0.2">
      <c r="B25" s="152" t="s">
        <v>174</v>
      </c>
      <c r="E25" s="76"/>
    </row>
    <row r="26" spans="2:26" x14ac:dyDescent="0.2">
      <c r="B26" s="152" t="s">
        <v>175</v>
      </c>
    </row>
    <row r="27" spans="2:26" x14ac:dyDescent="0.2">
      <c r="B27" s="152" t="s">
        <v>176</v>
      </c>
    </row>
    <row r="28" spans="2:26" x14ac:dyDescent="0.2">
      <c r="B28" s="1" t="s">
        <v>177</v>
      </c>
    </row>
    <row r="29" spans="2:26" x14ac:dyDescent="0.2">
      <c r="B29" s="1" t="s">
        <v>178</v>
      </c>
    </row>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45"/>
  <sheetViews>
    <sheetView showGridLines="0" workbookViewId="0">
      <pane xSplit="2" ySplit="4" topLeftCell="C5" activePane="bottomRight" state="frozen"/>
      <selection pane="topRight"/>
      <selection pane="bottomLeft"/>
      <selection pane="bottomRight" activeCell="A30" sqref="A30"/>
    </sheetView>
  </sheetViews>
  <sheetFormatPr defaultColWidth="9.140625" defaultRowHeight="12.75" x14ac:dyDescent="0.2"/>
  <cols>
    <col min="1" max="1" width="2.5703125" style="37" customWidth="1"/>
    <col min="2" max="2" width="37" style="1" customWidth="1"/>
    <col min="3" max="3" width="16.140625" style="3" bestFit="1" customWidth="1"/>
    <col min="4" max="25" width="16.140625" style="3" customWidth="1"/>
    <col min="26" max="27" width="16.140625" style="37" customWidth="1"/>
    <col min="28" max="16384" width="9.140625" style="37"/>
  </cols>
  <sheetData>
    <row r="2" spans="2:27" s="36" customFormat="1" x14ac:dyDescent="0.2">
      <c r="B2" s="4" t="s">
        <v>1</v>
      </c>
      <c r="C2" s="4"/>
      <c r="D2" s="4"/>
      <c r="E2" s="5">
        <v>0</v>
      </c>
      <c r="F2" s="5">
        <f>E2+1</f>
        <v>1</v>
      </c>
      <c r="G2" s="5">
        <f t="shared" ref="G2:AA3" si="0">F2+1</f>
        <v>2</v>
      </c>
      <c r="H2" s="5">
        <f t="shared" si="0"/>
        <v>3</v>
      </c>
      <c r="I2" s="5">
        <f t="shared" si="0"/>
        <v>4</v>
      </c>
      <c r="J2" s="5">
        <f t="shared" si="0"/>
        <v>5</v>
      </c>
      <c r="K2" s="5">
        <f t="shared" si="0"/>
        <v>6</v>
      </c>
      <c r="L2" s="5">
        <f t="shared" si="0"/>
        <v>7</v>
      </c>
      <c r="M2" s="5">
        <f t="shared" si="0"/>
        <v>8</v>
      </c>
      <c r="N2" s="5">
        <f t="shared" si="0"/>
        <v>9</v>
      </c>
      <c r="O2" s="5">
        <f t="shared" si="0"/>
        <v>10</v>
      </c>
      <c r="P2" s="5">
        <f t="shared" si="0"/>
        <v>11</v>
      </c>
      <c r="Q2" s="5">
        <f t="shared" si="0"/>
        <v>12</v>
      </c>
      <c r="R2" s="5">
        <f t="shared" si="0"/>
        <v>13</v>
      </c>
      <c r="S2" s="5">
        <f t="shared" si="0"/>
        <v>14</v>
      </c>
      <c r="T2" s="5">
        <f t="shared" si="0"/>
        <v>15</v>
      </c>
      <c r="U2" s="5">
        <f t="shared" si="0"/>
        <v>16</v>
      </c>
      <c r="V2" s="5">
        <f t="shared" si="0"/>
        <v>17</v>
      </c>
      <c r="W2" s="5">
        <f t="shared" si="0"/>
        <v>18</v>
      </c>
      <c r="X2" s="5">
        <f t="shared" si="0"/>
        <v>19</v>
      </c>
      <c r="Y2" s="5">
        <f t="shared" si="0"/>
        <v>20</v>
      </c>
      <c r="Z2" s="5">
        <f t="shared" si="0"/>
        <v>21</v>
      </c>
      <c r="AA2" s="5">
        <f t="shared" si="0"/>
        <v>22</v>
      </c>
    </row>
    <row r="3" spans="2:27" s="36" customFormat="1" x14ac:dyDescent="0.2">
      <c r="B3" s="4" t="s">
        <v>0</v>
      </c>
      <c r="C3" s="4"/>
      <c r="D3" s="4"/>
      <c r="E3" s="5">
        <v>2011</v>
      </c>
      <c r="F3" s="5">
        <f>E3+1</f>
        <v>2012</v>
      </c>
      <c r="G3" s="5">
        <f t="shared" si="0"/>
        <v>2013</v>
      </c>
      <c r="H3" s="5">
        <f t="shared" si="0"/>
        <v>2014</v>
      </c>
      <c r="I3" s="5">
        <f t="shared" si="0"/>
        <v>2015</v>
      </c>
      <c r="J3" s="5">
        <f t="shared" si="0"/>
        <v>2016</v>
      </c>
      <c r="K3" s="5">
        <f t="shared" si="0"/>
        <v>2017</v>
      </c>
      <c r="L3" s="5">
        <f t="shared" si="0"/>
        <v>2018</v>
      </c>
      <c r="M3" s="5">
        <f t="shared" si="0"/>
        <v>2019</v>
      </c>
      <c r="N3" s="5">
        <f t="shared" si="0"/>
        <v>2020</v>
      </c>
      <c r="O3" s="5">
        <f t="shared" si="0"/>
        <v>2021</v>
      </c>
      <c r="P3" s="5">
        <f t="shared" si="0"/>
        <v>2022</v>
      </c>
      <c r="Q3" s="5">
        <f t="shared" si="0"/>
        <v>2023</v>
      </c>
      <c r="R3" s="5">
        <f t="shared" si="0"/>
        <v>2024</v>
      </c>
      <c r="S3" s="5">
        <f t="shared" si="0"/>
        <v>2025</v>
      </c>
      <c r="T3" s="5">
        <f t="shared" si="0"/>
        <v>2026</v>
      </c>
      <c r="U3" s="5">
        <f t="shared" si="0"/>
        <v>2027</v>
      </c>
      <c r="V3" s="5">
        <f t="shared" si="0"/>
        <v>2028</v>
      </c>
      <c r="W3" s="5">
        <f t="shared" si="0"/>
        <v>2029</v>
      </c>
      <c r="X3" s="5">
        <f t="shared" si="0"/>
        <v>2030</v>
      </c>
      <c r="Y3" s="5">
        <f t="shared" si="0"/>
        <v>2031</v>
      </c>
      <c r="Z3" s="5">
        <f t="shared" si="0"/>
        <v>2032</v>
      </c>
      <c r="AA3" s="5">
        <f t="shared" si="0"/>
        <v>2033</v>
      </c>
    </row>
    <row r="4" spans="2:27" s="36" customFormat="1" x14ac:dyDescent="0.2">
      <c r="B4" s="4" t="s">
        <v>107</v>
      </c>
      <c r="C4" s="64"/>
      <c r="D4" s="64">
        <v>40268</v>
      </c>
      <c r="E4" s="62">
        <v>40633</v>
      </c>
      <c r="F4" s="62">
        <v>40999</v>
      </c>
      <c r="G4" s="62">
        <v>41364</v>
      </c>
      <c r="H4" s="62">
        <v>41729</v>
      </c>
      <c r="I4" s="62">
        <v>42094</v>
      </c>
      <c r="J4" s="62">
        <v>42460</v>
      </c>
      <c r="K4" s="62">
        <v>42825</v>
      </c>
      <c r="L4" s="62">
        <v>43190</v>
      </c>
      <c r="M4" s="62">
        <v>43555</v>
      </c>
      <c r="N4" s="62">
        <v>43921</v>
      </c>
      <c r="O4" s="62">
        <v>44286</v>
      </c>
      <c r="P4" s="62">
        <v>44651</v>
      </c>
      <c r="Q4" s="62">
        <v>45016</v>
      </c>
      <c r="R4" s="62">
        <v>45382</v>
      </c>
      <c r="S4" s="62">
        <v>45747</v>
      </c>
      <c r="T4" s="62">
        <v>46112</v>
      </c>
      <c r="U4" s="62">
        <v>46477</v>
      </c>
      <c r="V4" s="62">
        <v>46843</v>
      </c>
      <c r="W4" s="62">
        <v>47208</v>
      </c>
      <c r="X4" s="62">
        <v>47573</v>
      </c>
      <c r="Y4" s="62">
        <v>47938</v>
      </c>
      <c r="Z4" s="62">
        <v>48304</v>
      </c>
      <c r="AA4" s="62">
        <v>48669</v>
      </c>
    </row>
    <row r="5" spans="2:27" x14ac:dyDescent="0.2">
      <c r="C5" s="37"/>
      <c r="D5" s="1"/>
      <c r="Z5" s="3"/>
      <c r="AA5" s="3"/>
    </row>
    <row r="6" spans="2:27" ht="25.5" x14ac:dyDescent="0.2">
      <c r="B6" s="63" t="s">
        <v>111</v>
      </c>
      <c r="C6" s="71" t="s">
        <v>113</v>
      </c>
      <c r="D6" s="67" t="s">
        <v>108</v>
      </c>
      <c r="E6" s="60"/>
      <c r="Z6" s="3"/>
      <c r="AA6" s="3"/>
    </row>
    <row r="7" spans="2:27" x14ac:dyDescent="0.2">
      <c r="B7" s="6" t="s">
        <v>98</v>
      </c>
      <c r="C7" s="70">
        <v>5</v>
      </c>
      <c r="D7" s="61">
        <v>40613</v>
      </c>
      <c r="E7" s="66">
        <f>IF($D7&lt;=E$4,MIN(E$4-$D7,E$4-D$4,365),0)</f>
        <v>20</v>
      </c>
      <c r="F7" s="66">
        <f t="shared" ref="F7:AA7" si="1">IF($D7&lt;=F$4,MIN(F$4-$D7,F$4-E$4,365),0)</f>
        <v>365</v>
      </c>
      <c r="G7" s="66">
        <f t="shared" si="1"/>
        <v>365</v>
      </c>
      <c r="H7" s="66">
        <f t="shared" si="1"/>
        <v>365</v>
      </c>
      <c r="I7" s="66">
        <f t="shared" si="1"/>
        <v>365</v>
      </c>
      <c r="J7" s="66">
        <f t="shared" si="1"/>
        <v>365</v>
      </c>
      <c r="K7" s="66">
        <f t="shared" si="1"/>
        <v>365</v>
      </c>
      <c r="L7" s="66">
        <f t="shared" si="1"/>
        <v>365</v>
      </c>
      <c r="M7" s="66">
        <f t="shared" si="1"/>
        <v>365</v>
      </c>
      <c r="N7" s="66">
        <f t="shared" si="1"/>
        <v>365</v>
      </c>
      <c r="O7" s="66">
        <f t="shared" si="1"/>
        <v>365</v>
      </c>
      <c r="P7" s="66">
        <f t="shared" si="1"/>
        <v>365</v>
      </c>
      <c r="Q7" s="66">
        <f t="shared" si="1"/>
        <v>365</v>
      </c>
      <c r="R7" s="66">
        <f t="shared" si="1"/>
        <v>365</v>
      </c>
      <c r="S7" s="66">
        <f t="shared" si="1"/>
        <v>365</v>
      </c>
      <c r="T7" s="66">
        <f t="shared" si="1"/>
        <v>365</v>
      </c>
      <c r="U7" s="66">
        <f t="shared" si="1"/>
        <v>365</v>
      </c>
      <c r="V7" s="66">
        <f t="shared" si="1"/>
        <v>365</v>
      </c>
      <c r="W7" s="66">
        <f t="shared" si="1"/>
        <v>365</v>
      </c>
      <c r="X7" s="66">
        <f t="shared" si="1"/>
        <v>365</v>
      </c>
      <c r="Y7" s="66">
        <f t="shared" si="1"/>
        <v>365</v>
      </c>
      <c r="Z7" s="66">
        <f t="shared" si="1"/>
        <v>365</v>
      </c>
      <c r="AA7" s="66">
        <f t="shared" si="1"/>
        <v>365</v>
      </c>
    </row>
    <row r="8" spans="2:27" x14ac:dyDescent="0.2">
      <c r="B8" s="6" t="s">
        <v>97</v>
      </c>
      <c r="C8" s="70">
        <v>5</v>
      </c>
      <c r="D8" s="61">
        <v>40641</v>
      </c>
      <c r="E8" s="66">
        <f t="shared" ref="E8:AA8" si="2">IF($D8&lt;=E$4,MIN(E$4-$D8,E$4-D$4,365),0)</f>
        <v>0</v>
      </c>
      <c r="F8" s="66">
        <f t="shared" si="2"/>
        <v>358</v>
      </c>
      <c r="G8" s="66">
        <f t="shared" si="2"/>
        <v>365</v>
      </c>
      <c r="H8" s="66">
        <f t="shared" si="2"/>
        <v>365</v>
      </c>
      <c r="I8" s="66">
        <f t="shared" si="2"/>
        <v>365</v>
      </c>
      <c r="J8" s="66">
        <f t="shared" si="2"/>
        <v>365</v>
      </c>
      <c r="K8" s="66">
        <f t="shared" si="2"/>
        <v>365</v>
      </c>
      <c r="L8" s="66">
        <f t="shared" si="2"/>
        <v>365</v>
      </c>
      <c r="M8" s="66">
        <f t="shared" si="2"/>
        <v>365</v>
      </c>
      <c r="N8" s="66">
        <f t="shared" si="2"/>
        <v>365</v>
      </c>
      <c r="O8" s="66">
        <f t="shared" si="2"/>
        <v>365</v>
      </c>
      <c r="P8" s="66">
        <f t="shared" si="2"/>
        <v>365</v>
      </c>
      <c r="Q8" s="66">
        <f t="shared" si="2"/>
        <v>365</v>
      </c>
      <c r="R8" s="66">
        <f t="shared" si="2"/>
        <v>365</v>
      </c>
      <c r="S8" s="66">
        <f t="shared" si="2"/>
        <v>365</v>
      </c>
      <c r="T8" s="66">
        <f t="shared" si="2"/>
        <v>365</v>
      </c>
      <c r="U8" s="66">
        <f t="shared" si="2"/>
        <v>365</v>
      </c>
      <c r="V8" s="66">
        <f t="shared" si="2"/>
        <v>365</v>
      </c>
      <c r="W8" s="66">
        <f t="shared" si="2"/>
        <v>365</v>
      </c>
      <c r="X8" s="66">
        <f t="shared" si="2"/>
        <v>365</v>
      </c>
      <c r="Y8" s="66">
        <f t="shared" si="2"/>
        <v>365</v>
      </c>
      <c r="Z8" s="66">
        <f t="shared" si="2"/>
        <v>365</v>
      </c>
      <c r="AA8" s="66">
        <f t="shared" si="2"/>
        <v>365</v>
      </c>
    </row>
    <row r="9" spans="2:27" x14ac:dyDescent="0.2">
      <c r="B9" s="6" t="s">
        <v>99</v>
      </c>
      <c r="C9" s="70">
        <v>5</v>
      </c>
      <c r="D9" s="61">
        <v>40661</v>
      </c>
      <c r="E9" s="66">
        <f t="shared" ref="E9:AA9" si="3">IF($D9&lt;=E$4,MIN(E$4-$D9,E$4-D$4,365),0)</f>
        <v>0</v>
      </c>
      <c r="F9" s="66">
        <f t="shared" si="3"/>
        <v>338</v>
      </c>
      <c r="G9" s="66">
        <f t="shared" si="3"/>
        <v>365</v>
      </c>
      <c r="H9" s="66">
        <f t="shared" si="3"/>
        <v>365</v>
      </c>
      <c r="I9" s="66">
        <f t="shared" si="3"/>
        <v>365</v>
      </c>
      <c r="J9" s="66">
        <f t="shared" si="3"/>
        <v>365</v>
      </c>
      <c r="K9" s="66">
        <f t="shared" si="3"/>
        <v>365</v>
      </c>
      <c r="L9" s="66">
        <f t="shared" si="3"/>
        <v>365</v>
      </c>
      <c r="M9" s="66">
        <f t="shared" si="3"/>
        <v>365</v>
      </c>
      <c r="N9" s="66">
        <f t="shared" si="3"/>
        <v>365</v>
      </c>
      <c r="O9" s="66">
        <f t="shared" si="3"/>
        <v>365</v>
      </c>
      <c r="P9" s="66">
        <f t="shared" si="3"/>
        <v>365</v>
      </c>
      <c r="Q9" s="66">
        <f t="shared" si="3"/>
        <v>365</v>
      </c>
      <c r="R9" s="66">
        <f t="shared" si="3"/>
        <v>365</v>
      </c>
      <c r="S9" s="66">
        <f t="shared" si="3"/>
        <v>365</v>
      </c>
      <c r="T9" s="66">
        <f t="shared" si="3"/>
        <v>365</v>
      </c>
      <c r="U9" s="66">
        <f t="shared" si="3"/>
        <v>365</v>
      </c>
      <c r="V9" s="66">
        <f t="shared" si="3"/>
        <v>365</v>
      </c>
      <c r="W9" s="66">
        <f t="shared" si="3"/>
        <v>365</v>
      </c>
      <c r="X9" s="66">
        <f t="shared" si="3"/>
        <v>365</v>
      </c>
      <c r="Y9" s="66">
        <f t="shared" si="3"/>
        <v>365</v>
      </c>
      <c r="Z9" s="66">
        <f t="shared" si="3"/>
        <v>365</v>
      </c>
      <c r="AA9" s="66">
        <f t="shared" si="3"/>
        <v>365</v>
      </c>
    </row>
    <row r="10" spans="2:27" x14ac:dyDescent="0.2">
      <c r="B10" s="6" t="s">
        <v>100</v>
      </c>
      <c r="C10" s="70">
        <v>5</v>
      </c>
      <c r="D10" s="61">
        <v>40673</v>
      </c>
      <c r="E10" s="66">
        <f t="shared" ref="E10:AA10" si="4">IF($D10&lt;=E$4,MIN(E$4-$D10,E$4-D$4,365),0)</f>
        <v>0</v>
      </c>
      <c r="F10" s="66">
        <f t="shared" si="4"/>
        <v>326</v>
      </c>
      <c r="G10" s="66">
        <f t="shared" si="4"/>
        <v>365</v>
      </c>
      <c r="H10" s="66">
        <f t="shared" si="4"/>
        <v>365</v>
      </c>
      <c r="I10" s="66">
        <f t="shared" si="4"/>
        <v>365</v>
      </c>
      <c r="J10" s="66">
        <f t="shared" si="4"/>
        <v>365</v>
      </c>
      <c r="K10" s="66">
        <f t="shared" si="4"/>
        <v>365</v>
      </c>
      <c r="L10" s="66">
        <f t="shared" si="4"/>
        <v>365</v>
      </c>
      <c r="M10" s="66">
        <f t="shared" si="4"/>
        <v>365</v>
      </c>
      <c r="N10" s="66">
        <f t="shared" si="4"/>
        <v>365</v>
      </c>
      <c r="O10" s="66">
        <f t="shared" si="4"/>
        <v>365</v>
      </c>
      <c r="P10" s="66">
        <f t="shared" si="4"/>
        <v>365</v>
      </c>
      <c r="Q10" s="66">
        <f t="shared" si="4"/>
        <v>365</v>
      </c>
      <c r="R10" s="66">
        <f t="shared" si="4"/>
        <v>365</v>
      </c>
      <c r="S10" s="66">
        <f t="shared" si="4"/>
        <v>365</v>
      </c>
      <c r="T10" s="66">
        <f t="shared" si="4"/>
        <v>365</v>
      </c>
      <c r="U10" s="66">
        <f t="shared" si="4"/>
        <v>365</v>
      </c>
      <c r="V10" s="66">
        <f t="shared" si="4"/>
        <v>365</v>
      </c>
      <c r="W10" s="66">
        <f t="shared" si="4"/>
        <v>365</v>
      </c>
      <c r="X10" s="66">
        <f t="shared" si="4"/>
        <v>365</v>
      </c>
      <c r="Y10" s="66">
        <f t="shared" si="4"/>
        <v>365</v>
      </c>
      <c r="Z10" s="66">
        <f t="shared" si="4"/>
        <v>365</v>
      </c>
      <c r="AA10" s="66">
        <f t="shared" si="4"/>
        <v>365</v>
      </c>
    </row>
    <row r="11" spans="2:27" x14ac:dyDescent="0.2">
      <c r="B11" s="6" t="s">
        <v>101</v>
      </c>
      <c r="C11" s="70">
        <v>5</v>
      </c>
      <c r="D11" s="61">
        <v>40692</v>
      </c>
      <c r="E11" s="66">
        <f t="shared" ref="E11:AA11" si="5">IF($D11&lt;=E$4,MIN(E$4-$D11,E$4-D$4,365),0)</f>
        <v>0</v>
      </c>
      <c r="F11" s="66">
        <f t="shared" si="5"/>
        <v>307</v>
      </c>
      <c r="G11" s="66">
        <f t="shared" si="5"/>
        <v>365</v>
      </c>
      <c r="H11" s="66">
        <f t="shared" si="5"/>
        <v>365</v>
      </c>
      <c r="I11" s="66">
        <f t="shared" si="5"/>
        <v>365</v>
      </c>
      <c r="J11" s="66">
        <f t="shared" si="5"/>
        <v>365</v>
      </c>
      <c r="K11" s="66">
        <f t="shared" si="5"/>
        <v>365</v>
      </c>
      <c r="L11" s="66">
        <f t="shared" si="5"/>
        <v>365</v>
      </c>
      <c r="M11" s="66">
        <f t="shared" si="5"/>
        <v>365</v>
      </c>
      <c r="N11" s="66">
        <f t="shared" si="5"/>
        <v>365</v>
      </c>
      <c r="O11" s="66">
        <f t="shared" si="5"/>
        <v>365</v>
      </c>
      <c r="P11" s="66">
        <f t="shared" si="5"/>
        <v>365</v>
      </c>
      <c r="Q11" s="66">
        <f t="shared" si="5"/>
        <v>365</v>
      </c>
      <c r="R11" s="66">
        <f t="shared" si="5"/>
        <v>365</v>
      </c>
      <c r="S11" s="66">
        <f t="shared" si="5"/>
        <v>365</v>
      </c>
      <c r="T11" s="66">
        <f t="shared" si="5"/>
        <v>365</v>
      </c>
      <c r="U11" s="66">
        <f t="shared" si="5"/>
        <v>365</v>
      </c>
      <c r="V11" s="66">
        <f t="shared" si="5"/>
        <v>365</v>
      </c>
      <c r="W11" s="66">
        <f t="shared" si="5"/>
        <v>365</v>
      </c>
      <c r="X11" s="66">
        <f t="shared" si="5"/>
        <v>365</v>
      </c>
      <c r="Y11" s="66">
        <f t="shared" si="5"/>
        <v>365</v>
      </c>
      <c r="Z11" s="66">
        <f t="shared" si="5"/>
        <v>365</v>
      </c>
      <c r="AA11" s="66">
        <f t="shared" si="5"/>
        <v>365</v>
      </c>
    </row>
    <row r="12" spans="2:27" x14ac:dyDescent="0.2">
      <c r="B12" s="6" t="s">
        <v>102</v>
      </c>
      <c r="C12" s="70">
        <v>5</v>
      </c>
      <c r="D12" s="61">
        <v>40704</v>
      </c>
      <c r="E12" s="66">
        <f t="shared" ref="E12:AA12" si="6">IF($D12&lt;=E$4,MIN(E$4-$D12,E$4-D$4,365),0)</f>
        <v>0</v>
      </c>
      <c r="F12" s="66">
        <f t="shared" si="6"/>
        <v>295</v>
      </c>
      <c r="G12" s="66">
        <f t="shared" si="6"/>
        <v>365</v>
      </c>
      <c r="H12" s="66">
        <f t="shared" si="6"/>
        <v>365</v>
      </c>
      <c r="I12" s="66">
        <f t="shared" si="6"/>
        <v>365</v>
      </c>
      <c r="J12" s="66">
        <f t="shared" si="6"/>
        <v>365</v>
      </c>
      <c r="K12" s="66">
        <f t="shared" si="6"/>
        <v>365</v>
      </c>
      <c r="L12" s="66">
        <f t="shared" si="6"/>
        <v>365</v>
      </c>
      <c r="M12" s="66">
        <f t="shared" si="6"/>
        <v>365</v>
      </c>
      <c r="N12" s="66">
        <f t="shared" si="6"/>
        <v>365</v>
      </c>
      <c r="O12" s="66">
        <f t="shared" si="6"/>
        <v>365</v>
      </c>
      <c r="P12" s="66">
        <f t="shared" si="6"/>
        <v>365</v>
      </c>
      <c r="Q12" s="66">
        <f t="shared" si="6"/>
        <v>365</v>
      </c>
      <c r="R12" s="66">
        <f t="shared" si="6"/>
        <v>365</v>
      </c>
      <c r="S12" s="66">
        <f t="shared" si="6"/>
        <v>365</v>
      </c>
      <c r="T12" s="66">
        <f t="shared" si="6"/>
        <v>365</v>
      </c>
      <c r="U12" s="66">
        <f t="shared" si="6"/>
        <v>365</v>
      </c>
      <c r="V12" s="66">
        <f t="shared" si="6"/>
        <v>365</v>
      </c>
      <c r="W12" s="66">
        <f t="shared" si="6"/>
        <v>365</v>
      </c>
      <c r="X12" s="66">
        <f t="shared" si="6"/>
        <v>365</v>
      </c>
      <c r="Y12" s="66">
        <f t="shared" si="6"/>
        <v>365</v>
      </c>
      <c r="Z12" s="66">
        <f t="shared" si="6"/>
        <v>365</v>
      </c>
      <c r="AA12" s="66">
        <f t="shared" si="6"/>
        <v>365</v>
      </c>
    </row>
    <row r="13" spans="2:27" x14ac:dyDescent="0.2">
      <c r="B13" s="6" t="s">
        <v>103</v>
      </c>
      <c r="C13" s="70">
        <v>5</v>
      </c>
      <c r="D13" s="61">
        <v>40723</v>
      </c>
      <c r="E13" s="66">
        <f t="shared" ref="E13:AA13" si="7">IF($D13&lt;=E$4,MIN(E$4-$D13,E$4-D$4,365),0)</f>
        <v>0</v>
      </c>
      <c r="F13" s="66">
        <f t="shared" si="7"/>
        <v>276</v>
      </c>
      <c r="G13" s="66">
        <f t="shared" si="7"/>
        <v>365</v>
      </c>
      <c r="H13" s="66">
        <f t="shared" si="7"/>
        <v>365</v>
      </c>
      <c r="I13" s="66">
        <f t="shared" si="7"/>
        <v>365</v>
      </c>
      <c r="J13" s="66">
        <f t="shared" si="7"/>
        <v>365</v>
      </c>
      <c r="K13" s="66">
        <f t="shared" si="7"/>
        <v>365</v>
      </c>
      <c r="L13" s="66">
        <f t="shared" si="7"/>
        <v>365</v>
      </c>
      <c r="M13" s="66">
        <f t="shared" si="7"/>
        <v>365</v>
      </c>
      <c r="N13" s="66">
        <f t="shared" si="7"/>
        <v>365</v>
      </c>
      <c r="O13" s="66">
        <f t="shared" si="7"/>
        <v>365</v>
      </c>
      <c r="P13" s="66">
        <f t="shared" si="7"/>
        <v>365</v>
      </c>
      <c r="Q13" s="66">
        <f t="shared" si="7"/>
        <v>365</v>
      </c>
      <c r="R13" s="66">
        <f t="shared" si="7"/>
        <v>365</v>
      </c>
      <c r="S13" s="66">
        <f t="shared" si="7"/>
        <v>365</v>
      </c>
      <c r="T13" s="66">
        <f t="shared" si="7"/>
        <v>365</v>
      </c>
      <c r="U13" s="66">
        <f t="shared" si="7"/>
        <v>365</v>
      </c>
      <c r="V13" s="66">
        <f t="shared" si="7"/>
        <v>365</v>
      </c>
      <c r="W13" s="66">
        <f t="shared" si="7"/>
        <v>365</v>
      </c>
      <c r="X13" s="66">
        <f t="shared" si="7"/>
        <v>365</v>
      </c>
      <c r="Y13" s="66">
        <f t="shared" si="7"/>
        <v>365</v>
      </c>
      <c r="Z13" s="66">
        <f t="shared" si="7"/>
        <v>365</v>
      </c>
      <c r="AA13" s="66">
        <f t="shared" si="7"/>
        <v>365</v>
      </c>
    </row>
    <row r="14" spans="2:27" x14ac:dyDescent="0.2">
      <c r="B14" s="6" t="s">
        <v>104</v>
      </c>
      <c r="C14" s="70">
        <v>5</v>
      </c>
      <c r="D14" s="61">
        <v>40735</v>
      </c>
      <c r="E14" s="66">
        <f t="shared" ref="E14:AA14" si="8">IF($D14&lt;=E$4,MIN(E$4-$D14,E$4-D$4,365),0)</f>
        <v>0</v>
      </c>
      <c r="F14" s="66">
        <f t="shared" si="8"/>
        <v>264</v>
      </c>
      <c r="G14" s="66">
        <f t="shared" si="8"/>
        <v>365</v>
      </c>
      <c r="H14" s="66">
        <f t="shared" si="8"/>
        <v>365</v>
      </c>
      <c r="I14" s="66">
        <f t="shared" si="8"/>
        <v>365</v>
      </c>
      <c r="J14" s="66">
        <f t="shared" si="8"/>
        <v>365</v>
      </c>
      <c r="K14" s="66">
        <f t="shared" si="8"/>
        <v>365</v>
      </c>
      <c r="L14" s="66">
        <f t="shared" si="8"/>
        <v>365</v>
      </c>
      <c r="M14" s="66">
        <f t="shared" si="8"/>
        <v>365</v>
      </c>
      <c r="N14" s="66">
        <f t="shared" si="8"/>
        <v>365</v>
      </c>
      <c r="O14" s="66">
        <f t="shared" si="8"/>
        <v>365</v>
      </c>
      <c r="P14" s="66">
        <f t="shared" si="8"/>
        <v>365</v>
      </c>
      <c r="Q14" s="66">
        <f t="shared" si="8"/>
        <v>365</v>
      </c>
      <c r="R14" s="66">
        <f t="shared" si="8"/>
        <v>365</v>
      </c>
      <c r="S14" s="66">
        <f t="shared" si="8"/>
        <v>365</v>
      </c>
      <c r="T14" s="66">
        <f t="shared" si="8"/>
        <v>365</v>
      </c>
      <c r="U14" s="66">
        <f t="shared" si="8"/>
        <v>365</v>
      </c>
      <c r="V14" s="66">
        <f t="shared" si="8"/>
        <v>365</v>
      </c>
      <c r="W14" s="66">
        <f t="shared" si="8"/>
        <v>365</v>
      </c>
      <c r="X14" s="66">
        <f t="shared" si="8"/>
        <v>365</v>
      </c>
      <c r="Y14" s="66">
        <f t="shared" si="8"/>
        <v>365</v>
      </c>
      <c r="Z14" s="66">
        <f t="shared" si="8"/>
        <v>365</v>
      </c>
      <c r="AA14" s="66">
        <f t="shared" si="8"/>
        <v>365</v>
      </c>
    </row>
    <row r="15" spans="2:27" x14ac:dyDescent="0.2">
      <c r="B15" s="6" t="s">
        <v>105</v>
      </c>
      <c r="C15" s="70">
        <v>5</v>
      </c>
      <c r="D15" s="61">
        <v>40752</v>
      </c>
      <c r="E15" s="66">
        <f t="shared" ref="E15:AA15" si="9">IF($D15&lt;=E$4,MIN(E$4-$D15,E$4-D$4,365),0)</f>
        <v>0</v>
      </c>
      <c r="F15" s="66">
        <f t="shared" si="9"/>
        <v>247</v>
      </c>
      <c r="G15" s="66">
        <f t="shared" si="9"/>
        <v>365</v>
      </c>
      <c r="H15" s="66">
        <f t="shared" si="9"/>
        <v>365</v>
      </c>
      <c r="I15" s="66">
        <f t="shared" si="9"/>
        <v>365</v>
      </c>
      <c r="J15" s="66">
        <f t="shared" si="9"/>
        <v>365</v>
      </c>
      <c r="K15" s="66">
        <f t="shared" si="9"/>
        <v>365</v>
      </c>
      <c r="L15" s="66">
        <f t="shared" si="9"/>
        <v>365</v>
      </c>
      <c r="M15" s="66">
        <f t="shared" si="9"/>
        <v>365</v>
      </c>
      <c r="N15" s="66">
        <f t="shared" si="9"/>
        <v>365</v>
      </c>
      <c r="O15" s="66">
        <f t="shared" si="9"/>
        <v>365</v>
      </c>
      <c r="P15" s="66">
        <f t="shared" si="9"/>
        <v>365</v>
      </c>
      <c r="Q15" s="66">
        <f t="shared" si="9"/>
        <v>365</v>
      </c>
      <c r="R15" s="66">
        <f t="shared" si="9"/>
        <v>365</v>
      </c>
      <c r="S15" s="66">
        <f t="shared" si="9"/>
        <v>365</v>
      </c>
      <c r="T15" s="66">
        <f t="shared" si="9"/>
        <v>365</v>
      </c>
      <c r="U15" s="66">
        <f t="shared" si="9"/>
        <v>365</v>
      </c>
      <c r="V15" s="66">
        <f t="shared" si="9"/>
        <v>365</v>
      </c>
      <c r="W15" s="66">
        <f t="shared" si="9"/>
        <v>365</v>
      </c>
      <c r="X15" s="66">
        <f t="shared" si="9"/>
        <v>365</v>
      </c>
      <c r="Y15" s="66">
        <f t="shared" si="9"/>
        <v>365</v>
      </c>
      <c r="Z15" s="66">
        <f t="shared" si="9"/>
        <v>365</v>
      </c>
      <c r="AA15" s="66">
        <f t="shared" si="9"/>
        <v>365</v>
      </c>
    </row>
    <row r="16" spans="2:27" x14ac:dyDescent="0.2">
      <c r="B16" s="6" t="s">
        <v>106</v>
      </c>
      <c r="C16" s="70">
        <v>6</v>
      </c>
      <c r="D16" s="61">
        <v>40765</v>
      </c>
      <c r="E16" s="66">
        <f t="shared" ref="E16:AA16" si="10">IF($D16&lt;=E$4,MIN(E$4-$D16,E$4-D$4,365),0)</f>
        <v>0</v>
      </c>
      <c r="F16" s="66">
        <f t="shared" si="10"/>
        <v>234</v>
      </c>
      <c r="G16" s="66">
        <f t="shared" si="10"/>
        <v>365</v>
      </c>
      <c r="H16" s="66">
        <f t="shared" si="10"/>
        <v>365</v>
      </c>
      <c r="I16" s="66">
        <f t="shared" si="10"/>
        <v>365</v>
      </c>
      <c r="J16" s="66">
        <f t="shared" si="10"/>
        <v>365</v>
      </c>
      <c r="K16" s="66">
        <f t="shared" si="10"/>
        <v>365</v>
      </c>
      <c r="L16" s="66">
        <f t="shared" si="10"/>
        <v>365</v>
      </c>
      <c r="M16" s="66">
        <f t="shared" si="10"/>
        <v>365</v>
      </c>
      <c r="N16" s="66">
        <f t="shared" si="10"/>
        <v>365</v>
      </c>
      <c r="O16" s="66">
        <f t="shared" si="10"/>
        <v>365</v>
      </c>
      <c r="P16" s="66">
        <f t="shared" si="10"/>
        <v>365</v>
      </c>
      <c r="Q16" s="66">
        <f t="shared" si="10"/>
        <v>365</v>
      </c>
      <c r="R16" s="66">
        <f t="shared" si="10"/>
        <v>365</v>
      </c>
      <c r="S16" s="66">
        <f t="shared" si="10"/>
        <v>365</v>
      </c>
      <c r="T16" s="66">
        <f t="shared" si="10"/>
        <v>365</v>
      </c>
      <c r="U16" s="66">
        <f t="shared" si="10"/>
        <v>365</v>
      </c>
      <c r="V16" s="66">
        <f t="shared" si="10"/>
        <v>365</v>
      </c>
      <c r="W16" s="66">
        <f t="shared" si="10"/>
        <v>365</v>
      </c>
      <c r="X16" s="66">
        <f t="shared" si="10"/>
        <v>365</v>
      </c>
      <c r="Y16" s="66">
        <f t="shared" si="10"/>
        <v>365</v>
      </c>
      <c r="Z16" s="66">
        <f t="shared" si="10"/>
        <v>365</v>
      </c>
      <c r="AA16" s="66">
        <f t="shared" si="10"/>
        <v>365</v>
      </c>
    </row>
    <row r="17" spans="2:27" x14ac:dyDescent="0.2">
      <c r="C17" s="37"/>
      <c r="D17" s="1"/>
      <c r="Z17" s="3"/>
      <c r="AA17" s="3"/>
    </row>
    <row r="18" spans="2:27" x14ac:dyDescent="0.2">
      <c r="B18" s="58" t="s">
        <v>109</v>
      </c>
      <c r="C18" s="71" t="s">
        <v>113</v>
      </c>
      <c r="D18" s="3" t="s">
        <v>110</v>
      </c>
      <c r="Z18" s="3"/>
      <c r="AA18" s="3"/>
    </row>
    <row r="19" spans="2:27" x14ac:dyDescent="0.2">
      <c r="B19" s="6" t="s">
        <v>98</v>
      </c>
      <c r="C19" s="70">
        <v>5</v>
      </c>
      <c r="D19" s="61">
        <f>EDATE(D16,12)</f>
        <v>41131</v>
      </c>
      <c r="E19" s="69">
        <f>IF($D19&gt;E$4,MIN(E7,$D19-D$4),IF(AND(D$4&lt;$D19,E$4&gt;=$D19),$D19-D$4,0))</f>
        <v>20</v>
      </c>
      <c r="F19" s="69">
        <f t="shared" ref="F19:G19" si="11">IF($D19&gt;F$4,MIN(F7,$D19-E$4),IF(AND(E$4&lt;$D19,F$4&gt;=$D19),$D19-E$4,0))</f>
        <v>365</v>
      </c>
      <c r="G19" s="69">
        <f t="shared" si="11"/>
        <v>132</v>
      </c>
      <c r="H19" s="69">
        <f t="shared" ref="H19:AA19" si="12">IF($D19&gt;H$4,MIN(H7,$D19-G$4),IF(AND(G$4&lt;$D19,H$4&gt;=$D19),$D19-G$4,0))</f>
        <v>0</v>
      </c>
      <c r="I19" s="69">
        <f t="shared" si="12"/>
        <v>0</v>
      </c>
      <c r="J19" s="69">
        <f t="shared" si="12"/>
        <v>0</v>
      </c>
      <c r="K19" s="69">
        <f t="shared" si="12"/>
        <v>0</v>
      </c>
      <c r="L19" s="69">
        <f t="shared" si="12"/>
        <v>0</v>
      </c>
      <c r="M19" s="69">
        <f t="shared" si="12"/>
        <v>0</v>
      </c>
      <c r="N19" s="69">
        <f t="shared" si="12"/>
        <v>0</v>
      </c>
      <c r="O19" s="69">
        <f t="shared" si="12"/>
        <v>0</v>
      </c>
      <c r="P19" s="69">
        <f t="shared" si="12"/>
        <v>0</v>
      </c>
      <c r="Q19" s="69">
        <f t="shared" si="12"/>
        <v>0</v>
      </c>
      <c r="R19" s="69">
        <f t="shared" si="12"/>
        <v>0</v>
      </c>
      <c r="S19" s="69">
        <f t="shared" si="12"/>
        <v>0</v>
      </c>
      <c r="T19" s="69">
        <f t="shared" si="12"/>
        <v>0</v>
      </c>
      <c r="U19" s="69">
        <f t="shared" si="12"/>
        <v>0</v>
      </c>
      <c r="V19" s="69">
        <f t="shared" si="12"/>
        <v>0</v>
      </c>
      <c r="W19" s="69">
        <f t="shared" si="12"/>
        <v>0</v>
      </c>
      <c r="X19" s="69">
        <f t="shared" si="12"/>
        <v>0</v>
      </c>
      <c r="Y19" s="69">
        <f t="shared" si="12"/>
        <v>0</v>
      </c>
      <c r="Z19" s="69">
        <f t="shared" si="12"/>
        <v>0</v>
      </c>
      <c r="AA19" s="69">
        <f t="shared" si="12"/>
        <v>0</v>
      </c>
    </row>
    <row r="20" spans="2:27" x14ac:dyDescent="0.2">
      <c r="B20" s="6" t="s">
        <v>97</v>
      </c>
      <c r="C20" s="70">
        <v>5</v>
      </c>
      <c r="D20" s="68">
        <f>D19</f>
        <v>41131</v>
      </c>
      <c r="E20" s="69">
        <f t="shared" ref="E20:G20" si="13">IF($D20&gt;E$4,MIN(E8,$D20-D$4),IF(AND(D$4&lt;$D20,E$4&gt;=$D20),$D20-D$4,0))</f>
        <v>0</v>
      </c>
      <c r="F20" s="69">
        <f t="shared" si="13"/>
        <v>358</v>
      </c>
      <c r="G20" s="69">
        <f t="shared" si="13"/>
        <v>132</v>
      </c>
      <c r="H20" s="69">
        <f t="shared" ref="H20:AA20" si="14">IF($D20&gt;H$4,MIN(H8,$D20-G$4),IF(AND(G$4&lt;$D20,H$4&gt;=$D20),$D20-G$4,0))</f>
        <v>0</v>
      </c>
      <c r="I20" s="69">
        <f t="shared" si="14"/>
        <v>0</v>
      </c>
      <c r="J20" s="69">
        <f t="shared" si="14"/>
        <v>0</v>
      </c>
      <c r="K20" s="69">
        <f t="shared" si="14"/>
        <v>0</v>
      </c>
      <c r="L20" s="69">
        <f t="shared" si="14"/>
        <v>0</v>
      </c>
      <c r="M20" s="69">
        <f t="shared" si="14"/>
        <v>0</v>
      </c>
      <c r="N20" s="69">
        <f t="shared" si="14"/>
        <v>0</v>
      </c>
      <c r="O20" s="69">
        <f t="shared" si="14"/>
        <v>0</v>
      </c>
      <c r="P20" s="69">
        <f t="shared" si="14"/>
        <v>0</v>
      </c>
      <c r="Q20" s="69">
        <f t="shared" si="14"/>
        <v>0</v>
      </c>
      <c r="R20" s="69">
        <f t="shared" si="14"/>
        <v>0</v>
      </c>
      <c r="S20" s="69">
        <f t="shared" si="14"/>
        <v>0</v>
      </c>
      <c r="T20" s="69">
        <f t="shared" si="14"/>
        <v>0</v>
      </c>
      <c r="U20" s="69">
        <f t="shared" si="14"/>
        <v>0</v>
      </c>
      <c r="V20" s="69">
        <f t="shared" si="14"/>
        <v>0</v>
      </c>
      <c r="W20" s="69">
        <f t="shared" si="14"/>
        <v>0</v>
      </c>
      <c r="X20" s="69">
        <f t="shared" si="14"/>
        <v>0</v>
      </c>
      <c r="Y20" s="69">
        <f t="shared" si="14"/>
        <v>0</v>
      </c>
      <c r="Z20" s="69">
        <f t="shared" si="14"/>
        <v>0</v>
      </c>
      <c r="AA20" s="69">
        <f t="shared" si="14"/>
        <v>0</v>
      </c>
    </row>
    <row r="21" spans="2:27" x14ac:dyDescent="0.2">
      <c r="B21" s="6" t="s">
        <v>99</v>
      </c>
      <c r="C21" s="70">
        <v>5</v>
      </c>
      <c r="D21" s="68">
        <f t="shared" ref="D21:D28" si="15">D20</f>
        <v>41131</v>
      </c>
      <c r="E21" s="69">
        <f t="shared" ref="E21:G21" si="16">IF($D21&gt;E$4,MIN(E9,$D21-D$4),IF(AND(D$4&lt;$D21,E$4&gt;=$D21),$D21-D$4,0))</f>
        <v>0</v>
      </c>
      <c r="F21" s="69">
        <f t="shared" si="16"/>
        <v>338</v>
      </c>
      <c r="G21" s="69">
        <f t="shared" si="16"/>
        <v>132</v>
      </c>
      <c r="H21" s="69">
        <f t="shared" ref="H21:AA21" si="17">IF($D21&gt;H$4,MIN(H9,$D21-G$4),IF(AND(G$4&lt;$D21,H$4&gt;=$D21),$D21-G$4,0))</f>
        <v>0</v>
      </c>
      <c r="I21" s="69">
        <f t="shared" si="17"/>
        <v>0</v>
      </c>
      <c r="J21" s="69">
        <f t="shared" si="17"/>
        <v>0</v>
      </c>
      <c r="K21" s="69">
        <f t="shared" si="17"/>
        <v>0</v>
      </c>
      <c r="L21" s="69">
        <f t="shared" si="17"/>
        <v>0</v>
      </c>
      <c r="M21" s="69">
        <f t="shared" si="17"/>
        <v>0</v>
      </c>
      <c r="N21" s="69">
        <f t="shared" si="17"/>
        <v>0</v>
      </c>
      <c r="O21" s="69">
        <f t="shared" si="17"/>
        <v>0</v>
      </c>
      <c r="P21" s="69">
        <f t="shared" si="17"/>
        <v>0</v>
      </c>
      <c r="Q21" s="69">
        <f t="shared" si="17"/>
        <v>0</v>
      </c>
      <c r="R21" s="69">
        <f t="shared" si="17"/>
        <v>0</v>
      </c>
      <c r="S21" s="69">
        <f t="shared" si="17"/>
        <v>0</v>
      </c>
      <c r="T21" s="69">
        <f t="shared" si="17"/>
        <v>0</v>
      </c>
      <c r="U21" s="69">
        <f t="shared" si="17"/>
        <v>0</v>
      </c>
      <c r="V21" s="69">
        <f t="shared" si="17"/>
        <v>0</v>
      </c>
      <c r="W21" s="69">
        <f t="shared" si="17"/>
        <v>0</v>
      </c>
      <c r="X21" s="69">
        <f t="shared" si="17"/>
        <v>0</v>
      </c>
      <c r="Y21" s="69">
        <f t="shared" si="17"/>
        <v>0</v>
      </c>
      <c r="Z21" s="69">
        <f t="shared" si="17"/>
        <v>0</v>
      </c>
      <c r="AA21" s="69">
        <f t="shared" si="17"/>
        <v>0</v>
      </c>
    </row>
    <row r="22" spans="2:27" x14ac:dyDescent="0.2">
      <c r="B22" s="6" t="s">
        <v>100</v>
      </c>
      <c r="C22" s="70">
        <v>5</v>
      </c>
      <c r="D22" s="68">
        <f t="shared" si="15"/>
        <v>41131</v>
      </c>
      <c r="E22" s="69">
        <f t="shared" ref="E22:G22" si="18">IF($D22&gt;E$4,MIN(E10,$D22-D$4),IF(AND(D$4&lt;$D22,E$4&gt;=$D22),$D22-D$4,0))</f>
        <v>0</v>
      </c>
      <c r="F22" s="69">
        <f t="shared" si="18"/>
        <v>326</v>
      </c>
      <c r="G22" s="69">
        <f t="shared" si="18"/>
        <v>132</v>
      </c>
      <c r="H22" s="69">
        <f t="shared" ref="H22:AA22" si="19">IF($D22&gt;H$4,MIN(H10,$D22-G$4),IF(AND(G$4&lt;$D22,H$4&gt;=$D22),$D22-G$4,0))</f>
        <v>0</v>
      </c>
      <c r="I22" s="69">
        <f t="shared" si="19"/>
        <v>0</v>
      </c>
      <c r="J22" s="69">
        <f t="shared" si="19"/>
        <v>0</v>
      </c>
      <c r="K22" s="69">
        <f t="shared" si="19"/>
        <v>0</v>
      </c>
      <c r="L22" s="69">
        <f t="shared" si="19"/>
        <v>0</v>
      </c>
      <c r="M22" s="69">
        <f t="shared" si="19"/>
        <v>0</v>
      </c>
      <c r="N22" s="69">
        <f t="shared" si="19"/>
        <v>0</v>
      </c>
      <c r="O22" s="69">
        <f t="shared" si="19"/>
        <v>0</v>
      </c>
      <c r="P22" s="69">
        <f t="shared" si="19"/>
        <v>0</v>
      </c>
      <c r="Q22" s="69">
        <f t="shared" si="19"/>
        <v>0</v>
      </c>
      <c r="R22" s="69">
        <f t="shared" si="19"/>
        <v>0</v>
      </c>
      <c r="S22" s="69">
        <f t="shared" si="19"/>
        <v>0</v>
      </c>
      <c r="T22" s="69">
        <f t="shared" si="19"/>
        <v>0</v>
      </c>
      <c r="U22" s="69">
        <f t="shared" si="19"/>
        <v>0</v>
      </c>
      <c r="V22" s="69">
        <f t="shared" si="19"/>
        <v>0</v>
      </c>
      <c r="W22" s="69">
        <f t="shared" si="19"/>
        <v>0</v>
      </c>
      <c r="X22" s="69">
        <f t="shared" si="19"/>
        <v>0</v>
      </c>
      <c r="Y22" s="69">
        <f t="shared" si="19"/>
        <v>0</v>
      </c>
      <c r="Z22" s="69">
        <f t="shared" si="19"/>
        <v>0</v>
      </c>
      <c r="AA22" s="69">
        <f t="shared" si="19"/>
        <v>0</v>
      </c>
    </row>
    <row r="23" spans="2:27" x14ac:dyDescent="0.2">
      <c r="B23" s="6" t="s">
        <v>101</v>
      </c>
      <c r="C23" s="70">
        <v>5</v>
      </c>
      <c r="D23" s="68">
        <f t="shared" si="15"/>
        <v>41131</v>
      </c>
      <c r="E23" s="69">
        <f t="shared" ref="E23:G23" si="20">IF($D23&gt;E$4,MIN(E11,$D23-D$4),IF(AND(D$4&lt;$D23,E$4&gt;=$D23),$D23-D$4,0))</f>
        <v>0</v>
      </c>
      <c r="F23" s="69">
        <f t="shared" si="20"/>
        <v>307</v>
      </c>
      <c r="G23" s="69">
        <f t="shared" si="20"/>
        <v>132</v>
      </c>
      <c r="H23" s="69">
        <f t="shared" ref="H23:AA23" si="21">IF($D23&gt;H$4,MIN(H11,$D23-G$4),IF(AND(G$4&lt;$D23,H$4&gt;=$D23),$D23-G$4,0))</f>
        <v>0</v>
      </c>
      <c r="I23" s="69">
        <f t="shared" si="21"/>
        <v>0</v>
      </c>
      <c r="J23" s="69">
        <f t="shared" si="21"/>
        <v>0</v>
      </c>
      <c r="K23" s="69">
        <f t="shared" si="21"/>
        <v>0</v>
      </c>
      <c r="L23" s="69">
        <f t="shared" si="21"/>
        <v>0</v>
      </c>
      <c r="M23" s="69">
        <f t="shared" si="21"/>
        <v>0</v>
      </c>
      <c r="N23" s="69">
        <f t="shared" si="21"/>
        <v>0</v>
      </c>
      <c r="O23" s="69">
        <f t="shared" si="21"/>
        <v>0</v>
      </c>
      <c r="P23" s="69">
        <f t="shared" si="21"/>
        <v>0</v>
      </c>
      <c r="Q23" s="69">
        <f t="shared" si="21"/>
        <v>0</v>
      </c>
      <c r="R23" s="69">
        <f t="shared" si="21"/>
        <v>0</v>
      </c>
      <c r="S23" s="69">
        <f t="shared" si="21"/>
        <v>0</v>
      </c>
      <c r="T23" s="69">
        <f t="shared" si="21"/>
        <v>0</v>
      </c>
      <c r="U23" s="69">
        <f t="shared" si="21"/>
        <v>0</v>
      </c>
      <c r="V23" s="69">
        <f t="shared" si="21"/>
        <v>0</v>
      </c>
      <c r="W23" s="69">
        <f t="shared" si="21"/>
        <v>0</v>
      </c>
      <c r="X23" s="69">
        <f t="shared" si="21"/>
        <v>0</v>
      </c>
      <c r="Y23" s="69">
        <f t="shared" si="21"/>
        <v>0</v>
      </c>
      <c r="Z23" s="69">
        <f t="shared" si="21"/>
        <v>0</v>
      </c>
      <c r="AA23" s="69">
        <f t="shared" si="21"/>
        <v>0</v>
      </c>
    </row>
    <row r="24" spans="2:27" x14ac:dyDescent="0.2">
      <c r="B24" s="6" t="s">
        <v>102</v>
      </c>
      <c r="C24" s="70">
        <v>5</v>
      </c>
      <c r="D24" s="68">
        <f t="shared" si="15"/>
        <v>41131</v>
      </c>
      <c r="E24" s="69">
        <f t="shared" ref="E24:G24" si="22">IF($D24&gt;E$4,MIN(E12,$D24-D$4),IF(AND(D$4&lt;$D24,E$4&gt;=$D24),$D24-D$4,0))</f>
        <v>0</v>
      </c>
      <c r="F24" s="69">
        <f t="shared" si="22"/>
        <v>295</v>
      </c>
      <c r="G24" s="69">
        <f t="shared" si="22"/>
        <v>132</v>
      </c>
      <c r="H24" s="69">
        <f t="shared" ref="H24:AA24" si="23">IF($D24&gt;H$4,MIN(H12,$D24-G$4),IF(AND(G$4&lt;$D24,H$4&gt;=$D24),$D24-G$4,0))</f>
        <v>0</v>
      </c>
      <c r="I24" s="69">
        <f t="shared" si="23"/>
        <v>0</v>
      </c>
      <c r="J24" s="69">
        <f t="shared" si="23"/>
        <v>0</v>
      </c>
      <c r="K24" s="69">
        <f t="shared" si="23"/>
        <v>0</v>
      </c>
      <c r="L24" s="69">
        <f t="shared" si="23"/>
        <v>0</v>
      </c>
      <c r="M24" s="69">
        <f t="shared" si="23"/>
        <v>0</v>
      </c>
      <c r="N24" s="69">
        <f t="shared" si="23"/>
        <v>0</v>
      </c>
      <c r="O24" s="69">
        <f t="shared" si="23"/>
        <v>0</v>
      </c>
      <c r="P24" s="69">
        <f t="shared" si="23"/>
        <v>0</v>
      </c>
      <c r="Q24" s="69">
        <f t="shared" si="23"/>
        <v>0</v>
      </c>
      <c r="R24" s="69">
        <f t="shared" si="23"/>
        <v>0</v>
      </c>
      <c r="S24" s="69">
        <f t="shared" si="23"/>
        <v>0</v>
      </c>
      <c r="T24" s="69">
        <f t="shared" si="23"/>
        <v>0</v>
      </c>
      <c r="U24" s="69">
        <f t="shared" si="23"/>
        <v>0</v>
      </c>
      <c r="V24" s="69">
        <f t="shared" si="23"/>
        <v>0</v>
      </c>
      <c r="W24" s="69">
        <f t="shared" si="23"/>
        <v>0</v>
      </c>
      <c r="X24" s="69">
        <f t="shared" si="23"/>
        <v>0</v>
      </c>
      <c r="Y24" s="69">
        <f t="shared" si="23"/>
        <v>0</v>
      </c>
      <c r="Z24" s="69">
        <f t="shared" si="23"/>
        <v>0</v>
      </c>
      <c r="AA24" s="69">
        <f t="shared" si="23"/>
        <v>0</v>
      </c>
    </row>
    <row r="25" spans="2:27" x14ac:dyDescent="0.2">
      <c r="B25" s="6" t="s">
        <v>103</v>
      </c>
      <c r="C25" s="70">
        <v>5</v>
      </c>
      <c r="D25" s="68">
        <f t="shared" si="15"/>
        <v>41131</v>
      </c>
      <c r="E25" s="69">
        <f t="shared" ref="E25:G25" si="24">IF($D25&gt;E$4,MIN(E13,$D25-D$4),IF(AND(D$4&lt;$D25,E$4&gt;=$D25),$D25-D$4,0))</f>
        <v>0</v>
      </c>
      <c r="F25" s="69">
        <f t="shared" si="24"/>
        <v>276</v>
      </c>
      <c r="G25" s="69">
        <f t="shared" si="24"/>
        <v>132</v>
      </c>
      <c r="H25" s="69">
        <f t="shared" ref="H25:AA25" si="25">IF($D25&gt;H$4,MIN(H13,$D25-G$4),IF(AND(G$4&lt;$D25,H$4&gt;=$D25),$D25-G$4,0))</f>
        <v>0</v>
      </c>
      <c r="I25" s="69">
        <f t="shared" si="25"/>
        <v>0</v>
      </c>
      <c r="J25" s="69">
        <f t="shared" si="25"/>
        <v>0</v>
      </c>
      <c r="K25" s="69">
        <f t="shared" si="25"/>
        <v>0</v>
      </c>
      <c r="L25" s="69">
        <f t="shared" si="25"/>
        <v>0</v>
      </c>
      <c r="M25" s="69">
        <f t="shared" si="25"/>
        <v>0</v>
      </c>
      <c r="N25" s="69">
        <f t="shared" si="25"/>
        <v>0</v>
      </c>
      <c r="O25" s="69">
        <f t="shared" si="25"/>
        <v>0</v>
      </c>
      <c r="P25" s="69">
        <f t="shared" si="25"/>
        <v>0</v>
      </c>
      <c r="Q25" s="69">
        <f t="shared" si="25"/>
        <v>0</v>
      </c>
      <c r="R25" s="69">
        <f t="shared" si="25"/>
        <v>0</v>
      </c>
      <c r="S25" s="69">
        <f t="shared" si="25"/>
        <v>0</v>
      </c>
      <c r="T25" s="69">
        <f t="shared" si="25"/>
        <v>0</v>
      </c>
      <c r="U25" s="69">
        <f t="shared" si="25"/>
        <v>0</v>
      </c>
      <c r="V25" s="69">
        <f t="shared" si="25"/>
        <v>0</v>
      </c>
      <c r="W25" s="69">
        <f t="shared" si="25"/>
        <v>0</v>
      </c>
      <c r="X25" s="69">
        <f t="shared" si="25"/>
        <v>0</v>
      </c>
      <c r="Y25" s="69">
        <f t="shared" si="25"/>
        <v>0</v>
      </c>
      <c r="Z25" s="69">
        <f t="shared" si="25"/>
        <v>0</v>
      </c>
      <c r="AA25" s="69">
        <f t="shared" si="25"/>
        <v>0</v>
      </c>
    </row>
    <row r="26" spans="2:27" x14ac:dyDescent="0.2">
      <c r="B26" s="6" t="s">
        <v>104</v>
      </c>
      <c r="C26" s="70">
        <v>5</v>
      </c>
      <c r="D26" s="68">
        <f t="shared" si="15"/>
        <v>41131</v>
      </c>
      <c r="E26" s="69">
        <f t="shared" ref="E26:G26" si="26">IF($D26&gt;E$4,MIN(E14,$D26-D$4),IF(AND(D$4&lt;$D26,E$4&gt;=$D26),$D26-D$4,0))</f>
        <v>0</v>
      </c>
      <c r="F26" s="69">
        <f t="shared" si="26"/>
        <v>264</v>
      </c>
      <c r="G26" s="69">
        <f t="shared" si="26"/>
        <v>132</v>
      </c>
      <c r="H26" s="69">
        <f t="shared" ref="H26:AA26" si="27">IF($D26&gt;H$4,MIN(H14,$D26-G$4),IF(AND(G$4&lt;$D26,H$4&gt;=$D26),$D26-G$4,0))</f>
        <v>0</v>
      </c>
      <c r="I26" s="69">
        <f t="shared" si="27"/>
        <v>0</v>
      </c>
      <c r="J26" s="69">
        <f t="shared" si="27"/>
        <v>0</v>
      </c>
      <c r="K26" s="69">
        <f t="shared" si="27"/>
        <v>0</v>
      </c>
      <c r="L26" s="69">
        <f t="shared" si="27"/>
        <v>0</v>
      </c>
      <c r="M26" s="69">
        <f t="shared" si="27"/>
        <v>0</v>
      </c>
      <c r="N26" s="69">
        <f t="shared" si="27"/>
        <v>0</v>
      </c>
      <c r="O26" s="69">
        <f t="shared" si="27"/>
        <v>0</v>
      </c>
      <c r="P26" s="69">
        <f t="shared" si="27"/>
        <v>0</v>
      </c>
      <c r="Q26" s="69">
        <f t="shared" si="27"/>
        <v>0</v>
      </c>
      <c r="R26" s="69">
        <f t="shared" si="27"/>
        <v>0</v>
      </c>
      <c r="S26" s="69">
        <f t="shared" si="27"/>
        <v>0</v>
      </c>
      <c r="T26" s="69">
        <f t="shared" si="27"/>
        <v>0</v>
      </c>
      <c r="U26" s="69">
        <f t="shared" si="27"/>
        <v>0</v>
      </c>
      <c r="V26" s="69">
        <f t="shared" si="27"/>
        <v>0</v>
      </c>
      <c r="W26" s="69">
        <f t="shared" si="27"/>
        <v>0</v>
      </c>
      <c r="X26" s="69">
        <f t="shared" si="27"/>
        <v>0</v>
      </c>
      <c r="Y26" s="69">
        <f t="shared" si="27"/>
        <v>0</v>
      </c>
      <c r="Z26" s="69">
        <f t="shared" si="27"/>
        <v>0</v>
      </c>
      <c r="AA26" s="69">
        <f t="shared" si="27"/>
        <v>0</v>
      </c>
    </row>
    <row r="27" spans="2:27" x14ac:dyDescent="0.2">
      <c r="B27" s="6" t="s">
        <v>105</v>
      </c>
      <c r="C27" s="70">
        <v>5</v>
      </c>
      <c r="D27" s="68">
        <f t="shared" si="15"/>
        <v>41131</v>
      </c>
      <c r="E27" s="69">
        <f t="shared" ref="E27:G27" si="28">IF($D27&gt;E$4,MIN(E15,$D27-D$4),IF(AND(D$4&lt;$D27,E$4&gt;=$D27),$D27-D$4,0))</f>
        <v>0</v>
      </c>
      <c r="F27" s="69">
        <f t="shared" si="28"/>
        <v>247</v>
      </c>
      <c r="G27" s="69">
        <f t="shared" si="28"/>
        <v>132</v>
      </c>
      <c r="H27" s="69">
        <f t="shared" ref="H27:AA27" si="29">IF($D27&gt;H$4,MIN(H15,$D27-G$4),IF(AND(G$4&lt;$D27,H$4&gt;=$D27),$D27-G$4,0))</f>
        <v>0</v>
      </c>
      <c r="I27" s="69">
        <f t="shared" si="29"/>
        <v>0</v>
      </c>
      <c r="J27" s="69">
        <f t="shared" si="29"/>
        <v>0</v>
      </c>
      <c r="K27" s="69">
        <f t="shared" si="29"/>
        <v>0</v>
      </c>
      <c r="L27" s="69">
        <f t="shared" si="29"/>
        <v>0</v>
      </c>
      <c r="M27" s="69">
        <f t="shared" si="29"/>
        <v>0</v>
      </c>
      <c r="N27" s="69">
        <f t="shared" si="29"/>
        <v>0</v>
      </c>
      <c r="O27" s="69">
        <f t="shared" si="29"/>
        <v>0</v>
      </c>
      <c r="P27" s="69">
        <f t="shared" si="29"/>
        <v>0</v>
      </c>
      <c r="Q27" s="69">
        <f t="shared" si="29"/>
        <v>0</v>
      </c>
      <c r="R27" s="69">
        <f t="shared" si="29"/>
        <v>0</v>
      </c>
      <c r="S27" s="69">
        <f t="shared" si="29"/>
        <v>0</v>
      </c>
      <c r="T27" s="69">
        <f t="shared" si="29"/>
        <v>0</v>
      </c>
      <c r="U27" s="69">
        <f t="shared" si="29"/>
        <v>0</v>
      </c>
      <c r="V27" s="69">
        <f t="shared" si="29"/>
        <v>0</v>
      </c>
      <c r="W27" s="69">
        <f t="shared" si="29"/>
        <v>0</v>
      </c>
      <c r="X27" s="69">
        <f t="shared" si="29"/>
        <v>0</v>
      </c>
      <c r="Y27" s="69">
        <f t="shared" si="29"/>
        <v>0</v>
      </c>
      <c r="Z27" s="69">
        <f t="shared" si="29"/>
        <v>0</v>
      </c>
      <c r="AA27" s="69">
        <f t="shared" si="29"/>
        <v>0</v>
      </c>
    </row>
    <row r="28" spans="2:27" x14ac:dyDescent="0.2">
      <c r="B28" s="6" t="s">
        <v>106</v>
      </c>
      <c r="C28" s="70">
        <v>6</v>
      </c>
      <c r="D28" s="68">
        <f t="shared" si="15"/>
        <v>41131</v>
      </c>
      <c r="E28" s="69">
        <f t="shared" ref="E28:G28" si="30">IF($D28&gt;E$4,MIN(E16,$D28-D$4),IF(AND(D$4&lt;$D28,E$4&gt;=$D28),$D28-D$4,0))</f>
        <v>0</v>
      </c>
      <c r="F28" s="69">
        <f t="shared" si="30"/>
        <v>234</v>
      </c>
      <c r="G28" s="69">
        <f t="shared" si="30"/>
        <v>132</v>
      </c>
      <c r="H28" s="69">
        <f t="shared" ref="H28:AA28" si="31">IF($D28&gt;H$4,MIN(H16,$D28-G$4),IF(AND(G$4&lt;$D28,H$4&gt;=$D28),$D28-G$4,0))</f>
        <v>0</v>
      </c>
      <c r="I28" s="69">
        <f t="shared" si="31"/>
        <v>0</v>
      </c>
      <c r="J28" s="69">
        <f t="shared" si="31"/>
        <v>0</v>
      </c>
      <c r="K28" s="69">
        <f t="shared" si="31"/>
        <v>0</v>
      </c>
      <c r="L28" s="69">
        <f t="shared" si="31"/>
        <v>0</v>
      </c>
      <c r="M28" s="69">
        <f t="shared" si="31"/>
        <v>0</v>
      </c>
      <c r="N28" s="69">
        <f t="shared" si="31"/>
        <v>0</v>
      </c>
      <c r="O28" s="69">
        <f t="shared" si="31"/>
        <v>0</v>
      </c>
      <c r="P28" s="69">
        <f t="shared" si="31"/>
        <v>0</v>
      </c>
      <c r="Q28" s="69">
        <f t="shared" si="31"/>
        <v>0</v>
      </c>
      <c r="R28" s="69">
        <f t="shared" si="31"/>
        <v>0</v>
      </c>
      <c r="S28" s="69">
        <f t="shared" si="31"/>
        <v>0</v>
      </c>
      <c r="T28" s="69">
        <f t="shared" si="31"/>
        <v>0</v>
      </c>
      <c r="U28" s="69">
        <f t="shared" si="31"/>
        <v>0</v>
      </c>
      <c r="V28" s="69">
        <f t="shared" si="31"/>
        <v>0</v>
      </c>
      <c r="W28" s="69">
        <f t="shared" si="31"/>
        <v>0</v>
      </c>
      <c r="X28" s="69">
        <f t="shared" si="31"/>
        <v>0</v>
      </c>
      <c r="Y28" s="69">
        <f t="shared" si="31"/>
        <v>0</v>
      </c>
      <c r="Z28" s="69">
        <f t="shared" si="31"/>
        <v>0</v>
      </c>
      <c r="AA28" s="69">
        <f t="shared" si="31"/>
        <v>0</v>
      </c>
    </row>
    <row r="29" spans="2:27" x14ac:dyDescent="0.2">
      <c r="C29" s="37"/>
      <c r="D29" s="1"/>
      <c r="Z29" s="3"/>
      <c r="AA29" s="3"/>
    </row>
    <row r="30" spans="2:27" x14ac:dyDescent="0.2">
      <c r="B30" s="58" t="s">
        <v>112</v>
      </c>
      <c r="C30" s="71" t="s">
        <v>113</v>
      </c>
      <c r="Z30" s="3"/>
      <c r="AA30" s="3"/>
    </row>
    <row r="31" spans="2:27" x14ac:dyDescent="0.2">
      <c r="B31" s="6" t="s">
        <v>98</v>
      </c>
      <c r="C31" s="70">
        <v>5</v>
      </c>
      <c r="D31" s="61"/>
      <c r="E31" s="69">
        <f>E7-E19</f>
        <v>0</v>
      </c>
      <c r="F31" s="69">
        <f t="shared" ref="F31:AA31" si="32">F7-F19</f>
        <v>0</v>
      </c>
      <c r="G31" s="69">
        <f t="shared" si="32"/>
        <v>233</v>
      </c>
      <c r="H31" s="69">
        <f t="shared" si="32"/>
        <v>365</v>
      </c>
      <c r="I31" s="69">
        <f t="shared" si="32"/>
        <v>365</v>
      </c>
      <c r="J31" s="69">
        <f t="shared" si="32"/>
        <v>365</v>
      </c>
      <c r="K31" s="69">
        <f t="shared" si="32"/>
        <v>365</v>
      </c>
      <c r="L31" s="69">
        <f t="shared" si="32"/>
        <v>365</v>
      </c>
      <c r="M31" s="69">
        <f t="shared" si="32"/>
        <v>365</v>
      </c>
      <c r="N31" s="69">
        <f t="shared" si="32"/>
        <v>365</v>
      </c>
      <c r="O31" s="69">
        <f t="shared" si="32"/>
        <v>365</v>
      </c>
      <c r="P31" s="69">
        <f t="shared" si="32"/>
        <v>365</v>
      </c>
      <c r="Q31" s="69">
        <f t="shared" si="32"/>
        <v>365</v>
      </c>
      <c r="R31" s="69">
        <f t="shared" si="32"/>
        <v>365</v>
      </c>
      <c r="S31" s="69">
        <f t="shared" si="32"/>
        <v>365</v>
      </c>
      <c r="T31" s="69">
        <f t="shared" si="32"/>
        <v>365</v>
      </c>
      <c r="U31" s="69">
        <f t="shared" si="32"/>
        <v>365</v>
      </c>
      <c r="V31" s="69">
        <f t="shared" si="32"/>
        <v>365</v>
      </c>
      <c r="W31" s="69">
        <f t="shared" si="32"/>
        <v>365</v>
      </c>
      <c r="X31" s="69">
        <f t="shared" si="32"/>
        <v>365</v>
      </c>
      <c r="Y31" s="69">
        <f t="shared" si="32"/>
        <v>365</v>
      </c>
      <c r="Z31" s="69">
        <f t="shared" si="32"/>
        <v>365</v>
      </c>
      <c r="AA31" s="69">
        <f t="shared" si="32"/>
        <v>365</v>
      </c>
    </row>
    <row r="32" spans="2:27" x14ac:dyDescent="0.2">
      <c r="B32" s="6" t="s">
        <v>97</v>
      </c>
      <c r="C32" s="70">
        <v>5</v>
      </c>
      <c r="D32" s="68"/>
      <c r="E32" s="69">
        <f t="shared" ref="E32:AA32" si="33">E8-E20</f>
        <v>0</v>
      </c>
      <c r="F32" s="69">
        <f t="shared" si="33"/>
        <v>0</v>
      </c>
      <c r="G32" s="69">
        <f t="shared" si="33"/>
        <v>233</v>
      </c>
      <c r="H32" s="69">
        <f t="shared" si="33"/>
        <v>365</v>
      </c>
      <c r="I32" s="69">
        <f t="shared" si="33"/>
        <v>365</v>
      </c>
      <c r="J32" s="69">
        <f t="shared" si="33"/>
        <v>365</v>
      </c>
      <c r="K32" s="69">
        <f t="shared" si="33"/>
        <v>365</v>
      </c>
      <c r="L32" s="69">
        <f t="shared" si="33"/>
        <v>365</v>
      </c>
      <c r="M32" s="69">
        <f t="shared" si="33"/>
        <v>365</v>
      </c>
      <c r="N32" s="69">
        <f t="shared" si="33"/>
        <v>365</v>
      </c>
      <c r="O32" s="69">
        <f t="shared" si="33"/>
        <v>365</v>
      </c>
      <c r="P32" s="69">
        <f t="shared" si="33"/>
        <v>365</v>
      </c>
      <c r="Q32" s="69">
        <f t="shared" si="33"/>
        <v>365</v>
      </c>
      <c r="R32" s="69">
        <f t="shared" si="33"/>
        <v>365</v>
      </c>
      <c r="S32" s="69">
        <f t="shared" si="33"/>
        <v>365</v>
      </c>
      <c r="T32" s="69">
        <f t="shared" si="33"/>
        <v>365</v>
      </c>
      <c r="U32" s="69">
        <f t="shared" si="33"/>
        <v>365</v>
      </c>
      <c r="V32" s="69">
        <f t="shared" si="33"/>
        <v>365</v>
      </c>
      <c r="W32" s="69">
        <f t="shared" si="33"/>
        <v>365</v>
      </c>
      <c r="X32" s="69">
        <f t="shared" si="33"/>
        <v>365</v>
      </c>
      <c r="Y32" s="69">
        <f t="shared" si="33"/>
        <v>365</v>
      </c>
      <c r="Z32" s="69">
        <f t="shared" si="33"/>
        <v>365</v>
      </c>
      <c r="AA32" s="69">
        <f t="shared" si="33"/>
        <v>365</v>
      </c>
    </row>
    <row r="33" spans="2:27" x14ac:dyDescent="0.2">
      <c r="B33" s="6" t="s">
        <v>99</v>
      </c>
      <c r="C33" s="70">
        <v>5</v>
      </c>
      <c r="D33" s="68"/>
      <c r="E33" s="69">
        <f t="shared" ref="E33:AA33" si="34">E9-E21</f>
        <v>0</v>
      </c>
      <c r="F33" s="69">
        <f t="shared" si="34"/>
        <v>0</v>
      </c>
      <c r="G33" s="69">
        <f t="shared" si="34"/>
        <v>233</v>
      </c>
      <c r="H33" s="69">
        <f t="shared" si="34"/>
        <v>365</v>
      </c>
      <c r="I33" s="69">
        <f t="shared" si="34"/>
        <v>365</v>
      </c>
      <c r="J33" s="69">
        <f t="shared" si="34"/>
        <v>365</v>
      </c>
      <c r="K33" s="69">
        <f t="shared" si="34"/>
        <v>365</v>
      </c>
      <c r="L33" s="69">
        <f t="shared" si="34"/>
        <v>365</v>
      </c>
      <c r="M33" s="69">
        <f t="shared" si="34"/>
        <v>365</v>
      </c>
      <c r="N33" s="69">
        <f t="shared" si="34"/>
        <v>365</v>
      </c>
      <c r="O33" s="69">
        <f t="shared" si="34"/>
        <v>365</v>
      </c>
      <c r="P33" s="69">
        <f t="shared" si="34"/>
        <v>365</v>
      </c>
      <c r="Q33" s="69">
        <f t="shared" si="34"/>
        <v>365</v>
      </c>
      <c r="R33" s="69">
        <f t="shared" si="34"/>
        <v>365</v>
      </c>
      <c r="S33" s="69">
        <f t="shared" si="34"/>
        <v>365</v>
      </c>
      <c r="T33" s="69">
        <f t="shared" si="34"/>
        <v>365</v>
      </c>
      <c r="U33" s="69">
        <f t="shared" si="34"/>
        <v>365</v>
      </c>
      <c r="V33" s="69">
        <f t="shared" si="34"/>
        <v>365</v>
      </c>
      <c r="W33" s="69">
        <f t="shared" si="34"/>
        <v>365</v>
      </c>
      <c r="X33" s="69">
        <f t="shared" si="34"/>
        <v>365</v>
      </c>
      <c r="Y33" s="69">
        <f t="shared" si="34"/>
        <v>365</v>
      </c>
      <c r="Z33" s="69">
        <f t="shared" si="34"/>
        <v>365</v>
      </c>
      <c r="AA33" s="69">
        <f t="shared" si="34"/>
        <v>365</v>
      </c>
    </row>
    <row r="34" spans="2:27" x14ac:dyDescent="0.2">
      <c r="B34" s="6" t="s">
        <v>100</v>
      </c>
      <c r="C34" s="70">
        <v>5</v>
      </c>
      <c r="D34" s="68"/>
      <c r="E34" s="69">
        <f t="shared" ref="E34:AA34" si="35">E10-E22</f>
        <v>0</v>
      </c>
      <c r="F34" s="69">
        <f t="shared" si="35"/>
        <v>0</v>
      </c>
      <c r="G34" s="69">
        <f t="shared" si="35"/>
        <v>233</v>
      </c>
      <c r="H34" s="69">
        <f t="shared" si="35"/>
        <v>365</v>
      </c>
      <c r="I34" s="69">
        <f t="shared" si="35"/>
        <v>365</v>
      </c>
      <c r="J34" s="69">
        <f t="shared" si="35"/>
        <v>365</v>
      </c>
      <c r="K34" s="69">
        <f t="shared" si="35"/>
        <v>365</v>
      </c>
      <c r="L34" s="69">
        <f t="shared" si="35"/>
        <v>365</v>
      </c>
      <c r="M34" s="69">
        <f t="shared" si="35"/>
        <v>365</v>
      </c>
      <c r="N34" s="69">
        <f t="shared" si="35"/>
        <v>365</v>
      </c>
      <c r="O34" s="69">
        <f t="shared" si="35"/>
        <v>365</v>
      </c>
      <c r="P34" s="69">
        <f t="shared" si="35"/>
        <v>365</v>
      </c>
      <c r="Q34" s="69">
        <f t="shared" si="35"/>
        <v>365</v>
      </c>
      <c r="R34" s="69">
        <f t="shared" si="35"/>
        <v>365</v>
      </c>
      <c r="S34" s="69">
        <f t="shared" si="35"/>
        <v>365</v>
      </c>
      <c r="T34" s="69">
        <f t="shared" si="35"/>
        <v>365</v>
      </c>
      <c r="U34" s="69">
        <f t="shared" si="35"/>
        <v>365</v>
      </c>
      <c r="V34" s="69">
        <f t="shared" si="35"/>
        <v>365</v>
      </c>
      <c r="W34" s="69">
        <f t="shared" si="35"/>
        <v>365</v>
      </c>
      <c r="X34" s="69">
        <f t="shared" si="35"/>
        <v>365</v>
      </c>
      <c r="Y34" s="69">
        <f t="shared" si="35"/>
        <v>365</v>
      </c>
      <c r="Z34" s="69">
        <f t="shared" si="35"/>
        <v>365</v>
      </c>
      <c r="AA34" s="69">
        <f t="shared" si="35"/>
        <v>365</v>
      </c>
    </row>
    <row r="35" spans="2:27" x14ac:dyDescent="0.2">
      <c r="B35" s="6" t="s">
        <v>101</v>
      </c>
      <c r="C35" s="70">
        <v>5</v>
      </c>
      <c r="D35" s="68"/>
      <c r="E35" s="69">
        <f t="shared" ref="E35:AA35" si="36">E11-E23</f>
        <v>0</v>
      </c>
      <c r="F35" s="69">
        <f t="shared" si="36"/>
        <v>0</v>
      </c>
      <c r="G35" s="69">
        <f t="shared" si="36"/>
        <v>233</v>
      </c>
      <c r="H35" s="69">
        <f t="shared" si="36"/>
        <v>365</v>
      </c>
      <c r="I35" s="69">
        <f t="shared" si="36"/>
        <v>365</v>
      </c>
      <c r="J35" s="69">
        <f t="shared" si="36"/>
        <v>365</v>
      </c>
      <c r="K35" s="69">
        <f t="shared" si="36"/>
        <v>365</v>
      </c>
      <c r="L35" s="69">
        <f t="shared" si="36"/>
        <v>365</v>
      </c>
      <c r="M35" s="69">
        <f t="shared" si="36"/>
        <v>365</v>
      </c>
      <c r="N35" s="69">
        <f t="shared" si="36"/>
        <v>365</v>
      </c>
      <c r="O35" s="69">
        <f t="shared" si="36"/>
        <v>365</v>
      </c>
      <c r="P35" s="69">
        <f t="shared" si="36"/>
        <v>365</v>
      </c>
      <c r="Q35" s="69">
        <f t="shared" si="36"/>
        <v>365</v>
      </c>
      <c r="R35" s="69">
        <f t="shared" si="36"/>
        <v>365</v>
      </c>
      <c r="S35" s="69">
        <f t="shared" si="36"/>
        <v>365</v>
      </c>
      <c r="T35" s="69">
        <f t="shared" si="36"/>
        <v>365</v>
      </c>
      <c r="U35" s="69">
        <f t="shared" si="36"/>
        <v>365</v>
      </c>
      <c r="V35" s="69">
        <f t="shared" si="36"/>
        <v>365</v>
      </c>
      <c r="W35" s="69">
        <f t="shared" si="36"/>
        <v>365</v>
      </c>
      <c r="X35" s="69">
        <f t="shared" si="36"/>
        <v>365</v>
      </c>
      <c r="Y35" s="69">
        <f t="shared" si="36"/>
        <v>365</v>
      </c>
      <c r="Z35" s="69">
        <f t="shared" si="36"/>
        <v>365</v>
      </c>
      <c r="AA35" s="69">
        <f t="shared" si="36"/>
        <v>365</v>
      </c>
    </row>
    <row r="36" spans="2:27" x14ac:dyDescent="0.2">
      <c r="B36" s="6" t="s">
        <v>102</v>
      </c>
      <c r="C36" s="70">
        <v>5</v>
      </c>
      <c r="D36" s="68"/>
      <c r="E36" s="69">
        <f t="shared" ref="E36:AA36" si="37">E12-E24</f>
        <v>0</v>
      </c>
      <c r="F36" s="69">
        <f t="shared" si="37"/>
        <v>0</v>
      </c>
      <c r="G36" s="69">
        <f t="shared" si="37"/>
        <v>233</v>
      </c>
      <c r="H36" s="69">
        <f t="shared" si="37"/>
        <v>365</v>
      </c>
      <c r="I36" s="69">
        <f t="shared" si="37"/>
        <v>365</v>
      </c>
      <c r="J36" s="69">
        <f t="shared" si="37"/>
        <v>365</v>
      </c>
      <c r="K36" s="69">
        <f t="shared" si="37"/>
        <v>365</v>
      </c>
      <c r="L36" s="69">
        <f t="shared" si="37"/>
        <v>365</v>
      </c>
      <c r="M36" s="69">
        <f t="shared" si="37"/>
        <v>365</v>
      </c>
      <c r="N36" s="69">
        <f t="shared" si="37"/>
        <v>365</v>
      </c>
      <c r="O36" s="69">
        <f t="shared" si="37"/>
        <v>365</v>
      </c>
      <c r="P36" s="69">
        <f t="shared" si="37"/>
        <v>365</v>
      </c>
      <c r="Q36" s="69">
        <f t="shared" si="37"/>
        <v>365</v>
      </c>
      <c r="R36" s="69">
        <f t="shared" si="37"/>
        <v>365</v>
      </c>
      <c r="S36" s="69">
        <f t="shared" si="37"/>
        <v>365</v>
      </c>
      <c r="T36" s="69">
        <f t="shared" si="37"/>
        <v>365</v>
      </c>
      <c r="U36" s="69">
        <f t="shared" si="37"/>
        <v>365</v>
      </c>
      <c r="V36" s="69">
        <f t="shared" si="37"/>
        <v>365</v>
      </c>
      <c r="W36" s="69">
        <f t="shared" si="37"/>
        <v>365</v>
      </c>
      <c r="X36" s="69">
        <f t="shared" si="37"/>
        <v>365</v>
      </c>
      <c r="Y36" s="69">
        <f t="shared" si="37"/>
        <v>365</v>
      </c>
      <c r="Z36" s="69">
        <f t="shared" si="37"/>
        <v>365</v>
      </c>
      <c r="AA36" s="69">
        <f t="shared" si="37"/>
        <v>365</v>
      </c>
    </row>
    <row r="37" spans="2:27" x14ac:dyDescent="0.2">
      <c r="B37" s="6" t="s">
        <v>103</v>
      </c>
      <c r="C37" s="70">
        <v>5</v>
      </c>
      <c r="D37" s="68"/>
      <c r="E37" s="69">
        <f t="shared" ref="E37:AA37" si="38">E13-E25</f>
        <v>0</v>
      </c>
      <c r="F37" s="69">
        <f t="shared" si="38"/>
        <v>0</v>
      </c>
      <c r="G37" s="69">
        <f t="shared" si="38"/>
        <v>233</v>
      </c>
      <c r="H37" s="69">
        <f t="shared" si="38"/>
        <v>365</v>
      </c>
      <c r="I37" s="69">
        <f t="shared" si="38"/>
        <v>365</v>
      </c>
      <c r="J37" s="69">
        <f t="shared" si="38"/>
        <v>365</v>
      </c>
      <c r="K37" s="69">
        <f t="shared" si="38"/>
        <v>365</v>
      </c>
      <c r="L37" s="69">
        <f t="shared" si="38"/>
        <v>365</v>
      </c>
      <c r="M37" s="69">
        <f t="shared" si="38"/>
        <v>365</v>
      </c>
      <c r="N37" s="69">
        <f t="shared" si="38"/>
        <v>365</v>
      </c>
      <c r="O37" s="69">
        <f t="shared" si="38"/>
        <v>365</v>
      </c>
      <c r="P37" s="69">
        <f t="shared" si="38"/>
        <v>365</v>
      </c>
      <c r="Q37" s="69">
        <f t="shared" si="38"/>
        <v>365</v>
      </c>
      <c r="R37" s="69">
        <f t="shared" si="38"/>
        <v>365</v>
      </c>
      <c r="S37" s="69">
        <f t="shared" si="38"/>
        <v>365</v>
      </c>
      <c r="T37" s="69">
        <f t="shared" si="38"/>
        <v>365</v>
      </c>
      <c r="U37" s="69">
        <f t="shared" si="38"/>
        <v>365</v>
      </c>
      <c r="V37" s="69">
        <f t="shared" si="38"/>
        <v>365</v>
      </c>
      <c r="W37" s="69">
        <f t="shared" si="38"/>
        <v>365</v>
      </c>
      <c r="X37" s="69">
        <f t="shared" si="38"/>
        <v>365</v>
      </c>
      <c r="Y37" s="69">
        <f t="shared" si="38"/>
        <v>365</v>
      </c>
      <c r="Z37" s="69">
        <f t="shared" si="38"/>
        <v>365</v>
      </c>
      <c r="AA37" s="69">
        <f t="shared" si="38"/>
        <v>365</v>
      </c>
    </row>
    <row r="38" spans="2:27" x14ac:dyDescent="0.2">
      <c r="B38" s="6" t="s">
        <v>104</v>
      </c>
      <c r="C38" s="70">
        <v>5</v>
      </c>
      <c r="D38" s="68"/>
      <c r="E38" s="69">
        <f t="shared" ref="E38:AA38" si="39">E14-E26</f>
        <v>0</v>
      </c>
      <c r="F38" s="69">
        <f t="shared" si="39"/>
        <v>0</v>
      </c>
      <c r="G38" s="69">
        <f t="shared" si="39"/>
        <v>233</v>
      </c>
      <c r="H38" s="69">
        <f t="shared" si="39"/>
        <v>365</v>
      </c>
      <c r="I38" s="69">
        <f t="shared" si="39"/>
        <v>365</v>
      </c>
      <c r="J38" s="69">
        <f t="shared" si="39"/>
        <v>365</v>
      </c>
      <c r="K38" s="69">
        <f t="shared" si="39"/>
        <v>365</v>
      </c>
      <c r="L38" s="69">
        <f t="shared" si="39"/>
        <v>365</v>
      </c>
      <c r="M38" s="69">
        <f t="shared" si="39"/>
        <v>365</v>
      </c>
      <c r="N38" s="69">
        <f t="shared" si="39"/>
        <v>365</v>
      </c>
      <c r="O38" s="69">
        <f t="shared" si="39"/>
        <v>365</v>
      </c>
      <c r="P38" s="69">
        <f t="shared" si="39"/>
        <v>365</v>
      </c>
      <c r="Q38" s="69">
        <f t="shared" si="39"/>
        <v>365</v>
      </c>
      <c r="R38" s="69">
        <f t="shared" si="39"/>
        <v>365</v>
      </c>
      <c r="S38" s="69">
        <f t="shared" si="39"/>
        <v>365</v>
      </c>
      <c r="T38" s="69">
        <f t="shared" si="39"/>
        <v>365</v>
      </c>
      <c r="U38" s="69">
        <f t="shared" si="39"/>
        <v>365</v>
      </c>
      <c r="V38" s="69">
        <f t="shared" si="39"/>
        <v>365</v>
      </c>
      <c r="W38" s="69">
        <f t="shared" si="39"/>
        <v>365</v>
      </c>
      <c r="X38" s="69">
        <f t="shared" si="39"/>
        <v>365</v>
      </c>
      <c r="Y38" s="69">
        <f t="shared" si="39"/>
        <v>365</v>
      </c>
      <c r="Z38" s="69">
        <f t="shared" si="39"/>
        <v>365</v>
      </c>
      <c r="AA38" s="69">
        <f t="shared" si="39"/>
        <v>365</v>
      </c>
    </row>
    <row r="39" spans="2:27" x14ac:dyDescent="0.2">
      <c r="B39" s="6" t="s">
        <v>105</v>
      </c>
      <c r="C39" s="70">
        <v>5</v>
      </c>
      <c r="D39" s="68"/>
      <c r="E39" s="69">
        <f t="shared" ref="E39:AA39" si="40">E15-E27</f>
        <v>0</v>
      </c>
      <c r="F39" s="69">
        <f t="shared" si="40"/>
        <v>0</v>
      </c>
      <c r="G39" s="69">
        <f t="shared" si="40"/>
        <v>233</v>
      </c>
      <c r="H39" s="69">
        <f t="shared" si="40"/>
        <v>365</v>
      </c>
      <c r="I39" s="69">
        <f t="shared" si="40"/>
        <v>365</v>
      </c>
      <c r="J39" s="69">
        <f t="shared" si="40"/>
        <v>365</v>
      </c>
      <c r="K39" s="69">
        <f t="shared" si="40"/>
        <v>365</v>
      </c>
      <c r="L39" s="69">
        <f t="shared" si="40"/>
        <v>365</v>
      </c>
      <c r="M39" s="69">
        <f t="shared" si="40"/>
        <v>365</v>
      </c>
      <c r="N39" s="69">
        <f t="shared" si="40"/>
        <v>365</v>
      </c>
      <c r="O39" s="69">
        <f t="shared" si="40"/>
        <v>365</v>
      </c>
      <c r="P39" s="69">
        <f t="shared" si="40"/>
        <v>365</v>
      </c>
      <c r="Q39" s="69">
        <f t="shared" si="40"/>
        <v>365</v>
      </c>
      <c r="R39" s="69">
        <f t="shared" si="40"/>
        <v>365</v>
      </c>
      <c r="S39" s="69">
        <f t="shared" si="40"/>
        <v>365</v>
      </c>
      <c r="T39" s="69">
        <f t="shared" si="40"/>
        <v>365</v>
      </c>
      <c r="U39" s="69">
        <f t="shared" si="40"/>
        <v>365</v>
      </c>
      <c r="V39" s="69">
        <f t="shared" si="40"/>
        <v>365</v>
      </c>
      <c r="W39" s="69">
        <f t="shared" si="40"/>
        <v>365</v>
      </c>
      <c r="X39" s="69">
        <f t="shared" si="40"/>
        <v>365</v>
      </c>
      <c r="Y39" s="69">
        <f t="shared" si="40"/>
        <v>365</v>
      </c>
      <c r="Z39" s="69">
        <f t="shared" si="40"/>
        <v>365</v>
      </c>
      <c r="AA39" s="69">
        <f t="shared" si="40"/>
        <v>365</v>
      </c>
    </row>
    <row r="40" spans="2:27" x14ac:dyDescent="0.2">
      <c r="B40" s="6" t="s">
        <v>106</v>
      </c>
      <c r="C40" s="70">
        <v>6</v>
      </c>
      <c r="D40" s="68"/>
      <c r="E40" s="69">
        <f t="shared" ref="E40:AA40" si="41">E16-E28</f>
        <v>0</v>
      </c>
      <c r="F40" s="69">
        <f t="shared" si="41"/>
        <v>0</v>
      </c>
      <c r="G40" s="69">
        <f t="shared" si="41"/>
        <v>233</v>
      </c>
      <c r="H40" s="69">
        <f t="shared" si="41"/>
        <v>365</v>
      </c>
      <c r="I40" s="69">
        <f t="shared" si="41"/>
        <v>365</v>
      </c>
      <c r="J40" s="69">
        <f t="shared" si="41"/>
        <v>365</v>
      </c>
      <c r="K40" s="69">
        <f t="shared" si="41"/>
        <v>365</v>
      </c>
      <c r="L40" s="69">
        <f t="shared" si="41"/>
        <v>365</v>
      </c>
      <c r="M40" s="69">
        <f t="shared" si="41"/>
        <v>365</v>
      </c>
      <c r="N40" s="69">
        <f t="shared" si="41"/>
        <v>365</v>
      </c>
      <c r="O40" s="69">
        <f t="shared" si="41"/>
        <v>365</v>
      </c>
      <c r="P40" s="69">
        <f t="shared" si="41"/>
        <v>365</v>
      </c>
      <c r="Q40" s="69">
        <f t="shared" si="41"/>
        <v>365</v>
      </c>
      <c r="R40" s="69">
        <f t="shared" si="41"/>
        <v>365</v>
      </c>
      <c r="S40" s="69">
        <f t="shared" si="41"/>
        <v>365</v>
      </c>
      <c r="T40" s="69">
        <f t="shared" si="41"/>
        <v>365</v>
      </c>
      <c r="U40" s="69">
        <f t="shared" si="41"/>
        <v>365</v>
      </c>
      <c r="V40" s="69">
        <f t="shared" si="41"/>
        <v>365</v>
      </c>
      <c r="W40" s="69">
        <f t="shared" si="41"/>
        <v>365</v>
      </c>
      <c r="X40" s="69">
        <f t="shared" si="41"/>
        <v>365</v>
      </c>
      <c r="Y40" s="69">
        <f t="shared" si="41"/>
        <v>365</v>
      </c>
      <c r="Z40" s="69">
        <f t="shared" si="41"/>
        <v>365</v>
      </c>
      <c r="AA40" s="69">
        <f t="shared" si="41"/>
        <v>365</v>
      </c>
    </row>
    <row r="41" spans="2:27" x14ac:dyDescent="0.2">
      <c r="D41" s="1"/>
      <c r="Z41" s="3"/>
      <c r="AA41" s="3"/>
    </row>
    <row r="42" spans="2:27" x14ac:dyDescent="0.2">
      <c r="B42" s="1" t="s">
        <v>114</v>
      </c>
      <c r="C42" s="65"/>
      <c r="E42" s="65">
        <f>Parameters!$B$6/96%*92%/51/365*SUMPRODUCT($C$19:$C$28,E19:E28)</f>
        <v>1380623.3583803384</v>
      </c>
      <c r="F42" s="65">
        <f>Parameters!$B$6/96%*92%/51/365*SUMPRODUCT($C$19:$C$28,F19:F28)</f>
        <v>211014474.09485093</v>
      </c>
      <c r="G42" s="65">
        <f>Parameters!$B$6/96%*92%/51/365*SUMPRODUCT($C$19:$C$28,G19:G28)</f>
        <v>92943564.486164391</v>
      </c>
      <c r="H42" s="65">
        <f>Parameters!$B$6/96%*92%/51/365*SUMPRODUCT($C$19:$C$28,H19:H28)</f>
        <v>0</v>
      </c>
      <c r="I42" s="65">
        <f>Parameters!$B$6/96%*92%/51/365*SUMPRODUCT($C$19:$C$28,I19:I28)</f>
        <v>0</v>
      </c>
      <c r="J42" s="65">
        <f>Parameters!$B$6/96%*92%/51/365*SUMPRODUCT($C$19:$C$28,J19:J28)</f>
        <v>0</v>
      </c>
      <c r="K42" s="65">
        <f>Parameters!$B$6/96%*92%/51/365*SUMPRODUCT($C$19:$C$28,K19:K28)</f>
        <v>0</v>
      </c>
      <c r="L42" s="65">
        <f>Parameters!$B$6/96%*92%/51/365*SUMPRODUCT($C$19:$C$28,L19:L28)</f>
        <v>0</v>
      </c>
      <c r="M42" s="65">
        <f>Parameters!$B$6/96%*92%/51/365*SUMPRODUCT($C$19:$C$28,M19:M28)</f>
        <v>0</v>
      </c>
      <c r="N42" s="65">
        <f>Parameters!$B$6/96%*92%/51/365*SUMPRODUCT($C$19:$C$28,N19:N28)</f>
        <v>0</v>
      </c>
      <c r="O42" s="65">
        <f>Parameters!$B$6/96%*92%/51/365*SUMPRODUCT($C$19:$C$28,O19:O28)</f>
        <v>0</v>
      </c>
      <c r="P42" s="65">
        <f>Parameters!$B$6/96%*92%/51/365*SUMPRODUCT($C$19:$C$28,P19:P28)</f>
        <v>0</v>
      </c>
      <c r="Q42" s="65">
        <f>Parameters!$B$6/96%*92%/51/365*SUMPRODUCT($C$19:$C$28,Q19:Q28)</f>
        <v>0</v>
      </c>
      <c r="R42" s="65">
        <f>Parameters!$B$6/96%*92%/51/365*SUMPRODUCT($C$19:$C$28,R19:R28)</f>
        <v>0</v>
      </c>
      <c r="S42" s="65">
        <f>Parameters!$B$6/96%*92%/51/365*SUMPRODUCT($C$19:$C$28,S19:S28)</f>
        <v>0</v>
      </c>
      <c r="T42" s="65">
        <f>Parameters!$B$6/96%*92%/51/365*SUMPRODUCT($C$19:$C$28,T19:T28)</f>
        <v>0</v>
      </c>
      <c r="U42" s="65">
        <f>Parameters!$B$6/96%*92%/51/365*SUMPRODUCT($C$19:$C$28,U19:U28)</f>
        <v>0</v>
      </c>
      <c r="V42" s="65">
        <f>Parameters!$B$6/96%*92%/51/365*SUMPRODUCT($C$19:$C$28,V19:V28)</f>
        <v>0</v>
      </c>
      <c r="W42" s="65">
        <f>Parameters!$B$6/96%*92%/51/365*SUMPRODUCT($C$19:$C$28,W19:W28)</f>
        <v>0</v>
      </c>
      <c r="X42" s="65">
        <f>Parameters!$B$6/96%*92%/51/365*SUMPRODUCT($C$19:$C$28,X19:X28)</f>
        <v>0</v>
      </c>
      <c r="Y42" s="65">
        <f>Parameters!$B$6/96%*92%/51/365*SUMPRODUCT($C$19:$C$28,Y19:Y28)</f>
        <v>0</v>
      </c>
      <c r="Z42" s="65">
        <f>Parameters!$B$6/96%*92%/51/365*SUMPRODUCT($C$19:$C$28,Z19:Z28)</f>
        <v>0</v>
      </c>
      <c r="AA42" s="65">
        <f>Parameters!$B$6/96%*92%/51/365*SUMPRODUCT($C$19:$C$28,AA19:AA28)</f>
        <v>0</v>
      </c>
    </row>
    <row r="43" spans="2:27" x14ac:dyDescent="0.2">
      <c r="B43" s="1" t="s">
        <v>115</v>
      </c>
      <c r="C43" s="65"/>
      <c r="E43" s="65">
        <f>Parameters!$B$6/51/365*SUMPRODUCT($C$31:$C$40,E31:E40)</f>
        <v>0</v>
      </c>
      <c r="F43" s="65">
        <f>Parameters!$B$6/51/365*SUMPRODUCT($C$31:$C$40,F31:F40)</f>
        <v>0</v>
      </c>
      <c r="G43" s="65">
        <f>Parameters!$B$6/51/365*SUMPRODUCT($C$31:$C$40,G31:G40)</f>
        <v>171192494.2709589</v>
      </c>
      <c r="H43" s="65">
        <f>Parameters!$B$6/51/365*SUMPRODUCT($C$31:$C$40,H31:H40)</f>
        <v>268177083.30000001</v>
      </c>
      <c r="I43" s="65">
        <f>Parameters!$B$6/51/365*SUMPRODUCT($C$31:$C$40,I31:I40)</f>
        <v>268177083.30000001</v>
      </c>
      <c r="J43" s="65">
        <f>Parameters!$B$6/51/365*SUMPRODUCT($C$31:$C$40,J31:J40)</f>
        <v>268177083.30000001</v>
      </c>
      <c r="K43" s="65">
        <f>Parameters!$B$6/51/365*SUMPRODUCT($C$31:$C$40,K31:K40)</f>
        <v>268177083.30000001</v>
      </c>
      <c r="L43" s="65">
        <f>Parameters!$B$6/51/365*SUMPRODUCT($C$31:$C$40,L31:L40)</f>
        <v>268177083.30000001</v>
      </c>
      <c r="M43" s="65">
        <f>Parameters!$B$6/51/365*SUMPRODUCT($C$31:$C$40,M31:M40)</f>
        <v>268177083.30000001</v>
      </c>
      <c r="N43" s="65">
        <f>Parameters!$B$6/51/365*SUMPRODUCT($C$31:$C$40,N31:N40)</f>
        <v>268177083.30000001</v>
      </c>
      <c r="O43" s="65">
        <f>Parameters!$B$6/51/365*SUMPRODUCT($C$31:$C$40,O31:O40)</f>
        <v>268177083.30000001</v>
      </c>
      <c r="P43" s="65">
        <f>Parameters!$B$6/51/365*SUMPRODUCT($C$31:$C$40,P31:P40)</f>
        <v>268177083.30000001</v>
      </c>
      <c r="Q43" s="65">
        <f>Parameters!$B$6/51/365*SUMPRODUCT($C$31:$C$40,Q31:Q40)</f>
        <v>268177083.30000001</v>
      </c>
      <c r="R43" s="65">
        <f>Parameters!$B$6/51/365*SUMPRODUCT($C$31:$C$40,R31:R40)</f>
        <v>268177083.30000001</v>
      </c>
      <c r="S43" s="65">
        <f>Parameters!$B$6/51/365*SUMPRODUCT($C$31:$C$40,S31:S40)</f>
        <v>268177083.30000001</v>
      </c>
      <c r="T43" s="65">
        <f>Parameters!$B$6/51/365*SUMPRODUCT($C$31:$C$40,T31:T40)</f>
        <v>268177083.30000001</v>
      </c>
      <c r="U43" s="65">
        <f>Parameters!$B$6/51/365*SUMPRODUCT($C$31:$C$40,U31:U40)</f>
        <v>268177083.30000001</v>
      </c>
      <c r="V43" s="65">
        <f>Parameters!$B$6/51/365*SUMPRODUCT($C$31:$C$40,V31:V40)</f>
        <v>268177083.30000001</v>
      </c>
      <c r="W43" s="65">
        <f>Parameters!$B$6/51/365*SUMPRODUCT($C$31:$C$40,W31:W40)</f>
        <v>268177083.30000001</v>
      </c>
      <c r="X43" s="65">
        <f>Parameters!$B$6/51/365*SUMPRODUCT($C$31:$C$40,X31:X40)</f>
        <v>268177083.30000001</v>
      </c>
      <c r="Y43" s="65">
        <f>Parameters!$B$6/51/365*SUMPRODUCT($C$31:$C$40,Y31:Y40)</f>
        <v>268177083.30000001</v>
      </c>
      <c r="Z43" s="65">
        <f>Parameters!$B$6/51/365*SUMPRODUCT($C$31:$C$40,Z31:Z40)</f>
        <v>268177083.30000001</v>
      </c>
      <c r="AA43" s="65">
        <f>Parameters!$B$6/51/365*SUMPRODUCT($C$31:$C$40,AA31:AA40)</f>
        <v>268177083.30000001</v>
      </c>
    </row>
    <row r="44" spans="2:27" x14ac:dyDescent="0.2">
      <c r="B44" s="58" t="s">
        <v>13</v>
      </c>
      <c r="C44" s="72"/>
      <c r="D44" s="72"/>
      <c r="E44" s="73">
        <f>SUM(E42:E43)</f>
        <v>1380623.3583803384</v>
      </c>
      <c r="F44" s="73">
        <f t="shared" ref="F44:AA44" si="42">SUM(F42:F43)</f>
        <v>211014474.09485093</v>
      </c>
      <c r="G44" s="73">
        <f t="shared" si="42"/>
        <v>264136058.75712329</v>
      </c>
      <c r="H44" s="73">
        <f t="shared" si="42"/>
        <v>268177083.30000001</v>
      </c>
      <c r="I44" s="73">
        <f t="shared" si="42"/>
        <v>268177083.30000001</v>
      </c>
      <c r="J44" s="73">
        <f t="shared" si="42"/>
        <v>268177083.30000001</v>
      </c>
      <c r="K44" s="73">
        <f t="shared" si="42"/>
        <v>268177083.30000001</v>
      </c>
      <c r="L44" s="73">
        <f t="shared" si="42"/>
        <v>268177083.30000001</v>
      </c>
      <c r="M44" s="73">
        <f t="shared" si="42"/>
        <v>268177083.30000001</v>
      </c>
      <c r="N44" s="73">
        <f t="shared" si="42"/>
        <v>268177083.30000001</v>
      </c>
      <c r="O44" s="73">
        <f t="shared" si="42"/>
        <v>268177083.30000001</v>
      </c>
      <c r="P44" s="73">
        <f t="shared" si="42"/>
        <v>268177083.30000001</v>
      </c>
      <c r="Q44" s="73">
        <f t="shared" si="42"/>
        <v>268177083.30000001</v>
      </c>
      <c r="R44" s="73">
        <f t="shared" si="42"/>
        <v>268177083.30000001</v>
      </c>
      <c r="S44" s="73">
        <f t="shared" si="42"/>
        <v>268177083.30000001</v>
      </c>
      <c r="T44" s="73">
        <f t="shared" si="42"/>
        <v>268177083.30000001</v>
      </c>
      <c r="U44" s="73">
        <f t="shared" si="42"/>
        <v>268177083.30000001</v>
      </c>
      <c r="V44" s="73">
        <f t="shared" si="42"/>
        <v>268177083.30000001</v>
      </c>
      <c r="W44" s="73">
        <f t="shared" si="42"/>
        <v>268177083.30000001</v>
      </c>
      <c r="X44" s="73">
        <f t="shared" si="42"/>
        <v>268177083.30000001</v>
      </c>
      <c r="Y44" s="73">
        <f t="shared" si="42"/>
        <v>268177083.30000001</v>
      </c>
      <c r="Z44" s="73">
        <f t="shared" si="42"/>
        <v>268177083.30000001</v>
      </c>
      <c r="AA44" s="73">
        <f t="shared" si="42"/>
        <v>268177083.30000001</v>
      </c>
    </row>
    <row r="45" spans="2:27" x14ac:dyDescent="0.2">
      <c r="B45" s="1" t="s">
        <v>116</v>
      </c>
      <c r="E45" s="74">
        <f>E44/Parameters!$B$6</f>
        <v>5.1481779926582502E-3</v>
      </c>
      <c r="F45" s="74">
        <f>F44/Parameters!$B$6</f>
        <v>0.78684752439788697</v>
      </c>
      <c r="G45" s="74">
        <f>G44/Parameters!$B$6</f>
        <v>0.98493150684931507</v>
      </c>
      <c r="H45" s="74">
        <f>H44/Parameters!$B$6</f>
        <v>1</v>
      </c>
      <c r="I45" s="74">
        <f>I44/Parameters!$B$6</f>
        <v>1</v>
      </c>
      <c r="J45" s="74">
        <f>J44/Parameters!$B$6</f>
        <v>1</v>
      </c>
      <c r="K45" s="74">
        <f>K44/Parameters!$B$6</f>
        <v>1</v>
      </c>
      <c r="L45" s="74">
        <f>L44/Parameters!$B$6</f>
        <v>1</v>
      </c>
      <c r="M45" s="74">
        <f>M44/Parameters!$B$6</f>
        <v>1</v>
      </c>
      <c r="N45" s="74">
        <f>N44/Parameters!$B$6</f>
        <v>1</v>
      </c>
      <c r="O45" s="74">
        <f>O44/Parameters!$B$6</f>
        <v>1</v>
      </c>
      <c r="P45" s="74">
        <f>P44/Parameters!$B$6</f>
        <v>1</v>
      </c>
      <c r="Q45" s="74">
        <f>Q44/Parameters!$B$6</f>
        <v>1</v>
      </c>
      <c r="R45" s="74">
        <f>R44/Parameters!$B$6</f>
        <v>1</v>
      </c>
      <c r="S45" s="74">
        <f>S44/Parameters!$B$6</f>
        <v>1</v>
      </c>
      <c r="T45" s="74">
        <f>T44/Parameters!$B$6</f>
        <v>1</v>
      </c>
      <c r="U45" s="74">
        <f>U44/Parameters!$B$6</f>
        <v>1</v>
      </c>
      <c r="V45" s="74">
        <f>V44/Parameters!$B$6</f>
        <v>1</v>
      </c>
      <c r="W45" s="74">
        <f>W44/Parameters!$B$6</f>
        <v>1</v>
      </c>
      <c r="X45" s="74">
        <f>X44/Parameters!$B$6</f>
        <v>1</v>
      </c>
      <c r="Y45" s="74">
        <f>Y44/Parameters!$B$6</f>
        <v>1</v>
      </c>
      <c r="Z45" s="74">
        <f>Z44/Parameters!$B$6</f>
        <v>1</v>
      </c>
      <c r="AA45" s="74">
        <f>AA44/Parameters!$B$6</f>
        <v>1</v>
      </c>
    </row>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A61"/>
  <sheetViews>
    <sheetView showGridLines="0" workbookViewId="0">
      <pane xSplit="2" ySplit="4" topLeftCell="C5" activePane="bottomRight" state="frozen"/>
      <selection pane="topRight"/>
      <selection pane="bottomLeft"/>
      <selection pane="bottomRight" activeCell="C5" sqref="C5"/>
    </sheetView>
  </sheetViews>
  <sheetFormatPr defaultColWidth="9.140625" defaultRowHeight="12.75" x14ac:dyDescent="0.2"/>
  <cols>
    <col min="1" max="1" width="2.5703125" style="37" customWidth="1"/>
    <col min="2" max="2" width="37" style="1" customWidth="1"/>
    <col min="3" max="3" width="16.140625" style="3" bestFit="1" customWidth="1"/>
    <col min="4" max="25" width="16.140625" style="3" customWidth="1"/>
    <col min="26" max="27" width="16.140625" style="37" customWidth="1"/>
    <col min="28" max="16384" width="9.140625" style="37"/>
  </cols>
  <sheetData>
    <row r="2" spans="2:27" s="36" customFormat="1" x14ac:dyDescent="0.2">
      <c r="B2" s="4" t="s">
        <v>1</v>
      </c>
      <c r="C2" s="4"/>
      <c r="D2" s="4"/>
      <c r="E2" s="5">
        <v>0</v>
      </c>
      <c r="F2" s="5">
        <f>E2+1</f>
        <v>1</v>
      </c>
      <c r="G2" s="5">
        <f t="shared" ref="G2:V3" si="0">F2+1</f>
        <v>2</v>
      </c>
      <c r="H2" s="5">
        <f t="shared" si="0"/>
        <v>3</v>
      </c>
      <c r="I2" s="5">
        <f t="shared" si="0"/>
        <v>4</v>
      </c>
      <c r="J2" s="5">
        <f t="shared" si="0"/>
        <v>5</v>
      </c>
      <c r="K2" s="5">
        <f t="shared" si="0"/>
        <v>6</v>
      </c>
      <c r="L2" s="5">
        <f t="shared" si="0"/>
        <v>7</v>
      </c>
      <c r="M2" s="5">
        <f t="shared" si="0"/>
        <v>8</v>
      </c>
      <c r="N2" s="5">
        <f t="shared" si="0"/>
        <v>9</v>
      </c>
      <c r="O2" s="5">
        <f t="shared" si="0"/>
        <v>10</v>
      </c>
      <c r="P2" s="5">
        <f t="shared" si="0"/>
        <v>11</v>
      </c>
      <c r="Q2" s="5">
        <f t="shared" si="0"/>
        <v>12</v>
      </c>
      <c r="R2" s="5">
        <f t="shared" si="0"/>
        <v>13</v>
      </c>
      <c r="S2" s="5">
        <f t="shared" si="0"/>
        <v>14</v>
      </c>
      <c r="T2" s="5">
        <f t="shared" si="0"/>
        <v>15</v>
      </c>
      <c r="U2" s="5">
        <f t="shared" si="0"/>
        <v>16</v>
      </c>
      <c r="V2" s="5">
        <f t="shared" si="0"/>
        <v>17</v>
      </c>
      <c r="W2" s="5">
        <f t="shared" ref="W2:AA3" si="1">V2+1</f>
        <v>18</v>
      </c>
      <c r="X2" s="5">
        <f t="shared" si="1"/>
        <v>19</v>
      </c>
      <c r="Y2" s="5">
        <f t="shared" si="1"/>
        <v>20</v>
      </c>
      <c r="Z2" s="5">
        <f t="shared" si="1"/>
        <v>21</v>
      </c>
      <c r="AA2" s="5">
        <f t="shared" si="1"/>
        <v>22</v>
      </c>
    </row>
    <row r="3" spans="2:27" s="36" customFormat="1" x14ac:dyDescent="0.2">
      <c r="B3" s="4" t="s">
        <v>0</v>
      </c>
      <c r="C3" s="4"/>
      <c r="D3" s="4"/>
      <c r="E3" s="5">
        <v>2011</v>
      </c>
      <c r="F3" s="5">
        <f>E3+1</f>
        <v>2012</v>
      </c>
      <c r="G3" s="5">
        <f t="shared" si="0"/>
        <v>2013</v>
      </c>
      <c r="H3" s="5">
        <f t="shared" si="0"/>
        <v>2014</v>
      </c>
      <c r="I3" s="5">
        <f t="shared" si="0"/>
        <v>2015</v>
      </c>
      <c r="J3" s="5">
        <f t="shared" si="0"/>
        <v>2016</v>
      </c>
      <c r="K3" s="5">
        <f t="shared" si="0"/>
        <v>2017</v>
      </c>
      <c r="L3" s="5">
        <f t="shared" si="0"/>
        <v>2018</v>
      </c>
      <c r="M3" s="5">
        <f t="shared" si="0"/>
        <v>2019</v>
      </c>
      <c r="N3" s="5">
        <f t="shared" si="0"/>
        <v>2020</v>
      </c>
      <c r="O3" s="5">
        <f t="shared" si="0"/>
        <v>2021</v>
      </c>
      <c r="P3" s="5">
        <f t="shared" si="0"/>
        <v>2022</v>
      </c>
      <c r="Q3" s="5">
        <f t="shared" si="0"/>
        <v>2023</v>
      </c>
      <c r="R3" s="5">
        <f t="shared" si="0"/>
        <v>2024</v>
      </c>
      <c r="S3" s="5">
        <f t="shared" si="0"/>
        <v>2025</v>
      </c>
      <c r="T3" s="5">
        <f t="shared" si="0"/>
        <v>2026</v>
      </c>
      <c r="U3" s="5">
        <f t="shared" si="0"/>
        <v>2027</v>
      </c>
      <c r="V3" s="5">
        <f t="shared" si="0"/>
        <v>2028</v>
      </c>
      <c r="W3" s="5">
        <f t="shared" si="1"/>
        <v>2029</v>
      </c>
      <c r="X3" s="5">
        <f t="shared" si="1"/>
        <v>2030</v>
      </c>
      <c r="Y3" s="5">
        <f t="shared" si="1"/>
        <v>2031</v>
      </c>
      <c r="Z3" s="5">
        <f t="shared" si="1"/>
        <v>2032</v>
      </c>
      <c r="AA3" s="5">
        <f t="shared" si="1"/>
        <v>2033</v>
      </c>
    </row>
    <row r="4" spans="2:27" s="36" customFormat="1" x14ac:dyDescent="0.2">
      <c r="B4" s="4" t="s">
        <v>107</v>
      </c>
      <c r="C4" s="64"/>
      <c r="D4" s="64">
        <v>40268</v>
      </c>
      <c r="E4" s="62">
        <v>40633</v>
      </c>
      <c r="F4" s="62">
        <v>40999</v>
      </c>
      <c r="G4" s="62">
        <v>41364</v>
      </c>
      <c r="H4" s="62">
        <v>41729</v>
      </c>
      <c r="I4" s="62">
        <v>42094</v>
      </c>
      <c r="J4" s="62">
        <v>42460</v>
      </c>
      <c r="K4" s="62">
        <v>42825</v>
      </c>
      <c r="L4" s="62">
        <v>43190</v>
      </c>
      <c r="M4" s="62">
        <v>43555</v>
      </c>
      <c r="N4" s="62">
        <v>43921</v>
      </c>
      <c r="O4" s="62">
        <v>44286</v>
      </c>
      <c r="P4" s="62">
        <v>44651</v>
      </c>
      <c r="Q4" s="62">
        <v>45016</v>
      </c>
      <c r="R4" s="62">
        <v>45382</v>
      </c>
      <c r="S4" s="62">
        <v>45747</v>
      </c>
      <c r="T4" s="62">
        <v>46112</v>
      </c>
      <c r="U4" s="62">
        <v>46477</v>
      </c>
      <c r="V4" s="62">
        <v>46843</v>
      </c>
      <c r="W4" s="62">
        <v>47208</v>
      </c>
      <c r="X4" s="62">
        <v>47573</v>
      </c>
      <c r="Y4" s="62">
        <v>47938</v>
      </c>
      <c r="Z4" s="62">
        <v>48304</v>
      </c>
      <c r="AA4" s="62">
        <v>48669</v>
      </c>
    </row>
    <row r="5" spans="2:27" x14ac:dyDescent="0.2">
      <c r="C5" s="37"/>
      <c r="D5" s="1"/>
      <c r="Z5" s="3"/>
      <c r="AA5" s="3"/>
    </row>
    <row r="6" spans="2:27" ht="25.5" x14ac:dyDescent="0.2">
      <c r="B6" s="63" t="s">
        <v>111</v>
      </c>
      <c r="C6" s="71" t="s">
        <v>113</v>
      </c>
      <c r="D6" s="67" t="s">
        <v>108</v>
      </c>
      <c r="E6" s="60"/>
      <c r="Z6" s="3"/>
      <c r="AA6" s="3"/>
    </row>
    <row r="7" spans="2:27" x14ac:dyDescent="0.2">
      <c r="B7" s="6" t="s">
        <v>98</v>
      </c>
      <c r="C7" s="70">
        <v>5</v>
      </c>
      <c r="D7" s="61">
        <v>40613</v>
      </c>
      <c r="E7" s="66">
        <f>IF($D7&lt;=E$4,MIN(E$4-$D7,E$4-D$4,365),0)</f>
        <v>20</v>
      </c>
      <c r="F7" s="66">
        <f t="shared" ref="F7:AA7" si="2">IF($D7&lt;=F$4,MIN(F$4-$D7,F$4-E$4,365),0)</f>
        <v>365</v>
      </c>
      <c r="G7" s="66">
        <f t="shared" si="2"/>
        <v>365</v>
      </c>
      <c r="H7" s="66">
        <f t="shared" si="2"/>
        <v>365</v>
      </c>
      <c r="I7" s="66">
        <f t="shared" si="2"/>
        <v>365</v>
      </c>
      <c r="J7" s="66">
        <f t="shared" si="2"/>
        <v>365</v>
      </c>
      <c r="K7" s="66">
        <f t="shared" si="2"/>
        <v>365</v>
      </c>
      <c r="L7" s="66">
        <f t="shared" si="2"/>
        <v>365</v>
      </c>
      <c r="M7" s="66">
        <f t="shared" si="2"/>
        <v>365</v>
      </c>
      <c r="N7" s="66">
        <f t="shared" si="2"/>
        <v>365</v>
      </c>
      <c r="O7" s="66">
        <f t="shared" si="2"/>
        <v>365</v>
      </c>
      <c r="P7" s="66">
        <f t="shared" si="2"/>
        <v>365</v>
      </c>
      <c r="Q7" s="66">
        <f t="shared" si="2"/>
        <v>365</v>
      </c>
      <c r="R7" s="66">
        <f t="shared" si="2"/>
        <v>365</v>
      </c>
      <c r="S7" s="66">
        <f t="shared" si="2"/>
        <v>365</v>
      </c>
      <c r="T7" s="66">
        <f t="shared" si="2"/>
        <v>365</v>
      </c>
      <c r="U7" s="66">
        <f t="shared" si="2"/>
        <v>365</v>
      </c>
      <c r="V7" s="66">
        <f t="shared" si="2"/>
        <v>365</v>
      </c>
      <c r="W7" s="66">
        <f t="shared" si="2"/>
        <v>365</v>
      </c>
      <c r="X7" s="66">
        <f t="shared" si="2"/>
        <v>365</v>
      </c>
      <c r="Y7" s="66">
        <f t="shared" si="2"/>
        <v>365</v>
      </c>
      <c r="Z7" s="66">
        <f t="shared" si="2"/>
        <v>365</v>
      </c>
      <c r="AA7" s="66">
        <f t="shared" si="2"/>
        <v>365</v>
      </c>
    </row>
    <row r="8" spans="2:27" x14ac:dyDescent="0.2">
      <c r="B8" s="6" t="s">
        <v>97</v>
      </c>
      <c r="C8" s="70">
        <v>5</v>
      </c>
      <c r="D8" s="61">
        <v>40641</v>
      </c>
      <c r="E8" s="66">
        <f t="shared" ref="E8:AA16" si="3">IF($D8&lt;=E$4,MIN(E$4-$D8,E$4-D$4,365),0)</f>
        <v>0</v>
      </c>
      <c r="F8" s="66">
        <f t="shared" si="3"/>
        <v>358</v>
      </c>
      <c r="G8" s="66">
        <f t="shared" si="3"/>
        <v>365</v>
      </c>
      <c r="H8" s="66">
        <f t="shared" si="3"/>
        <v>365</v>
      </c>
      <c r="I8" s="66">
        <f t="shared" si="3"/>
        <v>365</v>
      </c>
      <c r="J8" s="66">
        <f t="shared" si="3"/>
        <v>365</v>
      </c>
      <c r="K8" s="66">
        <f t="shared" si="3"/>
        <v>365</v>
      </c>
      <c r="L8" s="66">
        <f t="shared" si="3"/>
        <v>365</v>
      </c>
      <c r="M8" s="66">
        <f t="shared" si="3"/>
        <v>365</v>
      </c>
      <c r="N8" s="66">
        <f t="shared" si="3"/>
        <v>365</v>
      </c>
      <c r="O8" s="66">
        <f t="shared" si="3"/>
        <v>365</v>
      </c>
      <c r="P8" s="66">
        <f t="shared" si="3"/>
        <v>365</v>
      </c>
      <c r="Q8" s="66">
        <f t="shared" si="3"/>
        <v>365</v>
      </c>
      <c r="R8" s="66">
        <f t="shared" si="3"/>
        <v>365</v>
      </c>
      <c r="S8" s="66">
        <f t="shared" si="3"/>
        <v>365</v>
      </c>
      <c r="T8" s="66">
        <f t="shared" si="3"/>
        <v>365</v>
      </c>
      <c r="U8" s="66">
        <f t="shared" si="3"/>
        <v>365</v>
      </c>
      <c r="V8" s="66">
        <f t="shared" si="3"/>
        <v>365</v>
      </c>
      <c r="W8" s="66">
        <f t="shared" si="3"/>
        <v>365</v>
      </c>
      <c r="X8" s="66">
        <f t="shared" si="3"/>
        <v>365</v>
      </c>
      <c r="Y8" s="66">
        <f t="shared" si="3"/>
        <v>365</v>
      </c>
      <c r="Z8" s="66">
        <f t="shared" si="3"/>
        <v>365</v>
      </c>
      <c r="AA8" s="66">
        <f t="shared" si="3"/>
        <v>365</v>
      </c>
    </row>
    <row r="9" spans="2:27" x14ac:dyDescent="0.2">
      <c r="B9" s="6" t="s">
        <v>99</v>
      </c>
      <c r="C9" s="70">
        <v>5</v>
      </c>
      <c r="D9" s="61">
        <v>40661</v>
      </c>
      <c r="E9" s="66">
        <f t="shared" si="3"/>
        <v>0</v>
      </c>
      <c r="F9" s="66">
        <f t="shared" si="3"/>
        <v>338</v>
      </c>
      <c r="G9" s="66">
        <f t="shared" si="3"/>
        <v>365</v>
      </c>
      <c r="H9" s="66">
        <f t="shared" si="3"/>
        <v>365</v>
      </c>
      <c r="I9" s="66">
        <f t="shared" si="3"/>
        <v>365</v>
      </c>
      <c r="J9" s="66">
        <f t="shared" si="3"/>
        <v>365</v>
      </c>
      <c r="K9" s="66">
        <f t="shared" si="3"/>
        <v>365</v>
      </c>
      <c r="L9" s="66">
        <f t="shared" si="3"/>
        <v>365</v>
      </c>
      <c r="M9" s="66">
        <f t="shared" si="3"/>
        <v>365</v>
      </c>
      <c r="N9" s="66">
        <f t="shared" si="3"/>
        <v>365</v>
      </c>
      <c r="O9" s="66">
        <f t="shared" si="3"/>
        <v>365</v>
      </c>
      <c r="P9" s="66">
        <f t="shared" si="3"/>
        <v>365</v>
      </c>
      <c r="Q9" s="66">
        <f t="shared" si="3"/>
        <v>365</v>
      </c>
      <c r="R9" s="66">
        <f t="shared" si="3"/>
        <v>365</v>
      </c>
      <c r="S9" s="66">
        <f t="shared" si="3"/>
        <v>365</v>
      </c>
      <c r="T9" s="66">
        <f t="shared" si="3"/>
        <v>365</v>
      </c>
      <c r="U9" s="66">
        <f t="shared" si="3"/>
        <v>365</v>
      </c>
      <c r="V9" s="66">
        <f t="shared" si="3"/>
        <v>365</v>
      </c>
      <c r="W9" s="66">
        <f t="shared" si="3"/>
        <v>365</v>
      </c>
      <c r="X9" s="66">
        <f t="shared" si="3"/>
        <v>365</v>
      </c>
      <c r="Y9" s="66">
        <f t="shared" si="3"/>
        <v>365</v>
      </c>
      <c r="Z9" s="66">
        <f t="shared" si="3"/>
        <v>365</v>
      </c>
      <c r="AA9" s="66">
        <f t="shared" si="3"/>
        <v>365</v>
      </c>
    </row>
    <row r="10" spans="2:27" x14ac:dyDescent="0.2">
      <c r="B10" s="6" t="s">
        <v>100</v>
      </c>
      <c r="C10" s="70">
        <v>5</v>
      </c>
      <c r="D10" s="61">
        <v>40673</v>
      </c>
      <c r="E10" s="66">
        <f t="shared" si="3"/>
        <v>0</v>
      </c>
      <c r="F10" s="66">
        <f t="shared" si="3"/>
        <v>326</v>
      </c>
      <c r="G10" s="66">
        <f t="shared" si="3"/>
        <v>365</v>
      </c>
      <c r="H10" s="66">
        <f t="shared" si="3"/>
        <v>365</v>
      </c>
      <c r="I10" s="66">
        <f t="shared" si="3"/>
        <v>365</v>
      </c>
      <c r="J10" s="66">
        <f t="shared" si="3"/>
        <v>365</v>
      </c>
      <c r="K10" s="66">
        <f t="shared" si="3"/>
        <v>365</v>
      </c>
      <c r="L10" s="66">
        <f t="shared" si="3"/>
        <v>365</v>
      </c>
      <c r="M10" s="66">
        <f t="shared" si="3"/>
        <v>365</v>
      </c>
      <c r="N10" s="66">
        <f t="shared" si="3"/>
        <v>365</v>
      </c>
      <c r="O10" s="66">
        <f t="shared" si="3"/>
        <v>365</v>
      </c>
      <c r="P10" s="66">
        <f t="shared" si="3"/>
        <v>365</v>
      </c>
      <c r="Q10" s="66">
        <f t="shared" si="3"/>
        <v>365</v>
      </c>
      <c r="R10" s="66">
        <f t="shared" si="3"/>
        <v>365</v>
      </c>
      <c r="S10" s="66">
        <f t="shared" si="3"/>
        <v>365</v>
      </c>
      <c r="T10" s="66">
        <f t="shared" si="3"/>
        <v>365</v>
      </c>
      <c r="U10" s="66">
        <f t="shared" si="3"/>
        <v>365</v>
      </c>
      <c r="V10" s="66">
        <f t="shared" si="3"/>
        <v>365</v>
      </c>
      <c r="W10" s="66">
        <f t="shared" si="3"/>
        <v>365</v>
      </c>
      <c r="X10" s="66">
        <f t="shared" si="3"/>
        <v>365</v>
      </c>
      <c r="Y10" s="66">
        <f t="shared" si="3"/>
        <v>365</v>
      </c>
      <c r="Z10" s="66">
        <f t="shared" si="3"/>
        <v>365</v>
      </c>
      <c r="AA10" s="66">
        <f t="shared" si="3"/>
        <v>365</v>
      </c>
    </row>
    <row r="11" spans="2:27" x14ac:dyDescent="0.2">
      <c r="B11" s="6" t="s">
        <v>101</v>
      </c>
      <c r="C11" s="70">
        <v>5</v>
      </c>
      <c r="D11" s="61">
        <v>40692</v>
      </c>
      <c r="E11" s="66">
        <f t="shared" si="3"/>
        <v>0</v>
      </c>
      <c r="F11" s="66">
        <f t="shared" si="3"/>
        <v>307</v>
      </c>
      <c r="G11" s="66">
        <f t="shared" si="3"/>
        <v>365</v>
      </c>
      <c r="H11" s="66">
        <f t="shared" si="3"/>
        <v>365</v>
      </c>
      <c r="I11" s="66">
        <f t="shared" si="3"/>
        <v>365</v>
      </c>
      <c r="J11" s="66">
        <f t="shared" si="3"/>
        <v>365</v>
      </c>
      <c r="K11" s="66">
        <f t="shared" si="3"/>
        <v>365</v>
      </c>
      <c r="L11" s="66">
        <f t="shared" si="3"/>
        <v>365</v>
      </c>
      <c r="M11" s="66">
        <f t="shared" si="3"/>
        <v>365</v>
      </c>
      <c r="N11" s="66">
        <f t="shared" si="3"/>
        <v>365</v>
      </c>
      <c r="O11" s="66">
        <f t="shared" si="3"/>
        <v>365</v>
      </c>
      <c r="P11" s="66">
        <f t="shared" si="3"/>
        <v>365</v>
      </c>
      <c r="Q11" s="66">
        <f t="shared" si="3"/>
        <v>365</v>
      </c>
      <c r="R11" s="66">
        <f t="shared" si="3"/>
        <v>365</v>
      </c>
      <c r="S11" s="66">
        <f t="shared" si="3"/>
        <v>365</v>
      </c>
      <c r="T11" s="66">
        <f t="shared" si="3"/>
        <v>365</v>
      </c>
      <c r="U11" s="66">
        <f t="shared" si="3"/>
        <v>365</v>
      </c>
      <c r="V11" s="66">
        <f t="shared" si="3"/>
        <v>365</v>
      </c>
      <c r="W11" s="66">
        <f t="shared" si="3"/>
        <v>365</v>
      </c>
      <c r="X11" s="66">
        <f t="shared" si="3"/>
        <v>365</v>
      </c>
      <c r="Y11" s="66">
        <f t="shared" si="3"/>
        <v>365</v>
      </c>
      <c r="Z11" s="66">
        <f t="shared" si="3"/>
        <v>365</v>
      </c>
      <c r="AA11" s="66">
        <f t="shared" si="3"/>
        <v>365</v>
      </c>
    </row>
    <row r="12" spans="2:27" x14ac:dyDescent="0.2">
      <c r="B12" s="6" t="s">
        <v>102</v>
      </c>
      <c r="C12" s="70">
        <v>5</v>
      </c>
      <c r="D12" s="61">
        <v>40704</v>
      </c>
      <c r="E12" s="66">
        <f t="shared" si="3"/>
        <v>0</v>
      </c>
      <c r="F12" s="66">
        <f t="shared" si="3"/>
        <v>295</v>
      </c>
      <c r="G12" s="66">
        <f t="shared" si="3"/>
        <v>365</v>
      </c>
      <c r="H12" s="66">
        <f t="shared" si="3"/>
        <v>365</v>
      </c>
      <c r="I12" s="66">
        <f t="shared" si="3"/>
        <v>365</v>
      </c>
      <c r="J12" s="66">
        <f t="shared" si="3"/>
        <v>365</v>
      </c>
      <c r="K12" s="66">
        <f t="shared" si="3"/>
        <v>365</v>
      </c>
      <c r="L12" s="66">
        <f t="shared" si="3"/>
        <v>365</v>
      </c>
      <c r="M12" s="66">
        <f t="shared" si="3"/>
        <v>365</v>
      </c>
      <c r="N12" s="66">
        <f t="shared" si="3"/>
        <v>365</v>
      </c>
      <c r="O12" s="66">
        <f t="shared" si="3"/>
        <v>365</v>
      </c>
      <c r="P12" s="66">
        <f t="shared" si="3"/>
        <v>365</v>
      </c>
      <c r="Q12" s="66">
        <f t="shared" si="3"/>
        <v>365</v>
      </c>
      <c r="R12" s="66">
        <f t="shared" si="3"/>
        <v>365</v>
      </c>
      <c r="S12" s="66">
        <f t="shared" si="3"/>
        <v>365</v>
      </c>
      <c r="T12" s="66">
        <f t="shared" si="3"/>
        <v>365</v>
      </c>
      <c r="U12" s="66">
        <f t="shared" si="3"/>
        <v>365</v>
      </c>
      <c r="V12" s="66">
        <f t="shared" si="3"/>
        <v>365</v>
      </c>
      <c r="W12" s="66">
        <f t="shared" si="3"/>
        <v>365</v>
      </c>
      <c r="X12" s="66">
        <f t="shared" si="3"/>
        <v>365</v>
      </c>
      <c r="Y12" s="66">
        <f t="shared" si="3"/>
        <v>365</v>
      </c>
      <c r="Z12" s="66">
        <f t="shared" si="3"/>
        <v>365</v>
      </c>
      <c r="AA12" s="66">
        <f t="shared" si="3"/>
        <v>365</v>
      </c>
    </row>
    <row r="13" spans="2:27" x14ac:dyDescent="0.2">
      <c r="B13" s="6" t="s">
        <v>103</v>
      </c>
      <c r="C13" s="70">
        <v>5</v>
      </c>
      <c r="D13" s="61">
        <v>40723</v>
      </c>
      <c r="E13" s="66">
        <f t="shared" si="3"/>
        <v>0</v>
      </c>
      <c r="F13" s="66">
        <f t="shared" si="3"/>
        <v>276</v>
      </c>
      <c r="G13" s="66">
        <f t="shared" si="3"/>
        <v>365</v>
      </c>
      <c r="H13" s="66">
        <f t="shared" si="3"/>
        <v>365</v>
      </c>
      <c r="I13" s="66">
        <f t="shared" si="3"/>
        <v>365</v>
      </c>
      <c r="J13" s="66">
        <f t="shared" si="3"/>
        <v>365</v>
      </c>
      <c r="K13" s="66">
        <f t="shared" si="3"/>
        <v>365</v>
      </c>
      <c r="L13" s="66">
        <f t="shared" si="3"/>
        <v>365</v>
      </c>
      <c r="M13" s="66">
        <f t="shared" si="3"/>
        <v>365</v>
      </c>
      <c r="N13" s="66">
        <f t="shared" si="3"/>
        <v>365</v>
      </c>
      <c r="O13" s="66">
        <f t="shared" si="3"/>
        <v>365</v>
      </c>
      <c r="P13" s="66">
        <f t="shared" si="3"/>
        <v>365</v>
      </c>
      <c r="Q13" s="66">
        <f t="shared" si="3"/>
        <v>365</v>
      </c>
      <c r="R13" s="66">
        <f t="shared" si="3"/>
        <v>365</v>
      </c>
      <c r="S13" s="66">
        <f t="shared" si="3"/>
        <v>365</v>
      </c>
      <c r="T13" s="66">
        <f t="shared" si="3"/>
        <v>365</v>
      </c>
      <c r="U13" s="66">
        <f t="shared" si="3"/>
        <v>365</v>
      </c>
      <c r="V13" s="66">
        <f t="shared" si="3"/>
        <v>365</v>
      </c>
      <c r="W13" s="66">
        <f t="shared" si="3"/>
        <v>365</v>
      </c>
      <c r="X13" s="66">
        <f t="shared" si="3"/>
        <v>365</v>
      </c>
      <c r="Y13" s="66">
        <f t="shared" si="3"/>
        <v>365</v>
      </c>
      <c r="Z13" s="66">
        <f t="shared" si="3"/>
        <v>365</v>
      </c>
      <c r="AA13" s="66">
        <f t="shared" si="3"/>
        <v>365</v>
      </c>
    </row>
    <row r="14" spans="2:27" x14ac:dyDescent="0.2">
      <c r="B14" s="6" t="s">
        <v>104</v>
      </c>
      <c r="C14" s="70">
        <v>5</v>
      </c>
      <c r="D14" s="61">
        <v>40735</v>
      </c>
      <c r="E14" s="66">
        <f t="shared" si="3"/>
        <v>0</v>
      </c>
      <c r="F14" s="66">
        <f t="shared" si="3"/>
        <v>264</v>
      </c>
      <c r="G14" s="66">
        <f t="shared" si="3"/>
        <v>365</v>
      </c>
      <c r="H14" s="66">
        <f t="shared" si="3"/>
        <v>365</v>
      </c>
      <c r="I14" s="66">
        <f t="shared" si="3"/>
        <v>365</v>
      </c>
      <c r="J14" s="66">
        <f t="shared" si="3"/>
        <v>365</v>
      </c>
      <c r="K14" s="66">
        <f t="shared" si="3"/>
        <v>365</v>
      </c>
      <c r="L14" s="66">
        <f t="shared" si="3"/>
        <v>365</v>
      </c>
      <c r="M14" s="66">
        <f t="shared" si="3"/>
        <v>365</v>
      </c>
      <c r="N14" s="66">
        <f t="shared" si="3"/>
        <v>365</v>
      </c>
      <c r="O14" s="66">
        <f t="shared" si="3"/>
        <v>365</v>
      </c>
      <c r="P14" s="66">
        <f t="shared" si="3"/>
        <v>365</v>
      </c>
      <c r="Q14" s="66">
        <f t="shared" si="3"/>
        <v>365</v>
      </c>
      <c r="R14" s="66">
        <f t="shared" si="3"/>
        <v>365</v>
      </c>
      <c r="S14" s="66">
        <f t="shared" si="3"/>
        <v>365</v>
      </c>
      <c r="T14" s="66">
        <f t="shared" si="3"/>
        <v>365</v>
      </c>
      <c r="U14" s="66">
        <f t="shared" si="3"/>
        <v>365</v>
      </c>
      <c r="V14" s="66">
        <f t="shared" si="3"/>
        <v>365</v>
      </c>
      <c r="W14" s="66">
        <f t="shared" si="3"/>
        <v>365</v>
      </c>
      <c r="X14" s="66">
        <f t="shared" si="3"/>
        <v>365</v>
      </c>
      <c r="Y14" s="66">
        <f t="shared" si="3"/>
        <v>365</v>
      </c>
      <c r="Z14" s="66">
        <f t="shared" si="3"/>
        <v>365</v>
      </c>
      <c r="AA14" s="66">
        <f t="shared" si="3"/>
        <v>365</v>
      </c>
    </row>
    <row r="15" spans="2:27" x14ac:dyDescent="0.2">
      <c r="B15" s="6" t="s">
        <v>105</v>
      </c>
      <c r="C15" s="70">
        <v>5</v>
      </c>
      <c r="D15" s="61">
        <v>40752</v>
      </c>
      <c r="E15" s="66">
        <f t="shared" si="3"/>
        <v>0</v>
      </c>
      <c r="F15" s="66">
        <f t="shared" si="3"/>
        <v>247</v>
      </c>
      <c r="G15" s="66">
        <f t="shared" si="3"/>
        <v>365</v>
      </c>
      <c r="H15" s="66">
        <f t="shared" si="3"/>
        <v>365</v>
      </c>
      <c r="I15" s="66">
        <f t="shared" si="3"/>
        <v>365</v>
      </c>
      <c r="J15" s="66">
        <f t="shared" si="3"/>
        <v>365</v>
      </c>
      <c r="K15" s="66">
        <f t="shared" si="3"/>
        <v>365</v>
      </c>
      <c r="L15" s="66">
        <f t="shared" si="3"/>
        <v>365</v>
      </c>
      <c r="M15" s="66">
        <f t="shared" si="3"/>
        <v>365</v>
      </c>
      <c r="N15" s="66">
        <f t="shared" si="3"/>
        <v>365</v>
      </c>
      <c r="O15" s="66">
        <f t="shared" si="3"/>
        <v>365</v>
      </c>
      <c r="P15" s="66">
        <f t="shared" si="3"/>
        <v>365</v>
      </c>
      <c r="Q15" s="66">
        <f t="shared" si="3"/>
        <v>365</v>
      </c>
      <c r="R15" s="66">
        <f t="shared" si="3"/>
        <v>365</v>
      </c>
      <c r="S15" s="66">
        <f t="shared" si="3"/>
        <v>365</v>
      </c>
      <c r="T15" s="66">
        <f t="shared" si="3"/>
        <v>365</v>
      </c>
      <c r="U15" s="66">
        <f t="shared" si="3"/>
        <v>365</v>
      </c>
      <c r="V15" s="66">
        <f t="shared" si="3"/>
        <v>365</v>
      </c>
      <c r="W15" s="66">
        <f t="shared" si="3"/>
        <v>365</v>
      </c>
      <c r="X15" s="66">
        <f t="shared" si="3"/>
        <v>365</v>
      </c>
      <c r="Y15" s="66">
        <f t="shared" si="3"/>
        <v>365</v>
      </c>
      <c r="Z15" s="66">
        <f t="shared" si="3"/>
        <v>365</v>
      </c>
      <c r="AA15" s="66">
        <f t="shared" si="3"/>
        <v>365</v>
      </c>
    </row>
    <row r="16" spans="2:27" x14ac:dyDescent="0.2">
      <c r="B16" s="6" t="s">
        <v>106</v>
      </c>
      <c r="C16" s="70">
        <v>6</v>
      </c>
      <c r="D16" s="61">
        <v>40765</v>
      </c>
      <c r="E16" s="66">
        <f t="shared" si="3"/>
        <v>0</v>
      </c>
      <c r="F16" s="66">
        <f t="shared" si="3"/>
        <v>234</v>
      </c>
      <c r="G16" s="66">
        <f t="shared" si="3"/>
        <v>365</v>
      </c>
      <c r="H16" s="66">
        <f t="shared" si="3"/>
        <v>365</v>
      </c>
      <c r="I16" s="66">
        <f t="shared" si="3"/>
        <v>365</v>
      </c>
      <c r="J16" s="66">
        <f t="shared" si="3"/>
        <v>365</v>
      </c>
      <c r="K16" s="66">
        <f t="shared" si="3"/>
        <v>365</v>
      </c>
      <c r="L16" s="66">
        <f t="shared" si="3"/>
        <v>365</v>
      </c>
      <c r="M16" s="66">
        <f t="shared" si="3"/>
        <v>365</v>
      </c>
      <c r="N16" s="66">
        <f t="shared" si="3"/>
        <v>365</v>
      </c>
      <c r="O16" s="66">
        <f t="shared" si="3"/>
        <v>365</v>
      </c>
      <c r="P16" s="66">
        <f t="shared" si="3"/>
        <v>365</v>
      </c>
      <c r="Q16" s="66">
        <f t="shared" si="3"/>
        <v>365</v>
      </c>
      <c r="R16" s="66">
        <f t="shared" si="3"/>
        <v>365</v>
      </c>
      <c r="S16" s="66">
        <f t="shared" si="3"/>
        <v>365</v>
      </c>
      <c r="T16" s="66">
        <f t="shared" si="3"/>
        <v>365</v>
      </c>
      <c r="U16" s="66">
        <f t="shared" si="3"/>
        <v>365</v>
      </c>
      <c r="V16" s="66">
        <f t="shared" si="3"/>
        <v>365</v>
      </c>
      <c r="W16" s="66">
        <f t="shared" si="3"/>
        <v>365</v>
      </c>
      <c r="X16" s="66">
        <f t="shared" si="3"/>
        <v>365</v>
      </c>
      <c r="Y16" s="66">
        <f t="shared" si="3"/>
        <v>365</v>
      </c>
      <c r="Z16" s="66">
        <f t="shared" si="3"/>
        <v>365</v>
      </c>
      <c r="AA16" s="66">
        <f t="shared" si="3"/>
        <v>365</v>
      </c>
    </row>
    <row r="17" spans="2:27" x14ac:dyDescent="0.2">
      <c r="C17" s="37"/>
      <c r="D17" s="1"/>
      <c r="Z17" s="3"/>
      <c r="AA17" s="3"/>
    </row>
    <row r="18" spans="2:27" x14ac:dyDescent="0.2">
      <c r="B18" s="58" t="s">
        <v>117</v>
      </c>
      <c r="C18" s="71" t="s">
        <v>113</v>
      </c>
      <c r="Z18" s="3"/>
      <c r="AA18" s="3"/>
    </row>
    <row r="19" spans="2:27" x14ac:dyDescent="0.2">
      <c r="B19" s="6" t="s">
        <v>98</v>
      </c>
      <c r="C19" s="70">
        <v>5</v>
      </c>
      <c r="D19" s="61"/>
      <c r="E19" s="69">
        <f>IF(E$16&lt;365,MIN(E7,$D$16-D$4,$D$16-$D7),Generation!E19)</f>
        <v>20</v>
      </c>
      <c r="F19" s="69">
        <f>IF(F$16&lt;365,MIN(F7,$D$16-E$4,$D$16-$D7),Generation!F19)</f>
        <v>132</v>
      </c>
      <c r="G19" s="69">
        <f>IF(G$16&lt;365,MIN(G7,$D$16-F$4,$D$16-$D7),Generation!G19)</f>
        <v>132</v>
      </c>
      <c r="H19" s="69">
        <f>IF(H$16&lt;365,MIN(H7,$D$16-G$4,$D$16-$D7),Generation!H19)</f>
        <v>0</v>
      </c>
      <c r="I19" s="69">
        <f>IF(I$16&lt;365,MIN(I7,$D$16-H$4,$D$16-$D7),Generation!I19)</f>
        <v>0</v>
      </c>
      <c r="J19" s="69">
        <f>IF(J$16&lt;365,MIN(J7,$D$16-I$4,$D$16-$D7),Generation!J19)</f>
        <v>0</v>
      </c>
      <c r="K19" s="69">
        <f>IF(K$16&lt;365,MIN(K7,$D$16-J$4,$D$16-$D7),Generation!K19)</f>
        <v>0</v>
      </c>
      <c r="L19" s="69">
        <f>IF(L$16&lt;365,MIN(L7,$D$16-K$4,$D$16-$D7),Generation!L19)</f>
        <v>0</v>
      </c>
      <c r="M19" s="69">
        <f>IF(M$16&lt;365,MIN(M7,$D$16-L$4,$D$16-$D7),Generation!M19)</f>
        <v>0</v>
      </c>
      <c r="N19" s="69">
        <f>IF(N$16&lt;365,MIN(N7,$D$16-M$4,$D$16-$D7),Generation!N19)</f>
        <v>0</v>
      </c>
      <c r="O19" s="69">
        <f>IF(O$16&lt;365,MIN(O7,$D$16-N$4,$D$16-$D7),Generation!O19)</f>
        <v>0</v>
      </c>
      <c r="P19" s="69">
        <f>IF(P$16&lt;365,MIN(P7,$D$16-O$4,$D$16-$D7),Generation!P19)</f>
        <v>0</v>
      </c>
      <c r="Q19" s="69">
        <f>IF(Q$16&lt;365,MIN(Q7,$D$16-P$4,$D$16-$D7),Generation!Q19)</f>
        <v>0</v>
      </c>
      <c r="R19" s="69">
        <f>IF(R$16&lt;365,MIN(R7,$D$16-Q$4,$D$16-$D7),Generation!R19)</f>
        <v>0</v>
      </c>
      <c r="S19" s="69">
        <f>IF(S$16&lt;365,MIN(S7,$D$16-R$4,$D$16-$D7),Generation!S19)</f>
        <v>0</v>
      </c>
      <c r="T19" s="69">
        <f>IF(T$16&lt;365,MIN(T7,$D$16-S$4,$D$16-$D7),Generation!T19)</f>
        <v>0</v>
      </c>
      <c r="U19" s="69">
        <f>IF(U$16&lt;365,MIN(U7,$D$16-T$4,$D$16-$D7),Generation!U19)</f>
        <v>0</v>
      </c>
      <c r="V19" s="69">
        <f>IF(V$16&lt;365,MIN(V7,$D$16-U$4,$D$16-$D7),Generation!V19)</f>
        <v>0</v>
      </c>
      <c r="W19" s="69">
        <f>IF(W$16&lt;365,MIN(W7,$D$16-V$4,$D$16-$D7),Generation!W19)</f>
        <v>0</v>
      </c>
      <c r="X19" s="69">
        <f>IF(X$16&lt;365,MIN(X7,$D$16-W$4,$D$16-$D7),Generation!X19)</f>
        <v>0</v>
      </c>
      <c r="Y19" s="69">
        <f>IF(Y$16&lt;365,MIN(Y7,$D$16-X$4,$D$16-$D7),Generation!Y19)</f>
        <v>0</v>
      </c>
      <c r="Z19" s="69">
        <f>IF(Z$16&lt;365,MIN(Z7,$D$16-Y$4,$D$16-$D7),Generation!Z19)</f>
        <v>0</v>
      </c>
      <c r="AA19" s="69">
        <f>IF(AA$16&lt;365,MIN(AA7,$D$16-Z$4,$D$16-$D7),Generation!AA19)</f>
        <v>0</v>
      </c>
    </row>
    <row r="20" spans="2:27" x14ac:dyDescent="0.2">
      <c r="B20" s="6" t="s">
        <v>97</v>
      </c>
      <c r="C20" s="70">
        <v>5</v>
      </c>
      <c r="D20" s="68"/>
      <c r="E20" s="69">
        <f>IF(E$16&lt;365,MIN(E8,$D$16-D$4,$D$16-$D8),Generation!E20)</f>
        <v>0</v>
      </c>
      <c r="F20" s="69">
        <f>IF(F$16&lt;365,MIN(F8,$D$16-E$4,$D$16-$D8),Generation!F20)</f>
        <v>124</v>
      </c>
      <c r="G20" s="69">
        <f>IF(G$16&lt;365,MIN(G8,$D$16-F$4,$D$16-$D8),Generation!G20)</f>
        <v>132</v>
      </c>
      <c r="H20" s="69">
        <f>IF(H$16&lt;365,MIN(H8,$D$16-G$4,$D$16-$D8),Generation!H20)</f>
        <v>0</v>
      </c>
      <c r="I20" s="69">
        <f>IF(I$16&lt;365,MIN(I8,$D$16-H$4,$D$16-$D8),Generation!I20)</f>
        <v>0</v>
      </c>
      <c r="J20" s="69">
        <f>IF(J$16&lt;365,MIN(J8,$D$16-I$4,$D$16-$D8),Generation!J20)</f>
        <v>0</v>
      </c>
      <c r="K20" s="69">
        <f>IF(K$16&lt;365,MIN(K8,$D$16-J$4,$D$16-$D8),Generation!K20)</f>
        <v>0</v>
      </c>
      <c r="L20" s="69">
        <f>IF(L$16&lt;365,MIN(L8,$D$16-K$4,$D$16-$D8),Generation!L20)</f>
        <v>0</v>
      </c>
      <c r="M20" s="69">
        <f>IF(M$16&lt;365,MIN(M8,$D$16-L$4,$D$16-$D8),Generation!M20)</f>
        <v>0</v>
      </c>
      <c r="N20" s="69">
        <f>IF(N$16&lt;365,MIN(N8,$D$16-M$4,$D$16-$D8),Generation!N20)</f>
        <v>0</v>
      </c>
      <c r="O20" s="69">
        <f>IF(O$16&lt;365,MIN(O8,$D$16-N$4,$D$16-$D8),Generation!O20)</f>
        <v>0</v>
      </c>
      <c r="P20" s="69">
        <f>IF(P$16&lt;365,MIN(P8,$D$16-O$4,$D$16-$D8),Generation!P20)</f>
        <v>0</v>
      </c>
      <c r="Q20" s="69">
        <f>IF(Q$16&lt;365,MIN(Q8,$D$16-P$4,$D$16-$D8),Generation!Q20)</f>
        <v>0</v>
      </c>
      <c r="R20" s="69">
        <f>IF(R$16&lt;365,MIN(R8,$D$16-Q$4,$D$16-$D8),Generation!R20)</f>
        <v>0</v>
      </c>
      <c r="S20" s="69">
        <f>IF(S$16&lt;365,MIN(S8,$D$16-R$4,$D$16-$D8),Generation!S20)</f>
        <v>0</v>
      </c>
      <c r="T20" s="69">
        <f>IF(T$16&lt;365,MIN(T8,$D$16-S$4,$D$16-$D8),Generation!T20)</f>
        <v>0</v>
      </c>
      <c r="U20" s="69">
        <f>IF(U$16&lt;365,MIN(U8,$D$16-T$4,$D$16-$D8),Generation!U20)</f>
        <v>0</v>
      </c>
      <c r="V20" s="69">
        <f>IF(V$16&lt;365,MIN(V8,$D$16-U$4,$D$16-$D8),Generation!V20)</f>
        <v>0</v>
      </c>
      <c r="W20" s="69">
        <f>IF(W$16&lt;365,MIN(W8,$D$16-V$4,$D$16-$D8),Generation!W20)</f>
        <v>0</v>
      </c>
      <c r="X20" s="69">
        <f>IF(X$16&lt;365,MIN(X8,$D$16-W$4,$D$16-$D8),Generation!X20)</f>
        <v>0</v>
      </c>
      <c r="Y20" s="69">
        <f>IF(Y$16&lt;365,MIN(Y8,$D$16-X$4,$D$16-$D8),Generation!Y20)</f>
        <v>0</v>
      </c>
      <c r="Z20" s="69">
        <f>IF(Z$16&lt;365,MIN(Z8,$D$16-Y$4,$D$16-$D8),Generation!Z20)</f>
        <v>0</v>
      </c>
      <c r="AA20" s="69">
        <f>IF(AA$16&lt;365,MIN(AA8,$D$16-Z$4,$D$16-$D8),Generation!AA20)</f>
        <v>0</v>
      </c>
    </row>
    <row r="21" spans="2:27" x14ac:dyDescent="0.2">
      <c r="B21" s="6" t="s">
        <v>99</v>
      </c>
      <c r="C21" s="70">
        <v>5</v>
      </c>
      <c r="D21" s="68"/>
      <c r="E21" s="69">
        <f>IF(E$16&lt;365,MIN(E9,$D$16-D$4,$D$16-$D9),Generation!E21)</f>
        <v>0</v>
      </c>
      <c r="F21" s="69">
        <f>IF(F$16&lt;365,MIN(F9,$D$16-E$4,$D$16-$D9),Generation!F21)</f>
        <v>104</v>
      </c>
      <c r="G21" s="69">
        <f>IF(G$16&lt;365,MIN(G9,$D$16-F$4,$D$16-$D9),Generation!G21)</f>
        <v>132</v>
      </c>
      <c r="H21" s="69">
        <f>IF(H$16&lt;365,MIN(H9,$D$16-G$4,$D$16-$D9),Generation!H21)</f>
        <v>0</v>
      </c>
      <c r="I21" s="69">
        <f>IF(I$16&lt;365,MIN(I9,$D$16-H$4,$D$16-$D9),Generation!I21)</f>
        <v>0</v>
      </c>
      <c r="J21" s="69">
        <f>IF(J$16&lt;365,MIN(J9,$D$16-I$4,$D$16-$D9),Generation!J21)</f>
        <v>0</v>
      </c>
      <c r="K21" s="69">
        <f>IF(K$16&lt;365,MIN(K9,$D$16-J$4,$D$16-$D9),Generation!K21)</f>
        <v>0</v>
      </c>
      <c r="L21" s="69">
        <f>IF(L$16&lt;365,MIN(L9,$D$16-K$4,$D$16-$D9),Generation!L21)</f>
        <v>0</v>
      </c>
      <c r="M21" s="69">
        <f>IF(M$16&lt;365,MIN(M9,$D$16-L$4,$D$16-$D9),Generation!M21)</f>
        <v>0</v>
      </c>
      <c r="N21" s="69">
        <f>IF(N$16&lt;365,MIN(N9,$D$16-M$4,$D$16-$D9),Generation!N21)</f>
        <v>0</v>
      </c>
      <c r="O21" s="69">
        <f>IF(O$16&lt;365,MIN(O9,$D$16-N$4,$D$16-$D9),Generation!O21)</f>
        <v>0</v>
      </c>
      <c r="P21" s="69">
        <f>IF(P$16&lt;365,MIN(P9,$D$16-O$4,$D$16-$D9),Generation!P21)</f>
        <v>0</v>
      </c>
      <c r="Q21" s="69">
        <f>IF(Q$16&lt;365,MIN(Q9,$D$16-P$4,$D$16-$D9),Generation!Q21)</f>
        <v>0</v>
      </c>
      <c r="R21" s="69">
        <f>IF(R$16&lt;365,MIN(R9,$D$16-Q$4,$D$16-$D9),Generation!R21)</f>
        <v>0</v>
      </c>
      <c r="S21" s="69">
        <f>IF(S$16&lt;365,MIN(S9,$D$16-R$4,$D$16-$D9),Generation!S21)</f>
        <v>0</v>
      </c>
      <c r="T21" s="69">
        <f>IF(T$16&lt;365,MIN(T9,$D$16-S$4,$D$16-$D9),Generation!T21)</f>
        <v>0</v>
      </c>
      <c r="U21" s="69">
        <f>IF(U$16&lt;365,MIN(U9,$D$16-T$4,$D$16-$D9),Generation!U21)</f>
        <v>0</v>
      </c>
      <c r="V21" s="69">
        <f>IF(V$16&lt;365,MIN(V9,$D$16-U$4,$D$16-$D9),Generation!V21)</f>
        <v>0</v>
      </c>
      <c r="W21" s="69">
        <f>IF(W$16&lt;365,MIN(W9,$D$16-V$4,$D$16-$D9),Generation!W21)</f>
        <v>0</v>
      </c>
      <c r="X21" s="69">
        <f>IF(X$16&lt;365,MIN(X9,$D$16-W$4,$D$16-$D9),Generation!X21)</f>
        <v>0</v>
      </c>
      <c r="Y21" s="69">
        <f>IF(Y$16&lt;365,MIN(Y9,$D$16-X$4,$D$16-$D9),Generation!Y21)</f>
        <v>0</v>
      </c>
      <c r="Z21" s="69">
        <f>IF(Z$16&lt;365,MIN(Z9,$D$16-Y$4,$D$16-$D9),Generation!Z21)</f>
        <v>0</v>
      </c>
      <c r="AA21" s="69">
        <f>IF(AA$16&lt;365,MIN(AA9,$D$16-Z$4,$D$16-$D9),Generation!AA21)</f>
        <v>0</v>
      </c>
    </row>
    <row r="22" spans="2:27" x14ac:dyDescent="0.2">
      <c r="B22" s="6" t="s">
        <v>100</v>
      </c>
      <c r="C22" s="70">
        <v>5</v>
      </c>
      <c r="D22" s="68"/>
      <c r="E22" s="69">
        <f>IF(E$16&lt;365,MIN(E10,$D$16-D$4,$D$16-$D10),Generation!E22)</f>
        <v>0</v>
      </c>
      <c r="F22" s="69">
        <f>IF(F$16&lt;365,MIN(F10,$D$16-E$4,$D$16-$D10),Generation!F22)</f>
        <v>92</v>
      </c>
      <c r="G22" s="69">
        <f>IF(G$16&lt;365,MIN(G10,$D$16-F$4,$D$16-$D10),Generation!G22)</f>
        <v>132</v>
      </c>
      <c r="H22" s="69">
        <f>IF(H$16&lt;365,MIN(H10,$D$16-G$4,$D$16-$D10),Generation!H22)</f>
        <v>0</v>
      </c>
      <c r="I22" s="69">
        <f>IF(I$16&lt;365,MIN(I10,$D$16-H$4,$D$16-$D10),Generation!I22)</f>
        <v>0</v>
      </c>
      <c r="J22" s="69">
        <f>IF(J$16&lt;365,MIN(J10,$D$16-I$4,$D$16-$D10),Generation!J22)</f>
        <v>0</v>
      </c>
      <c r="K22" s="69">
        <f>IF(K$16&lt;365,MIN(K10,$D$16-J$4,$D$16-$D10),Generation!K22)</f>
        <v>0</v>
      </c>
      <c r="L22" s="69">
        <f>IF(L$16&lt;365,MIN(L10,$D$16-K$4,$D$16-$D10),Generation!L22)</f>
        <v>0</v>
      </c>
      <c r="M22" s="69">
        <f>IF(M$16&lt;365,MIN(M10,$D$16-L$4,$D$16-$D10),Generation!M22)</f>
        <v>0</v>
      </c>
      <c r="N22" s="69">
        <f>IF(N$16&lt;365,MIN(N10,$D$16-M$4,$D$16-$D10),Generation!N22)</f>
        <v>0</v>
      </c>
      <c r="O22" s="69">
        <f>IF(O$16&lt;365,MIN(O10,$D$16-N$4,$D$16-$D10),Generation!O22)</f>
        <v>0</v>
      </c>
      <c r="P22" s="69">
        <f>IF(P$16&lt;365,MIN(P10,$D$16-O$4,$D$16-$D10),Generation!P22)</f>
        <v>0</v>
      </c>
      <c r="Q22" s="69">
        <f>IF(Q$16&lt;365,MIN(Q10,$D$16-P$4,$D$16-$D10),Generation!Q22)</f>
        <v>0</v>
      </c>
      <c r="R22" s="69">
        <f>IF(R$16&lt;365,MIN(R10,$D$16-Q$4,$D$16-$D10),Generation!R22)</f>
        <v>0</v>
      </c>
      <c r="S22" s="69">
        <f>IF(S$16&lt;365,MIN(S10,$D$16-R$4,$D$16-$D10),Generation!S22)</f>
        <v>0</v>
      </c>
      <c r="T22" s="69">
        <f>IF(T$16&lt;365,MIN(T10,$D$16-S$4,$D$16-$D10),Generation!T22)</f>
        <v>0</v>
      </c>
      <c r="U22" s="69">
        <f>IF(U$16&lt;365,MIN(U10,$D$16-T$4,$D$16-$D10),Generation!U22)</f>
        <v>0</v>
      </c>
      <c r="V22" s="69">
        <f>IF(V$16&lt;365,MIN(V10,$D$16-U$4,$D$16-$D10),Generation!V22)</f>
        <v>0</v>
      </c>
      <c r="W22" s="69">
        <f>IF(W$16&lt;365,MIN(W10,$D$16-V$4,$D$16-$D10),Generation!W22)</f>
        <v>0</v>
      </c>
      <c r="X22" s="69">
        <f>IF(X$16&lt;365,MIN(X10,$D$16-W$4,$D$16-$D10),Generation!X22)</f>
        <v>0</v>
      </c>
      <c r="Y22" s="69">
        <f>IF(Y$16&lt;365,MIN(Y10,$D$16-X$4,$D$16-$D10),Generation!Y22)</f>
        <v>0</v>
      </c>
      <c r="Z22" s="69">
        <f>IF(Z$16&lt;365,MIN(Z10,$D$16-Y$4,$D$16-$D10),Generation!Z22)</f>
        <v>0</v>
      </c>
      <c r="AA22" s="69">
        <f>IF(AA$16&lt;365,MIN(AA10,$D$16-Z$4,$D$16-$D10),Generation!AA22)</f>
        <v>0</v>
      </c>
    </row>
    <row r="23" spans="2:27" x14ac:dyDescent="0.2">
      <c r="B23" s="6" t="s">
        <v>101</v>
      </c>
      <c r="C23" s="70">
        <v>5</v>
      </c>
      <c r="D23" s="68"/>
      <c r="E23" s="69">
        <f>IF(E$16&lt;365,MIN(E11,$D$16-D$4,$D$16-$D11),Generation!E23)</f>
        <v>0</v>
      </c>
      <c r="F23" s="69">
        <f>IF(F$16&lt;365,MIN(F11,$D$16-E$4,$D$16-$D11),Generation!F23)</f>
        <v>73</v>
      </c>
      <c r="G23" s="69">
        <f>IF(G$16&lt;365,MIN(G11,$D$16-F$4,$D$16-$D11),Generation!G23)</f>
        <v>132</v>
      </c>
      <c r="H23" s="69">
        <f>IF(H$16&lt;365,MIN(H11,$D$16-G$4,$D$16-$D11),Generation!H23)</f>
        <v>0</v>
      </c>
      <c r="I23" s="69">
        <f>IF(I$16&lt;365,MIN(I11,$D$16-H$4,$D$16-$D11),Generation!I23)</f>
        <v>0</v>
      </c>
      <c r="J23" s="69">
        <f>IF(J$16&lt;365,MIN(J11,$D$16-I$4,$D$16-$D11),Generation!J23)</f>
        <v>0</v>
      </c>
      <c r="K23" s="69">
        <f>IF(K$16&lt;365,MIN(K11,$D$16-J$4,$D$16-$D11),Generation!K23)</f>
        <v>0</v>
      </c>
      <c r="L23" s="69">
        <f>IF(L$16&lt;365,MIN(L11,$D$16-K$4,$D$16-$D11),Generation!L23)</f>
        <v>0</v>
      </c>
      <c r="M23" s="69">
        <f>IF(M$16&lt;365,MIN(M11,$D$16-L$4,$D$16-$D11),Generation!M23)</f>
        <v>0</v>
      </c>
      <c r="N23" s="69">
        <f>IF(N$16&lt;365,MIN(N11,$D$16-M$4,$D$16-$D11),Generation!N23)</f>
        <v>0</v>
      </c>
      <c r="O23" s="69">
        <f>IF(O$16&lt;365,MIN(O11,$D$16-N$4,$D$16-$D11),Generation!O23)</f>
        <v>0</v>
      </c>
      <c r="P23" s="69">
        <f>IF(P$16&lt;365,MIN(P11,$D$16-O$4,$D$16-$D11),Generation!P23)</f>
        <v>0</v>
      </c>
      <c r="Q23" s="69">
        <f>IF(Q$16&lt;365,MIN(Q11,$D$16-P$4,$D$16-$D11),Generation!Q23)</f>
        <v>0</v>
      </c>
      <c r="R23" s="69">
        <f>IF(R$16&lt;365,MIN(R11,$D$16-Q$4,$D$16-$D11),Generation!R23)</f>
        <v>0</v>
      </c>
      <c r="S23" s="69">
        <f>IF(S$16&lt;365,MIN(S11,$D$16-R$4,$D$16-$D11),Generation!S23)</f>
        <v>0</v>
      </c>
      <c r="T23" s="69">
        <f>IF(T$16&lt;365,MIN(T11,$D$16-S$4,$D$16-$D11),Generation!T23)</f>
        <v>0</v>
      </c>
      <c r="U23" s="69">
        <f>IF(U$16&lt;365,MIN(U11,$D$16-T$4,$D$16-$D11),Generation!U23)</f>
        <v>0</v>
      </c>
      <c r="V23" s="69">
        <f>IF(V$16&lt;365,MIN(V11,$D$16-U$4,$D$16-$D11),Generation!V23)</f>
        <v>0</v>
      </c>
      <c r="W23" s="69">
        <f>IF(W$16&lt;365,MIN(W11,$D$16-V$4,$D$16-$D11),Generation!W23)</f>
        <v>0</v>
      </c>
      <c r="X23" s="69">
        <f>IF(X$16&lt;365,MIN(X11,$D$16-W$4,$D$16-$D11),Generation!X23)</f>
        <v>0</v>
      </c>
      <c r="Y23" s="69">
        <f>IF(Y$16&lt;365,MIN(Y11,$D$16-X$4,$D$16-$D11),Generation!Y23)</f>
        <v>0</v>
      </c>
      <c r="Z23" s="69">
        <f>IF(Z$16&lt;365,MIN(Z11,$D$16-Y$4,$D$16-$D11),Generation!Z23)</f>
        <v>0</v>
      </c>
      <c r="AA23" s="69">
        <f>IF(AA$16&lt;365,MIN(AA11,$D$16-Z$4,$D$16-$D11),Generation!AA23)</f>
        <v>0</v>
      </c>
    </row>
    <row r="24" spans="2:27" x14ac:dyDescent="0.2">
      <c r="B24" s="6" t="s">
        <v>102</v>
      </c>
      <c r="C24" s="70">
        <v>5</v>
      </c>
      <c r="D24" s="68"/>
      <c r="E24" s="69">
        <f>IF(E$16&lt;365,MIN(E12,$D$16-D$4,$D$16-$D12),Generation!E24)</f>
        <v>0</v>
      </c>
      <c r="F24" s="69">
        <f>IF(F$16&lt;365,MIN(F12,$D$16-E$4,$D$16-$D12),Generation!F24)</f>
        <v>61</v>
      </c>
      <c r="G24" s="69">
        <f>IF(G$16&lt;365,MIN(G12,$D$16-F$4,$D$16-$D12),Generation!G24)</f>
        <v>132</v>
      </c>
      <c r="H24" s="69">
        <f>IF(H$16&lt;365,MIN(H12,$D$16-G$4,$D$16-$D12),Generation!H24)</f>
        <v>0</v>
      </c>
      <c r="I24" s="69">
        <f>IF(I$16&lt;365,MIN(I12,$D$16-H$4,$D$16-$D12),Generation!I24)</f>
        <v>0</v>
      </c>
      <c r="J24" s="69">
        <f>IF(J$16&lt;365,MIN(J12,$D$16-I$4,$D$16-$D12),Generation!J24)</f>
        <v>0</v>
      </c>
      <c r="K24" s="69">
        <f>IF(K$16&lt;365,MIN(K12,$D$16-J$4,$D$16-$D12),Generation!K24)</f>
        <v>0</v>
      </c>
      <c r="L24" s="69">
        <f>IF(L$16&lt;365,MIN(L12,$D$16-K$4,$D$16-$D12),Generation!L24)</f>
        <v>0</v>
      </c>
      <c r="M24" s="69">
        <f>IF(M$16&lt;365,MIN(M12,$D$16-L$4,$D$16-$D12),Generation!M24)</f>
        <v>0</v>
      </c>
      <c r="N24" s="69">
        <f>IF(N$16&lt;365,MIN(N12,$D$16-M$4,$D$16-$D12),Generation!N24)</f>
        <v>0</v>
      </c>
      <c r="O24" s="69">
        <f>IF(O$16&lt;365,MIN(O12,$D$16-N$4,$D$16-$D12),Generation!O24)</f>
        <v>0</v>
      </c>
      <c r="P24" s="69">
        <f>IF(P$16&lt;365,MIN(P12,$D$16-O$4,$D$16-$D12),Generation!P24)</f>
        <v>0</v>
      </c>
      <c r="Q24" s="69">
        <f>IF(Q$16&lt;365,MIN(Q12,$D$16-P$4,$D$16-$D12),Generation!Q24)</f>
        <v>0</v>
      </c>
      <c r="R24" s="69">
        <f>IF(R$16&lt;365,MIN(R12,$D$16-Q$4,$D$16-$D12),Generation!R24)</f>
        <v>0</v>
      </c>
      <c r="S24" s="69">
        <f>IF(S$16&lt;365,MIN(S12,$D$16-R$4,$D$16-$D12),Generation!S24)</f>
        <v>0</v>
      </c>
      <c r="T24" s="69">
        <f>IF(T$16&lt;365,MIN(T12,$D$16-S$4,$D$16-$D12),Generation!T24)</f>
        <v>0</v>
      </c>
      <c r="U24" s="69">
        <f>IF(U$16&lt;365,MIN(U12,$D$16-T$4,$D$16-$D12),Generation!U24)</f>
        <v>0</v>
      </c>
      <c r="V24" s="69">
        <f>IF(V$16&lt;365,MIN(V12,$D$16-U$4,$D$16-$D12),Generation!V24)</f>
        <v>0</v>
      </c>
      <c r="W24" s="69">
        <f>IF(W$16&lt;365,MIN(W12,$D$16-V$4,$D$16-$D12),Generation!W24)</f>
        <v>0</v>
      </c>
      <c r="X24" s="69">
        <f>IF(X$16&lt;365,MIN(X12,$D$16-W$4,$D$16-$D12),Generation!X24)</f>
        <v>0</v>
      </c>
      <c r="Y24" s="69">
        <f>IF(Y$16&lt;365,MIN(Y12,$D$16-X$4,$D$16-$D12),Generation!Y24)</f>
        <v>0</v>
      </c>
      <c r="Z24" s="69">
        <f>IF(Z$16&lt;365,MIN(Z12,$D$16-Y$4,$D$16-$D12),Generation!Z24)</f>
        <v>0</v>
      </c>
      <c r="AA24" s="69">
        <f>IF(AA$16&lt;365,MIN(AA12,$D$16-Z$4,$D$16-$D12),Generation!AA24)</f>
        <v>0</v>
      </c>
    </row>
    <row r="25" spans="2:27" x14ac:dyDescent="0.2">
      <c r="B25" s="6" t="s">
        <v>103</v>
      </c>
      <c r="C25" s="70">
        <v>5</v>
      </c>
      <c r="D25" s="68"/>
      <c r="E25" s="69">
        <f>IF(E$16&lt;365,MIN(E13,$D$16-D$4,$D$16-$D13),Generation!E25)</f>
        <v>0</v>
      </c>
      <c r="F25" s="69">
        <f>IF(F$16&lt;365,MIN(F13,$D$16-E$4,$D$16-$D13),Generation!F25)</f>
        <v>42</v>
      </c>
      <c r="G25" s="69">
        <f>IF(G$16&lt;365,MIN(G13,$D$16-F$4,$D$16-$D13),Generation!G25)</f>
        <v>132</v>
      </c>
      <c r="H25" s="69">
        <f>IF(H$16&lt;365,MIN(H13,$D$16-G$4,$D$16-$D13),Generation!H25)</f>
        <v>0</v>
      </c>
      <c r="I25" s="69">
        <f>IF(I$16&lt;365,MIN(I13,$D$16-H$4,$D$16-$D13),Generation!I25)</f>
        <v>0</v>
      </c>
      <c r="J25" s="69">
        <f>IF(J$16&lt;365,MIN(J13,$D$16-I$4,$D$16-$D13),Generation!J25)</f>
        <v>0</v>
      </c>
      <c r="K25" s="69">
        <f>IF(K$16&lt;365,MIN(K13,$D$16-J$4,$D$16-$D13),Generation!K25)</f>
        <v>0</v>
      </c>
      <c r="L25" s="69">
        <f>IF(L$16&lt;365,MIN(L13,$D$16-K$4,$D$16-$D13),Generation!L25)</f>
        <v>0</v>
      </c>
      <c r="M25" s="69">
        <f>IF(M$16&lt;365,MIN(M13,$D$16-L$4,$D$16-$D13),Generation!M25)</f>
        <v>0</v>
      </c>
      <c r="N25" s="69">
        <f>IF(N$16&lt;365,MIN(N13,$D$16-M$4,$D$16-$D13),Generation!N25)</f>
        <v>0</v>
      </c>
      <c r="O25" s="69">
        <f>IF(O$16&lt;365,MIN(O13,$D$16-N$4,$D$16-$D13),Generation!O25)</f>
        <v>0</v>
      </c>
      <c r="P25" s="69">
        <f>IF(P$16&lt;365,MIN(P13,$D$16-O$4,$D$16-$D13),Generation!P25)</f>
        <v>0</v>
      </c>
      <c r="Q25" s="69">
        <f>IF(Q$16&lt;365,MIN(Q13,$D$16-P$4,$D$16-$D13),Generation!Q25)</f>
        <v>0</v>
      </c>
      <c r="R25" s="69">
        <f>IF(R$16&lt;365,MIN(R13,$D$16-Q$4,$D$16-$D13),Generation!R25)</f>
        <v>0</v>
      </c>
      <c r="S25" s="69">
        <f>IF(S$16&lt;365,MIN(S13,$D$16-R$4,$D$16-$D13),Generation!S25)</f>
        <v>0</v>
      </c>
      <c r="T25" s="69">
        <f>IF(T$16&lt;365,MIN(T13,$D$16-S$4,$D$16-$D13),Generation!T25)</f>
        <v>0</v>
      </c>
      <c r="U25" s="69">
        <f>IF(U$16&lt;365,MIN(U13,$D$16-T$4,$D$16-$D13),Generation!U25)</f>
        <v>0</v>
      </c>
      <c r="V25" s="69">
        <f>IF(V$16&lt;365,MIN(V13,$D$16-U$4,$D$16-$D13),Generation!V25)</f>
        <v>0</v>
      </c>
      <c r="W25" s="69">
        <f>IF(W$16&lt;365,MIN(W13,$D$16-V$4,$D$16-$D13),Generation!W25)</f>
        <v>0</v>
      </c>
      <c r="X25" s="69">
        <f>IF(X$16&lt;365,MIN(X13,$D$16-W$4,$D$16-$D13),Generation!X25)</f>
        <v>0</v>
      </c>
      <c r="Y25" s="69">
        <f>IF(Y$16&lt;365,MIN(Y13,$D$16-X$4,$D$16-$D13),Generation!Y25)</f>
        <v>0</v>
      </c>
      <c r="Z25" s="69">
        <f>IF(Z$16&lt;365,MIN(Z13,$D$16-Y$4,$D$16-$D13),Generation!Z25)</f>
        <v>0</v>
      </c>
      <c r="AA25" s="69">
        <f>IF(AA$16&lt;365,MIN(AA13,$D$16-Z$4,$D$16-$D13),Generation!AA25)</f>
        <v>0</v>
      </c>
    </row>
    <row r="26" spans="2:27" x14ac:dyDescent="0.2">
      <c r="B26" s="6" t="s">
        <v>104</v>
      </c>
      <c r="C26" s="70">
        <v>5</v>
      </c>
      <c r="D26" s="68"/>
      <c r="E26" s="69">
        <f>IF(E$16&lt;365,MIN(E14,$D$16-D$4,$D$16-$D14),Generation!E26)</f>
        <v>0</v>
      </c>
      <c r="F26" s="69">
        <f>IF(F$16&lt;365,MIN(F14,$D$16-E$4,$D$16-$D14),Generation!F26)</f>
        <v>30</v>
      </c>
      <c r="G26" s="69">
        <f>IF(G$16&lt;365,MIN(G14,$D$16-F$4,$D$16-$D14),Generation!G26)</f>
        <v>132</v>
      </c>
      <c r="H26" s="69">
        <f>IF(H$16&lt;365,MIN(H14,$D$16-G$4,$D$16-$D14),Generation!H26)</f>
        <v>0</v>
      </c>
      <c r="I26" s="69">
        <f>IF(I$16&lt;365,MIN(I14,$D$16-H$4,$D$16-$D14),Generation!I26)</f>
        <v>0</v>
      </c>
      <c r="J26" s="69">
        <f>IF(J$16&lt;365,MIN(J14,$D$16-I$4,$D$16-$D14),Generation!J26)</f>
        <v>0</v>
      </c>
      <c r="K26" s="69">
        <f>IF(K$16&lt;365,MIN(K14,$D$16-J$4,$D$16-$D14),Generation!K26)</f>
        <v>0</v>
      </c>
      <c r="L26" s="69">
        <f>IF(L$16&lt;365,MIN(L14,$D$16-K$4,$D$16-$D14),Generation!L26)</f>
        <v>0</v>
      </c>
      <c r="M26" s="69">
        <f>IF(M$16&lt;365,MIN(M14,$D$16-L$4,$D$16-$D14),Generation!M26)</f>
        <v>0</v>
      </c>
      <c r="N26" s="69">
        <f>IF(N$16&lt;365,MIN(N14,$D$16-M$4,$D$16-$D14),Generation!N26)</f>
        <v>0</v>
      </c>
      <c r="O26" s="69">
        <f>IF(O$16&lt;365,MIN(O14,$D$16-N$4,$D$16-$D14),Generation!O26)</f>
        <v>0</v>
      </c>
      <c r="P26" s="69">
        <f>IF(P$16&lt;365,MIN(P14,$D$16-O$4,$D$16-$D14),Generation!P26)</f>
        <v>0</v>
      </c>
      <c r="Q26" s="69">
        <f>IF(Q$16&lt;365,MIN(Q14,$D$16-P$4,$D$16-$D14),Generation!Q26)</f>
        <v>0</v>
      </c>
      <c r="R26" s="69">
        <f>IF(R$16&lt;365,MIN(R14,$D$16-Q$4,$D$16-$D14),Generation!R26)</f>
        <v>0</v>
      </c>
      <c r="S26" s="69">
        <f>IF(S$16&lt;365,MIN(S14,$D$16-R$4,$D$16-$D14),Generation!S26)</f>
        <v>0</v>
      </c>
      <c r="T26" s="69">
        <f>IF(T$16&lt;365,MIN(T14,$D$16-S$4,$D$16-$D14),Generation!T26)</f>
        <v>0</v>
      </c>
      <c r="U26" s="69">
        <f>IF(U$16&lt;365,MIN(U14,$D$16-T$4,$D$16-$D14),Generation!U26)</f>
        <v>0</v>
      </c>
      <c r="V26" s="69">
        <f>IF(V$16&lt;365,MIN(V14,$D$16-U$4,$D$16-$D14),Generation!V26)</f>
        <v>0</v>
      </c>
      <c r="W26" s="69">
        <f>IF(W$16&lt;365,MIN(W14,$D$16-V$4,$D$16-$D14),Generation!W26)</f>
        <v>0</v>
      </c>
      <c r="X26" s="69">
        <f>IF(X$16&lt;365,MIN(X14,$D$16-W$4,$D$16-$D14),Generation!X26)</f>
        <v>0</v>
      </c>
      <c r="Y26" s="69">
        <f>IF(Y$16&lt;365,MIN(Y14,$D$16-X$4,$D$16-$D14),Generation!Y26)</f>
        <v>0</v>
      </c>
      <c r="Z26" s="69">
        <f>IF(Z$16&lt;365,MIN(Z14,$D$16-Y$4,$D$16-$D14),Generation!Z26)</f>
        <v>0</v>
      </c>
      <c r="AA26" s="69">
        <f>IF(AA$16&lt;365,MIN(AA14,$D$16-Z$4,$D$16-$D14),Generation!AA26)</f>
        <v>0</v>
      </c>
    </row>
    <row r="27" spans="2:27" x14ac:dyDescent="0.2">
      <c r="B27" s="6" t="s">
        <v>105</v>
      </c>
      <c r="C27" s="70">
        <v>5</v>
      </c>
      <c r="D27" s="68"/>
      <c r="E27" s="69">
        <f>IF(E$16&lt;365,MIN(E15,$D$16-D$4,$D$16-$D15),Generation!E27)</f>
        <v>0</v>
      </c>
      <c r="F27" s="69">
        <f>IF(F$16&lt;365,MIN(F15,$D$16-E$4,$D$16-$D15),Generation!F27)</f>
        <v>13</v>
      </c>
      <c r="G27" s="69">
        <f>IF(G$16&lt;365,MIN(G15,$D$16-F$4,$D$16-$D15),Generation!G27)</f>
        <v>132</v>
      </c>
      <c r="H27" s="69">
        <f>IF(H$16&lt;365,MIN(H15,$D$16-G$4,$D$16-$D15),Generation!H27)</f>
        <v>0</v>
      </c>
      <c r="I27" s="69">
        <f>IF(I$16&lt;365,MIN(I15,$D$16-H$4,$D$16-$D15),Generation!I27)</f>
        <v>0</v>
      </c>
      <c r="J27" s="69">
        <f>IF(J$16&lt;365,MIN(J15,$D$16-I$4,$D$16-$D15),Generation!J27)</f>
        <v>0</v>
      </c>
      <c r="K27" s="69">
        <f>IF(K$16&lt;365,MIN(K15,$D$16-J$4,$D$16-$D15),Generation!K27)</f>
        <v>0</v>
      </c>
      <c r="L27" s="69">
        <f>IF(L$16&lt;365,MIN(L15,$D$16-K$4,$D$16-$D15),Generation!L27)</f>
        <v>0</v>
      </c>
      <c r="M27" s="69">
        <f>IF(M$16&lt;365,MIN(M15,$D$16-L$4,$D$16-$D15),Generation!M27)</f>
        <v>0</v>
      </c>
      <c r="N27" s="69">
        <f>IF(N$16&lt;365,MIN(N15,$D$16-M$4,$D$16-$D15),Generation!N27)</f>
        <v>0</v>
      </c>
      <c r="O27" s="69">
        <f>IF(O$16&lt;365,MIN(O15,$D$16-N$4,$D$16-$D15),Generation!O27)</f>
        <v>0</v>
      </c>
      <c r="P27" s="69">
        <f>IF(P$16&lt;365,MIN(P15,$D$16-O$4,$D$16-$D15),Generation!P27)</f>
        <v>0</v>
      </c>
      <c r="Q27" s="69">
        <f>IF(Q$16&lt;365,MIN(Q15,$D$16-P$4,$D$16-$D15),Generation!Q27)</f>
        <v>0</v>
      </c>
      <c r="R27" s="69">
        <f>IF(R$16&lt;365,MIN(R15,$D$16-Q$4,$D$16-$D15),Generation!R27)</f>
        <v>0</v>
      </c>
      <c r="S27" s="69">
        <f>IF(S$16&lt;365,MIN(S15,$D$16-R$4,$D$16-$D15),Generation!S27)</f>
        <v>0</v>
      </c>
      <c r="T27" s="69">
        <f>IF(T$16&lt;365,MIN(T15,$D$16-S$4,$D$16-$D15),Generation!T27)</f>
        <v>0</v>
      </c>
      <c r="U27" s="69">
        <f>IF(U$16&lt;365,MIN(U15,$D$16-T$4,$D$16-$D15),Generation!U27)</f>
        <v>0</v>
      </c>
      <c r="V27" s="69">
        <f>IF(V$16&lt;365,MIN(V15,$D$16-U$4,$D$16-$D15),Generation!V27)</f>
        <v>0</v>
      </c>
      <c r="W27" s="69">
        <f>IF(W$16&lt;365,MIN(W15,$D$16-V$4,$D$16-$D15),Generation!W27)</f>
        <v>0</v>
      </c>
      <c r="X27" s="69">
        <f>IF(X$16&lt;365,MIN(X15,$D$16-W$4,$D$16-$D15),Generation!X27)</f>
        <v>0</v>
      </c>
      <c r="Y27" s="69">
        <f>IF(Y$16&lt;365,MIN(Y15,$D$16-X$4,$D$16-$D15),Generation!Y27)</f>
        <v>0</v>
      </c>
      <c r="Z27" s="69">
        <f>IF(Z$16&lt;365,MIN(Z15,$D$16-Y$4,$D$16-$D15),Generation!Z27)</f>
        <v>0</v>
      </c>
      <c r="AA27" s="69">
        <f>IF(AA$16&lt;365,MIN(AA15,$D$16-Z$4,$D$16-$D15),Generation!AA27)</f>
        <v>0</v>
      </c>
    </row>
    <row r="28" spans="2:27" x14ac:dyDescent="0.2">
      <c r="B28" s="6" t="s">
        <v>106</v>
      </c>
      <c r="C28" s="70">
        <v>6</v>
      </c>
      <c r="D28" s="68"/>
      <c r="E28" s="69">
        <f>IF(E$16&lt;365,MIN(E16,$D$16-D$4,$D$16-$D16),Generation!E28)</f>
        <v>0</v>
      </c>
      <c r="F28" s="69">
        <f>IF(F$16&lt;365,MIN(F16,$D$16-E$4,$D$16-$D16),Generation!F28)</f>
        <v>0</v>
      </c>
      <c r="G28" s="69">
        <f>IF(G$16&lt;365,MIN(G16,$D$16-F$4,$D$16-$D16),Generation!G28)</f>
        <v>132</v>
      </c>
      <c r="H28" s="69">
        <f>IF(H$16&lt;365,MIN(H16,$D$16-G$4,$D$16-$D16),Generation!H28)</f>
        <v>0</v>
      </c>
      <c r="I28" s="69">
        <f>IF(I$16&lt;365,MIN(I16,$D$16-H$4,$D$16-$D16),Generation!I28)</f>
        <v>0</v>
      </c>
      <c r="J28" s="69">
        <f>IF(J$16&lt;365,MIN(J16,$D$16-I$4,$D$16-$D16),Generation!J28)</f>
        <v>0</v>
      </c>
      <c r="K28" s="69">
        <f>IF(K$16&lt;365,MIN(K16,$D$16-J$4,$D$16-$D16),Generation!K28)</f>
        <v>0</v>
      </c>
      <c r="L28" s="69">
        <f>IF(L$16&lt;365,MIN(L16,$D$16-K$4,$D$16-$D16),Generation!L28)</f>
        <v>0</v>
      </c>
      <c r="M28" s="69">
        <f>IF(M$16&lt;365,MIN(M16,$D$16-L$4,$D$16-$D16),Generation!M28)</f>
        <v>0</v>
      </c>
      <c r="N28" s="69">
        <f>IF(N$16&lt;365,MIN(N16,$D$16-M$4,$D$16-$D16),Generation!N28)</f>
        <v>0</v>
      </c>
      <c r="O28" s="69">
        <f>IF(O$16&lt;365,MIN(O16,$D$16-N$4,$D$16-$D16),Generation!O28)</f>
        <v>0</v>
      </c>
      <c r="P28" s="69">
        <f>IF(P$16&lt;365,MIN(P16,$D$16-O$4,$D$16-$D16),Generation!P28)</f>
        <v>0</v>
      </c>
      <c r="Q28" s="69">
        <f>IF(Q$16&lt;365,MIN(Q16,$D$16-P$4,$D$16-$D16),Generation!Q28)</f>
        <v>0</v>
      </c>
      <c r="R28" s="69">
        <f>IF(R$16&lt;365,MIN(R16,$D$16-Q$4,$D$16-$D16),Generation!R28)</f>
        <v>0</v>
      </c>
      <c r="S28" s="69">
        <f>IF(S$16&lt;365,MIN(S16,$D$16-R$4,$D$16-$D16),Generation!S28)</f>
        <v>0</v>
      </c>
      <c r="T28" s="69">
        <f>IF(T$16&lt;365,MIN(T16,$D$16-S$4,$D$16-$D16),Generation!T28)</f>
        <v>0</v>
      </c>
      <c r="U28" s="69">
        <f>IF(U$16&lt;365,MIN(U16,$D$16-T$4,$D$16-$D16),Generation!U28)</f>
        <v>0</v>
      </c>
      <c r="V28" s="69">
        <f>IF(V$16&lt;365,MIN(V16,$D$16-U$4,$D$16-$D16),Generation!V28)</f>
        <v>0</v>
      </c>
      <c r="W28" s="69">
        <f>IF(W$16&lt;365,MIN(W16,$D$16-V$4,$D$16-$D16),Generation!W28)</f>
        <v>0</v>
      </c>
      <c r="X28" s="69">
        <f>IF(X$16&lt;365,MIN(X16,$D$16-W$4,$D$16-$D16),Generation!X28)</f>
        <v>0</v>
      </c>
      <c r="Y28" s="69">
        <f>IF(Y$16&lt;365,MIN(Y16,$D$16-X$4,$D$16-$D16),Generation!Y28)</f>
        <v>0</v>
      </c>
      <c r="Z28" s="69">
        <f>IF(Z$16&lt;365,MIN(Z16,$D$16-Y$4,$D$16-$D16),Generation!Z28)</f>
        <v>0</v>
      </c>
      <c r="AA28" s="69">
        <f>IF(AA$16&lt;365,MIN(AA16,$D$16-Z$4,$D$16-$D16),Generation!AA28)</f>
        <v>0</v>
      </c>
    </row>
    <row r="29" spans="2:27" x14ac:dyDescent="0.2">
      <c r="C29" s="37"/>
      <c r="D29" s="1"/>
      <c r="Z29" s="3"/>
      <c r="AA29" s="3"/>
    </row>
    <row r="30" spans="2:27" x14ac:dyDescent="0.2">
      <c r="B30" s="58" t="s">
        <v>118</v>
      </c>
      <c r="C30" s="71" t="s">
        <v>113</v>
      </c>
      <c r="F30" s="3" t="s">
        <v>119</v>
      </c>
      <c r="G30" s="3" t="s">
        <v>119</v>
      </c>
      <c r="Z30" s="3"/>
      <c r="AA30" s="3"/>
    </row>
    <row r="31" spans="2:27" x14ac:dyDescent="0.2">
      <c r="B31" s="6" t="s">
        <v>98</v>
      </c>
      <c r="C31" s="70">
        <v>5</v>
      </c>
      <c r="D31" s="61"/>
      <c r="E31" s="69"/>
      <c r="F31" s="69"/>
      <c r="G31" s="69"/>
      <c r="H31" s="69">
        <f t="shared" ref="H31:AA31" si="4">H7-H19</f>
        <v>365</v>
      </c>
      <c r="I31" s="69">
        <f t="shared" si="4"/>
        <v>365</v>
      </c>
      <c r="J31" s="69">
        <f t="shared" si="4"/>
        <v>365</v>
      </c>
      <c r="K31" s="69">
        <f t="shared" si="4"/>
        <v>365</v>
      </c>
      <c r="L31" s="69">
        <f t="shared" si="4"/>
        <v>365</v>
      </c>
      <c r="M31" s="69">
        <f t="shared" si="4"/>
        <v>365</v>
      </c>
      <c r="N31" s="69">
        <f t="shared" si="4"/>
        <v>365</v>
      </c>
      <c r="O31" s="69">
        <f t="shared" si="4"/>
        <v>365</v>
      </c>
      <c r="P31" s="69">
        <f t="shared" si="4"/>
        <v>365</v>
      </c>
      <c r="Q31" s="69">
        <f t="shared" si="4"/>
        <v>365</v>
      </c>
      <c r="R31" s="69">
        <f t="shared" si="4"/>
        <v>365</v>
      </c>
      <c r="S31" s="69">
        <f t="shared" si="4"/>
        <v>365</v>
      </c>
      <c r="T31" s="69">
        <f t="shared" si="4"/>
        <v>365</v>
      </c>
      <c r="U31" s="69">
        <f t="shared" si="4"/>
        <v>365</v>
      </c>
      <c r="V31" s="69">
        <f t="shared" si="4"/>
        <v>365</v>
      </c>
      <c r="W31" s="69">
        <f t="shared" si="4"/>
        <v>365</v>
      </c>
      <c r="X31" s="69">
        <f t="shared" si="4"/>
        <v>365</v>
      </c>
      <c r="Y31" s="69">
        <f t="shared" si="4"/>
        <v>365</v>
      </c>
      <c r="Z31" s="69">
        <f t="shared" si="4"/>
        <v>365</v>
      </c>
      <c r="AA31" s="69">
        <f t="shared" si="4"/>
        <v>365</v>
      </c>
    </row>
    <row r="32" spans="2:27" x14ac:dyDescent="0.2">
      <c r="B32" s="6" t="s">
        <v>97</v>
      </c>
      <c r="C32" s="70">
        <v>5</v>
      </c>
      <c r="D32" s="68"/>
      <c r="E32" s="69"/>
      <c r="F32" s="69"/>
      <c r="G32" s="69"/>
      <c r="H32" s="69">
        <f t="shared" ref="H32:AA40" si="5">H8-H20</f>
        <v>365</v>
      </c>
      <c r="I32" s="69">
        <f t="shared" si="5"/>
        <v>365</v>
      </c>
      <c r="J32" s="69">
        <f t="shared" si="5"/>
        <v>365</v>
      </c>
      <c r="K32" s="69">
        <f t="shared" si="5"/>
        <v>365</v>
      </c>
      <c r="L32" s="69">
        <f t="shared" si="5"/>
        <v>365</v>
      </c>
      <c r="M32" s="69">
        <f t="shared" si="5"/>
        <v>365</v>
      </c>
      <c r="N32" s="69">
        <f t="shared" si="5"/>
        <v>365</v>
      </c>
      <c r="O32" s="69">
        <f t="shared" si="5"/>
        <v>365</v>
      </c>
      <c r="P32" s="69">
        <f t="shared" si="5"/>
        <v>365</v>
      </c>
      <c r="Q32" s="69">
        <f t="shared" si="5"/>
        <v>365</v>
      </c>
      <c r="R32" s="69">
        <f t="shared" si="5"/>
        <v>365</v>
      </c>
      <c r="S32" s="69">
        <f t="shared" si="5"/>
        <v>365</v>
      </c>
      <c r="T32" s="69">
        <f t="shared" si="5"/>
        <v>365</v>
      </c>
      <c r="U32" s="69">
        <f t="shared" si="5"/>
        <v>365</v>
      </c>
      <c r="V32" s="69">
        <f t="shared" si="5"/>
        <v>365</v>
      </c>
      <c r="W32" s="69">
        <f t="shared" si="5"/>
        <v>365</v>
      </c>
      <c r="X32" s="69">
        <f t="shared" si="5"/>
        <v>365</v>
      </c>
      <c r="Y32" s="69">
        <f t="shared" si="5"/>
        <v>365</v>
      </c>
      <c r="Z32" s="69">
        <f t="shared" si="5"/>
        <v>365</v>
      </c>
      <c r="AA32" s="69">
        <f t="shared" si="5"/>
        <v>365</v>
      </c>
    </row>
    <row r="33" spans="2:27" x14ac:dyDescent="0.2">
      <c r="B33" s="6" t="s">
        <v>99</v>
      </c>
      <c r="C33" s="70">
        <v>5</v>
      </c>
      <c r="D33" s="68"/>
      <c r="E33" s="69"/>
      <c r="F33" s="69"/>
      <c r="G33" s="69"/>
      <c r="H33" s="69">
        <f t="shared" si="5"/>
        <v>365</v>
      </c>
      <c r="I33" s="69">
        <f t="shared" si="5"/>
        <v>365</v>
      </c>
      <c r="J33" s="69">
        <f t="shared" si="5"/>
        <v>365</v>
      </c>
      <c r="K33" s="69">
        <f t="shared" si="5"/>
        <v>365</v>
      </c>
      <c r="L33" s="69">
        <f t="shared" si="5"/>
        <v>365</v>
      </c>
      <c r="M33" s="69">
        <f t="shared" si="5"/>
        <v>365</v>
      </c>
      <c r="N33" s="69">
        <f t="shared" si="5"/>
        <v>365</v>
      </c>
      <c r="O33" s="69">
        <f t="shared" si="5"/>
        <v>365</v>
      </c>
      <c r="P33" s="69">
        <f t="shared" si="5"/>
        <v>365</v>
      </c>
      <c r="Q33" s="69">
        <f t="shared" si="5"/>
        <v>365</v>
      </c>
      <c r="R33" s="69">
        <f t="shared" si="5"/>
        <v>365</v>
      </c>
      <c r="S33" s="69">
        <f t="shared" si="5"/>
        <v>365</v>
      </c>
      <c r="T33" s="69">
        <f t="shared" si="5"/>
        <v>365</v>
      </c>
      <c r="U33" s="69">
        <f t="shared" si="5"/>
        <v>365</v>
      </c>
      <c r="V33" s="69">
        <f t="shared" si="5"/>
        <v>365</v>
      </c>
      <c r="W33" s="69">
        <f t="shared" si="5"/>
        <v>365</v>
      </c>
      <c r="X33" s="69">
        <f t="shared" si="5"/>
        <v>365</v>
      </c>
      <c r="Y33" s="69">
        <f t="shared" si="5"/>
        <v>365</v>
      </c>
      <c r="Z33" s="69">
        <f t="shared" si="5"/>
        <v>365</v>
      </c>
      <c r="AA33" s="69">
        <f t="shared" si="5"/>
        <v>365</v>
      </c>
    </row>
    <row r="34" spans="2:27" x14ac:dyDescent="0.2">
      <c r="B34" s="6" t="s">
        <v>100</v>
      </c>
      <c r="C34" s="70">
        <v>5</v>
      </c>
      <c r="D34" s="68"/>
      <c r="E34" s="69"/>
      <c r="F34" s="69"/>
      <c r="G34" s="69"/>
      <c r="H34" s="69">
        <f t="shared" si="5"/>
        <v>365</v>
      </c>
      <c r="I34" s="69">
        <f t="shared" si="5"/>
        <v>365</v>
      </c>
      <c r="J34" s="69">
        <f t="shared" si="5"/>
        <v>365</v>
      </c>
      <c r="K34" s="69">
        <f t="shared" si="5"/>
        <v>365</v>
      </c>
      <c r="L34" s="69">
        <f t="shared" si="5"/>
        <v>365</v>
      </c>
      <c r="M34" s="69">
        <f t="shared" si="5"/>
        <v>365</v>
      </c>
      <c r="N34" s="69">
        <f t="shared" si="5"/>
        <v>365</v>
      </c>
      <c r="O34" s="69">
        <f t="shared" si="5"/>
        <v>365</v>
      </c>
      <c r="P34" s="69">
        <f t="shared" si="5"/>
        <v>365</v>
      </c>
      <c r="Q34" s="69">
        <f t="shared" si="5"/>
        <v>365</v>
      </c>
      <c r="R34" s="69">
        <f t="shared" si="5"/>
        <v>365</v>
      </c>
      <c r="S34" s="69">
        <f t="shared" si="5"/>
        <v>365</v>
      </c>
      <c r="T34" s="69">
        <f t="shared" si="5"/>
        <v>365</v>
      </c>
      <c r="U34" s="69">
        <f t="shared" si="5"/>
        <v>365</v>
      </c>
      <c r="V34" s="69">
        <f t="shared" si="5"/>
        <v>365</v>
      </c>
      <c r="W34" s="69">
        <f t="shared" si="5"/>
        <v>365</v>
      </c>
      <c r="X34" s="69">
        <f t="shared" si="5"/>
        <v>365</v>
      </c>
      <c r="Y34" s="69">
        <f t="shared" si="5"/>
        <v>365</v>
      </c>
      <c r="Z34" s="69">
        <f t="shared" si="5"/>
        <v>365</v>
      </c>
      <c r="AA34" s="69">
        <f t="shared" si="5"/>
        <v>365</v>
      </c>
    </row>
    <row r="35" spans="2:27" x14ac:dyDescent="0.2">
      <c r="B35" s="6" t="s">
        <v>101</v>
      </c>
      <c r="C35" s="70">
        <v>5</v>
      </c>
      <c r="D35" s="68"/>
      <c r="E35" s="69"/>
      <c r="F35" s="69"/>
      <c r="G35" s="69"/>
      <c r="H35" s="69">
        <f t="shared" si="5"/>
        <v>365</v>
      </c>
      <c r="I35" s="69">
        <f t="shared" si="5"/>
        <v>365</v>
      </c>
      <c r="J35" s="69">
        <f t="shared" si="5"/>
        <v>365</v>
      </c>
      <c r="K35" s="69">
        <f t="shared" si="5"/>
        <v>365</v>
      </c>
      <c r="L35" s="69">
        <f t="shared" si="5"/>
        <v>365</v>
      </c>
      <c r="M35" s="69">
        <f t="shared" si="5"/>
        <v>365</v>
      </c>
      <c r="N35" s="69">
        <f t="shared" si="5"/>
        <v>365</v>
      </c>
      <c r="O35" s="69">
        <f t="shared" si="5"/>
        <v>365</v>
      </c>
      <c r="P35" s="69">
        <f t="shared" si="5"/>
        <v>365</v>
      </c>
      <c r="Q35" s="69">
        <f t="shared" si="5"/>
        <v>365</v>
      </c>
      <c r="R35" s="69">
        <f t="shared" si="5"/>
        <v>365</v>
      </c>
      <c r="S35" s="69">
        <f t="shared" si="5"/>
        <v>365</v>
      </c>
      <c r="T35" s="69">
        <f t="shared" si="5"/>
        <v>365</v>
      </c>
      <c r="U35" s="69">
        <f t="shared" si="5"/>
        <v>365</v>
      </c>
      <c r="V35" s="69">
        <f t="shared" si="5"/>
        <v>365</v>
      </c>
      <c r="W35" s="69">
        <f t="shared" si="5"/>
        <v>365</v>
      </c>
      <c r="X35" s="69">
        <f t="shared" si="5"/>
        <v>365</v>
      </c>
      <c r="Y35" s="69">
        <f t="shared" si="5"/>
        <v>365</v>
      </c>
      <c r="Z35" s="69">
        <f t="shared" si="5"/>
        <v>365</v>
      </c>
      <c r="AA35" s="69">
        <f t="shared" si="5"/>
        <v>365</v>
      </c>
    </row>
    <row r="36" spans="2:27" x14ac:dyDescent="0.2">
      <c r="B36" s="6" t="s">
        <v>102</v>
      </c>
      <c r="C36" s="70">
        <v>5</v>
      </c>
      <c r="D36" s="68"/>
      <c r="E36" s="69"/>
      <c r="F36" s="69"/>
      <c r="G36" s="69"/>
      <c r="H36" s="69">
        <f t="shared" si="5"/>
        <v>365</v>
      </c>
      <c r="I36" s="69">
        <f t="shared" si="5"/>
        <v>365</v>
      </c>
      <c r="J36" s="69">
        <f t="shared" si="5"/>
        <v>365</v>
      </c>
      <c r="K36" s="69">
        <f t="shared" si="5"/>
        <v>365</v>
      </c>
      <c r="L36" s="69">
        <f t="shared" si="5"/>
        <v>365</v>
      </c>
      <c r="M36" s="69">
        <f t="shared" si="5"/>
        <v>365</v>
      </c>
      <c r="N36" s="69">
        <f t="shared" si="5"/>
        <v>365</v>
      </c>
      <c r="O36" s="69">
        <f t="shared" si="5"/>
        <v>365</v>
      </c>
      <c r="P36" s="69">
        <f t="shared" si="5"/>
        <v>365</v>
      </c>
      <c r="Q36" s="69">
        <f t="shared" si="5"/>
        <v>365</v>
      </c>
      <c r="R36" s="69">
        <f t="shared" si="5"/>
        <v>365</v>
      </c>
      <c r="S36" s="69">
        <f t="shared" si="5"/>
        <v>365</v>
      </c>
      <c r="T36" s="69">
        <f t="shared" si="5"/>
        <v>365</v>
      </c>
      <c r="U36" s="69">
        <f t="shared" si="5"/>
        <v>365</v>
      </c>
      <c r="V36" s="69">
        <f t="shared" si="5"/>
        <v>365</v>
      </c>
      <c r="W36" s="69">
        <f t="shared" si="5"/>
        <v>365</v>
      </c>
      <c r="X36" s="69">
        <f t="shared" si="5"/>
        <v>365</v>
      </c>
      <c r="Y36" s="69">
        <f t="shared" si="5"/>
        <v>365</v>
      </c>
      <c r="Z36" s="69">
        <f t="shared" si="5"/>
        <v>365</v>
      </c>
      <c r="AA36" s="69">
        <f t="shared" si="5"/>
        <v>365</v>
      </c>
    </row>
    <row r="37" spans="2:27" x14ac:dyDescent="0.2">
      <c r="B37" s="6" t="s">
        <v>103</v>
      </c>
      <c r="C37" s="70">
        <v>5</v>
      </c>
      <c r="D37" s="68"/>
      <c r="E37" s="69"/>
      <c r="F37" s="69"/>
      <c r="G37" s="69"/>
      <c r="H37" s="69">
        <f t="shared" si="5"/>
        <v>365</v>
      </c>
      <c r="I37" s="69">
        <f t="shared" si="5"/>
        <v>365</v>
      </c>
      <c r="J37" s="69">
        <f t="shared" si="5"/>
        <v>365</v>
      </c>
      <c r="K37" s="69">
        <f t="shared" si="5"/>
        <v>365</v>
      </c>
      <c r="L37" s="69">
        <f t="shared" si="5"/>
        <v>365</v>
      </c>
      <c r="M37" s="69">
        <f t="shared" si="5"/>
        <v>365</v>
      </c>
      <c r="N37" s="69">
        <f t="shared" si="5"/>
        <v>365</v>
      </c>
      <c r="O37" s="69">
        <f t="shared" si="5"/>
        <v>365</v>
      </c>
      <c r="P37" s="69">
        <f t="shared" si="5"/>
        <v>365</v>
      </c>
      <c r="Q37" s="69">
        <f t="shared" si="5"/>
        <v>365</v>
      </c>
      <c r="R37" s="69">
        <f t="shared" si="5"/>
        <v>365</v>
      </c>
      <c r="S37" s="69">
        <f t="shared" si="5"/>
        <v>365</v>
      </c>
      <c r="T37" s="69">
        <f t="shared" si="5"/>
        <v>365</v>
      </c>
      <c r="U37" s="69">
        <f t="shared" si="5"/>
        <v>365</v>
      </c>
      <c r="V37" s="69">
        <f t="shared" si="5"/>
        <v>365</v>
      </c>
      <c r="W37" s="69">
        <f t="shared" si="5"/>
        <v>365</v>
      </c>
      <c r="X37" s="69">
        <f t="shared" si="5"/>
        <v>365</v>
      </c>
      <c r="Y37" s="69">
        <f t="shared" si="5"/>
        <v>365</v>
      </c>
      <c r="Z37" s="69">
        <f t="shared" si="5"/>
        <v>365</v>
      </c>
      <c r="AA37" s="69">
        <f t="shared" si="5"/>
        <v>365</v>
      </c>
    </row>
    <row r="38" spans="2:27" x14ac:dyDescent="0.2">
      <c r="B38" s="6" t="s">
        <v>104</v>
      </c>
      <c r="C38" s="70">
        <v>5</v>
      </c>
      <c r="D38" s="68"/>
      <c r="E38" s="69"/>
      <c r="F38" s="69"/>
      <c r="G38" s="69"/>
      <c r="H38" s="69">
        <f t="shared" si="5"/>
        <v>365</v>
      </c>
      <c r="I38" s="69">
        <f t="shared" si="5"/>
        <v>365</v>
      </c>
      <c r="J38" s="69">
        <f t="shared" si="5"/>
        <v>365</v>
      </c>
      <c r="K38" s="69">
        <f t="shared" si="5"/>
        <v>365</v>
      </c>
      <c r="L38" s="69">
        <f t="shared" si="5"/>
        <v>365</v>
      </c>
      <c r="M38" s="69">
        <f t="shared" si="5"/>
        <v>365</v>
      </c>
      <c r="N38" s="69">
        <f t="shared" si="5"/>
        <v>365</v>
      </c>
      <c r="O38" s="69">
        <f t="shared" si="5"/>
        <v>365</v>
      </c>
      <c r="P38" s="69">
        <f t="shared" si="5"/>
        <v>365</v>
      </c>
      <c r="Q38" s="69">
        <f t="shared" si="5"/>
        <v>365</v>
      </c>
      <c r="R38" s="69">
        <f t="shared" si="5"/>
        <v>365</v>
      </c>
      <c r="S38" s="69">
        <f t="shared" si="5"/>
        <v>365</v>
      </c>
      <c r="T38" s="69">
        <f t="shared" si="5"/>
        <v>365</v>
      </c>
      <c r="U38" s="69">
        <f t="shared" si="5"/>
        <v>365</v>
      </c>
      <c r="V38" s="69">
        <f t="shared" si="5"/>
        <v>365</v>
      </c>
      <c r="W38" s="69">
        <f t="shared" si="5"/>
        <v>365</v>
      </c>
      <c r="X38" s="69">
        <f t="shared" si="5"/>
        <v>365</v>
      </c>
      <c r="Y38" s="69">
        <f t="shared" si="5"/>
        <v>365</v>
      </c>
      <c r="Z38" s="69">
        <f t="shared" si="5"/>
        <v>365</v>
      </c>
      <c r="AA38" s="69">
        <f t="shared" si="5"/>
        <v>365</v>
      </c>
    </row>
    <row r="39" spans="2:27" x14ac:dyDescent="0.2">
      <c r="B39" s="6" t="s">
        <v>105</v>
      </c>
      <c r="C39" s="70">
        <v>5</v>
      </c>
      <c r="D39" s="68"/>
      <c r="E39" s="69"/>
      <c r="F39" s="69"/>
      <c r="G39" s="69"/>
      <c r="H39" s="69">
        <f t="shared" si="5"/>
        <v>365</v>
      </c>
      <c r="I39" s="69">
        <f t="shared" si="5"/>
        <v>365</v>
      </c>
      <c r="J39" s="69">
        <f t="shared" si="5"/>
        <v>365</v>
      </c>
      <c r="K39" s="69">
        <f t="shared" si="5"/>
        <v>365</v>
      </c>
      <c r="L39" s="69">
        <f t="shared" si="5"/>
        <v>365</v>
      </c>
      <c r="M39" s="69">
        <f t="shared" si="5"/>
        <v>365</v>
      </c>
      <c r="N39" s="69">
        <f t="shared" si="5"/>
        <v>365</v>
      </c>
      <c r="O39" s="69">
        <f t="shared" si="5"/>
        <v>365</v>
      </c>
      <c r="P39" s="69">
        <f t="shared" si="5"/>
        <v>365</v>
      </c>
      <c r="Q39" s="69">
        <f t="shared" si="5"/>
        <v>365</v>
      </c>
      <c r="R39" s="69">
        <f t="shared" si="5"/>
        <v>365</v>
      </c>
      <c r="S39" s="69">
        <f t="shared" si="5"/>
        <v>365</v>
      </c>
      <c r="T39" s="69">
        <f t="shared" si="5"/>
        <v>365</v>
      </c>
      <c r="U39" s="69">
        <f t="shared" si="5"/>
        <v>365</v>
      </c>
      <c r="V39" s="69">
        <f t="shared" si="5"/>
        <v>365</v>
      </c>
      <c r="W39" s="69">
        <f t="shared" si="5"/>
        <v>365</v>
      </c>
      <c r="X39" s="69">
        <f t="shared" si="5"/>
        <v>365</v>
      </c>
      <c r="Y39" s="69">
        <f t="shared" si="5"/>
        <v>365</v>
      </c>
      <c r="Z39" s="69">
        <f t="shared" si="5"/>
        <v>365</v>
      </c>
      <c r="AA39" s="69">
        <f t="shared" si="5"/>
        <v>365</v>
      </c>
    </row>
    <row r="40" spans="2:27" x14ac:dyDescent="0.2">
      <c r="B40" s="6" t="s">
        <v>106</v>
      </c>
      <c r="C40" s="70">
        <v>6</v>
      </c>
      <c r="D40" s="68"/>
      <c r="E40" s="69"/>
      <c r="F40" s="69"/>
      <c r="G40" s="69"/>
      <c r="H40" s="69">
        <f t="shared" si="5"/>
        <v>365</v>
      </c>
      <c r="I40" s="69">
        <f t="shared" si="5"/>
        <v>365</v>
      </c>
      <c r="J40" s="69">
        <f t="shared" si="5"/>
        <v>365</v>
      </c>
      <c r="K40" s="69">
        <f t="shared" si="5"/>
        <v>365</v>
      </c>
      <c r="L40" s="69">
        <f t="shared" si="5"/>
        <v>365</v>
      </c>
      <c r="M40" s="69">
        <f t="shared" si="5"/>
        <v>365</v>
      </c>
      <c r="N40" s="69">
        <f t="shared" si="5"/>
        <v>365</v>
      </c>
      <c r="O40" s="69">
        <f t="shared" si="5"/>
        <v>365</v>
      </c>
      <c r="P40" s="69">
        <f t="shared" si="5"/>
        <v>365</v>
      </c>
      <c r="Q40" s="69">
        <f t="shared" si="5"/>
        <v>365</v>
      </c>
      <c r="R40" s="69">
        <f t="shared" si="5"/>
        <v>365</v>
      </c>
      <c r="S40" s="69">
        <f t="shared" si="5"/>
        <v>365</v>
      </c>
      <c r="T40" s="69">
        <f t="shared" si="5"/>
        <v>365</v>
      </c>
      <c r="U40" s="69">
        <f t="shared" si="5"/>
        <v>365</v>
      </c>
      <c r="V40" s="69">
        <f t="shared" si="5"/>
        <v>365</v>
      </c>
      <c r="W40" s="69">
        <f t="shared" si="5"/>
        <v>365</v>
      </c>
      <c r="X40" s="69">
        <f t="shared" si="5"/>
        <v>365</v>
      </c>
      <c r="Y40" s="69">
        <f t="shared" si="5"/>
        <v>365</v>
      </c>
      <c r="Z40" s="69">
        <f t="shared" si="5"/>
        <v>365</v>
      </c>
      <c r="AA40" s="69">
        <f t="shared" si="5"/>
        <v>365</v>
      </c>
    </row>
    <row r="41" spans="2:27" x14ac:dyDescent="0.2">
      <c r="D41" s="1"/>
      <c r="H41" s="75"/>
      <c r="I41" s="75"/>
      <c r="Z41" s="3"/>
      <c r="AA41" s="3"/>
    </row>
    <row r="42" spans="2:27" x14ac:dyDescent="0.2">
      <c r="B42" s="6" t="s">
        <v>120</v>
      </c>
      <c r="C42" s="66"/>
      <c r="D42" s="8"/>
      <c r="E42" s="66">
        <f>Parameters!$B$11*SUMPRODUCT($C$19:$C$28,E19:E28)</f>
        <v>0</v>
      </c>
      <c r="F42" s="66">
        <f>Parameters!$B$11*SUMPRODUCT($C$19:$C$28,F19:F28)</f>
        <v>0</v>
      </c>
      <c r="G42" s="66">
        <f>Parameters!$B$11*SUMPRODUCT($C$19:$C$28,G19:G28)</f>
        <v>0</v>
      </c>
      <c r="H42" s="66">
        <f>Parameters!$B$11*SUMPRODUCT($C$19:$C$28,H19:H28)</f>
        <v>0</v>
      </c>
      <c r="I42" s="66">
        <f>Parameters!$B$11*SUMPRODUCT($C$19:$C$28,I19:I28)</f>
        <v>0</v>
      </c>
      <c r="J42" s="66">
        <f>Parameters!$B$11*SUMPRODUCT($C$19:$C$28,J19:J28)</f>
        <v>0</v>
      </c>
      <c r="K42" s="66">
        <f>Parameters!$B$11*SUMPRODUCT($C$19:$C$28,K19:K28)</f>
        <v>0</v>
      </c>
      <c r="L42" s="66">
        <f>Parameters!$B$11*SUMPRODUCT($C$19:$C$28,L19:L28)</f>
        <v>0</v>
      </c>
      <c r="M42" s="66">
        <f>Parameters!$B$11*SUMPRODUCT($C$19:$C$28,M19:M28)</f>
        <v>0</v>
      </c>
      <c r="N42" s="66">
        <f>Parameters!$B$11*SUMPRODUCT($C$19:$C$28,N19:N28)</f>
        <v>0</v>
      </c>
      <c r="O42" s="66">
        <f>Parameters!$B$11*SUMPRODUCT($C$19:$C$28,O19:O28)</f>
        <v>0</v>
      </c>
      <c r="P42" s="66">
        <f>Parameters!$B$11*SUMPRODUCT($C$19:$C$28,P19:P28)</f>
        <v>0</v>
      </c>
      <c r="Q42" s="66">
        <f>Parameters!$B$11*SUMPRODUCT($C$19:$C$28,Q19:Q28)</f>
        <v>0</v>
      </c>
      <c r="R42" s="66">
        <f>Parameters!$B$11*SUMPRODUCT($C$19:$C$28,R19:R28)</f>
        <v>0</v>
      </c>
      <c r="S42" s="66">
        <f>Parameters!$B$11*SUMPRODUCT($C$19:$C$28,S19:S28)</f>
        <v>0</v>
      </c>
      <c r="T42" s="66">
        <f>Parameters!$B$11*SUMPRODUCT($C$19:$C$28,T19:T28)</f>
        <v>0</v>
      </c>
      <c r="U42" s="66">
        <f>Parameters!$B$11*SUMPRODUCT($C$19:$C$28,U19:U28)</f>
        <v>0</v>
      </c>
      <c r="V42" s="66">
        <f>Parameters!$B$11*SUMPRODUCT($C$19:$C$28,V19:V28)</f>
        <v>0</v>
      </c>
      <c r="W42" s="66">
        <f>Parameters!$B$11*SUMPRODUCT($C$19:$C$28,W19:W28)</f>
        <v>0</v>
      </c>
      <c r="X42" s="66">
        <f>Parameters!$B$11*SUMPRODUCT($C$19:$C$28,X19:X28)</f>
        <v>0</v>
      </c>
      <c r="Y42" s="66">
        <f>Parameters!$B$11*SUMPRODUCT($C$19:$C$28,Y19:Y28)</f>
        <v>0</v>
      </c>
      <c r="Z42" s="66">
        <f>Parameters!$B$11*SUMPRODUCT($C$19:$C$28,Z19:Z28)</f>
        <v>0</v>
      </c>
      <c r="AA42" s="66">
        <f>Parameters!$B$11*SUMPRODUCT($C$19:$C$28,AA19:AA28)</f>
        <v>0</v>
      </c>
    </row>
    <row r="43" spans="2:27" x14ac:dyDescent="0.2">
      <c r="B43" s="6" t="s">
        <v>121</v>
      </c>
      <c r="C43" s="66"/>
      <c r="D43" s="8"/>
      <c r="E43" s="66">
        <f>Parameters!$B$12*SUMPRODUCT($C$31:$C$40,E31:E40)/365*((1+Parameters!$D$14/100)^(D2-Parameters!$B$13))</f>
        <v>0</v>
      </c>
      <c r="F43" s="66">
        <f>Parameters!$B$12*SUMPRODUCT($C$31:$C$40,F31:F40)/365*((1+Parameters!$D$14/100)^(E2-Parameters!$B$13))</f>
        <v>0</v>
      </c>
      <c r="G43" s="66">
        <f>Parameters!$B$12*SUMPRODUCT($C$31:$C$40,G31:G40)/365*((1+Parameters!$D$14/100)^(F2-Parameters!$B$13))</f>
        <v>0</v>
      </c>
      <c r="H43" s="66">
        <f>Parameters!$B$12*SUMPRODUCT($C$31:$C$40,H31:H40)/365*((1+Parameters!$D$14/100)^(G2-Parameters!$B$13))</f>
        <v>132600000</v>
      </c>
      <c r="I43" s="66">
        <f>Parameters!$B$12*SUMPRODUCT($C$31:$C$40,I31:I40)/365*((1+Parameters!$D$14/100)^(H2-Parameters!$B$13))</f>
        <v>139230000</v>
      </c>
      <c r="J43" s="66">
        <f>Parameters!$B$12*SUMPRODUCT($C$31:$C$40,J31:J40)/365*((1+Parameters!$D$14/100)^(I2-Parameters!$B$13))</f>
        <v>146191500</v>
      </c>
      <c r="K43" s="66">
        <f>Parameters!$B$12*SUMPRODUCT($C$31:$C$40,K31:K40)/365*((1+Parameters!$D$14/100)^(J2-Parameters!$B$13))</f>
        <v>153501075.00000003</v>
      </c>
      <c r="L43" s="66">
        <f>Parameters!$B$12*SUMPRODUCT($C$31:$C$40,L31:L40)/365*((1+Parameters!$D$14/100)^(K2-Parameters!$B$13))</f>
        <v>161176128.75</v>
      </c>
      <c r="M43" s="66">
        <f>Parameters!$B$12*SUMPRODUCT($C$31:$C$40,M31:M40)/365*((1+Parameters!$D$14/100)^(L2-Parameters!$B$13))</f>
        <v>169234935.18750003</v>
      </c>
      <c r="N43" s="66">
        <f>Parameters!$B$12*SUMPRODUCT($C$31:$C$40,N31:N40)/365*((1+Parameters!$D$14/100)^(M2-Parameters!$B$13))</f>
        <v>177696681.94687501</v>
      </c>
      <c r="O43" s="66">
        <f>Parameters!$B$12*SUMPRODUCT($C$31:$C$40,O31:O40)/365*((1+Parameters!$D$14/100)^(N2-Parameters!$B$13))</f>
        <v>186581516.04421878</v>
      </c>
      <c r="P43" s="66">
        <f>Parameters!$B$12*SUMPRODUCT($C$31:$C$40,P31:P40)/365*((1+Parameters!$D$14/100)^(O2-Parameters!$B$13))</f>
        <v>195910591.84642971</v>
      </c>
      <c r="Q43" s="66">
        <f>Parameters!$B$12*SUMPRODUCT($C$31:$C$40,Q31:Q40)/365*((1+Parameters!$D$14/100)^(P2-Parameters!$B$13))</f>
        <v>205706121.43875119</v>
      </c>
      <c r="R43" s="66">
        <f>Parameters!$B$12*SUMPRODUCT($C$31:$C$40,R31:R40)/365*((1+Parameters!$D$14/100)^(Q2-Parameters!$B$13))</f>
        <v>215991427.51068875</v>
      </c>
      <c r="S43" s="66">
        <f>Parameters!$B$12*SUMPRODUCT($C$31:$C$40,S31:S40)/365*((1+Parameters!$D$14/100)^(R2-Parameters!$B$13))</f>
        <v>226790998.8862232</v>
      </c>
      <c r="T43" s="66">
        <f>Parameters!$B$12*SUMPRODUCT($C$31:$C$40,T31:T40)/365*((1+Parameters!$D$14/100)^(S2-Parameters!$B$13))</f>
        <v>238130548.83053434</v>
      </c>
      <c r="U43" s="66">
        <f>Parameters!$B$12*SUMPRODUCT($C$31:$C$40,U31:U40)/365*((1+Parameters!$D$14/100)^(T2-Parameters!$B$13))</f>
        <v>250037076.27206108</v>
      </c>
      <c r="V43" s="66">
        <f>Parameters!$B$12*SUMPRODUCT($C$31:$C$40,V31:V40)/365*((1+Parameters!$D$14/100)^(U2-Parameters!$B$13))</f>
        <v>262538930.08566409</v>
      </c>
      <c r="W43" s="66">
        <f>Parameters!$B$12*SUMPRODUCT($C$31:$C$40,W31:W40)/365*((1+Parameters!$D$14/100)^(V2-Parameters!$B$13))</f>
        <v>275665876.5899474</v>
      </c>
      <c r="X43" s="66">
        <f>Parameters!$B$12*SUMPRODUCT($C$31:$C$40,X31:X40)/365*((1+Parameters!$D$14/100)^(W2-Parameters!$B$13))</f>
        <v>289449170.41944474</v>
      </c>
      <c r="Y43" s="66">
        <f>Parameters!$B$12*SUMPRODUCT($C$31:$C$40,Y31:Y40)/365*((1+Parameters!$D$14/100)^(X2-Parameters!$B$13))</f>
        <v>303921628.94041699</v>
      </c>
      <c r="Z43" s="66">
        <f>Parameters!$B$12*SUMPRODUCT($C$31:$C$40,Z31:Z40)/365*((1+Parameters!$D$14/100)^(Y2-Parameters!$B$13))</f>
        <v>319117710.38743782</v>
      </c>
      <c r="AA43" s="66">
        <f>Parameters!$B$12*SUMPRODUCT($C$31:$C$40,AA31:AA40)/365*((1+Parameters!$D$14/100)^(Z2-Parameters!$B$13))</f>
        <v>335073595.90680975</v>
      </c>
    </row>
    <row r="44" spans="2:27" x14ac:dyDescent="0.2">
      <c r="B44" s="6" t="s">
        <v>122</v>
      </c>
      <c r="C44" s="8"/>
      <c r="D44" s="8"/>
      <c r="E44" s="69">
        <f>SUM(E42:E43)</f>
        <v>0</v>
      </c>
      <c r="F44" s="69">
        <f t="shared" ref="F44:AA44" si="6">SUM(F42:F43)</f>
        <v>0</v>
      </c>
      <c r="G44" s="69">
        <f t="shared" si="6"/>
        <v>0</v>
      </c>
      <c r="H44" s="69">
        <f t="shared" si="6"/>
        <v>132600000</v>
      </c>
      <c r="I44" s="69">
        <f t="shared" si="6"/>
        <v>139230000</v>
      </c>
      <c r="J44" s="69">
        <f t="shared" si="6"/>
        <v>146191500</v>
      </c>
      <c r="K44" s="69">
        <f t="shared" si="6"/>
        <v>153501075.00000003</v>
      </c>
      <c r="L44" s="69">
        <f t="shared" si="6"/>
        <v>161176128.75</v>
      </c>
      <c r="M44" s="69">
        <f t="shared" si="6"/>
        <v>169234935.18750003</v>
      </c>
      <c r="N44" s="69">
        <f t="shared" si="6"/>
        <v>177696681.94687501</v>
      </c>
      <c r="O44" s="69">
        <f t="shared" si="6"/>
        <v>186581516.04421878</v>
      </c>
      <c r="P44" s="69">
        <f t="shared" si="6"/>
        <v>195910591.84642971</v>
      </c>
      <c r="Q44" s="69">
        <f t="shared" si="6"/>
        <v>205706121.43875119</v>
      </c>
      <c r="R44" s="69">
        <f t="shared" si="6"/>
        <v>215991427.51068875</v>
      </c>
      <c r="S44" s="69">
        <f t="shared" si="6"/>
        <v>226790998.8862232</v>
      </c>
      <c r="T44" s="69">
        <f t="shared" si="6"/>
        <v>238130548.83053434</v>
      </c>
      <c r="U44" s="69">
        <f t="shared" si="6"/>
        <v>250037076.27206108</v>
      </c>
      <c r="V44" s="69">
        <f t="shared" si="6"/>
        <v>262538930.08566409</v>
      </c>
      <c r="W44" s="69">
        <f t="shared" si="6"/>
        <v>275665876.5899474</v>
      </c>
      <c r="X44" s="69">
        <f t="shared" si="6"/>
        <v>289449170.41944474</v>
      </c>
      <c r="Y44" s="69">
        <f t="shared" si="6"/>
        <v>303921628.94041699</v>
      </c>
      <c r="Z44" s="69">
        <f t="shared" si="6"/>
        <v>319117710.38743782</v>
      </c>
      <c r="AA44" s="69">
        <f t="shared" si="6"/>
        <v>335073595.90680975</v>
      </c>
    </row>
    <row r="45" spans="2:27" x14ac:dyDescent="0.2">
      <c r="B45" s="6" t="s">
        <v>87</v>
      </c>
      <c r="C45" s="8"/>
      <c r="D45" s="8"/>
      <c r="E45" s="69">
        <f>0.2%*Parameters!$B$30*MIN(ROUND(E7/30,1),12)/12*((1+Parameters!$D$15/100)^D2)</f>
        <v>731850</v>
      </c>
      <c r="F45" s="69">
        <f>0.2%*Parameters!$B$30*MIN(ROUND(F7/30,1),12)/12*((1+Parameters!$D$15/100)^E2)</f>
        <v>12546000</v>
      </c>
      <c r="G45" s="69">
        <f>0.2%*Parameters!$B$30*MIN(ROUND(G7/30,1),12)/12*((1+Parameters!$D$15/100)^F2)</f>
        <v>13173300</v>
      </c>
      <c r="H45" s="69">
        <f>0.2%*Parameters!$B$30*MIN(ROUND(H7/30,1),12)/12*((1+Parameters!$D$15/100)^G2)</f>
        <v>13831965</v>
      </c>
      <c r="I45" s="69">
        <f>0.2%*Parameters!$B$30*MIN(ROUND(I7/30,1),12)/12*((1+Parameters!$D$15/100)^H2)</f>
        <v>14523563.250000002</v>
      </c>
      <c r="J45" s="69">
        <f>0.2%*Parameters!$B$30*MIN(ROUND(J7/30,1),12)/12*((1+Parameters!$D$15/100)^I2)</f>
        <v>15249741.4125</v>
      </c>
      <c r="K45" s="69">
        <f>0.2%*Parameters!$B$30*MIN(ROUND(K7/30,1),12)/12*((1+Parameters!$D$15/100)^J2)</f>
        <v>16012228.483125001</v>
      </c>
      <c r="L45" s="69">
        <f>0.2%*Parameters!$B$30*MIN(ROUND(L7/30,1),12)/12*((1+Parameters!$D$15/100)^K2)</f>
        <v>16812839.90728125</v>
      </c>
      <c r="M45" s="69">
        <f>0.2%*Parameters!$B$30*MIN(ROUND(M7/30,1),12)/12*((1+Parameters!$D$15/100)^L2)</f>
        <v>17653481.902645316</v>
      </c>
      <c r="N45" s="69">
        <f>0.2%*Parameters!$B$30*MIN(ROUND(N7/30,1),12)/12*((1+Parameters!$D$15/100)^M2)</f>
        <v>18536155.997777577</v>
      </c>
      <c r="O45" s="69">
        <f>0.2%*Parameters!$B$30*MIN(ROUND(O7/30,1),12)/12*((1+Parameters!$D$15/100)^N2)</f>
        <v>19462963.79766646</v>
      </c>
      <c r="P45" s="69">
        <f>0.2%*Parameters!$B$30*MIN(ROUND(P7/30,1),12)/12*((1+Parameters!$D$15/100)^O2)</f>
        <v>20436111.987549782</v>
      </c>
      <c r="Q45" s="69">
        <f>0.2%*Parameters!$B$30*MIN(ROUND(Q7/30,1),12)/12*((1+Parameters!$D$15/100)^P2)</f>
        <v>21457917.586927272</v>
      </c>
      <c r="R45" s="69">
        <f>0.2%*Parameters!$B$30*MIN(ROUND(R7/30,1),12)/12*((1+Parameters!$D$15/100)^Q2)</f>
        <v>22530813.466273632</v>
      </c>
      <c r="S45" s="69">
        <f>0.2%*Parameters!$B$30*MIN(ROUND(S7/30,1),12)/12*((1+Parameters!$D$15/100)^R2)</f>
        <v>23657354.13958732</v>
      </c>
      <c r="T45" s="69">
        <f>0.2%*Parameters!$B$30*MIN(ROUND(T7/30,1),12)/12*((1+Parameters!$D$15/100)^S2)</f>
        <v>24840221.846566681</v>
      </c>
      <c r="U45" s="69">
        <f>0.2%*Parameters!$B$30*MIN(ROUND(U7/30,1),12)/12*((1+Parameters!$D$15/100)^T2)</f>
        <v>26082232.938895021</v>
      </c>
      <c r="V45" s="69">
        <f>0.2%*Parameters!$B$30*MIN(ROUND(V7/30,1),12)/12*((1+Parameters!$D$15/100)^U2)</f>
        <v>27386344.585839771</v>
      </c>
      <c r="W45" s="69">
        <f>0.2%*Parameters!$B$30*MIN(ROUND(W7/30,1),12)/12*((1+Parameters!$D$15/100)^V2)</f>
        <v>28755661.815131761</v>
      </c>
      <c r="X45" s="69">
        <f>0.2%*Parameters!$B$30*MIN(ROUND(X7/30,1),12)/12*((1+Parameters!$D$15/100)^W2)</f>
        <v>30193444.905888349</v>
      </c>
      <c r="Y45" s="69">
        <f>0.2%*Parameters!$B$30*MIN(ROUND(Y7/30,1),12)/12*((1+Parameters!$D$15/100)^X2)</f>
        <v>31703117.151182767</v>
      </c>
      <c r="Z45" s="69">
        <f>0.2%*Parameters!$B$30*MIN(ROUND(Z7/30,1),12)/12*((1+Parameters!$D$15/100)^Y2)</f>
        <v>33288273.008741904</v>
      </c>
      <c r="AA45" s="69">
        <f>0.2%*Parameters!$B$30*MIN(ROUND(AA7/30,1),12)/12*((1+Parameters!$D$15/100)^Z2)</f>
        <v>34952686.659179002</v>
      </c>
    </row>
    <row r="46" spans="2:27" x14ac:dyDescent="0.2">
      <c r="B46" s="34" t="s">
        <v>130</v>
      </c>
      <c r="C46" s="104"/>
      <c r="D46" s="104"/>
      <c r="E46" s="105">
        <f>SUM(E44:E45)</f>
        <v>731850</v>
      </c>
      <c r="F46" s="105">
        <f t="shared" ref="F46:AA46" si="7">SUM(F44:F45)</f>
        <v>12546000</v>
      </c>
      <c r="G46" s="105">
        <f t="shared" si="7"/>
        <v>13173300</v>
      </c>
      <c r="H46" s="105">
        <f t="shared" si="7"/>
        <v>146431965</v>
      </c>
      <c r="I46" s="105">
        <f t="shared" si="7"/>
        <v>153753563.25</v>
      </c>
      <c r="J46" s="105">
        <f t="shared" si="7"/>
        <v>161441241.41249999</v>
      </c>
      <c r="K46" s="105">
        <f t="shared" si="7"/>
        <v>169513303.48312503</v>
      </c>
      <c r="L46" s="105">
        <f t="shared" si="7"/>
        <v>177988968.65728125</v>
      </c>
      <c r="M46" s="105">
        <f t="shared" si="7"/>
        <v>186888417.09014535</v>
      </c>
      <c r="N46" s="105">
        <f t="shared" si="7"/>
        <v>196232837.94465259</v>
      </c>
      <c r="O46" s="105">
        <f t="shared" si="7"/>
        <v>206044479.84188524</v>
      </c>
      <c r="P46" s="105">
        <f t="shared" si="7"/>
        <v>216346703.83397949</v>
      </c>
      <c r="Q46" s="105">
        <f t="shared" si="7"/>
        <v>227164039.02567846</v>
      </c>
      <c r="R46" s="105">
        <f t="shared" si="7"/>
        <v>238522240.97696239</v>
      </c>
      <c r="S46" s="105">
        <f t="shared" si="7"/>
        <v>250448353.02581051</v>
      </c>
      <c r="T46" s="105">
        <f t="shared" si="7"/>
        <v>262970770.67710102</v>
      </c>
      <c r="U46" s="105">
        <f t="shared" si="7"/>
        <v>276119309.2109561</v>
      </c>
      <c r="V46" s="105">
        <f t="shared" si="7"/>
        <v>289925274.67150384</v>
      </c>
      <c r="W46" s="105">
        <f t="shared" si="7"/>
        <v>304421538.40507919</v>
      </c>
      <c r="X46" s="105">
        <f t="shared" si="7"/>
        <v>319642615.32533312</v>
      </c>
      <c r="Y46" s="105">
        <f t="shared" si="7"/>
        <v>335624746.09159976</v>
      </c>
      <c r="Z46" s="105">
        <f t="shared" si="7"/>
        <v>352405983.39617974</v>
      </c>
      <c r="AA46" s="105">
        <f t="shared" si="7"/>
        <v>370026282.56598878</v>
      </c>
    </row>
    <row r="47" spans="2:27" x14ac:dyDescent="0.2">
      <c r="B47" s="6" t="s">
        <v>132</v>
      </c>
      <c r="C47" s="8"/>
      <c r="D47" s="8"/>
      <c r="E47" s="102">
        <f>E46/Parameters!$B$16</f>
        <v>4.9978841709868473E-3</v>
      </c>
      <c r="F47" s="102">
        <f>F46/Parameters!$B$16</f>
        <v>8.5678014359774526E-2</v>
      </c>
      <c r="G47" s="102">
        <f>G46/Parameters!$B$16</f>
        <v>8.9961915077763244E-2</v>
      </c>
      <c r="H47" s="102">
        <f>H46/Parameters!$B$16</f>
        <v>1</v>
      </c>
      <c r="I47" s="102">
        <f>I46/Parameters!$B$16</f>
        <v>1.05</v>
      </c>
      <c r="J47" s="102">
        <f>J46/Parameters!$B$16</f>
        <v>1.1025</v>
      </c>
      <c r="K47" s="102">
        <f>K46/Parameters!$B$16</f>
        <v>1.1576250000000001</v>
      </c>
      <c r="L47" s="102">
        <f>L46/Parameters!$B$16</f>
        <v>1.21550625</v>
      </c>
      <c r="M47" s="102">
        <f>M46/Parameters!$B$16</f>
        <v>1.2762815625000004</v>
      </c>
      <c r="N47" s="102">
        <f>N46/Parameters!$B$16</f>
        <v>1.340095640625</v>
      </c>
      <c r="O47" s="102">
        <f>O46/Parameters!$B$16</f>
        <v>1.4071004226562502</v>
      </c>
      <c r="P47" s="102">
        <f>P46/Parameters!$B$16</f>
        <v>1.4774554437890626</v>
      </c>
      <c r="Q47" s="102">
        <f>Q46/Parameters!$B$16</f>
        <v>1.5513282159785158</v>
      </c>
      <c r="R47" s="102">
        <f>R46/Parameters!$B$16</f>
        <v>1.6288946267774416</v>
      </c>
      <c r="S47" s="102">
        <f>S46/Parameters!$B$16</f>
        <v>1.7103393581163138</v>
      </c>
      <c r="T47" s="102">
        <f>T46/Parameters!$B$16</f>
        <v>1.7958563260221292</v>
      </c>
      <c r="U47" s="102">
        <f>U46/Parameters!$B$16</f>
        <v>1.885649142323236</v>
      </c>
      <c r="V47" s="102">
        <f>V46/Parameters!$B$16</f>
        <v>1.9799315994393973</v>
      </c>
      <c r="W47" s="102">
        <f>W46/Parameters!$B$16</f>
        <v>2.0789281794113683</v>
      </c>
      <c r="X47" s="102">
        <f>X46/Parameters!$B$16</f>
        <v>2.1828745883819365</v>
      </c>
      <c r="Y47" s="102">
        <f>Y46/Parameters!$B$16</f>
        <v>2.2920183178010332</v>
      </c>
      <c r="Z47" s="102">
        <f>Z46/Parameters!$B$16</f>
        <v>2.4066192336910848</v>
      </c>
      <c r="AA47" s="102">
        <f>AA46/Parameters!$B$16</f>
        <v>2.5269501953756395</v>
      </c>
    </row>
    <row r="48" spans="2:27" x14ac:dyDescent="0.2">
      <c r="B48" s="6"/>
      <c r="C48" s="8"/>
      <c r="D48" s="8"/>
      <c r="E48" s="103"/>
      <c r="F48" s="8"/>
      <c r="G48" s="8"/>
      <c r="H48" s="8"/>
      <c r="I48" s="8"/>
      <c r="J48" s="8"/>
      <c r="K48" s="8"/>
      <c r="L48" s="8"/>
      <c r="M48" s="8"/>
      <c r="N48" s="8"/>
      <c r="O48" s="8"/>
      <c r="P48" s="8"/>
      <c r="Q48" s="8"/>
      <c r="R48" s="8"/>
      <c r="S48" s="8"/>
      <c r="T48" s="8"/>
      <c r="U48" s="8"/>
      <c r="V48" s="8"/>
      <c r="W48" s="8"/>
      <c r="X48" s="8"/>
      <c r="Y48" s="8"/>
      <c r="Z48" s="70"/>
      <c r="AA48" s="70"/>
    </row>
    <row r="49" spans="2:27" x14ac:dyDescent="0.2">
      <c r="B49" s="6" t="s">
        <v>79</v>
      </c>
      <c r="C49" s="8"/>
      <c r="D49" s="8"/>
      <c r="E49" s="66">
        <f>Parameters!$B$18*MIN(ROUND(E7/30,1),12)/12*((1+Parameters!$D$21/100)^D2)</f>
        <v>265416.66666666669</v>
      </c>
      <c r="F49" s="66">
        <f>Parameters!$B$18*MIN(ROUND(F7/30,1),12)/12*((1+Parameters!$D$21/100)^E2)</f>
        <v>4550000</v>
      </c>
      <c r="G49" s="66">
        <f>Parameters!$B$18*MIN(ROUND(G7/30,1),12)/12*((1+Parameters!$D$21/100)^F2)</f>
        <v>4686500</v>
      </c>
      <c r="H49" s="66">
        <f>Parameters!$B$18*MIN(ROUND(H7/30,1),12)/12*((1+Parameters!$D$21/100)^G2)</f>
        <v>4827095</v>
      </c>
      <c r="I49" s="66">
        <f>Parameters!$B$18*MIN(ROUND(I7/30,1),12)/12*((1+Parameters!$D$21/100)^H2)</f>
        <v>4971907.8499999996</v>
      </c>
      <c r="J49" s="66">
        <f>Parameters!$B$18*MIN(ROUND(J7/30,1),12)/12*((1+Parameters!$D$21/100)^I2)</f>
        <v>5121065.0855</v>
      </c>
      <c r="K49" s="66">
        <f>Parameters!$B$18*MIN(ROUND(K7/30,1),12)/12*((1+Parameters!$D$21/100)^J2)</f>
        <v>5274697.0380649995</v>
      </c>
      <c r="L49" s="66">
        <f>Parameters!$B$18*MIN(ROUND(L7/30,1),12)/12*((1+Parameters!$D$21/100)^K2)</f>
        <v>5432937.9492069492</v>
      </c>
      <c r="M49" s="66">
        <f>Parameters!$B$18*MIN(ROUND(M7/30,1),12)/12*((1+Parameters!$D$21/100)^L2)</f>
        <v>5595926.087683158</v>
      </c>
      <c r="N49" s="66">
        <f>Parameters!$B$18*MIN(ROUND(N7/30,1),12)/12*((1+Parameters!$D$21/100)^M2)</f>
        <v>5763803.8703136528</v>
      </c>
      <c r="O49" s="66">
        <f>Parameters!$B$18*MIN(ROUND(O7/30,1),12)/12*((1+Parameters!$D$21/100)^N2)</f>
        <v>5936717.9864230622</v>
      </c>
      <c r="P49" s="66">
        <f>Parameters!$B$18*MIN(ROUND(P7/30,1),12)/12*((1+Parameters!$D$21/100)^O2)</f>
        <v>6114819.5260157539</v>
      </c>
      <c r="Q49" s="66">
        <f>Parameters!$B$18*MIN(ROUND(Q7/30,1),12)/12*((1+Parameters!$D$21/100)^P2)</f>
        <v>6298264.1117962273</v>
      </c>
      <c r="R49" s="66">
        <f>Parameters!$B$18*MIN(ROUND(R7/30,1),12)/12*((1+Parameters!$D$21/100)^Q2)</f>
        <v>6487212.0351501126</v>
      </c>
      <c r="S49" s="66">
        <f>Parameters!$B$18*MIN(ROUND(S7/30,1),12)/12*((1+Parameters!$D$21/100)^R2)</f>
        <v>6681828.3962046159</v>
      </c>
      <c r="T49" s="66">
        <f>Parameters!$B$18*MIN(ROUND(T7/30,1),12)/12*((1+Parameters!$D$21/100)^S2)</f>
        <v>6882283.2480907552</v>
      </c>
      <c r="U49" s="66">
        <f>Parameters!$B$18*MIN(ROUND(U7/30,1),12)/12*((1+Parameters!$D$21/100)^T2)</f>
        <v>7088751.7455334784</v>
      </c>
      <c r="V49" s="66">
        <f>Parameters!$B$18*MIN(ROUND(V7/30,1),12)/12*((1+Parameters!$D$21/100)^U2)</f>
        <v>7301414.2978994809</v>
      </c>
      <c r="W49" s="66">
        <f>Parameters!$B$18*MIN(ROUND(W7/30,1),12)/12*((1+Parameters!$D$21/100)^V2)</f>
        <v>7520456.7268364653</v>
      </c>
      <c r="X49" s="66">
        <f>Parameters!$B$18*MIN(ROUND(X7/30,1),12)/12*((1+Parameters!$D$21/100)^W2)</f>
        <v>7746070.4286415596</v>
      </c>
      <c r="Y49" s="66">
        <f>Parameters!$B$18*MIN(ROUND(Y7/30,1),12)/12*((1+Parameters!$D$21/100)^X2)</f>
        <v>7978452.5415008059</v>
      </c>
      <c r="Z49" s="66">
        <f>Parameters!$B$18*MIN(ROUND(Z7/30,1),12)/12*((1+Parameters!$D$21/100)^Y2)</f>
        <v>8217806.1177458307</v>
      </c>
      <c r="AA49" s="66">
        <f>Parameters!$B$18*MIN(ROUND(AA7/30,1),12)/12*((1+Parameters!$D$21/100)^Z2)</f>
        <v>8464340.3012782037</v>
      </c>
    </row>
    <row r="50" spans="2:27" x14ac:dyDescent="0.2">
      <c r="B50" s="6" t="s">
        <v>80</v>
      </c>
      <c r="C50" s="8"/>
      <c r="D50" s="8"/>
      <c r="E50" s="66">
        <f>Parameters!$B$19*SUMIF(E7:E16,"&gt;0",$C$7:$C$16)*Parameters!$B$4/Parameters!$B$5*((1+Parameters!$D$21/100)^D2)</f>
        <v>90000</v>
      </c>
      <c r="F50" s="66">
        <f>Parameters!$B$19*SUMIF(F7:F16,"&gt;0",$C$7:$C$16)*Parameters!$B$4/Parameters!$B$5*((1+Parameters!$D$21/100)^E2)</f>
        <v>918000</v>
      </c>
      <c r="G50" s="66">
        <f>Parameters!$B$19*SUMIF(G7:G16,"&gt;0",$C$7:$C$16)*Parameters!$B$4/Parameters!$B$5*((1+Parameters!$D$21/100)^F2)</f>
        <v>945540</v>
      </c>
      <c r="H50" s="66">
        <f>Parameters!$B$19*SUMIF(H7:H16,"&gt;0",$C$7:$C$16)*Parameters!$B$4/Parameters!$B$5*((1+Parameters!$D$21/100)^G2)</f>
        <v>973906.2</v>
      </c>
      <c r="I50" s="66">
        <f>Parameters!$B$19*SUMIF(I7:I16,"&gt;0",$C$7:$C$16)*Parameters!$B$4/Parameters!$B$5*((1+Parameters!$D$21/100)^H2)</f>
        <v>1003123.3860000001</v>
      </c>
      <c r="J50" s="66">
        <f>Parameters!$B$19*SUMIF(J7:J16,"&gt;0",$C$7:$C$16)*Parameters!$B$4/Parameters!$B$5*((1+Parameters!$D$21/100)^I2)</f>
        <v>1033217.0875799999</v>
      </c>
      <c r="K50" s="66">
        <f>Parameters!$B$19*SUMIF(K7:K16,"&gt;0",$C$7:$C$16)*Parameters!$B$4/Parameters!$B$5*((1+Parameters!$D$21/100)^J2)</f>
        <v>1064213.6002073998</v>
      </c>
      <c r="L50" s="66">
        <f>Parameters!$B$19*SUMIF(L7:L16,"&gt;0",$C$7:$C$16)*Parameters!$B$4/Parameters!$B$5*((1+Parameters!$D$21/100)^K2)</f>
        <v>1096140.008213622</v>
      </c>
      <c r="M50" s="66">
        <f>Parameters!$B$19*SUMIF(M7:M16,"&gt;0",$C$7:$C$16)*Parameters!$B$4/Parameters!$B$5*((1+Parameters!$D$21/100)^L2)</f>
        <v>1129024.2084600306</v>
      </c>
      <c r="N50" s="66">
        <f>Parameters!$B$19*SUMIF(N7:N16,"&gt;0",$C$7:$C$16)*Parameters!$B$4/Parameters!$B$5*((1+Parameters!$D$21/100)^M2)</f>
        <v>1162894.9347138314</v>
      </c>
      <c r="O50" s="66">
        <f>Parameters!$B$19*SUMIF(O7:O16,"&gt;0",$C$7:$C$16)*Parameters!$B$4/Parameters!$B$5*((1+Parameters!$D$21/100)^N2)</f>
        <v>1197781.7827552464</v>
      </c>
      <c r="P50" s="66">
        <f>Parameters!$B$19*SUMIF(P7:P16,"&gt;0",$C$7:$C$16)*Parameters!$B$4/Parameters!$B$5*((1+Parameters!$D$21/100)^O2)</f>
        <v>1233715.2362379038</v>
      </c>
      <c r="Q50" s="66">
        <f>Parameters!$B$19*SUMIF(Q7:Q16,"&gt;0",$C$7:$C$16)*Parameters!$B$4/Parameters!$B$5*((1+Parameters!$D$21/100)^P2)</f>
        <v>1270726.6933250409</v>
      </c>
      <c r="R50" s="66">
        <f>Parameters!$B$19*SUMIF(R7:R16,"&gt;0",$C$7:$C$16)*Parameters!$B$4/Parameters!$B$5*((1+Parameters!$D$21/100)^Q2)</f>
        <v>1308848.4941247921</v>
      </c>
      <c r="S50" s="66">
        <f>Parameters!$B$19*SUMIF(S7:S16,"&gt;0",$C$7:$C$16)*Parameters!$B$4/Parameters!$B$5*((1+Parameters!$D$21/100)^R2)</f>
        <v>1348113.9489485356</v>
      </c>
      <c r="T50" s="66">
        <f>Parameters!$B$19*SUMIF(T7:T16,"&gt;0",$C$7:$C$16)*Parameters!$B$4/Parameters!$B$5*((1+Parameters!$D$21/100)^S2)</f>
        <v>1388557.3674169919</v>
      </c>
      <c r="U50" s="66">
        <f>Parameters!$B$19*SUMIF(U7:U16,"&gt;0",$C$7:$C$16)*Parameters!$B$4/Parameters!$B$5*((1+Parameters!$D$21/100)^T2)</f>
        <v>1430214.0884395018</v>
      </c>
      <c r="V50" s="66">
        <f>Parameters!$B$19*SUMIF(V7:V16,"&gt;0",$C$7:$C$16)*Parameters!$B$4/Parameters!$B$5*((1+Parameters!$D$21/100)^U2)</f>
        <v>1473120.5110926866</v>
      </c>
      <c r="W50" s="66">
        <f>Parameters!$B$19*SUMIF(W7:W16,"&gt;0",$C$7:$C$16)*Parameters!$B$4/Parameters!$B$5*((1+Parameters!$D$21/100)^V2)</f>
        <v>1517314.1264254672</v>
      </c>
      <c r="X50" s="66">
        <f>Parameters!$B$19*SUMIF(X7:X16,"&gt;0",$C$7:$C$16)*Parameters!$B$4/Parameters!$B$5*((1+Parameters!$D$21/100)^W2)</f>
        <v>1562833.5502182313</v>
      </c>
      <c r="Y50" s="66">
        <f>Parameters!$B$19*SUMIF(Y7:Y16,"&gt;0",$C$7:$C$16)*Parameters!$B$4/Parameters!$B$5*((1+Parameters!$D$21/100)^X2)</f>
        <v>1609718.5567247781</v>
      </c>
      <c r="Z50" s="66">
        <f>Parameters!$B$19*SUMIF(Z7:Z16,"&gt;0",$C$7:$C$16)*Parameters!$B$4/Parameters!$B$5*((1+Parameters!$D$21/100)^Y2)</f>
        <v>1658010.1134265214</v>
      </c>
      <c r="AA50" s="66">
        <f>Parameters!$B$19*SUMIF(AA7:AA16,"&gt;0",$C$7:$C$16)*Parameters!$B$4/Parameters!$B$5*((1+Parameters!$D$21/100)^Z2)</f>
        <v>1707750.4168293169</v>
      </c>
    </row>
    <row r="51" spans="2:27" x14ac:dyDescent="0.2">
      <c r="B51" s="6" t="s">
        <v>81</v>
      </c>
      <c r="C51" s="8"/>
      <c r="D51" s="8"/>
      <c r="E51" s="66">
        <f>Parameters!$B$20*SUMIF(E7:E16,"&gt;0",$C$7:$C$16)/Parameters!$B$3*((1+Parameters!$D$21/100)^D2)</f>
        <v>15000</v>
      </c>
      <c r="F51" s="66">
        <f>Parameters!$B$20*SUMIF(F7:F16,"&gt;0",$C$7:$C$16)/Parameters!$B$3*((1+Parameters!$D$21/100)^E2)</f>
        <v>153000</v>
      </c>
      <c r="G51" s="66">
        <f>Parameters!$B$20*SUMIF(G7:G16,"&gt;0",$C$7:$C$16)/Parameters!$B$3*((1+Parameters!$D$21/100)^F2)</f>
        <v>157590</v>
      </c>
      <c r="H51" s="66">
        <f>Parameters!$B$20*SUMIF(H7:H16,"&gt;0",$C$7:$C$16)/Parameters!$B$3*((1+Parameters!$D$21/100)^G2)</f>
        <v>162317.69999999998</v>
      </c>
      <c r="I51" s="66">
        <f>Parameters!$B$20*SUMIF(I7:I16,"&gt;0",$C$7:$C$16)/Parameters!$B$3*((1+Parameters!$D$21/100)^H2)</f>
        <v>167187.231</v>
      </c>
      <c r="J51" s="66">
        <f>Parameters!$B$20*SUMIF(J7:J16,"&gt;0",$C$7:$C$16)/Parameters!$B$3*((1+Parameters!$D$21/100)^I2)</f>
        <v>172202.84792999999</v>
      </c>
      <c r="K51" s="66">
        <f>Parameters!$B$20*SUMIF(K7:K16,"&gt;0",$C$7:$C$16)/Parameters!$B$3*((1+Parameters!$D$21/100)^J2)</f>
        <v>177368.93336789997</v>
      </c>
      <c r="L51" s="66">
        <f>Parameters!$B$20*SUMIF(L7:L16,"&gt;0",$C$7:$C$16)/Parameters!$B$3*((1+Parameters!$D$21/100)^K2)</f>
        <v>182690.001368937</v>
      </c>
      <c r="M51" s="66">
        <f>Parameters!$B$20*SUMIF(M7:M16,"&gt;0",$C$7:$C$16)/Parameters!$B$3*((1+Parameters!$D$21/100)^L2)</f>
        <v>188170.7014100051</v>
      </c>
      <c r="N51" s="66">
        <f>Parameters!$B$20*SUMIF(N7:N16,"&gt;0",$C$7:$C$16)/Parameters!$B$3*((1+Parameters!$D$21/100)^M2)</f>
        <v>193815.82245230523</v>
      </c>
      <c r="O51" s="66">
        <f>Parameters!$B$20*SUMIF(O7:O16,"&gt;0",$C$7:$C$16)/Parameters!$B$3*((1+Parameters!$D$21/100)^N2)</f>
        <v>199630.29712587441</v>
      </c>
      <c r="P51" s="66">
        <f>Parameters!$B$20*SUMIF(P7:P16,"&gt;0",$C$7:$C$16)/Parameters!$B$3*((1+Parameters!$D$21/100)^O2)</f>
        <v>205619.20603965063</v>
      </c>
      <c r="Q51" s="66">
        <f>Parameters!$B$20*SUMIF(Q7:Q16,"&gt;0",$C$7:$C$16)/Parameters!$B$3*((1+Parameters!$D$21/100)^P2)</f>
        <v>211787.78222084016</v>
      </c>
      <c r="R51" s="66">
        <f>Parameters!$B$20*SUMIF(R7:R16,"&gt;0",$C$7:$C$16)/Parameters!$B$3*((1+Parameters!$D$21/100)^Q2)</f>
        <v>218141.41568746534</v>
      </c>
      <c r="S51" s="66">
        <f>Parameters!$B$20*SUMIF(S7:S16,"&gt;0",$C$7:$C$16)/Parameters!$B$3*((1+Parameters!$D$21/100)^R2)</f>
        <v>224685.65815808927</v>
      </c>
      <c r="T51" s="66">
        <f>Parameters!$B$20*SUMIF(T7:T16,"&gt;0",$C$7:$C$16)/Parameters!$B$3*((1+Parameters!$D$21/100)^S2)</f>
        <v>231426.22790283198</v>
      </c>
      <c r="U51" s="66">
        <f>Parameters!$B$20*SUMIF(U7:U16,"&gt;0",$C$7:$C$16)/Parameters!$B$3*((1+Parameters!$D$21/100)^T2)</f>
        <v>238369.01473991695</v>
      </c>
      <c r="V51" s="66">
        <f>Parameters!$B$20*SUMIF(V7:V16,"&gt;0",$C$7:$C$16)/Parameters!$B$3*((1+Parameters!$D$21/100)^U2)</f>
        <v>245520.08518211442</v>
      </c>
      <c r="W51" s="66">
        <f>Parameters!$B$20*SUMIF(W7:W16,"&gt;0",$C$7:$C$16)/Parameters!$B$3*((1+Parameters!$D$21/100)^V2)</f>
        <v>252885.68773757786</v>
      </c>
      <c r="X51" s="66">
        <f>Parameters!$B$20*SUMIF(X7:X16,"&gt;0",$C$7:$C$16)/Parameters!$B$3*((1+Parameters!$D$21/100)^W2)</f>
        <v>260472.2583697052</v>
      </c>
      <c r="Y51" s="66">
        <f>Parameters!$B$20*SUMIF(Y7:Y16,"&gt;0",$C$7:$C$16)/Parameters!$B$3*((1+Parameters!$D$21/100)^X2)</f>
        <v>268286.42612079636</v>
      </c>
      <c r="Z51" s="66">
        <f>Parameters!$B$20*SUMIF(Z7:Z16,"&gt;0",$C$7:$C$16)/Parameters!$B$3*((1+Parameters!$D$21/100)^Y2)</f>
        <v>276335.01890442026</v>
      </c>
      <c r="AA51" s="66">
        <f>Parameters!$B$20*SUMIF(AA7:AA16,"&gt;0",$C$7:$C$16)/Parameters!$B$3*((1+Parameters!$D$21/100)^Z2)</f>
        <v>284625.06947155279</v>
      </c>
    </row>
    <row r="52" spans="2:27" x14ac:dyDescent="0.2">
      <c r="B52" s="34" t="s">
        <v>136</v>
      </c>
      <c r="C52" s="104"/>
      <c r="D52" s="104"/>
      <c r="E52" s="106">
        <f>SUM(E49:E51)</f>
        <v>370416.66666666669</v>
      </c>
      <c r="F52" s="106">
        <f t="shared" ref="F52:AA52" si="8">SUM(F49:F51)</f>
        <v>5621000</v>
      </c>
      <c r="G52" s="106">
        <f t="shared" si="8"/>
        <v>5789630</v>
      </c>
      <c r="H52" s="106">
        <f t="shared" si="8"/>
        <v>5963318.9000000004</v>
      </c>
      <c r="I52" s="106">
        <f t="shared" si="8"/>
        <v>6142218.4669999992</v>
      </c>
      <c r="J52" s="106">
        <f t="shared" si="8"/>
        <v>6326485.0210100003</v>
      </c>
      <c r="K52" s="106">
        <f t="shared" si="8"/>
        <v>6516279.5716402987</v>
      </c>
      <c r="L52" s="106">
        <f t="shared" si="8"/>
        <v>6711767.9587895079</v>
      </c>
      <c r="M52" s="106">
        <f t="shared" si="8"/>
        <v>6913120.9975531939</v>
      </c>
      <c r="N52" s="106">
        <f t="shared" si="8"/>
        <v>7120514.6274797888</v>
      </c>
      <c r="O52" s="106">
        <f t="shared" si="8"/>
        <v>7334130.0663041826</v>
      </c>
      <c r="P52" s="106">
        <f t="shared" si="8"/>
        <v>7554153.9682933083</v>
      </c>
      <c r="Q52" s="106">
        <f t="shared" si="8"/>
        <v>7780778.5873421086</v>
      </c>
      <c r="R52" s="106">
        <f t="shared" si="8"/>
        <v>8014201.9449623702</v>
      </c>
      <c r="S52" s="106">
        <f t="shared" si="8"/>
        <v>8254628.0033112401</v>
      </c>
      <c r="T52" s="106">
        <f t="shared" si="8"/>
        <v>8502266.8434105795</v>
      </c>
      <c r="U52" s="106">
        <f t="shared" si="8"/>
        <v>8757334.8487128969</v>
      </c>
      <c r="V52" s="106">
        <f t="shared" si="8"/>
        <v>9020054.8941742815</v>
      </c>
      <c r="W52" s="106">
        <f t="shared" si="8"/>
        <v>9290656.5409995113</v>
      </c>
      <c r="X52" s="106">
        <f t="shared" si="8"/>
        <v>9569376.2372294962</v>
      </c>
      <c r="Y52" s="106">
        <f t="shared" si="8"/>
        <v>9856457.5243463814</v>
      </c>
      <c r="Z52" s="106">
        <f t="shared" si="8"/>
        <v>10152151.250076773</v>
      </c>
      <c r="AA52" s="106">
        <f t="shared" si="8"/>
        <v>10456715.787579075</v>
      </c>
    </row>
    <row r="53" spans="2:27" x14ac:dyDescent="0.2">
      <c r="B53" s="6" t="s">
        <v>141</v>
      </c>
      <c r="C53" s="8"/>
      <c r="D53" s="8"/>
      <c r="E53" s="102">
        <f>E52/Parameters!$B$21</f>
        <v>6.5898713158987141E-2</v>
      </c>
      <c r="F53" s="102">
        <f>F52/Parameters!$B$21</f>
        <v>1</v>
      </c>
      <c r="G53" s="102">
        <f>G52/Parameters!$B$21</f>
        <v>1.03</v>
      </c>
      <c r="H53" s="102">
        <f>H52/Parameters!$B$21</f>
        <v>1.0609000000000002</v>
      </c>
      <c r="I53" s="102">
        <f>I52/Parameters!$B$21</f>
        <v>1.0927269999999998</v>
      </c>
      <c r="J53" s="102">
        <f>J52/Parameters!$B$21</f>
        <v>1.1255088100000001</v>
      </c>
      <c r="K53" s="102">
        <f>K52/Parameters!$B$21</f>
        <v>1.1592740742999998</v>
      </c>
      <c r="L53" s="102">
        <f>L52/Parameters!$B$21</f>
        <v>1.1940522965289997</v>
      </c>
      <c r="M53" s="102">
        <f>M52/Parameters!$B$21</f>
        <v>1.22987386542487</v>
      </c>
      <c r="N53" s="102">
        <f>N52/Parameters!$B$21</f>
        <v>1.2667700813876159</v>
      </c>
      <c r="O53" s="102">
        <f>O52/Parameters!$B$21</f>
        <v>1.3047731838292445</v>
      </c>
      <c r="P53" s="102">
        <f>P52/Parameters!$B$21</f>
        <v>1.3439163793441218</v>
      </c>
      <c r="Q53" s="102">
        <f>Q52/Parameters!$B$21</f>
        <v>1.3842338707244455</v>
      </c>
      <c r="R53" s="102">
        <f>R52/Parameters!$B$21</f>
        <v>1.4257608868461786</v>
      </c>
      <c r="S53" s="102">
        <f>S52/Parameters!$B$21</f>
        <v>1.4685337134515637</v>
      </c>
      <c r="T53" s="102">
        <f>T52/Parameters!$B$21</f>
        <v>1.512589724855111</v>
      </c>
      <c r="U53" s="102">
        <f>U52/Parameters!$B$21</f>
        <v>1.5579674166007644</v>
      </c>
      <c r="V53" s="102">
        <f>V52/Parameters!$B$21</f>
        <v>1.6047064390987869</v>
      </c>
      <c r="W53" s="102">
        <f>W52/Parameters!$B$21</f>
        <v>1.6528476322717509</v>
      </c>
      <c r="X53" s="102">
        <f>X52/Parameters!$B$21</f>
        <v>1.7024330612399032</v>
      </c>
      <c r="Y53" s="102">
        <f>Y52/Parameters!$B$21</f>
        <v>1.7535060530771005</v>
      </c>
      <c r="Z53" s="102">
        <f>Z52/Parameters!$B$21</f>
        <v>1.8061112346694135</v>
      </c>
      <c r="AA53" s="102">
        <f>AA52/Parameters!$B$21</f>
        <v>1.8602945717094956</v>
      </c>
    </row>
    <row r="54" spans="2:27" x14ac:dyDescent="0.2">
      <c r="B54" s="6"/>
      <c r="C54" s="8"/>
      <c r="D54" s="8"/>
      <c r="E54" s="66"/>
      <c r="F54" s="66"/>
      <c r="G54" s="66"/>
      <c r="H54" s="66"/>
      <c r="I54" s="66"/>
      <c r="J54" s="66"/>
      <c r="K54" s="66"/>
      <c r="L54" s="66"/>
      <c r="M54" s="66"/>
      <c r="N54" s="66"/>
      <c r="O54" s="66"/>
      <c r="P54" s="66"/>
      <c r="Q54" s="66"/>
      <c r="R54" s="66"/>
      <c r="S54" s="66"/>
      <c r="T54" s="66"/>
      <c r="U54" s="66"/>
      <c r="V54" s="66"/>
      <c r="W54" s="66"/>
      <c r="X54" s="66"/>
      <c r="Y54" s="66"/>
      <c r="Z54" s="66"/>
      <c r="AA54" s="66"/>
    </row>
    <row r="55" spans="2:27" x14ac:dyDescent="0.2">
      <c r="B55" s="6" t="s">
        <v>84</v>
      </c>
      <c r="C55" s="8"/>
      <c r="D55" s="8"/>
      <c r="E55" s="66">
        <f>Generation!E44*5%*0.1</f>
        <v>6903.1167919016925</v>
      </c>
      <c r="F55" s="66">
        <f>Generation!F44*5%*0.1</f>
        <v>1055072.3704742547</v>
      </c>
      <c r="G55" s="66">
        <f>Generation!G44*5%*0.1</f>
        <v>1320680.2937856168</v>
      </c>
      <c r="H55" s="66">
        <f>Generation!H44*5%*0.1</f>
        <v>1340885.4165000003</v>
      </c>
      <c r="I55" s="66">
        <f>Generation!I44*5%*0.1</f>
        <v>1340885.4165000003</v>
      </c>
      <c r="J55" s="66">
        <f>Generation!J44*5%*0.1</f>
        <v>1340885.4165000003</v>
      </c>
      <c r="K55" s="66">
        <f>Generation!K44*5%*0.1</f>
        <v>1340885.4165000003</v>
      </c>
      <c r="L55" s="66">
        <f>Generation!L44*5%*0.1</f>
        <v>1340885.4165000003</v>
      </c>
      <c r="M55" s="66">
        <f>Generation!M44*5%*0.1</f>
        <v>1340885.4165000003</v>
      </c>
      <c r="N55" s="66">
        <f>Generation!N44*5%*0.1</f>
        <v>1340885.4165000003</v>
      </c>
      <c r="O55" s="66">
        <f>Generation!O44*5%*0.1</f>
        <v>1340885.4165000003</v>
      </c>
      <c r="P55" s="66">
        <f>Generation!P44*5%*0.1</f>
        <v>1340885.4165000003</v>
      </c>
      <c r="Q55" s="66">
        <f>Generation!Q44*5%*0.1</f>
        <v>1340885.4165000003</v>
      </c>
      <c r="R55" s="66">
        <f>Generation!R44*5%*0.1</f>
        <v>1340885.4165000003</v>
      </c>
      <c r="S55" s="66">
        <f>Generation!S44*5%*0.1</f>
        <v>1340885.4165000003</v>
      </c>
      <c r="T55" s="66">
        <f>Generation!T44*5%*0.1</f>
        <v>1340885.4165000003</v>
      </c>
      <c r="U55" s="66">
        <f>Generation!U44*5%*0.1</f>
        <v>1340885.4165000003</v>
      </c>
      <c r="V55" s="66">
        <f>Generation!V44*5%*0.1</f>
        <v>1340885.4165000003</v>
      </c>
      <c r="W55" s="66">
        <f>Generation!W44*5%*0.1</f>
        <v>1340885.4165000003</v>
      </c>
      <c r="X55" s="66">
        <f>Generation!X44*5%*0.1</f>
        <v>1340885.4165000003</v>
      </c>
      <c r="Y55" s="66">
        <f>Generation!Y44*5%*0.1</f>
        <v>1340885.4165000003</v>
      </c>
      <c r="Z55" s="66">
        <f>Generation!Z44*5%*0.1</f>
        <v>1340885.4165000003</v>
      </c>
      <c r="AA55" s="66">
        <f>Generation!AA44*5%*0.1</f>
        <v>1340885.4165000003</v>
      </c>
    </row>
    <row r="56" spans="2:27" x14ac:dyDescent="0.2">
      <c r="B56" s="6" t="s">
        <v>85</v>
      </c>
      <c r="C56" s="8"/>
      <c r="D56" s="8"/>
      <c r="E56" s="66">
        <f>Generation!E44*Parameters!$B$7*1%/MIN(ROUND(E7/30,1),12)</f>
        <v>70214.559369057228</v>
      </c>
      <c r="F56" s="66">
        <f>Generation!F44*Parameters!$B$7*1%/MIN(ROUND(F7/30,1),12)</f>
        <v>626009.60648139112</v>
      </c>
      <c r="G56" s="66">
        <f>Generation!G44*Parameters!$B$7*1%/MIN(ROUND(G7/30,1),12)</f>
        <v>783603.64097946568</v>
      </c>
      <c r="H56" s="66">
        <f>Generation!H44*Parameters!$B$7*1%/MIN(ROUND(H7/30,1),12)</f>
        <v>795592.01379000011</v>
      </c>
      <c r="I56" s="66">
        <f>Generation!I44*Parameters!$B$7*1%/MIN(ROUND(I7/30,1),12)</f>
        <v>795592.01379000011</v>
      </c>
      <c r="J56" s="66">
        <f>Generation!J44*Parameters!$B$7*1%/MIN(ROUND(J7/30,1),12)</f>
        <v>795592.01379000011</v>
      </c>
      <c r="K56" s="66">
        <f>Generation!K44*Parameters!$B$7*1%/MIN(ROUND(K7/30,1),12)</f>
        <v>795592.01379000011</v>
      </c>
      <c r="L56" s="66">
        <f>Generation!L44*Parameters!$B$7*1%/MIN(ROUND(L7/30,1),12)</f>
        <v>795592.01379000011</v>
      </c>
      <c r="M56" s="66">
        <f>Generation!M44*Parameters!$B$7*1%/MIN(ROUND(M7/30,1),12)</f>
        <v>795592.01379000011</v>
      </c>
      <c r="N56" s="66">
        <f>Generation!N44*Parameters!$B$7*1%/MIN(ROUND(N7/30,1),12)</f>
        <v>795592.01379000011</v>
      </c>
      <c r="O56" s="66">
        <f>Generation!O44*Parameters!$B$7*1%/MIN(ROUND(O7/30,1),12)</f>
        <v>795592.01379000011</v>
      </c>
      <c r="P56" s="66">
        <f>Generation!P44*Parameters!$B$7*1%/MIN(ROUND(P7/30,1),12)</f>
        <v>795592.01379000011</v>
      </c>
      <c r="Q56" s="66">
        <f>Generation!Q44*Parameters!$B$7*1%/MIN(ROUND(Q7/30,1),12)</f>
        <v>795592.01379000011</v>
      </c>
      <c r="R56" s="66">
        <f>Generation!R44*Parameters!$B$7*1%/MIN(ROUND(R7/30,1),12)</f>
        <v>795592.01379000011</v>
      </c>
      <c r="S56" s="66">
        <f>Generation!S44*Parameters!$B$7*1%/MIN(ROUND(S7/30,1),12)</f>
        <v>795592.01379000011</v>
      </c>
      <c r="T56" s="66">
        <f>Generation!T44*Parameters!$B$7*1%/MIN(ROUND(T7/30,1),12)</f>
        <v>795592.01379000011</v>
      </c>
      <c r="U56" s="66">
        <f>Generation!U44*Parameters!$B$7*1%/MIN(ROUND(U7/30,1),12)</f>
        <v>795592.01379000011</v>
      </c>
      <c r="V56" s="66">
        <f>Generation!V44*Parameters!$B$7*1%/MIN(ROUND(V7/30,1),12)</f>
        <v>795592.01379000011</v>
      </c>
      <c r="W56" s="66">
        <f>Generation!W44*Parameters!$B$7*1%/MIN(ROUND(W7/30,1),12)</f>
        <v>795592.01379000011</v>
      </c>
      <c r="X56" s="66">
        <f>Generation!X44*Parameters!$B$7*1%/MIN(ROUND(X7/30,1),12)</f>
        <v>795592.01379000011</v>
      </c>
      <c r="Y56" s="66">
        <f>Generation!Y44*Parameters!$B$7*1%/MIN(ROUND(Y7/30,1),12)</f>
        <v>795592.01379000011</v>
      </c>
      <c r="Z56" s="66">
        <f>Generation!Z44*Parameters!$B$7*1%/MIN(ROUND(Z7/30,1),12)</f>
        <v>795592.01379000011</v>
      </c>
      <c r="AA56" s="66">
        <f>Generation!AA44*Parameters!$B$7*1%/MIN(ROUND(AA7/30,1),12)</f>
        <v>795592.01379000011</v>
      </c>
    </row>
    <row r="57" spans="2:27" x14ac:dyDescent="0.2">
      <c r="B57" s="34" t="s">
        <v>143</v>
      </c>
      <c r="C57" s="104"/>
      <c r="D57" s="104"/>
      <c r="E57" s="105">
        <f>SUM(E55:E56)</f>
        <v>77117.676160958916</v>
      </c>
      <c r="F57" s="105">
        <f t="shared" ref="F57:AA57" si="9">SUM(F55:F56)</f>
        <v>1681081.9769556457</v>
      </c>
      <c r="G57" s="105">
        <f t="shared" si="9"/>
        <v>2104283.9347650823</v>
      </c>
      <c r="H57" s="105">
        <f t="shared" si="9"/>
        <v>2136477.4302900005</v>
      </c>
      <c r="I57" s="105">
        <f t="shared" si="9"/>
        <v>2136477.4302900005</v>
      </c>
      <c r="J57" s="105">
        <f t="shared" si="9"/>
        <v>2136477.4302900005</v>
      </c>
      <c r="K57" s="105">
        <f t="shared" si="9"/>
        <v>2136477.4302900005</v>
      </c>
      <c r="L57" s="105">
        <f t="shared" si="9"/>
        <v>2136477.4302900005</v>
      </c>
      <c r="M57" s="105">
        <f t="shared" si="9"/>
        <v>2136477.4302900005</v>
      </c>
      <c r="N57" s="105">
        <f t="shared" si="9"/>
        <v>2136477.4302900005</v>
      </c>
      <c r="O57" s="105">
        <f t="shared" si="9"/>
        <v>2136477.4302900005</v>
      </c>
      <c r="P57" s="105">
        <f t="shared" si="9"/>
        <v>2136477.4302900005</v>
      </c>
      <c r="Q57" s="105">
        <f t="shared" si="9"/>
        <v>2136477.4302900005</v>
      </c>
      <c r="R57" s="105">
        <f t="shared" si="9"/>
        <v>2136477.4302900005</v>
      </c>
      <c r="S57" s="105">
        <f t="shared" si="9"/>
        <v>2136477.4302900005</v>
      </c>
      <c r="T57" s="105">
        <f t="shared" si="9"/>
        <v>2136477.4302900005</v>
      </c>
      <c r="U57" s="105">
        <f t="shared" si="9"/>
        <v>2136477.4302900005</v>
      </c>
      <c r="V57" s="105">
        <f t="shared" si="9"/>
        <v>2136477.4302900005</v>
      </c>
      <c r="W57" s="105">
        <f t="shared" si="9"/>
        <v>2136477.4302900005</v>
      </c>
      <c r="X57" s="105">
        <f t="shared" si="9"/>
        <v>2136477.4302900005</v>
      </c>
      <c r="Y57" s="105">
        <f t="shared" si="9"/>
        <v>2136477.4302900005</v>
      </c>
      <c r="Z57" s="105">
        <f t="shared" si="9"/>
        <v>2136477.4302900005</v>
      </c>
      <c r="AA57" s="105">
        <f t="shared" si="9"/>
        <v>2136477.4302900005</v>
      </c>
    </row>
    <row r="58" spans="2:27" x14ac:dyDescent="0.2">
      <c r="B58" s="6" t="s">
        <v>144</v>
      </c>
      <c r="C58" s="8"/>
      <c r="D58" s="8"/>
      <c r="E58" s="102">
        <f>E57/Parameters!$B$25</f>
        <v>3.6095713002917675E-2</v>
      </c>
      <c r="F58" s="102">
        <f>F57/Parameters!$B$25</f>
        <v>0.78684752439788685</v>
      </c>
      <c r="G58" s="102">
        <f>G57/Parameters!$B$25</f>
        <v>0.98493150684931485</v>
      </c>
      <c r="H58" s="102">
        <f>H57/Parameters!$B$25</f>
        <v>1</v>
      </c>
      <c r="I58" s="102">
        <f>I57/Parameters!$B$25</f>
        <v>1</v>
      </c>
      <c r="J58" s="102">
        <f>J57/Parameters!$B$25</f>
        <v>1</v>
      </c>
      <c r="K58" s="102">
        <f>K57/Parameters!$B$25</f>
        <v>1</v>
      </c>
      <c r="L58" s="102">
        <f>L57/Parameters!$B$25</f>
        <v>1</v>
      </c>
      <c r="M58" s="102">
        <f>M57/Parameters!$B$25</f>
        <v>1</v>
      </c>
      <c r="N58" s="102">
        <f>N57/Parameters!$B$25</f>
        <v>1</v>
      </c>
      <c r="O58" s="102">
        <f>O57/Parameters!$B$25</f>
        <v>1</v>
      </c>
      <c r="P58" s="102">
        <f>P57/Parameters!$B$25</f>
        <v>1</v>
      </c>
      <c r="Q58" s="102">
        <f>Q57/Parameters!$B$25</f>
        <v>1</v>
      </c>
      <c r="R58" s="102">
        <f>R57/Parameters!$B$25</f>
        <v>1</v>
      </c>
      <c r="S58" s="102">
        <f>S57/Parameters!$B$25</f>
        <v>1</v>
      </c>
      <c r="T58" s="102">
        <f>T57/Parameters!$B$25</f>
        <v>1</v>
      </c>
      <c r="U58" s="102">
        <f>U57/Parameters!$B$25</f>
        <v>1</v>
      </c>
      <c r="V58" s="102">
        <f>V57/Parameters!$B$25</f>
        <v>1</v>
      </c>
      <c r="W58" s="102">
        <f>W57/Parameters!$B$25</f>
        <v>1</v>
      </c>
      <c r="X58" s="102">
        <f>X57/Parameters!$B$25</f>
        <v>1</v>
      </c>
      <c r="Y58" s="102">
        <f>Y57/Parameters!$B$25</f>
        <v>1</v>
      </c>
      <c r="Z58" s="102">
        <f>Z57/Parameters!$B$25</f>
        <v>1</v>
      </c>
      <c r="AA58" s="102">
        <f>AA57/Parameters!$B$25</f>
        <v>1</v>
      </c>
    </row>
    <row r="59" spans="2:27" x14ac:dyDescent="0.2">
      <c r="E59" s="65"/>
      <c r="F59" s="65"/>
      <c r="G59" s="65"/>
      <c r="H59" s="65"/>
      <c r="I59" s="65"/>
      <c r="J59" s="65"/>
      <c r="K59" s="65"/>
      <c r="L59" s="65"/>
      <c r="M59" s="65"/>
      <c r="N59" s="65"/>
      <c r="O59" s="65"/>
      <c r="P59" s="65"/>
      <c r="Q59" s="65"/>
      <c r="R59" s="65"/>
      <c r="S59" s="65"/>
      <c r="T59" s="65"/>
      <c r="U59" s="65"/>
      <c r="V59" s="65"/>
      <c r="W59" s="65"/>
      <c r="X59" s="65"/>
      <c r="Y59" s="65"/>
      <c r="Z59" s="65"/>
      <c r="AA59" s="65"/>
    </row>
    <row r="60" spans="2:27" x14ac:dyDescent="0.2">
      <c r="E60" s="65"/>
      <c r="F60" s="65"/>
      <c r="G60" s="65"/>
      <c r="H60" s="65"/>
      <c r="I60" s="65"/>
      <c r="J60" s="65"/>
      <c r="K60" s="65"/>
      <c r="L60" s="65"/>
      <c r="M60" s="65"/>
      <c r="N60" s="65"/>
      <c r="O60" s="65"/>
      <c r="P60" s="65"/>
      <c r="Q60" s="65"/>
      <c r="R60" s="65"/>
      <c r="S60" s="65"/>
      <c r="T60" s="65"/>
      <c r="U60" s="65"/>
      <c r="V60" s="65"/>
      <c r="W60" s="65"/>
      <c r="X60" s="65"/>
      <c r="Y60" s="65"/>
      <c r="Z60" s="65"/>
      <c r="AA60" s="65"/>
    </row>
    <row r="61" spans="2:27" x14ac:dyDescent="0.2">
      <c r="E61" s="65"/>
      <c r="F61" s="65"/>
      <c r="G61" s="65"/>
      <c r="H61" s="65"/>
    </row>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42"/>
  <sheetViews>
    <sheetView showGridLines="0" workbookViewId="0"/>
  </sheetViews>
  <sheetFormatPr defaultColWidth="9.140625" defaultRowHeight="12.75" x14ac:dyDescent="0.2"/>
  <cols>
    <col min="1" max="1" width="2.5703125" style="37" customWidth="1"/>
    <col min="2" max="2" width="39.140625" style="1" bestFit="1" customWidth="1"/>
    <col min="3" max="24" width="17" style="2" customWidth="1"/>
    <col min="25" max="16384" width="9.140625" style="37"/>
  </cols>
  <sheetData>
    <row r="2" spans="2:26" s="36" customFormat="1" x14ac:dyDescent="0.2">
      <c r="B2" s="4" t="s">
        <v>1</v>
      </c>
      <c r="C2" s="4"/>
      <c r="D2" s="29">
        <v>0</v>
      </c>
      <c r="E2" s="29">
        <f>D2+1</f>
        <v>1</v>
      </c>
      <c r="F2" s="29">
        <f t="shared" ref="F2:X3" si="0">E2+1</f>
        <v>2</v>
      </c>
      <c r="G2" s="29">
        <f t="shared" si="0"/>
        <v>3</v>
      </c>
      <c r="H2" s="29">
        <f t="shared" si="0"/>
        <v>4</v>
      </c>
      <c r="I2" s="29">
        <f t="shared" si="0"/>
        <v>5</v>
      </c>
      <c r="J2" s="29">
        <f t="shared" si="0"/>
        <v>6</v>
      </c>
      <c r="K2" s="29">
        <f t="shared" si="0"/>
        <v>7</v>
      </c>
      <c r="L2" s="29">
        <f t="shared" si="0"/>
        <v>8</v>
      </c>
      <c r="M2" s="29">
        <f t="shared" si="0"/>
        <v>9</v>
      </c>
      <c r="N2" s="29">
        <f t="shared" si="0"/>
        <v>10</v>
      </c>
      <c r="O2" s="29">
        <f t="shared" si="0"/>
        <v>11</v>
      </c>
      <c r="P2" s="29">
        <f t="shared" si="0"/>
        <v>12</v>
      </c>
      <c r="Q2" s="29">
        <f t="shared" si="0"/>
        <v>13</v>
      </c>
      <c r="R2" s="29">
        <f t="shared" si="0"/>
        <v>14</v>
      </c>
      <c r="S2" s="29">
        <f t="shared" si="0"/>
        <v>15</v>
      </c>
      <c r="T2" s="29">
        <f t="shared" si="0"/>
        <v>16</v>
      </c>
      <c r="U2" s="29">
        <f t="shared" si="0"/>
        <v>17</v>
      </c>
      <c r="V2" s="29">
        <f t="shared" si="0"/>
        <v>18</v>
      </c>
      <c r="W2" s="29">
        <f t="shared" si="0"/>
        <v>19</v>
      </c>
      <c r="X2" s="29">
        <f t="shared" si="0"/>
        <v>20</v>
      </c>
      <c r="Y2" s="29">
        <f t="shared" ref="Y2:Y3" si="1">X2+1</f>
        <v>21</v>
      </c>
      <c r="Z2" s="29">
        <f t="shared" ref="Z2:Z3" si="2">Y2+1</f>
        <v>22</v>
      </c>
    </row>
    <row r="3" spans="2:26" s="36" customFormat="1" x14ac:dyDescent="0.2">
      <c r="B3" s="4" t="s">
        <v>0</v>
      </c>
      <c r="C3" s="4"/>
      <c r="D3" s="29">
        <v>2011</v>
      </c>
      <c r="E3" s="29">
        <f>D3+1</f>
        <v>2012</v>
      </c>
      <c r="F3" s="29">
        <f t="shared" si="0"/>
        <v>2013</v>
      </c>
      <c r="G3" s="29">
        <f t="shared" si="0"/>
        <v>2014</v>
      </c>
      <c r="H3" s="29">
        <f t="shared" si="0"/>
        <v>2015</v>
      </c>
      <c r="I3" s="29">
        <f t="shared" si="0"/>
        <v>2016</v>
      </c>
      <c r="J3" s="29">
        <f t="shared" si="0"/>
        <v>2017</v>
      </c>
      <c r="K3" s="29">
        <f t="shared" si="0"/>
        <v>2018</v>
      </c>
      <c r="L3" s="29">
        <f t="shared" si="0"/>
        <v>2019</v>
      </c>
      <c r="M3" s="29">
        <f t="shared" si="0"/>
        <v>2020</v>
      </c>
      <c r="N3" s="29">
        <f t="shared" si="0"/>
        <v>2021</v>
      </c>
      <c r="O3" s="29">
        <f t="shared" si="0"/>
        <v>2022</v>
      </c>
      <c r="P3" s="29">
        <f t="shared" si="0"/>
        <v>2023</v>
      </c>
      <c r="Q3" s="29">
        <f t="shared" si="0"/>
        <v>2024</v>
      </c>
      <c r="R3" s="29">
        <f t="shared" si="0"/>
        <v>2025</v>
      </c>
      <c r="S3" s="29">
        <f t="shared" si="0"/>
        <v>2026</v>
      </c>
      <c r="T3" s="29">
        <f t="shared" si="0"/>
        <v>2027</v>
      </c>
      <c r="U3" s="29">
        <f t="shared" si="0"/>
        <v>2028</v>
      </c>
      <c r="V3" s="29">
        <f t="shared" si="0"/>
        <v>2029</v>
      </c>
      <c r="W3" s="29">
        <f t="shared" si="0"/>
        <v>2030</v>
      </c>
      <c r="X3" s="29">
        <f t="shared" si="0"/>
        <v>2031</v>
      </c>
      <c r="Y3" s="29">
        <f t="shared" si="1"/>
        <v>2032</v>
      </c>
      <c r="Z3" s="29">
        <f t="shared" si="2"/>
        <v>2033</v>
      </c>
    </row>
    <row r="4" spans="2:26" x14ac:dyDescent="0.2">
      <c r="B4" s="6"/>
      <c r="C4" s="6"/>
      <c r="D4" s="30"/>
      <c r="E4" s="23"/>
      <c r="F4" s="23"/>
      <c r="G4" s="23"/>
      <c r="H4" s="23"/>
      <c r="I4" s="23"/>
      <c r="J4" s="23"/>
      <c r="K4" s="23"/>
      <c r="L4" s="23"/>
      <c r="M4" s="23"/>
      <c r="N4" s="23"/>
      <c r="O4" s="23"/>
      <c r="P4" s="23"/>
      <c r="Q4" s="23"/>
      <c r="R4" s="23"/>
      <c r="S4" s="23"/>
      <c r="T4" s="23"/>
      <c r="U4" s="23"/>
      <c r="V4" s="23"/>
      <c r="W4" s="23"/>
      <c r="X4" s="23"/>
      <c r="Y4" s="23"/>
      <c r="Z4" s="23"/>
    </row>
    <row r="5" spans="2:26" s="38" customFormat="1" x14ac:dyDescent="0.2">
      <c r="B5" s="11" t="s">
        <v>33</v>
      </c>
      <c r="C5" s="11"/>
      <c r="D5" s="31">
        <f>Cashflows!D10-Cashflows!D9</f>
        <v>5605330.8350241743</v>
      </c>
      <c r="E5" s="31">
        <f>Cashflows!E10-Cashflows!E9</f>
        <v>856718764.82509482</v>
      </c>
      <c r="F5" s="31">
        <f>Cashflows!F10-Cashflows!F9</f>
        <v>1072392398.5539205</v>
      </c>
      <c r="G5" s="31">
        <f>Cashflows!G10-Cashflows!G9</f>
        <v>1088798958.1980002</v>
      </c>
      <c r="H5" s="31">
        <f>Cashflows!H10-Cashflows!H9</f>
        <v>1088798958.1980002</v>
      </c>
      <c r="I5" s="31">
        <f>Cashflows!I10-Cashflows!I9</f>
        <v>1017427755.1428229</v>
      </c>
      <c r="J5" s="31">
        <f>Cashflows!J10-Cashflows!J9</f>
        <v>954710416.5480001</v>
      </c>
      <c r="K5" s="31">
        <f>Cashflows!K10-Cashflows!K9</f>
        <v>954710416.5480001</v>
      </c>
      <c r="L5" s="31">
        <f>Cashflows!L10-Cashflows!L9</f>
        <v>954710416.5480001</v>
      </c>
      <c r="M5" s="31">
        <f>Cashflows!M10-Cashflows!M9</f>
        <v>954710416.5480001</v>
      </c>
      <c r="N5" s="31">
        <f>Cashflows!N10-Cashflows!N9</f>
        <v>954710416.5480001</v>
      </c>
      <c r="O5" s="31">
        <f>Cashflows!O10-Cashflows!O9</f>
        <v>954710416.5480001</v>
      </c>
      <c r="P5" s="31">
        <f>Cashflows!P10-Cashflows!P9</f>
        <v>954710416.5480001</v>
      </c>
      <c r="Q5" s="31">
        <f>Cashflows!Q10-Cashflows!Q9</f>
        <v>954710416.5480001</v>
      </c>
      <c r="R5" s="31">
        <f>Cashflows!R10-Cashflows!R9</f>
        <v>954710416.5480001</v>
      </c>
      <c r="S5" s="31">
        <f>Cashflows!S10-Cashflows!S9</f>
        <v>954710416.5480001</v>
      </c>
      <c r="T5" s="31">
        <f>Cashflows!T10-Cashflows!T9</f>
        <v>954710416.5480001</v>
      </c>
      <c r="U5" s="31">
        <f>Cashflows!U10-Cashflows!U9</f>
        <v>954710416.5480001</v>
      </c>
      <c r="V5" s="31">
        <f>Cashflows!V10-Cashflows!V9</f>
        <v>954710416.5480001</v>
      </c>
      <c r="W5" s="31">
        <f>Cashflows!W10-Cashflows!W9</f>
        <v>954710416.5480001</v>
      </c>
      <c r="X5" s="31">
        <f>Cashflows!X10-Cashflows!X9</f>
        <v>954710416.5480001</v>
      </c>
      <c r="Y5" s="31">
        <f>Cashflows!Y10-Cashflows!Y9</f>
        <v>954710416.5480001</v>
      </c>
      <c r="Z5" s="31">
        <f>Cashflows!Z10-Cashflows!Z9</f>
        <v>954710416.5480001</v>
      </c>
    </row>
    <row r="6" spans="2:26" s="38" customFormat="1" x14ac:dyDescent="0.2">
      <c r="B6" s="11" t="s">
        <v>34</v>
      </c>
      <c r="C6" s="11"/>
      <c r="D6" s="31">
        <f>Cashflows!D14+Cashflows!D15+Cashflows!D16</f>
        <v>1179384.3428276256</v>
      </c>
      <c r="E6" s="31">
        <f>Cashflows!E14+Cashflows!E15+Cashflows!E16</f>
        <v>19848081.976955645</v>
      </c>
      <c r="F6" s="31">
        <f>Cashflows!F14+Cashflows!F15+Cashflows!F16</f>
        <v>21067213.934765082</v>
      </c>
      <c r="G6" s="31">
        <f>Cashflows!G14+Cashflows!G15+Cashflows!G16</f>
        <v>154531761.33029002</v>
      </c>
      <c r="H6" s="31">
        <f>Cashflows!H14+Cashflows!H15+Cashflows!H16</f>
        <v>162032259.14729002</v>
      </c>
      <c r="I6" s="31">
        <f>Cashflows!I14+Cashflows!I15+Cashflows!I16</f>
        <v>169904203.86380002</v>
      </c>
      <c r="J6" s="31">
        <f>Cashflows!J14+Cashflows!J15+Cashflows!J16</f>
        <v>178166060.48505536</v>
      </c>
      <c r="K6" s="31">
        <f>Cashflows!K14+Cashflows!K15+Cashflows!K16</f>
        <v>186837214.04636076</v>
      </c>
      <c r="L6" s="31">
        <f>Cashflows!L14+Cashflows!L15+Cashflows!L16</f>
        <v>195938015.51798856</v>
      </c>
      <c r="M6" s="31">
        <f>Cashflows!M14+Cashflows!M15+Cashflows!M16</f>
        <v>205489830.00242239</v>
      </c>
      <c r="N6" s="31">
        <f>Cashflows!N14+Cashflows!N15+Cashflows!N16</f>
        <v>215515087.33847943</v>
      </c>
      <c r="O6" s="31">
        <f>Cashflows!O14+Cashflows!O15+Cashflows!O16</f>
        <v>226037335.23256281</v>
      </c>
      <c r="P6" s="31">
        <f>Cashflows!P14+Cashflows!P15+Cashflows!P16</f>
        <v>237081295.04331058</v>
      </c>
      <c r="Q6" s="31">
        <f>Cashflows!Q14+Cashflows!Q15+Cashflows!Q16</f>
        <v>248672920.35221478</v>
      </c>
      <c r="R6" s="31">
        <f>Cashflows!R14+Cashflows!R15+Cashflows!R16</f>
        <v>260839458.45941177</v>
      </c>
      <c r="S6" s="31">
        <f>Cashflows!S14+Cashflows!S15+Cashflows!S16</f>
        <v>273609514.95080155</v>
      </c>
      <c r="T6" s="31">
        <f>Cashflows!T14+Cashflows!T15+Cashflows!T16</f>
        <v>287013121.489959</v>
      </c>
      <c r="U6" s="31">
        <f>Cashflows!U14+Cashflows!U15+Cashflows!U16</f>
        <v>301081806.9959681</v>
      </c>
      <c r="V6" s="31">
        <f>Cashflows!V14+Cashflows!V15+Cashflows!V16</f>
        <v>315848672.3763687</v>
      </c>
      <c r="W6" s="31">
        <f>Cashflows!W14+Cashflows!W15+Cashflows!W16</f>
        <v>331348468.99285257</v>
      </c>
      <c r="X6" s="31">
        <f>Cashflows!X14+Cashflows!X15+Cashflows!X16</f>
        <v>347617681.04623616</v>
      </c>
      <c r="Y6" s="31">
        <f>Cashflows!Y14+Cashflows!Y15+Cashflows!Y16</f>
        <v>364694612.07654649</v>
      </c>
      <c r="Z6" s="31">
        <f>Cashflows!Z14+Cashflows!Z15+Cashflows!Z16</f>
        <v>382619475.78385782</v>
      </c>
    </row>
    <row r="7" spans="2:26" s="38" customFormat="1" x14ac:dyDescent="0.2">
      <c r="B7" s="11" t="s">
        <v>35</v>
      </c>
      <c r="C7" s="11"/>
      <c r="D7" s="31">
        <v>0</v>
      </c>
      <c r="E7" s="31"/>
      <c r="F7" s="31"/>
      <c r="G7" s="31"/>
      <c r="H7" s="31"/>
      <c r="I7" s="31"/>
      <c r="J7" s="31"/>
      <c r="K7" s="31"/>
      <c r="L7" s="31"/>
      <c r="M7" s="31"/>
      <c r="N7" s="31"/>
      <c r="O7" s="31"/>
      <c r="P7" s="31"/>
      <c r="Q7" s="31"/>
      <c r="R7" s="31"/>
      <c r="S7" s="31"/>
      <c r="T7" s="31"/>
      <c r="U7" s="31"/>
      <c r="V7" s="31"/>
      <c r="W7" s="31"/>
      <c r="X7" s="31"/>
      <c r="Y7" s="31"/>
      <c r="Z7" s="31"/>
    </row>
    <row r="8" spans="2:26" s="38" customFormat="1" x14ac:dyDescent="0.2">
      <c r="B8" s="147" t="s">
        <v>36</v>
      </c>
      <c r="C8" s="147"/>
      <c r="D8" s="148"/>
      <c r="E8" s="148">
        <f>MIN((Parameters!$B$47-Parameters!$B$45)*Parameters!$B$53*8/12,Parameters!$B$47-Parameters!$B$45-SUM($D$8:D8))</f>
        <v>344370671.37089306</v>
      </c>
      <c r="F8" s="148">
        <f>MIN((Parameters!$B$47-Parameters!$B$45)*Parameters!$B$53,Parameters!$B$47-Parameters!$B$45-SUM($D$8:E8))</f>
        <v>516556007.05633956</v>
      </c>
      <c r="G8" s="148">
        <f>MIN((Parameters!$B$47-Parameters!$B$45)*Parameters!$B$53,Parameters!$B$47-Parameters!$B$45-SUM($D$8:F8))</f>
        <v>516556007.05633956</v>
      </c>
      <c r="H8" s="148">
        <f>MIN((Parameters!$B$47-Parameters!$B$45)*Parameters!$B$53,Parameters!$B$47-Parameters!$B$45-SUM($D$8:G8))</f>
        <v>516556007.05633956</v>
      </c>
      <c r="I8" s="148">
        <f>MIN((Parameters!$B$47-Parameters!$B$45)*Parameters!$B$53,Parameters!$B$47-Parameters!$B$45-SUM($D$8:H8))</f>
        <v>516556007.05633956</v>
      </c>
      <c r="J8" s="148">
        <f>MIN((Parameters!$B$47-Parameters!$B$45)*Parameters!$B$53,Parameters!$B$47-Parameters!$B$45-SUM($D$8:I8))</f>
        <v>516556007.05633956</v>
      </c>
      <c r="K8" s="148">
        <f>MIN((Parameters!$B$47-Parameters!$B$45)*Parameters!$B$53,Parameters!$B$47-Parameters!$B$45-SUM($D$8:J8))</f>
        <v>516556007.05633956</v>
      </c>
      <c r="L8" s="148">
        <f>MIN((Parameters!$B$47-Parameters!$B$45)*Parameters!$B$53,Parameters!$B$47-Parameters!$B$45-SUM($D$8:K8))</f>
        <v>516556007.05633956</v>
      </c>
      <c r="M8" s="148">
        <f>MIN((Parameters!$B$47-Parameters!$B$45)*Parameters!$B$53,Parameters!$B$47-Parameters!$B$45-SUM($D$8:L8))</f>
        <v>516556007.05633956</v>
      </c>
      <c r="N8" s="148">
        <f>MIN((Parameters!$B$47-Parameters!$B$45)*Parameters!$B$53,Parameters!$B$47-Parameters!$B$45-SUM($D$8:M8))</f>
        <v>516556007.05633956</v>
      </c>
      <c r="O8" s="148">
        <f>MIN((Parameters!$B$47-Parameters!$B$45)*Parameters!$B$53,Parameters!$B$47-Parameters!$B$45-SUM($D$8:N8))</f>
        <v>516556007.05633956</v>
      </c>
      <c r="P8" s="148">
        <f>MIN((Parameters!$B$47-Parameters!$B$45)*Parameters!$B$53,Parameters!$B$47-Parameters!$B$45-SUM($D$8:O8))</f>
        <v>516556007.05633956</v>
      </c>
      <c r="Q8" s="148">
        <f>MIN((Parameters!$B$47-Parameters!$B$45)*Parameters!$B$53,Parameters!$B$47-Parameters!$B$45-SUM($D$8:P8))</f>
        <v>516556007.05633956</v>
      </c>
      <c r="R8" s="148">
        <f>MIN((Parameters!$B$47-Parameters!$B$45)*Parameters!$B$53,Parameters!$B$47-Parameters!$B$45-SUM($D$8:Q8))</f>
        <v>45681823.753282547</v>
      </c>
      <c r="S8" s="148">
        <f>MIN((Parameters!$B$47-Parameters!$B$45)*Parameters!$B$53,Parameters!$B$47-Parameters!$B$45-SUM($D$8:R8))</f>
        <v>0</v>
      </c>
      <c r="T8" s="148">
        <f>MIN((Parameters!$B$47-Parameters!$B$45)*Parameters!$B$53,Parameters!$B$47-Parameters!$B$45-SUM($D$8:S8))</f>
        <v>0</v>
      </c>
      <c r="U8" s="148">
        <f>MIN((Parameters!$B$47-Parameters!$B$45)*Parameters!$B$53,Parameters!$B$47-Parameters!$B$45-SUM($D$8:T8))</f>
        <v>0</v>
      </c>
      <c r="V8" s="148">
        <f>MIN((Parameters!$B$47-Parameters!$B$45)*Parameters!$B$53,Parameters!$B$47-Parameters!$B$45-SUM($D$8:U8))</f>
        <v>0</v>
      </c>
      <c r="W8" s="148">
        <f>MIN((Parameters!$B$47-Parameters!$B$45)*Parameters!$B$53,Parameters!$B$47-Parameters!$B$45-SUM($D$8:V8))</f>
        <v>0</v>
      </c>
      <c r="X8" s="148">
        <f>MIN((Parameters!$B$47-Parameters!$B$45)*Parameters!$B$53,Parameters!$B$47-Parameters!$B$45-SUM($D$8:W8))</f>
        <v>0</v>
      </c>
      <c r="Y8" s="148">
        <f>MIN((Parameters!$B$47-Parameters!$B$45)*Parameters!$B$53,Parameters!$B$47-Parameters!$B$45-SUM($D$8:X8))</f>
        <v>0</v>
      </c>
      <c r="Z8" s="148">
        <f>MIN((Parameters!$B$47-Parameters!$B$45)*Parameters!$B$53,Parameters!$B$47-Parameters!$B$45-SUM($D$8:Y8))</f>
        <v>0</v>
      </c>
    </row>
    <row r="9" spans="2:26" s="38" customFormat="1" x14ac:dyDescent="0.2">
      <c r="B9" s="16" t="s">
        <v>41</v>
      </c>
      <c r="C9" s="16"/>
      <c r="D9" s="32">
        <f>D5-D6-D7-D8</f>
        <v>4425946.4921965487</v>
      </c>
      <c r="E9" s="32">
        <f>E5-E6-E7-E8</f>
        <v>492500011.47724611</v>
      </c>
      <c r="F9" s="32">
        <f t="shared" ref="F9:X9" si="3">F5-F6-F7-F8</f>
        <v>534769177.56281585</v>
      </c>
      <c r="G9" s="32">
        <f t="shared" si="3"/>
        <v>417711189.81137055</v>
      </c>
      <c r="H9" s="32">
        <f t="shared" si="3"/>
        <v>410210691.99437064</v>
      </c>
      <c r="I9" s="32">
        <f t="shared" si="3"/>
        <v>330967544.22268325</v>
      </c>
      <c r="J9" s="32">
        <f t="shared" si="3"/>
        <v>259988349.00660521</v>
      </c>
      <c r="K9" s="32">
        <f t="shared" si="3"/>
        <v>251317195.4452998</v>
      </c>
      <c r="L9" s="32">
        <f t="shared" si="3"/>
        <v>242216393.97367197</v>
      </c>
      <c r="M9" s="32">
        <f t="shared" si="3"/>
        <v>232664579.4892382</v>
      </c>
      <c r="N9" s="32">
        <f t="shared" si="3"/>
        <v>222639322.15318114</v>
      </c>
      <c r="O9" s="32">
        <f t="shared" si="3"/>
        <v>212117074.25909775</v>
      </c>
      <c r="P9" s="32">
        <f t="shared" si="3"/>
        <v>201073114.44834989</v>
      </c>
      <c r="Q9" s="32">
        <f t="shared" si="3"/>
        <v>189481489.13944572</v>
      </c>
      <c r="R9" s="32">
        <f t="shared" si="3"/>
        <v>648189134.33530581</v>
      </c>
      <c r="S9" s="32">
        <f t="shared" si="3"/>
        <v>681100901.59719849</v>
      </c>
      <c r="T9" s="32">
        <f t="shared" si="3"/>
        <v>667697295.0580411</v>
      </c>
      <c r="U9" s="32">
        <f t="shared" si="3"/>
        <v>653628609.55203199</v>
      </c>
      <c r="V9" s="32">
        <f t="shared" si="3"/>
        <v>638861744.17163134</v>
      </c>
      <c r="W9" s="32">
        <f t="shared" si="3"/>
        <v>623361947.55514753</v>
      </c>
      <c r="X9" s="32">
        <f t="shared" si="3"/>
        <v>607092735.50176394</v>
      </c>
      <c r="Y9" s="32">
        <f t="shared" ref="Y9:Z9" si="4">Y5-Y6-Y7-Y8</f>
        <v>590015804.47145367</v>
      </c>
      <c r="Z9" s="32">
        <f t="shared" si="4"/>
        <v>572090940.76414227</v>
      </c>
    </row>
    <row r="10" spans="2:26" s="38" customFormat="1" x14ac:dyDescent="0.2">
      <c r="B10" s="11"/>
      <c r="C10" s="11"/>
      <c r="D10" s="31"/>
      <c r="E10" s="31"/>
      <c r="F10" s="31"/>
      <c r="G10" s="31"/>
      <c r="H10" s="31"/>
      <c r="I10" s="31"/>
      <c r="J10" s="31"/>
      <c r="K10" s="31"/>
      <c r="L10" s="31"/>
      <c r="M10" s="31"/>
      <c r="N10" s="31"/>
      <c r="O10" s="31"/>
      <c r="P10" s="31"/>
      <c r="Q10" s="31"/>
      <c r="R10" s="31"/>
      <c r="S10" s="31"/>
      <c r="T10" s="31"/>
      <c r="U10" s="31"/>
      <c r="V10" s="31"/>
      <c r="W10" s="31"/>
      <c r="X10" s="31"/>
      <c r="Y10" s="31"/>
      <c r="Z10" s="31"/>
    </row>
    <row r="11" spans="2:26" s="38" customFormat="1" x14ac:dyDescent="0.2">
      <c r="B11" s="11" t="s">
        <v>42</v>
      </c>
      <c r="C11" s="11"/>
      <c r="D11" s="31">
        <f>D5-D6-D7</f>
        <v>4425946.4921965487</v>
      </c>
      <c r="E11" s="31">
        <f>E5-E6-E7</f>
        <v>836870682.84813917</v>
      </c>
      <c r="F11" s="31">
        <f>F5-F6-F7</f>
        <v>1051325184.6191554</v>
      </c>
      <c r="G11" s="31">
        <f t="shared" ref="G11:X11" si="5">G5-G6-G7</f>
        <v>934267196.86771011</v>
      </c>
      <c r="H11" s="31">
        <f t="shared" si="5"/>
        <v>926766699.0507102</v>
      </c>
      <c r="I11" s="31">
        <f t="shared" si="5"/>
        <v>847523551.27902281</v>
      </c>
      <c r="J11" s="31">
        <f t="shared" si="5"/>
        <v>776544356.06294477</v>
      </c>
      <c r="K11" s="31">
        <f t="shared" si="5"/>
        <v>767873202.50163937</v>
      </c>
      <c r="L11" s="31">
        <f t="shared" si="5"/>
        <v>758772401.03001153</v>
      </c>
      <c r="M11" s="31">
        <f t="shared" si="5"/>
        <v>749220586.54557776</v>
      </c>
      <c r="N11" s="31">
        <f t="shared" si="5"/>
        <v>739195329.2095207</v>
      </c>
      <c r="O11" s="31">
        <f t="shared" si="5"/>
        <v>728673081.31543732</v>
      </c>
      <c r="P11" s="31">
        <f t="shared" si="5"/>
        <v>717629121.50468946</v>
      </c>
      <c r="Q11" s="31">
        <f t="shared" si="5"/>
        <v>706037496.19578528</v>
      </c>
      <c r="R11" s="31">
        <f t="shared" si="5"/>
        <v>693870958.08858836</v>
      </c>
      <c r="S11" s="31">
        <f t="shared" si="5"/>
        <v>681100901.59719849</v>
      </c>
      <c r="T11" s="31">
        <f t="shared" si="5"/>
        <v>667697295.0580411</v>
      </c>
      <c r="U11" s="31">
        <f t="shared" si="5"/>
        <v>653628609.55203199</v>
      </c>
      <c r="V11" s="31">
        <f t="shared" si="5"/>
        <v>638861744.17163134</v>
      </c>
      <c r="W11" s="31">
        <f t="shared" si="5"/>
        <v>623361947.55514753</v>
      </c>
      <c r="X11" s="31">
        <f t="shared" si="5"/>
        <v>607092735.50176394</v>
      </c>
      <c r="Y11" s="31">
        <f t="shared" ref="Y11:Z11" si="6">Y5-Y6-Y7</f>
        <v>590015804.47145367</v>
      </c>
      <c r="Z11" s="31">
        <f t="shared" si="6"/>
        <v>572090940.76414227</v>
      </c>
    </row>
    <row r="12" spans="2:26" s="38" customFormat="1" x14ac:dyDescent="0.2">
      <c r="B12" s="147" t="s">
        <v>43</v>
      </c>
      <c r="C12" s="147"/>
      <c r="D12" s="148"/>
      <c r="E12" s="148">
        <f>MIN((Parameters!$B$47-Parameters!$B$45)*Parameters!$B$54*8/12,Parameters!$B$55*(Parameters!$B$47-Parameters!$B$45)-SUM($D$12:D12))</f>
        <v>231923105.20896879</v>
      </c>
      <c r="F12" s="148">
        <f>MIN((Parameters!$B$47-Parameters!$B$45)*Parameters!$B$54,Parameters!$B$55*(Parameters!$B$47-Parameters!$B$45)-SUM($D$12:E12))</f>
        <v>347884657.8134532</v>
      </c>
      <c r="G12" s="148">
        <f>MIN((Parameters!$B$47-Parameters!$B$45)*Parameters!$B$54,Parameters!$B$55*(Parameters!$B$47-Parameters!$B$45)-SUM($D$12:F12))</f>
        <v>347884657.8134532</v>
      </c>
      <c r="H12" s="148">
        <f>MIN((Parameters!$B$47-Parameters!$B$45)*Parameters!$B$54,Parameters!$B$55*(Parameters!$B$47-Parameters!$B$45)-SUM($D$12:G12))</f>
        <v>347884657.8134532</v>
      </c>
      <c r="I12" s="148">
        <f>MIN((Parameters!$B$47-Parameters!$B$45)*Parameters!$B$54,Parameters!$B$55*(Parameters!$B$47-Parameters!$B$45)-SUM($D$12:H12))</f>
        <v>347884657.8134532</v>
      </c>
      <c r="J12" s="148">
        <f>MIN((Parameters!$B$47-Parameters!$B$45)*Parameters!$B$54,Parameters!$B$55*(Parameters!$B$47-Parameters!$B$45)-SUM($D$12:I12))</f>
        <v>347884657.8134532</v>
      </c>
      <c r="K12" s="148">
        <f>MIN((Parameters!$B$47-Parameters!$B$45)*Parameters!$B$54,Parameters!$B$55*(Parameters!$B$47-Parameters!$B$45)-SUM($D$12:J12))</f>
        <v>347884657.8134532</v>
      </c>
      <c r="L12" s="148">
        <f>MIN((Parameters!$B$47-Parameters!$B$45)*Parameters!$B$54,Parameters!$B$55*(Parameters!$B$47-Parameters!$B$45)-SUM($D$12:K12))</f>
        <v>347884657.8134532</v>
      </c>
      <c r="M12" s="148">
        <f>MIN((Parameters!$B$47-Parameters!$B$45)*Parameters!$B$54,Parameters!$B$55*(Parameters!$B$47-Parameters!$B$45)-SUM($D$12:L12))</f>
        <v>347884657.8134532</v>
      </c>
      <c r="N12" s="148">
        <f>MIN((Parameters!$B$47-Parameters!$B$45)*Parameters!$B$54,Parameters!$B$55*(Parameters!$B$47-Parameters!$B$45)-SUM($D$12:M12))</f>
        <v>347884657.8134532</v>
      </c>
      <c r="O12" s="148">
        <f>MIN((Parameters!$B$47-Parameters!$B$45)*Parameters!$B$54,Parameters!$B$55*(Parameters!$B$47-Parameters!$B$45)-SUM($D$12:N12))</f>
        <v>347884657.8134532</v>
      </c>
      <c r="P12" s="148">
        <f>MIN((Parameters!$B$47-Parameters!$B$45)*Parameters!$B$54,Parameters!$B$55*(Parameters!$B$47-Parameters!$B$45)-SUM($D$12:O12))</f>
        <v>347884657.8134532</v>
      </c>
      <c r="Q12" s="148">
        <f>MIN((Parameters!$B$47-Parameters!$B$45)*Parameters!$B$54,Parameters!$B$55*(Parameters!$B$47-Parameters!$B$45)-SUM($D$12:P12))</f>
        <v>347884657.8134532</v>
      </c>
      <c r="R12" s="148">
        <f>MIN((Parameters!$B$47-Parameters!$B$45)*Parameters!$B$54,Parameters!$B$55*(Parameters!$B$47-Parameters!$B$45)-SUM($D$12:Q12))</f>
        <v>347884657.8134532</v>
      </c>
      <c r="S12" s="148">
        <f>MIN((Parameters!$B$47-Parameters!$B$45)*Parameters!$B$54,Parameters!$B$55*(Parameters!$B$47-Parameters!$B$45)-SUM($D$12:R12))</f>
        <v>347884657.8134532</v>
      </c>
      <c r="T12" s="148">
        <f>MIN((Parameters!$B$47-Parameters!$B$45)*Parameters!$B$54,Parameters!$B$55*(Parameters!$B$47-Parameters!$B$45)-SUM($D$12:S12))</f>
        <v>347884657.8134532</v>
      </c>
      <c r="U12" s="148">
        <f>MIN((Parameters!$B$47-Parameters!$B$45)*Parameters!$B$54,Parameters!$B$55*(Parameters!$B$47-Parameters!$B$45)-SUM($D$12:T12))</f>
        <v>347884657.8134532</v>
      </c>
      <c r="V12" s="148">
        <f>MIN((Parameters!$B$47-Parameters!$B$45)*Parameters!$B$54,Parameters!$B$55*(Parameters!$B$47-Parameters!$B$45)-SUM($D$12:U12))</f>
        <v>347884657.8134532</v>
      </c>
      <c r="W12" s="148">
        <f>MIN((Parameters!$B$47-Parameters!$B$45)*Parameters!$B$54,Parameters!$B$55*(Parameters!$B$47-Parameters!$B$45)-SUM($D$12:V12))</f>
        <v>113326062.77256107</v>
      </c>
      <c r="X12" s="148">
        <f>MIN((Parameters!$B$47-Parameters!$B$45)*Parameters!$B$54,Parameters!$B$55*(Parameters!$B$47-Parameters!$B$45)-SUM($D$12:W12))</f>
        <v>0</v>
      </c>
      <c r="Y12" s="148">
        <f>MIN((Parameters!$B$47-Parameters!$B$45)*Parameters!$B$54,Parameters!$B$55*(Parameters!$B$47-Parameters!$B$45)-SUM($D$12:X12))</f>
        <v>0</v>
      </c>
      <c r="Z12" s="148">
        <f>MIN((Parameters!$B$47-Parameters!$B$45)*Parameters!$B$54,Parameters!$B$55*(Parameters!$B$47-Parameters!$B$45)-SUM($D$12:Y12))</f>
        <v>0</v>
      </c>
    </row>
    <row r="13" spans="2:26" s="38" customFormat="1" x14ac:dyDescent="0.2">
      <c r="B13" s="16" t="s">
        <v>44</v>
      </c>
      <c r="C13" s="16"/>
      <c r="D13" s="32">
        <f>D11-D12</f>
        <v>4425946.4921965487</v>
      </c>
      <c r="E13" s="32">
        <f t="shared" ref="E13:X13" si="7">E11-E12</f>
        <v>604947577.63917041</v>
      </c>
      <c r="F13" s="32">
        <f t="shared" si="7"/>
        <v>703440526.80570221</v>
      </c>
      <c r="G13" s="32">
        <f t="shared" si="7"/>
        <v>586382539.05425692</v>
      </c>
      <c r="H13" s="32">
        <f t="shared" si="7"/>
        <v>578882041.237257</v>
      </c>
      <c r="I13" s="32">
        <f t="shared" si="7"/>
        <v>499638893.46556962</v>
      </c>
      <c r="J13" s="32">
        <f t="shared" si="7"/>
        <v>428659698.24949157</v>
      </c>
      <c r="K13" s="32">
        <f t="shared" si="7"/>
        <v>419988544.68818617</v>
      </c>
      <c r="L13" s="32">
        <f t="shared" si="7"/>
        <v>410887743.21655834</v>
      </c>
      <c r="M13" s="32">
        <f t="shared" si="7"/>
        <v>401335928.73212457</v>
      </c>
      <c r="N13" s="32">
        <f t="shared" si="7"/>
        <v>391310671.3960675</v>
      </c>
      <c r="O13" s="32">
        <f t="shared" si="7"/>
        <v>380788423.50198412</v>
      </c>
      <c r="P13" s="32">
        <f t="shared" si="7"/>
        <v>369744463.69123626</v>
      </c>
      <c r="Q13" s="32">
        <f t="shared" si="7"/>
        <v>358152838.38233209</v>
      </c>
      <c r="R13" s="32">
        <f t="shared" si="7"/>
        <v>345986300.27513516</v>
      </c>
      <c r="S13" s="32">
        <f t="shared" si="7"/>
        <v>333216243.78374529</v>
      </c>
      <c r="T13" s="32">
        <f t="shared" si="7"/>
        <v>319812637.2445879</v>
      </c>
      <c r="U13" s="32">
        <f t="shared" si="7"/>
        <v>305743951.7385788</v>
      </c>
      <c r="V13" s="32">
        <f t="shared" si="7"/>
        <v>290977086.35817814</v>
      </c>
      <c r="W13" s="32">
        <f t="shared" si="7"/>
        <v>510035884.78258646</v>
      </c>
      <c r="X13" s="32">
        <f t="shared" si="7"/>
        <v>607092735.50176394</v>
      </c>
      <c r="Y13" s="32">
        <f t="shared" ref="Y13:Z13" si="8">Y11-Y12</f>
        <v>590015804.47145367</v>
      </c>
      <c r="Z13" s="32">
        <f t="shared" si="8"/>
        <v>572090940.76414227</v>
      </c>
    </row>
    <row r="14" spans="2:26" s="38" customFormat="1" x14ac:dyDescent="0.2">
      <c r="B14" s="11"/>
      <c r="C14" s="11"/>
      <c r="D14" s="31"/>
      <c r="E14" s="31"/>
      <c r="F14" s="31"/>
      <c r="G14" s="31"/>
      <c r="H14" s="31"/>
      <c r="I14" s="31"/>
      <c r="J14" s="31"/>
      <c r="K14" s="31"/>
      <c r="L14" s="31"/>
      <c r="M14" s="31"/>
      <c r="N14" s="31"/>
      <c r="O14" s="31"/>
      <c r="P14" s="31"/>
      <c r="Q14" s="31"/>
      <c r="R14" s="31"/>
      <c r="S14" s="31"/>
      <c r="T14" s="31"/>
      <c r="U14" s="31"/>
      <c r="V14" s="31"/>
      <c r="W14" s="31"/>
      <c r="X14" s="31"/>
      <c r="Y14" s="31"/>
      <c r="Z14" s="31"/>
    </row>
    <row r="15" spans="2:26" s="38" customFormat="1" x14ac:dyDescent="0.2">
      <c r="B15" s="11" t="s">
        <v>40</v>
      </c>
      <c r="C15" s="11"/>
      <c r="D15" s="33">
        <f>MAX(Parameters!$B$50/100*D9,0)</f>
        <v>1470188.7760453885</v>
      </c>
      <c r="E15" s="33">
        <f>MAX(Parameters!$B$50/100*E9,0)</f>
        <v>163596191.31245422</v>
      </c>
      <c r="F15" s="33">
        <f>MAX(Parameters!$B$50/100*F9,0)</f>
        <v>177636951.55692837</v>
      </c>
      <c r="G15" s="33">
        <f>MAX(Parameters!$B$50/100*G9,0)</f>
        <v>138753214.47559202</v>
      </c>
      <c r="H15" s="33">
        <f>MAX(Parameters!$B$50/100*H9,0)</f>
        <v>136261736.61323008</v>
      </c>
      <c r="I15" s="33">
        <f>MAX(Parameters!$B$50/100*I9,0)</f>
        <v>109939144.0021698</v>
      </c>
      <c r="J15" s="33">
        <f>MAX(Parameters!$B$50/100*J9,0)</f>
        <v>86361629.831269085</v>
      </c>
      <c r="K15" s="33">
        <f>MAX(Parameters!$B$50/100*K9,0)</f>
        <v>83481289.397042468</v>
      </c>
      <c r="L15" s="33">
        <f>MAX(Parameters!$B$50/100*L9,0)</f>
        <v>80458230.668204486</v>
      </c>
      <c r="M15" s="33">
        <f>MAX(Parameters!$B$50/100*M9,0)</f>
        <v>77285356.691837698</v>
      </c>
      <c r="N15" s="33">
        <f>MAX(Parameters!$B$50/100*N9,0)</f>
        <v>73955216.836232945</v>
      </c>
      <c r="O15" s="33">
        <f>MAX(Parameters!$B$50/100*O9,0)</f>
        <v>70459989.1420158</v>
      </c>
      <c r="P15" s="33">
        <f>MAX(Parameters!$B$50/100*P9,0)</f>
        <v>66791461.791880623</v>
      </c>
      <c r="Q15" s="33">
        <f>MAX(Parameters!$B$50/100*Q9,0)</f>
        <v>62941013.65489538</v>
      </c>
      <c r="R15" s="33">
        <f>MAX(Parameters!$B$50/100*R9,0)</f>
        <v>215312225.6978302</v>
      </c>
      <c r="S15" s="33">
        <f>MAX(Parameters!$B$50/100*S9,0)</f>
        <v>226244691.98804942</v>
      </c>
      <c r="T15" s="33">
        <f>MAX(Parameters!$B$50/100*T9,0)</f>
        <v>221792348.98590481</v>
      </c>
      <c r="U15" s="33">
        <f>MAX(Parameters!$B$50/100*U9,0)</f>
        <v>217119083.37794623</v>
      </c>
      <c r="V15" s="33">
        <f>MAX(Parameters!$B$50/100*V9,0)</f>
        <v>212213899.87021163</v>
      </c>
      <c r="W15" s="33">
        <f>MAX(Parameters!$B$50/100*W9,0)</f>
        <v>207065254.92913112</v>
      </c>
      <c r="X15" s="33">
        <f>MAX(Parameters!$B$50/100*X9,0)</f>
        <v>201661029.41529843</v>
      </c>
      <c r="Y15" s="33">
        <f>MAX(Parameters!$B$50/100*Y9,0)</f>
        <v>195988499.85030511</v>
      </c>
      <c r="Z15" s="33">
        <f>MAX(Parameters!$B$50/100*Z9,0)</f>
        <v>190034308.24832895</v>
      </c>
    </row>
    <row r="16" spans="2:26" s="38" customFormat="1" x14ac:dyDescent="0.2">
      <c r="B16" s="11" t="s">
        <v>39</v>
      </c>
      <c r="C16" s="11"/>
      <c r="D16" s="33">
        <f>MAX(Parameters!$B$51/100*D13,0)</f>
        <v>882113.26562723308</v>
      </c>
      <c r="E16" s="33">
        <f>MAX(Parameters!$B$51/100*E13,0)</f>
        <v>120569076.96137485</v>
      </c>
      <c r="F16" s="33">
        <f>MAX(Parameters!$B$51/100*F13,0)</f>
        <v>140199214.19501045</v>
      </c>
      <c r="G16" s="33">
        <f>MAX(Parameters!$B$51/100*G13,0)</f>
        <v>116868971.94620867</v>
      </c>
      <c r="H16" s="33">
        <f>MAX(Parameters!$B$51/100*H13,0)</f>
        <v>115374085.22879149</v>
      </c>
      <c r="I16" s="33">
        <f>MAX(Parameters!$B$51/100*I13,0)</f>
        <v>99580529.662155345</v>
      </c>
      <c r="J16" s="33">
        <f>MAX(Parameters!$B$51/100*J13,0)</f>
        <v>85434021.159614906</v>
      </c>
      <c r="K16" s="33">
        <f>MAX(Parameters!$B$51/100*K13,0)</f>
        <v>83705816.899078935</v>
      </c>
      <c r="L16" s="33">
        <f>MAX(Parameters!$B$51/100*L13,0)</f>
        <v>81891981.661776155</v>
      </c>
      <c r="M16" s="33">
        <f>MAX(Parameters!$B$51/100*M13,0)</f>
        <v>79988257.275956079</v>
      </c>
      <c r="N16" s="33">
        <f>MAX(Parameters!$B$51/100*N13,0)</f>
        <v>77990173.362593234</v>
      </c>
      <c r="O16" s="33">
        <f>MAX(Parameters!$B$51/100*O13,0)</f>
        <v>75893036.746062934</v>
      </c>
      <c r="P16" s="33">
        <f>MAX(Parameters!$B$51/100*P13,0)</f>
        <v>73691920.335981831</v>
      </c>
      <c r="Q16" s="33">
        <f>MAX(Parameters!$B$51/100*Q13,0)</f>
        <v>71381651.453790694</v>
      </c>
      <c r="R16" s="33">
        <f>MAX(Parameters!$B$51/100*R13,0)</f>
        <v>68956799.576335803</v>
      </c>
      <c r="S16" s="33">
        <f>MAX(Parameters!$B$51/100*S13,0)</f>
        <v>66411663.467319347</v>
      </c>
      <c r="T16" s="33">
        <f>MAX(Parameters!$B$51/100*T13,0)</f>
        <v>63740257.666032583</v>
      </c>
      <c r="U16" s="33">
        <f>MAX(Parameters!$B$51/100*U13,0)</f>
        <v>60936298.301257439</v>
      </c>
      <c r="V16" s="33">
        <f>MAX(Parameters!$B$51/100*V13,0)</f>
        <v>57993188.196616687</v>
      </c>
      <c r="W16" s="33">
        <f>MAX(Parameters!$B$51/100*W13,0)</f>
        <v>101652702.01659338</v>
      </c>
      <c r="X16" s="33">
        <f>MAX(Parameters!$B$51/100*X13,0)</f>
        <v>120996617.64917906</v>
      </c>
      <c r="Y16" s="33">
        <f>MAX(Parameters!$B$51/100*Y13,0)</f>
        <v>117593099.91018306</v>
      </c>
      <c r="Z16" s="33">
        <f>MAX(Parameters!$B$51/100*Z13,0)</f>
        <v>114020584.94899736</v>
      </c>
    </row>
    <row r="17" spans="2:26" s="38" customFormat="1" x14ac:dyDescent="0.2">
      <c r="B17" s="11"/>
      <c r="C17" s="11"/>
      <c r="D17" s="33"/>
      <c r="E17" s="33"/>
      <c r="F17" s="33"/>
      <c r="G17" s="33"/>
      <c r="H17" s="33"/>
      <c r="I17" s="33"/>
      <c r="J17" s="33"/>
      <c r="K17" s="33"/>
      <c r="L17" s="33"/>
      <c r="M17" s="33"/>
      <c r="N17" s="33"/>
      <c r="O17" s="33"/>
      <c r="P17" s="33"/>
      <c r="Q17" s="33"/>
      <c r="R17" s="33"/>
      <c r="S17" s="33"/>
      <c r="T17" s="33"/>
      <c r="U17" s="33"/>
      <c r="V17" s="33"/>
      <c r="W17" s="33"/>
      <c r="X17" s="33"/>
      <c r="Y17" s="33"/>
      <c r="Z17" s="33"/>
    </row>
    <row r="18" spans="2:26" x14ac:dyDescent="0.2">
      <c r="B18" s="11" t="s">
        <v>45</v>
      </c>
      <c r="C18" s="6"/>
      <c r="D18" s="33">
        <f>MAX(D15:D16)</f>
        <v>1470188.7760453885</v>
      </c>
      <c r="E18" s="33">
        <f t="shared" ref="E18:X18" si="9">MAX(E15:E16)</f>
        <v>163596191.31245422</v>
      </c>
      <c r="F18" s="33">
        <f t="shared" si="9"/>
        <v>177636951.55692837</v>
      </c>
      <c r="G18" s="33">
        <f t="shared" si="9"/>
        <v>138753214.47559202</v>
      </c>
      <c r="H18" s="33">
        <f t="shared" si="9"/>
        <v>136261736.61323008</v>
      </c>
      <c r="I18" s="33">
        <f t="shared" si="9"/>
        <v>109939144.0021698</v>
      </c>
      <c r="J18" s="33">
        <f t="shared" si="9"/>
        <v>86361629.831269085</v>
      </c>
      <c r="K18" s="33">
        <f t="shared" si="9"/>
        <v>83705816.899078935</v>
      </c>
      <c r="L18" s="33">
        <f t="shared" si="9"/>
        <v>81891981.661776155</v>
      </c>
      <c r="M18" s="33">
        <f t="shared" si="9"/>
        <v>79988257.275956079</v>
      </c>
      <c r="N18" s="33">
        <f t="shared" si="9"/>
        <v>77990173.362593234</v>
      </c>
      <c r="O18" s="33">
        <f t="shared" si="9"/>
        <v>75893036.746062934</v>
      </c>
      <c r="P18" s="33">
        <f t="shared" si="9"/>
        <v>73691920.335981831</v>
      </c>
      <c r="Q18" s="33">
        <f t="shared" si="9"/>
        <v>71381651.453790694</v>
      </c>
      <c r="R18" s="33">
        <f t="shared" si="9"/>
        <v>215312225.6978302</v>
      </c>
      <c r="S18" s="33">
        <f t="shared" si="9"/>
        <v>226244691.98804942</v>
      </c>
      <c r="T18" s="33">
        <f t="shared" si="9"/>
        <v>221792348.98590481</v>
      </c>
      <c r="U18" s="33">
        <f t="shared" si="9"/>
        <v>217119083.37794623</v>
      </c>
      <c r="V18" s="33">
        <f t="shared" si="9"/>
        <v>212213899.87021163</v>
      </c>
      <c r="W18" s="33">
        <f t="shared" si="9"/>
        <v>207065254.92913112</v>
      </c>
      <c r="X18" s="33">
        <f t="shared" si="9"/>
        <v>201661029.41529843</v>
      </c>
      <c r="Y18" s="33">
        <f t="shared" ref="Y18:Z18" si="10">MAX(Y15:Y16)</f>
        <v>195988499.85030511</v>
      </c>
      <c r="Z18" s="33">
        <f t="shared" si="10"/>
        <v>190034308.24832895</v>
      </c>
    </row>
    <row r="19" spans="2:26" x14ac:dyDescent="0.2">
      <c r="B19" s="11" t="s">
        <v>52</v>
      </c>
      <c r="C19" s="6"/>
      <c r="D19" s="33">
        <f>D25</f>
        <v>0</v>
      </c>
      <c r="E19" s="33">
        <f t="shared" ref="E19:X19" si="11">E25</f>
        <v>0</v>
      </c>
      <c r="F19" s="33">
        <f t="shared" si="11"/>
        <v>0</v>
      </c>
      <c r="G19" s="33">
        <f t="shared" si="11"/>
        <v>0</v>
      </c>
      <c r="H19" s="33">
        <f t="shared" si="11"/>
        <v>0</v>
      </c>
      <c r="I19" s="33">
        <f t="shared" si="11"/>
        <v>0</v>
      </c>
      <c r="J19" s="33">
        <f t="shared" si="11"/>
        <v>0</v>
      </c>
      <c r="K19" s="33">
        <f t="shared" si="11"/>
        <v>0</v>
      </c>
      <c r="L19" s="33">
        <f t="shared" si="11"/>
        <v>0</v>
      </c>
      <c r="M19" s="33">
        <f t="shared" si="11"/>
        <v>0</v>
      </c>
      <c r="N19" s="33">
        <f t="shared" si="11"/>
        <v>0</v>
      </c>
      <c r="O19" s="33">
        <f t="shared" si="11"/>
        <v>0</v>
      </c>
      <c r="P19" s="33">
        <f t="shared" si="11"/>
        <v>0</v>
      </c>
      <c r="Q19" s="33">
        <f t="shared" si="11"/>
        <v>0</v>
      </c>
      <c r="R19" s="33">
        <f t="shared" ca="1" si="11"/>
        <v>29170279.553130463</v>
      </c>
      <c r="S19" s="33">
        <f t="shared" ca="1" si="11"/>
        <v>0</v>
      </c>
      <c r="T19" s="33">
        <f t="shared" ca="1" si="11"/>
        <v>0</v>
      </c>
      <c r="U19" s="33">
        <f t="shared" ca="1" si="11"/>
        <v>0</v>
      </c>
      <c r="V19" s="33">
        <f t="shared" ca="1" si="11"/>
        <v>0</v>
      </c>
      <c r="W19" s="33">
        <f t="shared" ca="1" si="11"/>
        <v>0</v>
      </c>
      <c r="X19" s="33">
        <f t="shared" ca="1" si="11"/>
        <v>0</v>
      </c>
      <c r="Y19" s="33">
        <f t="shared" ref="Y19:Z19" ca="1" si="12">Y25</f>
        <v>0</v>
      </c>
      <c r="Z19" s="33">
        <f t="shared" ca="1" si="12"/>
        <v>0</v>
      </c>
    </row>
    <row r="20" spans="2:26" x14ac:dyDescent="0.2">
      <c r="B20" s="16" t="s">
        <v>53</v>
      </c>
      <c r="C20" s="34"/>
      <c r="D20" s="35">
        <f>D18-D19</f>
        <v>1470188.7760453885</v>
      </c>
      <c r="E20" s="35">
        <f t="shared" ref="E20:X20" si="13">E18-E19</f>
        <v>163596191.31245422</v>
      </c>
      <c r="F20" s="35">
        <f t="shared" si="13"/>
        <v>177636951.55692837</v>
      </c>
      <c r="G20" s="35">
        <f t="shared" si="13"/>
        <v>138753214.47559202</v>
      </c>
      <c r="H20" s="35">
        <f t="shared" si="13"/>
        <v>136261736.61323008</v>
      </c>
      <c r="I20" s="35">
        <f t="shared" si="13"/>
        <v>109939144.0021698</v>
      </c>
      <c r="J20" s="35">
        <f t="shared" si="13"/>
        <v>86361629.831269085</v>
      </c>
      <c r="K20" s="35">
        <f t="shared" si="13"/>
        <v>83705816.899078935</v>
      </c>
      <c r="L20" s="35">
        <f t="shared" si="13"/>
        <v>81891981.661776155</v>
      </c>
      <c r="M20" s="35">
        <f t="shared" si="13"/>
        <v>79988257.275956079</v>
      </c>
      <c r="N20" s="35">
        <f t="shared" si="13"/>
        <v>77990173.362593234</v>
      </c>
      <c r="O20" s="35">
        <f t="shared" si="13"/>
        <v>75893036.746062934</v>
      </c>
      <c r="P20" s="35">
        <f t="shared" si="13"/>
        <v>73691920.335981831</v>
      </c>
      <c r="Q20" s="35">
        <f t="shared" si="13"/>
        <v>71381651.453790694</v>
      </c>
      <c r="R20" s="35">
        <f t="shared" ca="1" si="13"/>
        <v>186141946.14469975</v>
      </c>
      <c r="S20" s="35">
        <f t="shared" ca="1" si="13"/>
        <v>226244691.98804942</v>
      </c>
      <c r="T20" s="35">
        <f t="shared" ca="1" si="13"/>
        <v>221792348.98590481</v>
      </c>
      <c r="U20" s="35">
        <f t="shared" ca="1" si="13"/>
        <v>217119083.37794623</v>
      </c>
      <c r="V20" s="35">
        <f t="shared" ca="1" si="13"/>
        <v>212213899.87021163</v>
      </c>
      <c r="W20" s="35">
        <f t="shared" ca="1" si="13"/>
        <v>207065254.92913112</v>
      </c>
      <c r="X20" s="35">
        <f t="shared" ca="1" si="13"/>
        <v>201661029.41529843</v>
      </c>
      <c r="Y20" s="35">
        <f t="shared" ref="Y20:Z20" ca="1" si="14">Y18-Y19</f>
        <v>195988499.85030511</v>
      </c>
      <c r="Z20" s="35">
        <f t="shared" ca="1" si="14"/>
        <v>190034308.24832895</v>
      </c>
    </row>
    <row r="21" spans="2:26" x14ac:dyDescent="0.2">
      <c r="B21" s="11"/>
      <c r="C21" s="6"/>
      <c r="D21" s="33"/>
      <c r="E21" s="33"/>
      <c r="F21" s="33"/>
      <c r="G21" s="33"/>
      <c r="H21" s="33"/>
      <c r="I21" s="33"/>
      <c r="J21" s="33"/>
      <c r="K21" s="33"/>
      <c r="L21" s="33"/>
      <c r="M21" s="33"/>
      <c r="N21" s="33"/>
      <c r="O21" s="33"/>
      <c r="P21" s="33"/>
      <c r="Q21" s="33"/>
      <c r="R21" s="33"/>
      <c r="S21" s="33"/>
      <c r="T21" s="33"/>
      <c r="U21" s="33"/>
      <c r="V21" s="33"/>
      <c r="W21" s="33"/>
      <c r="X21" s="33"/>
      <c r="Y21" s="33"/>
      <c r="Z21" s="33"/>
    </row>
    <row r="22" spans="2:26" x14ac:dyDescent="0.2">
      <c r="B22" s="149" t="s">
        <v>46</v>
      </c>
      <c r="C22" s="150"/>
      <c r="D22" s="151"/>
      <c r="E22" s="151"/>
      <c r="F22" s="151"/>
      <c r="G22" s="151"/>
      <c r="H22" s="151"/>
      <c r="I22" s="151"/>
      <c r="J22" s="151"/>
      <c r="K22" s="151"/>
      <c r="L22" s="151"/>
      <c r="M22" s="151"/>
      <c r="N22" s="151"/>
      <c r="O22" s="151"/>
      <c r="P22" s="151"/>
      <c r="Q22" s="151"/>
      <c r="R22" s="151"/>
      <c r="S22" s="151"/>
      <c r="T22" s="151"/>
      <c r="U22" s="151"/>
      <c r="V22" s="151"/>
      <c r="W22" s="151"/>
      <c r="X22" s="151"/>
      <c r="Y22" s="151"/>
      <c r="Z22" s="151"/>
    </row>
    <row r="23" spans="2:26" x14ac:dyDescent="0.2">
      <c r="B23" s="149" t="s">
        <v>50</v>
      </c>
      <c r="C23" s="150"/>
      <c r="D23" s="151">
        <f>C27</f>
        <v>0</v>
      </c>
      <c r="E23" s="151">
        <f>D27</f>
        <v>0</v>
      </c>
      <c r="F23" s="151">
        <f t="shared" ref="F23:X23" si="15">E27</f>
        <v>0</v>
      </c>
      <c r="G23" s="151">
        <f t="shared" si="15"/>
        <v>0</v>
      </c>
      <c r="H23" s="151">
        <f t="shared" si="15"/>
        <v>0</v>
      </c>
      <c r="I23" s="151">
        <f t="shared" si="15"/>
        <v>0</v>
      </c>
      <c r="J23" s="151">
        <f t="shared" si="15"/>
        <v>0</v>
      </c>
      <c r="K23" s="151">
        <f t="shared" si="15"/>
        <v>0</v>
      </c>
      <c r="L23" s="151">
        <f t="shared" si="15"/>
        <v>224527.50203646719</v>
      </c>
      <c r="M23" s="151">
        <f t="shared" si="15"/>
        <v>1658278.4956081361</v>
      </c>
      <c r="N23" s="151">
        <f t="shared" si="15"/>
        <v>4361179.0797265172</v>
      </c>
      <c r="O23" s="151">
        <f t="shared" ca="1" si="15"/>
        <v>8396135.6060868055</v>
      </c>
      <c r="P23" s="151">
        <f t="shared" ca="1" si="15"/>
        <v>13829183.21013394</v>
      </c>
      <c r="Q23" s="151">
        <f t="shared" ca="1" si="15"/>
        <v>20729641.754235148</v>
      </c>
      <c r="R23" s="151">
        <f t="shared" ca="1" si="15"/>
        <v>29170279.553130463</v>
      </c>
      <c r="S23" s="151">
        <f t="shared" ca="1" si="15"/>
        <v>0</v>
      </c>
      <c r="T23" s="151">
        <f t="shared" ca="1" si="15"/>
        <v>0</v>
      </c>
      <c r="U23" s="151">
        <f t="shared" ca="1" si="15"/>
        <v>0</v>
      </c>
      <c r="V23" s="151">
        <f t="shared" ca="1" si="15"/>
        <v>0</v>
      </c>
      <c r="W23" s="151">
        <f t="shared" ca="1" si="15"/>
        <v>0</v>
      </c>
      <c r="X23" s="151">
        <f t="shared" ca="1" si="15"/>
        <v>0</v>
      </c>
      <c r="Y23" s="151">
        <f t="shared" ref="Y23" ca="1" si="16">X27</f>
        <v>0</v>
      </c>
      <c r="Z23" s="151">
        <f t="shared" ref="Z23" ca="1" si="17">Y27</f>
        <v>0</v>
      </c>
    </row>
    <row r="24" spans="2:26" x14ac:dyDescent="0.2">
      <c r="B24" s="149" t="s">
        <v>47</v>
      </c>
      <c r="C24" s="150"/>
      <c r="D24" s="151">
        <f>D18-D15</f>
        <v>0</v>
      </c>
      <c r="E24" s="151">
        <f t="shared" ref="E24" si="18">E18-E15</f>
        <v>0</v>
      </c>
      <c r="F24" s="151">
        <f t="shared" ref="F24" si="19">F18-F15</f>
        <v>0</v>
      </c>
      <c r="G24" s="151">
        <f t="shared" ref="G24" si="20">G18-G15</f>
        <v>0</v>
      </c>
      <c r="H24" s="151">
        <f t="shared" ref="H24" si="21">H18-H15</f>
        <v>0</v>
      </c>
      <c r="I24" s="151">
        <f t="shared" ref="I24" si="22">I18-I15</f>
        <v>0</v>
      </c>
      <c r="J24" s="151">
        <f t="shared" ref="J24" si="23">J18-J15</f>
        <v>0</v>
      </c>
      <c r="K24" s="151">
        <f t="shared" ref="K24" si="24">K18-K15</f>
        <v>224527.50203646719</v>
      </c>
      <c r="L24" s="151">
        <f t="shared" ref="L24" si="25">L18-L15</f>
        <v>1433750.9935716689</v>
      </c>
      <c r="M24" s="151">
        <f t="shared" ref="M24" si="26">M18-M15</f>
        <v>2702900.5841183811</v>
      </c>
      <c r="N24" s="151">
        <f t="shared" ref="N24" si="27">N18-N15</f>
        <v>4034956.5263602883</v>
      </c>
      <c r="O24" s="151">
        <f t="shared" ref="O24" si="28">O18-O15</f>
        <v>5433047.6040471345</v>
      </c>
      <c r="P24" s="151">
        <f t="shared" ref="P24" si="29">P18-P15</f>
        <v>6900458.5441012084</v>
      </c>
      <c r="Q24" s="151">
        <f t="shared" ref="Q24" si="30">Q18-Q15</f>
        <v>8440637.7988953143</v>
      </c>
      <c r="R24" s="151">
        <f t="shared" ref="R24" si="31">R18-R15</f>
        <v>0</v>
      </c>
      <c r="S24" s="151">
        <f t="shared" ref="S24" si="32">S18-S15</f>
        <v>0</v>
      </c>
      <c r="T24" s="151">
        <f t="shared" ref="T24" si="33">T18-T15</f>
        <v>0</v>
      </c>
      <c r="U24" s="151">
        <f t="shared" ref="U24" si="34">U18-U15</f>
        <v>0</v>
      </c>
      <c r="V24" s="151">
        <f t="shared" ref="V24" si="35">V18-V15</f>
        <v>0</v>
      </c>
      <c r="W24" s="151">
        <f t="shared" ref="W24" si="36">W18-W15</f>
        <v>0</v>
      </c>
      <c r="X24" s="151">
        <f t="shared" ref="X24:Z24" si="37">X18-X15</f>
        <v>0</v>
      </c>
      <c r="Y24" s="151">
        <f t="shared" si="37"/>
        <v>0</v>
      </c>
      <c r="Z24" s="151">
        <f t="shared" si="37"/>
        <v>0</v>
      </c>
    </row>
    <row r="25" spans="2:26" x14ac:dyDescent="0.2">
      <c r="B25" s="149" t="s">
        <v>48</v>
      </c>
      <c r="C25" s="150"/>
      <c r="D25" s="151">
        <f>IF(D18=D15,MIN(D18-D16,D23+D24),0)</f>
        <v>0</v>
      </c>
      <c r="E25" s="151">
        <f t="shared" ref="E25:X25" si="38">IF(E18=E15,MIN(E18-E16,E23+E24),0)</f>
        <v>0</v>
      </c>
      <c r="F25" s="151">
        <f t="shared" si="38"/>
        <v>0</v>
      </c>
      <c r="G25" s="151">
        <f t="shared" si="38"/>
        <v>0</v>
      </c>
      <c r="H25" s="151">
        <f t="shared" si="38"/>
        <v>0</v>
      </c>
      <c r="I25" s="151">
        <f t="shared" si="38"/>
        <v>0</v>
      </c>
      <c r="J25" s="151">
        <f t="shared" si="38"/>
        <v>0</v>
      </c>
      <c r="K25" s="151">
        <f t="shared" si="38"/>
        <v>0</v>
      </c>
      <c r="L25" s="151">
        <f t="shared" si="38"/>
        <v>0</v>
      </c>
      <c r="M25" s="151">
        <f t="shared" si="38"/>
        <v>0</v>
      </c>
      <c r="N25" s="151">
        <f t="shared" si="38"/>
        <v>0</v>
      </c>
      <c r="O25" s="151">
        <f t="shared" si="38"/>
        <v>0</v>
      </c>
      <c r="P25" s="151">
        <f t="shared" si="38"/>
        <v>0</v>
      </c>
      <c r="Q25" s="151">
        <f t="shared" si="38"/>
        <v>0</v>
      </c>
      <c r="R25" s="151">
        <f t="shared" ca="1" si="38"/>
        <v>29170279.553130463</v>
      </c>
      <c r="S25" s="151">
        <f t="shared" ca="1" si="38"/>
        <v>0</v>
      </c>
      <c r="T25" s="151">
        <f t="shared" ca="1" si="38"/>
        <v>0</v>
      </c>
      <c r="U25" s="151">
        <f t="shared" ca="1" si="38"/>
        <v>0</v>
      </c>
      <c r="V25" s="151">
        <f t="shared" ca="1" si="38"/>
        <v>0</v>
      </c>
      <c r="W25" s="151">
        <f t="shared" ca="1" si="38"/>
        <v>0</v>
      </c>
      <c r="X25" s="151">
        <f t="shared" ca="1" si="38"/>
        <v>0</v>
      </c>
      <c r="Y25" s="151">
        <f t="shared" ref="Y25:Z25" ca="1" si="39">IF(Y18=Y15,MIN(Y18-Y16,Y23+Y24),0)</f>
        <v>0</v>
      </c>
      <c r="Z25" s="151">
        <f t="shared" ca="1" si="39"/>
        <v>0</v>
      </c>
    </row>
    <row r="26" spans="2:26" x14ac:dyDescent="0.2">
      <c r="B26" s="149" t="s">
        <v>49</v>
      </c>
      <c r="C26" s="150"/>
      <c r="D26" s="151"/>
      <c r="E26" s="151"/>
      <c r="F26" s="151"/>
      <c r="G26" s="151"/>
      <c r="H26" s="151"/>
      <c r="I26" s="151"/>
      <c r="J26" s="151"/>
      <c r="K26" s="151"/>
      <c r="L26" s="151"/>
      <c r="M26" s="151"/>
      <c r="N26" s="151">
        <f t="shared" ref="N26" ca="1" si="40">OFFSET(N24,0,-10)</f>
        <v>0</v>
      </c>
      <c r="O26" s="151">
        <f ca="1">MIN(OFFSET(O24,0,-10),O23+O24-O25)</f>
        <v>0</v>
      </c>
      <c r="P26" s="151">
        <f t="shared" ref="P26:X26" ca="1" si="41">MIN(OFFSET(P24,0,-10),P23+P24-P25)</f>
        <v>0</v>
      </c>
      <c r="Q26" s="151">
        <f t="shared" ca="1" si="41"/>
        <v>0</v>
      </c>
      <c r="R26" s="151">
        <f t="shared" ca="1" si="41"/>
        <v>0</v>
      </c>
      <c r="S26" s="151">
        <f t="shared" ca="1" si="41"/>
        <v>0</v>
      </c>
      <c r="T26" s="151">
        <f t="shared" ca="1" si="41"/>
        <v>0</v>
      </c>
      <c r="U26" s="151">
        <f t="shared" ca="1" si="41"/>
        <v>0</v>
      </c>
      <c r="V26" s="151">
        <f t="shared" ca="1" si="41"/>
        <v>0</v>
      </c>
      <c r="W26" s="151">
        <f t="shared" ca="1" si="41"/>
        <v>0</v>
      </c>
      <c r="X26" s="151">
        <f t="shared" ca="1" si="41"/>
        <v>0</v>
      </c>
      <c r="Y26" s="151">
        <f t="shared" ref="Y26:Z26" ca="1" si="42">MIN(OFFSET(Y24,0,-10),Y23+Y24-Y25)</f>
        <v>0</v>
      </c>
      <c r="Z26" s="151">
        <f t="shared" ca="1" si="42"/>
        <v>0</v>
      </c>
    </row>
    <row r="27" spans="2:26" x14ac:dyDescent="0.2">
      <c r="B27" s="149" t="s">
        <v>51</v>
      </c>
      <c r="C27" s="150"/>
      <c r="D27" s="151">
        <f>D23+D24-D25-D26</f>
        <v>0</v>
      </c>
      <c r="E27" s="151">
        <f t="shared" ref="E27:X27" si="43">E23+E24-E25-E26</f>
        <v>0</v>
      </c>
      <c r="F27" s="151">
        <f t="shared" si="43"/>
        <v>0</v>
      </c>
      <c r="G27" s="151">
        <f t="shared" si="43"/>
        <v>0</v>
      </c>
      <c r="H27" s="151">
        <f t="shared" si="43"/>
        <v>0</v>
      </c>
      <c r="I27" s="151">
        <f t="shared" si="43"/>
        <v>0</v>
      </c>
      <c r="J27" s="151">
        <f t="shared" si="43"/>
        <v>0</v>
      </c>
      <c r="K27" s="151">
        <f t="shared" si="43"/>
        <v>224527.50203646719</v>
      </c>
      <c r="L27" s="151">
        <f t="shared" si="43"/>
        <v>1658278.4956081361</v>
      </c>
      <c r="M27" s="151">
        <f t="shared" si="43"/>
        <v>4361179.0797265172</v>
      </c>
      <c r="N27" s="151">
        <f t="shared" ca="1" si="43"/>
        <v>8396135.6060868055</v>
      </c>
      <c r="O27" s="151">
        <f t="shared" ca="1" si="43"/>
        <v>13829183.21013394</v>
      </c>
      <c r="P27" s="151">
        <f t="shared" ca="1" si="43"/>
        <v>20729641.754235148</v>
      </c>
      <c r="Q27" s="151">
        <f t="shared" ca="1" si="43"/>
        <v>29170279.553130463</v>
      </c>
      <c r="R27" s="151">
        <f t="shared" ca="1" si="43"/>
        <v>0</v>
      </c>
      <c r="S27" s="151">
        <f t="shared" ca="1" si="43"/>
        <v>0</v>
      </c>
      <c r="T27" s="151">
        <f t="shared" ca="1" si="43"/>
        <v>0</v>
      </c>
      <c r="U27" s="151">
        <f t="shared" ca="1" si="43"/>
        <v>0</v>
      </c>
      <c r="V27" s="151">
        <f t="shared" ca="1" si="43"/>
        <v>0</v>
      </c>
      <c r="W27" s="151">
        <f t="shared" ca="1" si="43"/>
        <v>0</v>
      </c>
      <c r="X27" s="151">
        <f t="shared" ca="1" si="43"/>
        <v>0</v>
      </c>
      <c r="Y27" s="151">
        <f t="shared" ref="Y27:Z27" ca="1" si="44">Y23+Y24-Y25-Y26</f>
        <v>0</v>
      </c>
      <c r="Z27" s="151">
        <f t="shared" ca="1" si="44"/>
        <v>0</v>
      </c>
    </row>
    <row r="28" spans="2:26" x14ac:dyDescent="0.2">
      <c r="C28" s="1"/>
      <c r="Y28" s="2"/>
      <c r="Z28" s="2"/>
    </row>
    <row r="29" spans="2:26" x14ac:dyDescent="0.2">
      <c r="B29" s="153" t="s">
        <v>92</v>
      </c>
      <c r="C29" s="1"/>
      <c r="D29" s="42"/>
      <c r="E29" s="42"/>
      <c r="F29" s="42"/>
      <c r="G29" s="42"/>
      <c r="H29" s="42"/>
      <c r="I29" s="42"/>
      <c r="J29" s="42"/>
      <c r="K29" s="42"/>
      <c r="L29" s="42"/>
      <c r="M29" s="42"/>
      <c r="N29" s="42"/>
      <c r="O29" s="42"/>
      <c r="P29" s="42"/>
      <c r="Q29" s="42"/>
      <c r="Y29" s="2"/>
      <c r="Z29" s="2"/>
    </row>
    <row r="30" spans="2:26" x14ac:dyDescent="0.2">
      <c r="B30" s="55"/>
      <c r="C30" s="1"/>
      <c r="Y30" s="2"/>
      <c r="Z30" s="2"/>
    </row>
    <row r="31" spans="2:26" x14ac:dyDescent="0.2">
      <c r="B31" s="55"/>
      <c r="C31" s="1"/>
      <c r="Y31" s="2"/>
      <c r="Z31" s="2"/>
    </row>
    <row r="32" spans="2:26" x14ac:dyDescent="0.2">
      <c r="B32" s="59"/>
      <c r="C32" s="1"/>
      <c r="Y32" s="2"/>
      <c r="Z32" s="2"/>
    </row>
    <row r="33" spans="3:26" x14ac:dyDescent="0.2">
      <c r="C33" s="1"/>
      <c r="Y33" s="2"/>
      <c r="Z33" s="2"/>
    </row>
    <row r="34" spans="3:26" x14ac:dyDescent="0.2">
      <c r="C34" s="1"/>
      <c r="Y34" s="2"/>
      <c r="Z34" s="2"/>
    </row>
    <row r="35" spans="3:26" x14ac:dyDescent="0.2">
      <c r="C35" s="1"/>
      <c r="Y35" s="2"/>
      <c r="Z35" s="2"/>
    </row>
    <row r="36" spans="3:26" x14ac:dyDescent="0.2">
      <c r="C36" s="1"/>
      <c r="Y36" s="2"/>
      <c r="Z36" s="2"/>
    </row>
    <row r="37" spans="3:26" x14ac:dyDescent="0.2">
      <c r="C37" s="1"/>
      <c r="Y37" s="2"/>
      <c r="Z37" s="2"/>
    </row>
    <row r="38" spans="3:26" x14ac:dyDescent="0.2">
      <c r="C38" s="1"/>
      <c r="Y38" s="2"/>
      <c r="Z38" s="2"/>
    </row>
    <row r="39" spans="3:26" x14ac:dyDescent="0.2">
      <c r="C39" s="1"/>
      <c r="Y39" s="2"/>
      <c r="Z39" s="2"/>
    </row>
    <row r="40" spans="3:26" x14ac:dyDescent="0.2">
      <c r="C40" s="1"/>
      <c r="Y40" s="2"/>
      <c r="Z40" s="2"/>
    </row>
    <row r="41" spans="3:26" x14ac:dyDescent="0.2">
      <c r="C41" s="1"/>
      <c r="Y41" s="2"/>
      <c r="Z41" s="2"/>
    </row>
    <row r="42" spans="3:26" x14ac:dyDescent="0.2">
      <c r="C42" s="1"/>
      <c r="Y42" s="2"/>
      <c r="Z42" s="2"/>
    </row>
  </sheetData>
  <pageMargins left="0.7" right="0.7" top="0.75" bottom="0.75" header="0.3" footer="0.3"/>
  <pageSetup paperSize="9" orientation="portrait" horizontalDpi="180" verticalDpi="18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election activeCell="E12" sqref="E11:E12"/>
    </sheetView>
  </sheetViews>
  <sheetFormatPr defaultColWidth="9.140625" defaultRowHeight="12.75" x14ac:dyDescent="0.2"/>
  <cols>
    <col min="1" max="1" width="27.42578125" style="51" bestFit="1" customWidth="1"/>
    <col min="2" max="2" width="7.140625" style="51" bestFit="1" customWidth="1"/>
    <col min="3" max="3" width="16.42578125" style="51" bestFit="1" customWidth="1"/>
    <col min="4" max="4" width="22.140625" style="51" customWidth="1"/>
    <col min="5" max="5" width="68.85546875" style="51" customWidth="1"/>
    <col min="6" max="16384" width="9.140625" style="51"/>
  </cols>
  <sheetData>
    <row r="1" spans="1:5" s="47" customFormat="1" ht="25.5" x14ac:dyDescent="0.25">
      <c r="A1" s="44"/>
      <c r="B1" s="44"/>
      <c r="C1" s="45" t="s">
        <v>22</v>
      </c>
      <c r="D1" s="46" t="s">
        <v>60</v>
      </c>
      <c r="E1" s="44" t="s">
        <v>58</v>
      </c>
    </row>
    <row r="2" spans="1:5" ht="38.25" x14ac:dyDescent="0.2">
      <c r="A2" s="48" t="s">
        <v>3</v>
      </c>
      <c r="B2" s="49">
        <v>0</v>
      </c>
      <c r="C2" s="157">
        <f>(Parameters!B41+Parameters!B45)*(1-B2)</f>
        <v>7023689851.6002502</v>
      </c>
      <c r="D2" s="156">
        <v>8.1600000000000006E-2</v>
      </c>
      <c r="E2" s="50" t="s">
        <v>184</v>
      </c>
    </row>
    <row r="3" spans="1:5" ht="25.5" x14ac:dyDescent="0.2">
      <c r="A3" s="48" t="s">
        <v>4</v>
      </c>
      <c r="B3" s="49">
        <v>0</v>
      </c>
      <c r="C3" s="157">
        <f>268177083.3*(1+B3)</f>
        <v>268177083.30000001</v>
      </c>
      <c r="D3" s="156">
        <v>9.4399999999999998E-2</v>
      </c>
      <c r="E3" s="50" t="s">
        <v>61</v>
      </c>
    </row>
    <row r="4" spans="1:5" x14ac:dyDescent="0.2">
      <c r="A4" s="48" t="s">
        <v>57</v>
      </c>
      <c r="B4" s="49">
        <v>0</v>
      </c>
      <c r="C4" s="52">
        <f>3.56*(1+B4)</f>
        <v>3.56</v>
      </c>
      <c r="D4" s="156">
        <v>9.4299999999999995E-2</v>
      </c>
      <c r="E4" s="50" t="s">
        <v>62</v>
      </c>
    </row>
    <row r="6" spans="1:5" x14ac:dyDescent="0.2">
      <c r="A6" s="53" t="s">
        <v>6</v>
      </c>
      <c r="B6" s="54">
        <f ca="1">Cashflows!C20</f>
        <v>8.0244596883492836E-2</v>
      </c>
    </row>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Parameters</vt:lpstr>
      <vt:lpstr>Cashflows</vt:lpstr>
      <vt:lpstr>Generation</vt:lpstr>
      <vt:lpstr>Calculation</vt:lpstr>
      <vt:lpstr>Tax</vt:lpstr>
      <vt:lpstr>Sensitivity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2012-10-15T08:54:58Z</dcterms:modified>
</cp:coreProperties>
</file>