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55" yWindow="0" windowWidth="9645" windowHeight="8835" tabRatio="806" activeTab="6"/>
  </bookViews>
  <sheets>
    <sheet name="Assumptions" sheetId="4" r:id="rId1"/>
    <sheet name="Project Cost" sheetId="29" r:id="rId2"/>
    <sheet name="Operations" sheetId="6" r:id="rId3"/>
    <sheet name="Term Loan" sheetId="28" r:id="rId4"/>
    <sheet name="Depreciation" sheetId="8" r:id="rId5"/>
    <sheet name="Tax calculations" sheetId="9" r:id="rId6"/>
    <sheet name="P&amp;L" sheetId="10" r:id="rId7"/>
    <sheet name="P&amp;L with CDM revenue" sheetId="30" r:id="rId8"/>
    <sheet name="Sensitivity Analysis" sheetId="25" r:id="rId9"/>
    <sheet name="Actual Cost" sheetId="31" r:id="rId10"/>
  </sheets>
  <definedNames>
    <definedName name="_xlnm.Print_Area" localSheetId="0">Assumptions!$A$1:$D$44</definedName>
    <definedName name="_xlnm.Print_Area" localSheetId="4">Depreciation!$A$2:$U$22</definedName>
    <definedName name="_xlnm.Print_Area" localSheetId="2">Operations!$A$2:$T$13</definedName>
    <definedName name="_xlnm.Print_Area" localSheetId="6">'P&amp;L'!$B$2:$X$23</definedName>
    <definedName name="_xlnm.Print_Area" localSheetId="5">'Tax calculations'!$A$1:$T$17</definedName>
  </definedNames>
  <calcPr calcId="125725"/>
</workbook>
</file>

<file path=xl/calcChain.xml><?xml version="1.0" encoding="utf-8"?>
<calcChain xmlns="http://schemas.openxmlformats.org/spreadsheetml/2006/main">
  <c r="C14" i="31"/>
  <c r="B29" i="4"/>
  <c r="B15"/>
  <c r="C20" i="31"/>
  <c r="C18"/>
  <c r="B22" i="4"/>
  <c r="S27" i="30" l="1"/>
  <c r="U19"/>
  <c r="U27" s="1"/>
  <c r="T19"/>
  <c r="T27" s="1"/>
  <c r="F18"/>
  <c r="E18"/>
  <c r="D19" i="28"/>
  <c r="E6" i="30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V19" l="1"/>
  <c r="B35" i="4"/>
  <c r="B28"/>
  <c r="E6" i="10"/>
  <c r="F6" s="1"/>
  <c r="D4" i="28"/>
  <c r="D50"/>
  <c r="V2" i="9"/>
  <c r="V4" i="6"/>
  <c r="V5"/>
  <c r="F7" i="29"/>
  <c r="F8"/>
  <c r="B3" i="8" s="1"/>
  <c r="B5" s="1"/>
  <c r="F11" i="29"/>
  <c r="F12" s="1"/>
  <c r="B6" i="4"/>
  <c r="V3" i="6" s="1"/>
  <c r="B12" i="8"/>
  <c r="B20"/>
  <c r="D215" i="28"/>
  <c r="D200"/>
  <c r="D185"/>
  <c r="D170"/>
  <c r="D155"/>
  <c r="D140"/>
  <c r="D125"/>
  <c r="D110"/>
  <c r="D95"/>
  <c r="D80"/>
  <c r="D65"/>
  <c r="D35"/>
  <c r="B9" i="6"/>
  <c r="C9" s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C2" i="9"/>
  <c r="C13"/>
  <c r="B11" i="8"/>
  <c r="B25"/>
  <c r="D5" i="6"/>
  <c r="E5"/>
  <c r="B11"/>
  <c r="C11" s="1"/>
  <c r="M3"/>
  <c r="M6" s="1"/>
  <c r="T16" i="10"/>
  <c r="O3" i="6"/>
  <c r="O6" s="1"/>
  <c r="E15" i="10"/>
  <c r="I3" i="6"/>
  <c r="I6" s="1"/>
  <c r="F15" i="10"/>
  <c r="R3" i="6"/>
  <c r="R6" s="1"/>
  <c r="S3"/>
  <c r="S6" s="1"/>
  <c r="C3"/>
  <c r="C6" s="1"/>
  <c r="P3"/>
  <c r="P6" s="1"/>
  <c r="F5"/>
  <c r="G5"/>
  <c r="D2" i="9"/>
  <c r="E2"/>
  <c r="D13"/>
  <c r="H5" i="6"/>
  <c r="F2" i="9"/>
  <c r="E13"/>
  <c r="I5" i="6"/>
  <c r="J5"/>
  <c r="G2" i="9"/>
  <c r="F13"/>
  <c r="G13"/>
  <c r="H2"/>
  <c r="K5" i="6"/>
  <c r="L5"/>
  <c r="H13" i="9"/>
  <c r="I2"/>
  <c r="I13"/>
  <c r="J2"/>
  <c r="M5" i="6"/>
  <c r="J13" i="9"/>
  <c r="K2"/>
  <c r="N5" i="6"/>
  <c r="O5"/>
  <c r="K13" i="9"/>
  <c r="L2"/>
  <c r="L13"/>
  <c r="M2"/>
  <c r="P5" i="6"/>
  <c r="Q5"/>
  <c r="M13" i="9"/>
  <c r="N2"/>
  <c r="N13"/>
  <c r="O2"/>
  <c r="R5" i="6"/>
  <c r="P2" i="9"/>
  <c r="O13"/>
  <c r="S5" i="6"/>
  <c r="T5"/>
  <c r="Q2" i="9"/>
  <c r="P13"/>
  <c r="R2"/>
  <c r="U5" i="6"/>
  <c r="S2" i="9"/>
  <c r="T2"/>
  <c r="U2"/>
  <c r="G153" i="28"/>
  <c r="G43"/>
  <c r="G190"/>
  <c r="G73"/>
  <c r="H14" i="10"/>
  <c r="H15" s="1"/>
  <c r="I14"/>
  <c r="J14" s="1"/>
  <c r="G182" i="28"/>
  <c r="G49"/>
  <c r="G143"/>
  <c r="G113"/>
  <c r="G191"/>
  <c r="G46"/>
  <c r="G139"/>
  <c r="G99"/>
  <c r="G194"/>
  <c r="G120"/>
  <c r="G134"/>
  <c r="G62"/>
  <c r="G145"/>
  <c r="G158"/>
  <c r="G124"/>
  <c r="G151"/>
  <c r="G174"/>
  <c r="G77"/>
  <c r="G183"/>
  <c r="G61"/>
  <c r="G149"/>
  <c r="G169"/>
  <c r="G210"/>
  <c r="G88"/>
  <c r="G56"/>
  <c r="G106"/>
  <c r="G188"/>
  <c r="G76"/>
  <c r="G109"/>
  <c r="G154"/>
  <c r="G152"/>
  <c r="G195"/>
  <c r="G214"/>
  <c r="H214" s="1"/>
  <c r="G121"/>
  <c r="G69"/>
  <c r="G48"/>
  <c r="G136"/>
  <c r="G208"/>
  <c r="G57"/>
  <c r="G92"/>
  <c r="G203"/>
  <c r="G71"/>
  <c r="G207"/>
  <c r="G164"/>
  <c r="G104"/>
  <c r="G75"/>
  <c r="G144"/>
  <c r="G47"/>
  <c r="G86"/>
  <c r="G165"/>
  <c r="G160"/>
  <c r="G119"/>
  <c r="G138"/>
  <c r="G168"/>
  <c r="G115"/>
  <c r="G116"/>
  <c r="G41"/>
  <c r="G40"/>
  <c r="G213"/>
  <c r="G107"/>
  <c r="G161"/>
  <c r="G39"/>
  <c r="G70"/>
  <c r="G175"/>
  <c r="G78"/>
  <c r="G94"/>
  <c r="G198"/>
  <c r="G205"/>
  <c r="G179"/>
  <c r="G177"/>
  <c r="G162"/>
  <c r="G173"/>
  <c r="G114"/>
  <c r="G58"/>
  <c r="G59"/>
  <c r="G84"/>
  <c r="G38"/>
  <c r="G193"/>
  <c r="G167"/>
  <c r="G54"/>
  <c r="G79"/>
  <c r="G64" s="1"/>
  <c r="G60"/>
  <c r="G103"/>
  <c r="G159"/>
  <c r="G74"/>
  <c r="G192"/>
  <c r="G85"/>
  <c r="G178"/>
  <c r="G131"/>
  <c r="G93"/>
  <c r="G180"/>
  <c r="G108"/>
  <c r="G163"/>
  <c r="G147"/>
  <c r="G55"/>
  <c r="G102"/>
  <c r="G129"/>
  <c r="G68"/>
  <c r="G105"/>
  <c r="G45"/>
  <c r="G189"/>
  <c r="G137"/>
  <c r="G181"/>
  <c r="G117"/>
  <c r="G53"/>
  <c r="G128"/>
  <c r="G197"/>
  <c r="G196"/>
  <c r="G146"/>
  <c r="G133"/>
  <c r="G199"/>
  <c r="G44"/>
  <c r="G148"/>
  <c r="G101"/>
  <c r="G176"/>
  <c r="G63"/>
  <c r="G150"/>
  <c r="G184"/>
  <c r="G98"/>
  <c r="G204"/>
  <c r="G83"/>
  <c r="G122"/>
  <c r="G89"/>
  <c r="G212"/>
  <c r="G135"/>
  <c r="G87"/>
  <c r="G206"/>
  <c r="G166"/>
  <c r="G118"/>
  <c r="G91"/>
  <c r="G100"/>
  <c r="G42"/>
  <c r="G72"/>
  <c r="G132"/>
  <c r="G130"/>
  <c r="G211"/>
  <c r="G90"/>
  <c r="G209"/>
  <c r="G123"/>
  <c r="B16" i="4"/>
  <c r="B19" s="1"/>
  <c r="B7" i="6"/>
  <c r="D7" s="1"/>
  <c r="E7" s="1"/>
  <c r="F7" s="1"/>
  <c r="V6" l="1"/>
  <c r="C7"/>
  <c r="C8" s="1"/>
  <c r="C10" s="1"/>
  <c r="C12" s="1"/>
  <c r="C13" s="1"/>
  <c r="F5" i="30" s="1"/>
  <c r="D2" i="29"/>
  <c r="D3" s="1"/>
  <c r="B7" i="4" s="1"/>
  <c r="B8"/>
  <c r="B13" s="1"/>
  <c r="D4" i="29"/>
  <c r="Q3" i="6"/>
  <c r="Q6" s="1"/>
  <c r="K3"/>
  <c r="K6" s="1"/>
  <c r="H3"/>
  <c r="H6" s="1"/>
  <c r="E3"/>
  <c r="E6" s="1"/>
  <c r="F3"/>
  <c r="F6" s="1"/>
  <c r="F8" s="1"/>
  <c r="F10" s="1"/>
  <c r="G3"/>
  <c r="G6" s="1"/>
  <c r="T3"/>
  <c r="T6" s="1"/>
  <c r="N3"/>
  <c r="N6" s="1"/>
  <c r="I17" i="30"/>
  <c r="G17"/>
  <c r="G18" s="1"/>
  <c r="H17"/>
  <c r="H18" s="1"/>
  <c r="V27"/>
  <c r="W19"/>
  <c r="G34" i="28"/>
  <c r="G18"/>
  <c r="G17"/>
  <c r="G16"/>
  <c r="G15"/>
  <c r="G14"/>
  <c r="G13"/>
  <c r="G12"/>
  <c r="G11"/>
  <c r="G10"/>
  <c r="G9"/>
  <c r="G8"/>
  <c r="G7"/>
  <c r="H7" s="1"/>
  <c r="D11" i="6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T24" i="10"/>
  <c r="U16"/>
  <c r="S24"/>
  <c r="G23" i="28"/>
  <c r="G24"/>
  <c r="G25"/>
  <c r="G26"/>
  <c r="G27"/>
  <c r="G28"/>
  <c r="G29"/>
  <c r="G30"/>
  <c r="G31"/>
  <c r="G32"/>
  <c r="G33"/>
  <c r="I15" i="10"/>
  <c r="B6" i="8"/>
  <c r="B8" s="1"/>
  <c r="K14" i="10"/>
  <c r="J15"/>
  <c r="L3" i="6"/>
  <c r="L6" s="1"/>
  <c r="D3"/>
  <c r="D6" s="1"/>
  <c r="D8" s="1"/>
  <c r="D10" s="1"/>
  <c r="J3"/>
  <c r="J6" s="1"/>
  <c r="U3"/>
  <c r="U6" s="1"/>
  <c r="B3"/>
  <c r="B6" s="1"/>
  <c r="B8" s="1"/>
  <c r="B10" s="1"/>
  <c r="B12" s="1"/>
  <c r="B13" s="1"/>
  <c r="E5" i="30" s="1"/>
  <c r="G14" i="10"/>
  <c r="G15" s="1"/>
  <c r="G7" i="6"/>
  <c r="G8" s="1"/>
  <c r="G10" s="1"/>
  <c r="E8"/>
  <c r="E10" s="1"/>
  <c r="E12" s="1"/>
  <c r="E13" s="1"/>
  <c r="H5" i="30" s="1"/>
  <c r="G6" i="10"/>
  <c r="F12" i="6" l="1"/>
  <c r="F13" s="1"/>
  <c r="I5" i="30" s="1"/>
  <c r="I13" s="1"/>
  <c r="I14" s="1"/>
  <c r="B11" i="4"/>
  <c r="B12" s="1"/>
  <c r="D29" i="30" s="1"/>
  <c r="B9" i="4"/>
  <c r="H13" i="30"/>
  <c r="H14" s="1"/>
  <c r="H8"/>
  <c r="E8"/>
  <c r="E9" s="1"/>
  <c r="F13"/>
  <c r="F14" s="1"/>
  <c r="F8"/>
  <c r="I18"/>
  <c r="J17"/>
  <c r="Y25"/>
  <c r="W27"/>
  <c r="X19"/>
  <c r="G12" i="6"/>
  <c r="G13" s="1"/>
  <c r="J5" i="30" s="1"/>
  <c r="D12" i="6"/>
  <c r="D13" s="1"/>
  <c r="D26" i="10"/>
  <c r="H5"/>
  <c r="H8" s="1"/>
  <c r="E5"/>
  <c r="F5"/>
  <c r="F8" s="1"/>
  <c r="V16"/>
  <c r="U24"/>
  <c r="D3" i="28"/>
  <c r="H7" i="6"/>
  <c r="H8" s="1"/>
  <c r="H10" s="1"/>
  <c r="H12" s="1"/>
  <c r="H13" s="1"/>
  <c r="K5" i="30" s="1"/>
  <c r="Y22" i="10"/>
  <c r="B15" i="8"/>
  <c r="B21"/>
  <c r="B10"/>
  <c r="B13" s="1"/>
  <c r="B16" s="1"/>
  <c r="E21" i="30" s="1"/>
  <c r="K15" i="10"/>
  <c r="L14"/>
  <c r="H6"/>
  <c r="I8" i="30" l="1"/>
  <c r="I5" i="10"/>
  <c r="B36" i="4"/>
  <c r="J13" i="30"/>
  <c r="J14" s="1"/>
  <c r="J8"/>
  <c r="K17"/>
  <c r="J18"/>
  <c r="K13"/>
  <c r="K14" s="1"/>
  <c r="K8"/>
  <c r="E18" i="28"/>
  <c r="E19" s="1"/>
  <c r="F18"/>
  <c r="G5" i="10"/>
  <c r="G8" s="1"/>
  <c r="G5" i="30"/>
  <c r="F9"/>
  <c r="E10"/>
  <c r="E11" s="1"/>
  <c r="J5" i="10"/>
  <c r="J8" s="1"/>
  <c r="X27" i="30"/>
  <c r="Y19"/>
  <c r="Y27" s="1"/>
  <c r="I7" i="6"/>
  <c r="J7" s="1"/>
  <c r="K5" i="10"/>
  <c r="K8" s="1"/>
  <c r="E8"/>
  <c r="E9" s="1"/>
  <c r="E10" s="1"/>
  <c r="E11" s="1"/>
  <c r="E12" s="1"/>
  <c r="I8"/>
  <c r="W16"/>
  <c r="V24"/>
  <c r="E206" i="28"/>
  <c r="E199"/>
  <c r="E195"/>
  <c r="E191"/>
  <c r="E184"/>
  <c r="E180"/>
  <c r="E176"/>
  <c r="E173"/>
  <c r="E168"/>
  <c r="E166"/>
  <c r="E164"/>
  <c r="E162"/>
  <c r="E160"/>
  <c r="E158"/>
  <c r="E153"/>
  <c r="E151"/>
  <c r="E149"/>
  <c r="E147"/>
  <c r="E145"/>
  <c r="E143"/>
  <c r="E138"/>
  <c r="E136"/>
  <c r="E134"/>
  <c r="E132"/>
  <c r="E130"/>
  <c r="E128"/>
  <c r="E123"/>
  <c r="E121"/>
  <c r="E119"/>
  <c r="E117"/>
  <c r="E115"/>
  <c r="E113"/>
  <c r="E108"/>
  <c r="E106"/>
  <c r="E104"/>
  <c r="E102"/>
  <c r="E100"/>
  <c r="E98"/>
  <c r="E93"/>
  <c r="E91"/>
  <c r="E89"/>
  <c r="E87"/>
  <c r="E85"/>
  <c r="E83"/>
  <c r="E23"/>
  <c r="E63"/>
  <c r="E61"/>
  <c r="E59"/>
  <c r="E57"/>
  <c r="E55"/>
  <c r="E53"/>
  <c r="E48"/>
  <c r="E46"/>
  <c r="E44"/>
  <c r="E42"/>
  <c r="E40"/>
  <c r="E38"/>
  <c r="E76"/>
  <c r="E78"/>
  <c r="E69"/>
  <c r="E71"/>
  <c r="E73"/>
  <c r="E68"/>
  <c r="E208"/>
  <c r="E204"/>
  <c r="E197"/>
  <c r="E193"/>
  <c r="E189"/>
  <c r="E182"/>
  <c r="E178"/>
  <c r="E174"/>
  <c r="E169"/>
  <c r="E167"/>
  <c r="E165"/>
  <c r="E163"/>
  <c r="E161"/>
  <c r="E159"/>
  <c r="E154"/>
  <c r="E152"/>
  <c r="E150"/>
  <c r="E148"/>
  <c r="E146"/>
  <c r="E144"/>
  <c r="E139"/>
  <c r="E137"/>
  <c r="E135"/>
  <c r="E133"/>
  <c r="E131"/>
  <c r="E129"/>
  <c r="E124"/>
  <c r="E122"/>
  <c r="E120"/>
  <c r="E118"/>
  <c r="E116"/>
  <c r="E114"/>
  <c r="E109"/>
  <c r="E107"/>
  <c r="E105"/>
  <c r="E103"/>
  <c r="E101"/>
  <c r="E99"/>
  <c r="E94"/>
  <c r="E92"/>
  <c r="E90"/>
  <c r="E88"/>
  <c r="E86"/>
  <c r="E84"/>
  <c r="E34"/>
  <c r="E33"/>
  <c r="E32"/>
  <c r="E31"/>
  <c r="E30"/>
  <c r="E29"/>
  <c r="E28"/>
  <c r="E27"/>
  <c r="E26"/>
  <c r="E25"/>
  <c r="E24"/>
  <c r="E64"/>
  <c r="E62"/>
  <c r="E60"/>
  <c r="E58"/>
  <c r="E56"/>
  <c r="E54"/>
  <c r="E49"/>
  <c r="E47"/>
  <c r="E45"/>
  <c r="E43"/>
  <c r="E41"/>
  <c r="E39"/>
  <c r="E75"/>
  <c r="E77"/>
  <c r="E79"/>
  <c r="E70"/>
  <c r="E72"/>
  <c r="E74"/>
  <c r="E177"/>
  <c r="E181"/>
  <c r="E188"/>
  <c r="E192"/>
  <c r="E196"/>
  <c r="E203"/>
  <c r="E207"/>
  <c r="E175"/>
  <c r="E179"/>
  <c r="E183"/>
  <c r="E190"/>
  <c r="E194"/>
  <c r="E198"/>
  <c r="E205"/>
  <c r="B22" i="8"/>
  <c r="B10" i="9" s="1"/>
  <c r="E18" i="10"/>
  <c r="B17" i="8"/>
  <c r="B18"/>
  <c r="L15" i="10"/>
  <c r="M14"/>
  <c r="I8" i="6"/>
  <c r="I10" s="1"/>
  <c r="I12" s="1"/>
  <c r="I13" s="1"/>
  <c r="L5" i="30" s="1"/>
  <c r="I6" i="10"/>
  <c r="F9" l="1"/>
  <c r="G9" s="1"/>
  <c r="G10" s="1"/>
  <c r="G11" s="1"/>
  <c r="G12" s="1"/>
  <c r="E140" i="28"/>
  <c r="M28" i="30" s="1"/>
  <c r="E170" i="28"/>
  <c r="O28" i="30" s="1"/>
  <c r="L13"/>
  <c r="L14" s="1"/>
  <c r="L8"/>
  <c r="B6" i="9"/>
  <c r="F10" i="30"/>
  <c r="F11" s="1"/>
  <c r="E110" i="28"/>
  <c r="K28" i="30" s="1"/>
  <c r="E28"/>
  <c r="E25" i="10"/>
  <c r="E15" i="30"/>
  <c r="G13"/>
  <c r="G14" s="1"/>
  <c r="G8"/>
  <c r="G9" s="1"/>
  <c r="F23" i="28"/>
  <c r="H23" s="1"/>
  <c r="H18"/>
  <c r="L17" i="30"/>
  <c r="K18"/>
  <c r="H8" i="28"/>
  <c r="E80"/>
  <c r="I28" i="30" s="1"/>
  <c r="E125" i="28"/>
  <c r="E95"/>
  <c r="J28" i="30" s="1"/>
  <c r="L5" i="10"/>
  <c r="L8" s="1"/>
  <c r="O25"/>
  <c r="X16"/>
  <c r="W24"/>
  <c r="E200" i="28"/>
  <c r="Q28" i="30" s="1"/>
  <c r="E155" i="28"/>
  <c r="N28" i="30" s="1"/>
  <c r="E185" i="28"/>
  <c r="P28" i="30" s="1"/>
  <c r="E215" i="28"/>
  <c r="R28" i="30" s="1"/>
  <c r="E50" i="28"/>
  <c r="G28" i="30" s="1"/>
  <c r="E65" i="28"/>
  <c r="H28" i="30" s="1"/>
  <c r="E35" i="28"/>
  <c r="F28" i="30" s="1"/>
  <c r="C15" i="8"/>
  <c r="C16"/>
  <c r="F21" i="30" s="1"/>
  <c r="B23" i="8"/>
  <c r="C21" s="1"/>
  <c r="M15" i="10"/>
  <c r="N14"/>
  <c r="K7" i="6"/>
  <c r="J8"/>
  <c r="J10" s="1"/>
  <c r="J12" s="1"/>
  <c r="J13" s="1"/>
  <c r="M5" i="30" s="1"/>
  <c r="H9" i="10"/>
  <c r="J6"/>
  <c r="M25" l="1"/>
  <c r="F10"/>
  <c r="F11" s="1"/>
  <c r="F12" s="1"/>
  <c r="J25"/>
  <c r="I25"/>
  <c r="F24" i="28"/>
  <c r="F25" s="1"/>
  <c r="K25" i="10"/>
  <c r="L25"/>
  <c r="L28" i="30"/>
  <c r="L18"/>
  <c r="M17"/>
  <c r="G10"/>
  <c r="G11" s="1"/>
  <c r="H9"/>
  <c r="M13"/>
  <c r="M14" s="1"/>
  <c r="M8"/>
  <c r="F15"/>
  <c r="H9" i="28"/>
  <c r="H25" i="10"/>
  <c r="N25"/>
  <c r="R25"/>
  <c r="M5"/>
  <c r="M8" s="1"/>
  <c r="F25"/>
  <c r="G25"/>
  <c r="P25"/>
  <c r="Q25"/>
  <c r="Y16"/>
  <c r="Y24" s="1"/>
  <c r="X24"/>
  <c r="H24" i="28"/>
  <c r="C18" i="8"/>
  <c r="C22"/>
  <c r="C10" i="9" s="1"/>
  <c r="C17" i="8"/>
  <c r="F18" i="10"/>
  <c r="O14"/>
  <c r="N15"/>
  <c r="K8" i="6"/>
  <c r="K10" s="1"/>
  <c r="K12" s="1"/>
  <c r="K13" s="1"/>
  <c r="N5" i="30" s="1"/>
  <c r="L7" i="6"/>
  <c r="I9" i="10"/>
  <c r="H10"/>
  <c r="H11" s="1"/>
  <c r="H12" s="1"/>
  <c r="K6"/>
  <c r="N13" i="30" l="1"/>
  <c r="N14" s="1"/>
  <c r="N8"/>
  <c r="C6" i="9"/>
  <c r="I9" i="30"/>
  <c r="H10"/>
  <c r="H11" s="1"/>
  <c r="N17"/>
  <c r="M18"/>
  <c r="G15"/>
  <c r="H10" i="28"/>
  <c r="N5" i="10"/>
  <c r="N8" s="1"/>
  <c r="C23" i="8"/>
  <c r="D21" s="1"/>
  <c r="D22" s="1"/>
  <c r="D10" i="9" s="1"/>
  <c r="H25" i="28"/>
  <c r="F26"/>
  <c r="D16" i="8"/>
  <c r="G21" i="30" s="1"/>
  <c r="D15" i="8"/>
  <c r="O15" i="10"/>
  <c r="P14"/>
  <c r="L8" i="6"/>
  <c r="L10" s="1"/>
  <c r="L12" s="1"/>
  <c r="L13" s="1"/>
  <c r="O5" i="30" s="1"/>
  <c r="M7" i="6"/>
  <c r="I10" i="10"/>
  <c r="I11" s="1"/>
  <c r="I12" s="1"/>
  <c r="J9"/>
  <c r="L6"/>
  <c r="O13" i="30" l="1"/>
  <c r="O14" s="1"/>
  <c r="O8"/>
  <c r="O17"/>
  <c r="N18"/>
  <c r="J9"/>
  <c r="I10"/>
  <c r="I11" s="1"/>
  <c r="H15"/>
  <c r="H11" i="28"/>
  <c r="O5" i="10"/>
  <c r="O8" s="1"/>
  <c r="H26" i="28"/>
  <c r="F27"/>
  <c r="D23" i="8"/>
  <c r="E21" s="1"/>
  <c r="E22" s="1"/>
  <c r="E10" i="9" s="1"/>
  <c r="D18" i="8"/>
  <c r="E16" s="1"/>
  <c r="H21" i="30" s="1"/>
  <c r="G18" i="10"/>
  <c r="D17" i="8"/>
  <c r="E15"/>
  <c r="P15" i="10"/>
  <c r="Q14"/>
  <c r="M8" i="6"/>
  <c r="M10" s="1"/>
  <c r="M12" s="1"/>
  <c r="M13" s="1"/>
  <c r="P5" i="30" s="1"/>
  <c r="N7" i="6"/>
  <c r="J10" i="10"/>
  <c r="J11" s="1"/>
  <c r="J12" s="1"/>
  <c r="K9"/>
  <c r="M6"/>
  <c r="P8" i="30" l="1"/>
  <c r="D6" i="9"/>
  <c r="J10" i="30"/>
  <c r="J11" s="1"/>
  <c r="K9"/>
  <c r="O18"/>
  <c r="P17"/>
  <c r="I15"/>
  <c r="H12" i="28"/>
  <c r="P5" i="10"/>
  <c r="H18"/>
  <c r="P8"/>
  <c r="E23" i="8"/>
  <c r="F21" s="1"/>
  <c r="F22" s="1"/>
  <c r="F10" i="9" s="1"/>
  <c r="F28" i="28"/>
  <c r="H27"/>
  <c r="E17" i="8"/>
  <c r="E18"/>
  <c r="Q15" i="10"/>
  <c r="R14"/>
  <c r="N8" i="6"/>
  <c r="N10" s="1"/>
  <c r="N12" s="1"/>
  <c r="N13" s="1"/>
  <c r="Q5" i="30" s="1"/>
  <c r="O7" i="6"/>
  <c r="K10" i="10"/>
  <c r="K11" s="1"/>
  <c r="K12" s="1"/>
  <c r="L9"/>
  <c r="N6"/>
  <c r="O6" s="1"/>
  <c r="P6" s="1"/>
  <c r="Q6" s="1"/>
  <c r="R6" s="1"/>
  <c r="S6" s="1"/>
  <c r="T6" s="1"/>
  <c r="U6" s="1"/>
  <c r="V6" s="1"/>
  <c r="W6" s="1"/>
  <c r="X6" s="1"/>
  <c r="Y6" s="1"/>
  <c r="Q8" i="30" l="1"/>
  <c r="E6" i="9"/>
  <c r="P18" i="30"/>
  <c r="Q17"/>
  <c r="K10"/>
  <c r="K11" s="1"/>
  <c r="L9"/>
  <c r="J15"/>
  <c r="H13" i="28"/>
  <c r="Q5" i="10"/>
  <c r="Q8" s="1"/>
  <c r="F23" i="8"/>
  <c r="G21" s="1"/>
  <c r="G22" s="1"/>
  <c r="G10" i="9" s="1"/>
  <c r="F29" i="28"/>
  <c r="H28"/>
  <c r="F15" i="8"/>
  <c r="F16"/>
  <c r="I21" i="30" s="1"/>
  <c r="S14" i="10"/>
  <c r="R15"/>
  <c r="O8" i="6"/>
  <c r="O10" s="1"/>
  <c r="O12" s="1"/>
  <c r="O13" s="1"/>
  <c r="R5" i="30" s="1"/>
  <c r="P7" i="6"/>
  <c r="L10" i="10"/>
  <c r="L11" s="1"/>
  <c r="L12" s="1"/>
  <c r="M9"/>
  <c r="R8" i="30" l="1"/>
  <c r="M9"/>
  <c r="L10"/>
  <c r="L11" s="1"/>
  <c r="R17"/>
  <c r="Q18"/>
  <c r="K15"/>
  <c r="H14" i="28"/>
  <c r="R5" i="10"/>
  <c r="R8" s="1"/>
  <c r="I18"/>
  <c r="F30" i="28"/>
  <c r="H29"/>
  <c r="G23" i="8"/>
  <c r="H21" s="1"/>
  <c r="H22" s="1"/>
  <c r="H10" i="9" s="1"/>
  <c r="F17" i="8"/>
  <c r="F18"/>
  <c r="T14" i="10"/>
  <c r="S15"/>
  <c r="P8" i="6"/>
  <c r="P10" s="1"/>
  <c r="P12" s="1"/>
  <c r="P13" s="1"/>
  <c r="S5" i="30" s="1"/>
  <c r="Q7" i="6"/>
  <c r="M10" i="10"/>
  <c r="M11" s="1"/>
  <c r="M12" s="1"/>
  <c r="N9"/>
  <c r="F6" i="9" l="1"/>
  <c r="S8" i="30"/>
  <c r="S17"/>
  <c r="R18"/>
  <c r="N9"/>
  <c r="M10"/>
  <c r="M11" s="1"/>
  <c r="L15"/>
  <c r="H15" i="28"/>
  <c r="S5" i="10"/>
  <c r="S8" s="1"/>
  <c r="F31" i="28"/>
  <c r="H30"/>
  <c r="H23" i="8"/>
  <c r="I21" s="1"/>
  <c r="I22" s="1"/>
  <c r="I10" i="9" s="1"/>
  <c r="G15" i="8"/>
  <c r="G16"/>
  <c r="J21" i="30" s="1"/>
  <c r="U14" i="10"/>
  <c r="T15"/>
  <c r="R7" i="6"/>
  <c r="Q8"/>
  <c r="Q10" s="1"/>
  <c r="Q12" s="1"/>
  <c r="Q13" s="1"/>
  <c r="T5" i="30" s="1"/>
  <c r="N10" i="10"/>
  <c r="N11" s="1"/>
  <c r="N12" s="1"/>
  <c r="O9"/>
  <c r="T8" i="30" l="1"/>
  <c r="O9"/>
  <c r="N10"/>
  <c r="N11" s="1"/>
  <c r="S18"/>
  <c r="T17"/>
  <c r="M15"/>
  <c r="H16" i="28"/>
  <c r="T5" i="10"/>
  <c r="J18"/>
  <c r="T8"/>
  <c r="F32" i="28"/>
  <c r="H31"/>
  <c r="G17" i="8"/>
  <c r="I23"/>
  <c r="G18"/>
  <c r="U15" i="10"/>
  <c r="V14"/>
  <c r="S7" i="6"/>
  <c r="R8"/>
  <c r="R10" s="1"/>
  <c r="R12" s="1"/>
  <c r="R13" s="1"/>
  <c r="U5" i="30" s="1"/>
  <c r="P9" i="10"/>
  <c r="O10"/>
  <c r="O11" s="1"/>
  <c r="O12" s="1"/>
  <c r="O10" i="30" l="1"/>
  <c r="O11" s="1"/>
  <c r="P9"/>
  <c r="U8"/>
  <c r="G6" i="9"/>
  <c r="T18" i="30"/>
  <c r="U17"/>
  <c r="N15"/>
  <c r="H17" i="28"/>
  <c r="U5" i="10"/>
  <c r="U8" s="1"/>
  <c r="H32" i="28"/>
  <c r="F33"/>
  <c r="J21" i="8"/>
  <c r="J22" s="1"/>
  <c r="J10" i="9" s="1"/>
  <c r="H15" i="8"/>
  <c r="H16"/>
  <c r="K21" i="30" s="1"/>
  <c r="W14" i="10"/>
  <c r="V15"/>
  <c r="S8" i="6"/>
  <c r="S10" s="1"/>
  <c r="S12" s="1"/>
  <c r="S13" s="1"/>
  <c r="V5" i="30" s="1"/>
  <c r="T7" i="6"/>
  <c r="P10" i="10"/>
  <c r="P11" s="1"/>
  <c r="P12" s="1"/>
  <c r="Q9"/>
  <c r="U18" i="30" l="1"/>
  <c r="V17"/>
  <c r="O15"/>
  <c r="V8"/>
  <c r="P10"/>
  <c r="P11" s="1"/>
  <c r="Q9"/>
  <c r="H19" i="28"/>
  <c r="J23" i="8"/>
  <c r="K21" s="1"/>
  <c r="K22" s="1"/>
  <c r="K10" i="9" s="1"/>
  <c r="K18" i="10"/>
  <c r="V5"/>
  <c r="V8" s="1"/>
  <c r="F34" i="28"/>
  <c r="H33"/>
  <c r="H17" i="8"/>
  <c r="H18"/>
  <c r="W15" i="10"/>
  <c r="X14"/>
  <c r="U7" i="6"/>
  <c r="T8"/>
  <c r="T10" s="1"/>
  <c r="T12" s="1"/>
  <c r="T13" s="1"/>
  <c r="W5" i="30" s="1"/>
  <c r="R9" i="10"/>
  <c r="Q10"/>
  <c r="Q11" s="1"/>
  <c r="Q12" s="1"/>
  <c r="W8" i="30" l="1"/>
  <c r="Q10"/>
  <c r="Q11" s="1"/>
  <c r="R9"/>
  <c r="H6" i="9"/>
  <c r="E19" i="30"/>
  <c r="E16" i="10"/>
  <c r="P15" i="30"/>
  <c r="V18"/>
  <c r="W17"/>
  <c r="W5" i="10"/>
  <c r="W8" s="1"/>
  <c r="H34" i="28"/>
  <c r="H35" s="1"/>
  <c r="F19" i="30" s="1"/>
  <c r="F38" i="28"/>
  <c r="I16" i="8"/>
  <c r="I15"/>
  <c r="K23"/>
  <c r="Y14" i="10"/>
  <c r="Y15" s="1"/>
  <c r="X15"/>
  <c r="V7" i="6"/>
  <c r="V8" s="1"/>
  <c r="V10" s="1"/>
  <c r="V12" s="1"/>
  <c r="V13" s="1"/>
  <c r="Y5" i="30" s="1"/>
  <c r="U8" i="6"/>
  <c r="U10" s="1"/>
  <c r="U12" s="1"/>
  <c r="U13" s="1"/>
  <c r="X5" i="30" s="1"/>
  <c r="R10" i="10"/>
  <c r="R11" s="1"/>
  <c r="R12" s="1"/>
  <c r="S9"/>
  <c r="Y8" i="30" l="1"/>
  <c r="X8"/>
  <c r="I17" i="8"/>
  <c r="L21" i="30"/>
  <c r="F27"/>
  <c r="F20"/>
  <c r="F22" s="1"/>
  <c r="W18"/>
  <c r="X17"/>
  <c r="E24" i="10"/>
  <c r="E17"/>
  <c r="R10" i="30"/>
  <c r="R11" s="1"/>
  <c r="S9"/>
  <c r="E27"/>
  <c r="E20"/>
  <c r="E22" s="1"/>
  <c r="Q15"/>
  <c r="I18" i="8"/>
  <c r="J15" s="1"/>
  <c r="X5" i="10"/>
  <c r="X8" s="1"/>
  <c r="Y5"/>
  <c r="Y8" s="1"/>
  <c r="L18"/>
  <c r="F16"/>
  <c r="H38" i="28"/>
  <c r="F39"/>
  <c r="L21" i="8"/>
  <c r="L22" s="1"/>
  <c r="L10" i="9" s="1"/>
  <c r="L23" i="8"/>
  <c r="M21" s="1"/>
  <c r="M22" s="1"/>
  <c r="M10" i="9" s="1"/>
  <c r="S10" i="10"/>
  <c r="S11" s="1"/>
  <c r="S12" s="1"/>
  <c r="S17" s="1"/>
  <c r="T9"/>
  <c r="J16" i="8" l="1"/>
  <c r="M21" i="30" s="1"/>
  <c r="I6" i="9"/>
  <c r="R15" i="30"/>
  <c r="F24" i="10"/>
  <c r="F17"/>
  <c r="T9" i="30"/>
  <c r="S10"/>
  <c r="S11" s="1"/>
  <c r="Y17"/>
  <c r="Y18" s="1"/>
  <c r="X18"/>
  <c r="E19" i="10"/>
  <c r="B4" i="9" s="1"/>
  <c r="B14" s="1"/>
  <c r="H39" i="28"/>
  <c r="F40"/>
  <c r="M18" i="10"/>
  <c r="J17" i="8"/>
  <c r="M23"/>
  <c r="N21" s="1"/>
  <c r="N22" s="1"/>
  <c r="N10" i="9" s="1"/>
  <c r="J18" i="8"/>
  <c r="N23"/>
  <c r="O21" s="1"/>
  <c r="O22" s="1"/>
  <c r="T10" i="10"/>
  <c r="T11" s="1"/>
  <c r="T12" s="1"/>
  <c r="T17" s="1"/>
  <c r="U9"/>
  <c r="S15" i="30" l="1"/>
  <c r="S20" s="1"/>
  <c r="B7" i="9"/>
  <c r="B11" s="1"/>
  <c r="B12" s="1"/>
  <c r="J6"/>
  <c r="T10" i="30"/>
  <c r="T11" s="1"/>
  <c r="U9"/>
  <c r="B13" i="9"/>
  <c r="B17" s="1"/>
  <c r="E23" i="30" s="1"/>
  <c r="E24" s="1"/>
  <c r="E29" s="1"/>
  <c r="H40" i="28"/>
  <c r="F41"/>
  <c r="K16" i="8"/>
  <c r="N21" i="30" s="1"/>
  <c r="K15" i="8"/>
  <c r="O10" i="9"/>
  <c r="O23" i="8"/>
  <c r="P21" s="1"/>
  <c r="P22" s="1"/>
  <c r="P10" i="9" s="1"/>
  <c r="U10" i="10"/>
  <c r="U11" s="1"/>
  <c r="U12" s="1"/>
  <c r="U17" s="1"/>
  <c r="V9"/>
  <c r="U10" i="30" l="1"/>
  <c r="U11" s="1"/>
  <c r="V9"/>
  <c r="T15"/>
  <c r="T20" s="1"/>
  <c r="K18" i="8"/>
  <c r="L15" s="1"/>
  <c r="E20" i="10"/>
  <c r="E21" s="1"/>
  <c r="E26" s="1"/>
  <c r="H41" i="28"/>
  <c r="F42"/>
  <c r="N18" i="10"/>
  <c r="K17" i="8"/>
  <c r="P23"/>
  <c r="V10" i="10"/>
  <c r="V11" s="1"/>
  <c r="V12" s="1"/>
  <c r="V17" s="1"/>
  <c r="W9"/>
  <c r="K6" i="9" l="1"/>
  <c r="W9" i="30"/>
  <c r="V10"/>
  <c r="V11" s="1"/>
  <c r="L16" i="8"/>
  <c r="O21" i="30" s="1"/>
  <c r="U15"/>
  <c r="U20" s="1"/>
  <c r="H42" i="28"/>
  <c r="F43"/>
  <c r="Q21" i="8"/>
  <c r="Q22" s="1"/>
  <c r="Q10" i="9" s="1"/>
  <c r="W10" i="10"/>
  <c r="W11" s="1"/>
  <c r="W12" s="1"/>
  <c r="W17" s="1"/>
  <c r="X9"/>
  <c r="O18" l="1"/>
  <c r="L6" i="9"/>
  <c r="X9" i="30"/>
  <c r="W10"/>
  <c r="W11" s="1"/>
  <c r="L18" i="8"/>
  <c r="M16" s="1"/>
  <c r="P21" i="30" s="1"/>
  <c r="L17" i="8"/>
  <c r="V15" i="30"/>
  <c r="V20" s="1"/>
  <c r="H43" i="28"/>
  <c r="F44"/>
  <c r="Q23" i="8"/>
  <c r="X10" i="10"/>
  <c r="X11" s="1"/>
  <c r="X12" s="1"/>
  <c r="X17" s="1"/>
  <c r="Y9"/>
  <c r="Y10" s="1"/>
  <c r="Y11" s="1"/>
  <c r="Y12" s="1"/>
  <c r="Y17" s="1"/>
  <c r="M15" i="8" l="1"/>
  <c r="W15" i="30"/>
  <c r="W20" s="1"/>
  <c r="Y9"/>
  <c r="Y10" s="1"/>
  <c r="Y11" s="1"/>
  <c r="X10"/>
  <c r="X11" s="1"/>
  <c r="M18" i="8"/>
  <c r="N15" s="1"/>
  <c r="H44" i="28"/>
  <c r="F45"/>
  <c r="P18" i="10"/>
  <c r="M17" i="8"/>
  <c r="R21"/>
  <c r="R22" s="1"/>
  <c r="R10" i="9" s="1"/>
  <c r="N16" i="8" l="1"/>
  <c r="Q21" i="30" s="1"/>
  <c r="M6" i="9"/>
  <c r="X15" i="30"/>
  <c r="X20" s="1"/>
  <c r="Y15"/>
  <c r="Y20" s="1"/>
  <c r="Q18" i="10"/>
  <c r="H45" i="28"/>
  <c r="F46"/>
  <c r="R23" i="8"/>
  <c r="S21" s="1"/>
  <c r="S22" s="1"/>
  <c r="S10" i="9" s="1"/>
  <c r="N18" i="8" l="1"/>
  <c r="N17"/>
  <c r="N6" i="9"/>
  <c r="H46" i="28"/>
  <c r="F47"/>
  <c r="O16" i="8"/>
  <c r="R21" i="30" s="1"/>
  <c r="O15" i="8"/>
  <c r="S23"/>
  <c r="H47" i="28" l="1"/>
  <c r="F48"/>
  <c r="O18" i="8"/>
  <c r="P16" s="1"/>
  <c r="S21" i="30" s="1"/>
  <c r="S22" s="1"/>
  <c r="R18" i="10"/>
  <c r="O17" i="8"/>
  <c r="T21"/>
  <c r="T22" s="1"/>
  <c r="T10" i="9" s="1"/>
  <c r="P17" i="8" l="1"/>
  <c r="P15"/>
  <c r="P18" s="1"/>
  <c r="Q15" s="1"/>
  <c r="S18" i="10"/>
  <c r="F49" i="28"/>
  <c r="H48"/>
  <c r="O6" i="9"/>
  <c r="T23" i="8"/>
  <c r="U21" s="1"/>
  <c r="U22" s="1"/>
  <c r="U10" i="9" s="1"/>
  <c r="Q16" i="8" l="1"/>
  <c r="S19" i="10"/>
  <c r="P4" i="9" s="1"/>
  <c r="P6"/>
  <c r="F53" i="28"/>
  <c r="H49"/>
  <c r="H50" s="1"/>
  <c r="U23" i="8"/>
  <c r="G16" i="10" l="1"/>
  <c r="G17" s="1"/>
  <c r="G19" i="30"/>
  <c r="T18" i="10"/>
  <c r="T19" s="1"/>
  <c r="Q4" i="9" s="1"/>
  <c r="T21" i="30"/>
  <c r="T22" s="1"/>
  <c r="Q18" i="8"/>
  <c r="Q17"/>
  <c r="G24" i="10"/>
  <c r="P14" i="9"/>
  <c r="P17" s="1"/>
  <c r="S23" i="30" s="1"/>
  <c r="S24" s="1"/>
  <c r="S29" s="1"/>
  <c r="P7" i="9"/>
  <c r="P11" s="1"/>
  <c r="Q6"/>
  <c r="H53" i="28"/>
  <c r="F54"/>
  <c r="F19" i="10"/>
  <c r="C4" i="9" s="1"/>
  <c r="V21" i="8"/>
  <c r="V22" s="1"/>
  <c r="V10" i="9" s="1"/>
  <c r="G27" i="30" l="1"/>
  <c r="G20"/>
  <c r="G22" s="1"/>
  <c r="R15" i="8"/>
  <c r="R16"/>
  <c r="U21" i="30" s="1"/>
  <c r="U22" s="1"/>
  <c r="Q7" i="9"/>
  <c r="Q11" s="1"/>
  <c r="Q14"/>
  <c r="S20" i="10"/>
  <c r="S21" s="1"/>
  <c r="S26" s="1"/>
  <c r="C7" i="9"/>
  <c r="C11" s="1"/>
  <c r="C12" s="1"/>
  <c r="C14"/>
  <c r="C17" s="1"/>
  <c r="F23" i="30" s="1"/>
  <c r="F24" s="1"/>
  <c r="F29" s="1"/>
  <c r="F55" i="28"/>
  <c r="H54"/>
  <c r="V23" i="8"/>
  <c r="U18" i="10" l="1"/>
  <c r="R17" i="8"/>
  <c r="R18"/>
  <c r="F20" i="10"/>
  <c r="F21" s="1"/>
  <c r="F26" s="1"/>
  <c r="F56" i="28"/>
  <c r="H55"/>
  <c r="S16" i="8" l="1"/>
  <c r="V21" i="30" s="1"/>
  <c r="V22" s="1"/>
  <c r="S15" i="8"/>
  <c r="U19" i="10"/>
  <c r="R4" i="9" s="1"/>
  <c r="R6"/>
  <c r="S17" i="8"/>
  <c r="F57" i="28"/>
  <c r="H56"/>
  <c r="S18" i="8" l="1"/>
  <c r="T16" s="1"/>
  <c r="R7" i="9"/>
  <c r="R11" s="1"/>
  <c r="R14"/>
  <c r="V18" i="10"/>
  <c r="H57" i="28"/>
  <c r="F58"/>
  <c r="T17" i="8" l="1"/>
  <c r="W21" i="30"/>
  <c r="W22" s="1"/>
  <c r="T15" i="8"/>
  <c r="T18" s="1"/>
  <c r="S6" i="9"/>
  <c r="V19" i="10"/>
  <c r="S4" i="9" s="1"/>
  <c r="W18" i="10"/>
  <c r="F59" i="28"/>
  <c r="H58"/>
  <c r="U15" i="8" l="1"/>
  <c r="U16"/>
  <c r="X21" i="30" s="1"/>
  <c r="X22" s="1"/>
  <c r="T6" i="9"/>
  <c r="W19" i="10"/>
  <c r="T4" i="9" s="1"/>
  <c r="S7"/>
  <c r="S11" s="1"/>
  <c r="S14"/>
  <c r="H59" i="28"/>
  <c r="F60"/>
  <c r="U17" i="8" l="1"/>
  <c r="X18" i="10"/>
  <c r="U18" i="8"/>
  <c r="V15" s="1"/>
  <c r="V16"/>
  <c r="Y21" i="30" s="1"/>
  <c r="Y22" s="1"/>
  <c r="T14" i="9"/>
  <c r="T7"/>
  <c r="T11" s="1"/>
  <c r="U6"/>
  <c r="H60" i="28"/>
  <c r="F61"/>
  <c r="X19" i="10" l="1"/>
  <c r="U4" i="9" s="1"/>
  <c r="U14" s="1"/>
  <c r="Y18" i="10"/>
  <c r="V17" i="8"/>
  <c r="V18"/>
  <c r="F62" i="28"/>
  <c r="H61"/>
  <c r="U7" i="9" l="1"/>
  <c r="U11" s="1"/>
  <c r="Y19" i="10"/>
  <c r="V4" i="9" s="1"/>
  <c r="V6"/>
  <c r="F63" i="28"/>
  <c r="H62"/>
  <c r="V14" i="9" l="1"/>
  <c r="V7"/>
  <c r="V11" s="1"/>
  <c r="F64" i="28"/>
  <c r="H63"/>
  <c r="H64" l="1"/>
  <c r="H65" s="1"/>
  <c r="F68"/>
  <c r="H16" i="10" l="1"/>
  <c r="H17" s="1"/>
  <c r="H19" i="30"/>
  <c r="G19" i="10"/>
  <c r="D4" i="9" s="1"/>
  <c r="F69" i="28"/>
  <c r="H68"/>
  <c r="H24" i="10" l="1"/>
  <c r="H27" i="30"/>
  <c r="H20"/>
  <c r="H22" s="1"/>
  <c r="D7" i="9"/>
  <c r="D11" s="1"/>
  <c r="D12" s="1"/>
  <c r="D14"/>
  <c r="D17" s="1"/>
  <c r="G23" i="30" s="1"/>
  <c r="G24" s="1"/>
  <c r="G29" s="1"/>
  <c r="F70" i="28"/>
  <c r="H69"/>
  <c r="G20" i="10" l="1"/>
  <c r="G21" s="1"/>
  <c r="G26" s="1"/>
  <c r="F71" i="28"/>
  <c r="H70"/>
  <c r="H71" l="1"/>
  <c r="F72"/>
  <c r="H72" l="1"/>
  <c r="F73"/>
  <c r="H73" l="1"/>
  <c r="F74"/>
  <c r="F75" l="1"/>
  <c r="H74"/>
  <c r="H75" l="1"/>
  <c r="F76"/>
  <c r="F77" l="1"/>
  <c r="H76"/>
  <c r="F78" l="1"/>
  <c r="H77"/>
  <c r="H78" l="1"/>
  <c r="F79"/>
  <c r="H79" l="1"/>
  <c r="H80" s="1"/>
  <c r="F83"/>
  <c r="I16" i="10" l="1"/>
  <c r="I17" s="1"/>
  <c r="I19" i="30"/>
  <c r="H19" i="10"/>
  <c r="E4" i="9" s="1"/>
  <c r="F84" i="28"/>
  <c r="H83"/>
  <c r="I24" i="10" l="1"/>
  <c r="I27" i="30"/>
  <c r="I20"/>
  <c r="I22" s="1"/>
  <c r="E14" i="9"/>
  <c r="E17" s="1"/>
  <c r="H23" i="30" s="1"/>
  <c r="H24" s="1"/>
  <c r="H29" s="1"/>
  <c r="E7" i="9"/>
  <c r="E11" s="1"/>
  <c r="E12" s="1"/>
  <c r="F85" i="28"/>
  <c r="H84"/>
  <c r="H20" i="10" l="1"/>
  <c r="H21" s="1"/>
  <c r="H26" s="1"/>
  <c r="H85" i="28"/>
  <c r="F86"/>
  <c r="F87" l="1"/>
  <c r="H86"/>
  <c r="H87" l="1"/>
  <c r="F88"/>
  <c r="F89" l="1"/>
  <c r="H88"/>
  <c r="F90" l="1"/>
  <c r="H89"/>
  <c r="F91" l="1"/>
  <c r="H90"/>
  <c r="H91" l="1"/>
  <c r="F92"/>
  <c r="F93" l="1"/>
  <c r="H92"/>
  <c r="H93" l="1"/>
  <c r="F94"/>
  <c r="F98" l="1"/>
  <c r="H94"/>
  <c r="H95" s="1"/>
  <c r="J16" i="10" l="1"/>
  <c r="J17" s="1"/>
  <c r="J19" i="30"/>
  <c r="J24" i="10"/>
  <c r="I19"/>
  <c r="F4" i="9" s="1"/>
  <c r="H98" i="28"/>
  <c r="F99"/>
  <c r="J27" i="30" l="1"/>
  <c r="J20"/>
  <c r="J22" s="1"/>
  <c r="F100" i="28"/>
  <c r="H99"/>
  <c r="F14" i="9"/>
  <c r="F17" s="1"/>
  <c r="I23" i="30" s="1"/>
  <c r="I24" s="1"/>
  <c r="I29" s="1"/>
  <c r="F7" i="9"/>
  <c r="F11" s="1"/>
  <c r="F12" s="1"/>
  <c r="I20" i="10" l="1"/>
  <c r="I21" s="1"/>
  <c r="I26" s="1"/>
  <c r="H100" i="28"/>
  <c r="F101"/>
  <c r="F102" l="1"/>
  <c r="H101"/>
  <c r="H102" l="1"/>
  <c r="F103"/>
  <c r="F104" l="1"/>
  <c r="H103"/>
  <c r="F105" l="1"/>
  <c r="H104"/>
  <c r="H105" l="1"/>
  <c r="F106"/>
  <c r="F107" l="1"/>
  <c r="H106"/>
  <c r="H107" l="1"/>
  <c r="F108"/>
  <c r="H108" l="1"/>
  <c r="F109"/>
  <c r="H109" l="1"/>
  <c r="H110" s="1"/>
  <c r="F113"/>
  <c r="K16" i="10" l="1"/>
  <c r="K17" s="1"/>
  <c r="K19" i="30"/>
  <c r="K24" i="10"/>
  <c r="H113" i="28"/>
  <c r="F114"/>
  <c r="J19" i="10"/>
  <c r="G4" i="9" s="1"/>
  <c r="K27" i="30" l="1"/>
  <c r="K20"/>
  <c r="K22" s="1"/>
  <c r="F115" i="28"/>
  <c r="H114"/>
  <c r="G7" i="9"/>
  <c r="G11" s="1"/>
  <c r="G12" s="1"/>
  <c r="G14"/>
  <c r="G17" s="1"/>
  <c r="J23" i="30" s="1"/>
  <c r="J24" s="1"/>
  <c r="J29" s="1"/>
  <c r="J20" i="10" l="1"/>
  <c r="J21" s="1"/>
  <c r="J26" s="1"/>
  <c r="H115" i="28"/>
  <c r="F116"/>
  <c r="F117" l="1"/>
  <c r="H116"/>
  <c r="H117" l="1"/>
  <c r="F118"/>
  <c r="H118" l="1"/>
  <c r="F119"/>
  <c r="H119" l="1"/>
  <c r="F120"/>
  <c r="F121" l="1"/>
  <c r="H120"/>
  <c r="F122" l="1"/>
  <c r="H121"/>
  <c r="F123" l="1"/>
  <c r="H122"/>
  <c r="H123" l="1"/>
  <c r="F124"/>
  <c r="F128" l="1"/>
  <c r="H124"/>
  <c r="H125" s="1"/>
  <c r="L16" i="10" l="1"/>
  <c r="L17" s="1"/>
  <c r="L19" i="30"/>
  <c r="L24" i="10"/>
  <c r="K19"/>
  <c r="H4" i="9" s="1"/>
  <c r="H128" i="28"/>
  <c r="F129"/>
  <c r="L27" i="30" l="1"/>
  <c r="L20"/>
  <c r="L22" s="1"/>
  <c r="H129" i="28"/>
  <c r="F130"/>
  <c r="H14" i="9"/>
  <c r="H17" s="1"/>
  <c r="K23" i="30" s="1"/>
  <c r="K24" s="1"/>
  <c r="K29" s="1"/>
  <c r="H7" i="9"/>
  <c r="H11" s="1"/>
  <c r="H12" s="1"/>
  <c r="K20" i="10" l="1"/>
  <c r="K21" s="1"/>
  <c r="K26" s="1"/>
  <c r="H130" i="28"/>
  <c r="F131"/>
  <c r="H131" l="1"/>
  <c r="F132"/>
  <c r="H132" l="1"/>
  <c r="F133"/>
  <c r="H133" l="1"/>
  <c r="F134"/>
  <c r="F135" l="1"/>
  <c r="H134"/>
  <c r="F136" l="1"/>
  <c r="H135"/>
  <c r="H136" l="1"/>
  <c r="F137"/>
  <c r="H137" l="1"/>
  <c r="F138"/>
  <c r="H138" l="1"/>
  <c r="F139"/>
  <c r="F143" l="1"/>
  <c r="H139"/>
  <c r="H140" s="1"/>
  <c r="M16" i="10" l="1"/>
  <c r="M17" s="1"/>
  <c r="M19" i="30"/>
  <c r="F144" i="28"/>
  <c r="H143"/>
  <c r="M24" i="10"/>
  <c r="L19"/>
  <c r="I4" i="9" s="1"/>
  <c r="M27" i="30" l="1"/>
  <c r="M20"/>
  <c r="M22" s="1"/>
  <c r="I14" i="9"/>
  <c r="I17" s="1"/>
  <c r="L23" i="30" s="1"/>
  <c r="L24" s="1"/>
  <c r="L29" s="1"/>
  <c r="I7" i="9"/>
  <c r="I11" s="1"/>
  <c r="I12" s="1"/>
  <c r="H144" i="28"/>
  <c r="F145"/>
  <c r="L20" i="10" l="1"/>
  <c r="L21" s="1"/>
  <c r="L26" s="1"/>
  <c r="F146" i="28"/>
  <c r="H145"/>
  <c r="F147" l="1"/>
  <c r="H146"/>
  <c r="H147" l="1"/>
  <c r="F148"/>
  <c r="F149" l="1"/>
  <c r="H148"/>
  <c r="F150" l="1"/>
  <c r="H149"/>
  <c r="H150" l="1"/>
  <c r="F151"/>
  <c r="H151" l="1"/>
  <c r="F152"/>
  <c r="F153" l="1"/>
  <c r="H152"/>
  <c r="F154" l="1"/>
  <c r="H153"/>
  <c r="H154" l="1"/>
  <c r="H155" s="1"/>
  <c r="F158"/>
  <c r="N16" i="10" l="1"/>
  <c r="N17" s="1"/>
  <c r="N19" i="30"/>
  <c r="F159" i="28"/>
  <c r="H158"/>
  <c r="N24" i="10"/>
  <c r="M19"/>
  <c r="J4" i="9" s="1"/>
  <c r="N27" i="30" l="1"/>
  <c r="N20"/>
  <c r="N22" s="1"/>
  <c r="J7" i="9"/>
  <c r="J11" s="1"/>
  <c r="J12" s="1"/>
  <c r="J14"/>
  <c r="J17" s="1"/>
  <c r="M23" i="30" s="1"/>
  <c r="M24" s="1"/>
  <c r="M29" s="1"/>
  <c r="F160" i="28"/>
  <c r="H159"/>
  <c r="M20" i="10" l="1"/>
  <c r="M21" s="1"/>
  <c r="M26" s="1"/>
  <c r="H160" i="28"/>
  <c r="F161"/>
  <c r="F162" l="1"/>
  <c r="H161"/>
  <c r="F163" l="1"/>
  <c r="H162"/>
  <c r="F164" l="1"/>
  <c r="H163"/>
  <c r="F165" l="1"/>
  <c r="H164"/>
  <c r="F166" l="1"/>
  <c r="H165"/>
  <c r="F167" l="1"/>
  <c r="H166"/>
  <c r="F168" l="1"/>
  <c r="H167"/>
  <c r="F169" l="1"/>
  <c r="H168"/>
  <c r="F173" l="1"/>
  <c r="H169"/>
  <c r="H170" s="1"/>
  <c r="O16" i="10" l="1"/>
  <c r="O17" s="1"/>
  <c r="O19" i="30"/>
  <c r="F174" i="28"/>
  <c r="H173"/>
  <c r="O24" i="10"/>
  <c r="N19"/>
  <c r="K4" i="9" s="1"/>
  <c r="O27" i="30" l="1"/>
  <c r="O20"/>
  <c r="O22" s="1"/>
  <c r="F175" i="28"/>
  <c r="H174"/>
  <c r="K7" i="9"/>
  <c r="K11" s="1"/>
  <c r="K12" s="1"/>
  <c r="K14"/>
  <c r="K17" s="1"/>
  <c r="N23" i="30" s="1"/>
  <c r="N24" s="1"/>
  <c r="N29" s="1"/>
  <c r="N20" i="10" l="1"/>
  <c r="N21" s="1"/>
  <c r="N26" s="1"/>
  <c r="H175" i="28"/>
  <c r="F176"/>
  <c r="F177" l="1"/>
  <c r="H176"/>
  <c r="H177" l="1"/>
  <c r="F178"/>
  <c r="H178" l="1"/>
  <c r="F179"/>
  <c r="H179" l="1"/>
  <c r="F180"/>
  <c r="F181" l="1"/>
  <c r="H180"/>
  <c r="H181" l="1"/>
  <c r="F182"/>
  <c r="H182" l="1"/>
  <c r="F183"/>
  <c r="F184" l="1"/>
  <c r="H183"/>
  <c r="F188" l="1"/>
  <c r="H184"/>
  <c r="H185" s="1"/>
  <c r="P16" i="10" l="1"/>
  <c r="P17" s="1"/>
  <c r="P19" i="30"/>
  <c r="P24" i="10"/>
  <c r="H188" i="28"/>
  <c r="F189"/>
  <c r="O19" i="10"/>
  <c r="L4" i="9" s="1"/>
  <c r="P27" i="30" l="1"/>
  <c r="P20"/>
  <c r="P22" s="1"/>
  <c r="F190" i="28"/>
  <c r="H189"/>
  <c r="L7" i="9"/>
  <c r="L11" s="1"/>
  <c r="L12" s="1"/>
  <c r="L14"/>
  <c r="L17" s="1"/>
  <c r="O23" i="30" s="1"/>
  <c r="O24" s="1"/>
  <c r="O29" s="1"/>
  <c r="O20" i="10" l="1"/>
  <c r="O21" s="1"/>
  <c r="O26" s="1"/>
  <c r="H190" i="28"/>
  <c r="F191"/>
  <c r="F192" l="1"/>
  <c r="H191"/>
  <c r="F193" l="1"/>
  <c r="H192"/>
  <c r="H193" l="1"/>
  <c r="F194"/>
  <c r="H194" l="1"/>
  <c r="F195"/>
  <c r="F196" l="1"/>
  <c r="H195"/>
  <c r="F197" l="1"/>
  <c r="H196"/>
  <c r="H197" l="1"/>
  <c r="F198"/>
  <c r="F199" l="1"/>
  <c r="H198"/>
  <c r="F203" l="1"/>
  <c r="H199"/>
  <c r="H200" s="1"/>
  <c r="Q16" i="10" l="1"/>
  <c r="Q17" s="1"/>
  <c r="Q19" i="30"/>
  <c r="Q24" i="10"/>
  <c r="P19"/>
  <c r="M4" i="9" s="1"/>
  <c r="H203" i="28"/>
  <c r="F204"/>
  <c r="Q27" i="30" l="1"/>
  <c r="Q20"/>
  <c r="Q22" s="1"/>
  <c r="F205" i="28"/>
  <c r="H204"/>
  <c r="M14" i="9"/>
  <c r="M17" s="1"/>
  <c r="P23" i="30" s="1"/>
  <c r="P24" s="1"/>
  <c r="P29" s="1"/>
  <c r="M7" i="9"/>
  <c r="M11" s="1"/>
  <c r="M12" s="1"/>
  <c r="P20" i="10" l="1"/>
  <c r="P21" s="1"/>
  <c r="P26" s="1"/>
  <c r="F206" i="28"/>
  <c r="H205"/>
  <c r="F207" l="1"/>
  <c r="H206"/>
  <c r="F208" l="1"/>
  <c r="H207"/>
  <c r="F209" l="1"/>
  <c r="H208"/>
  <c r="F210" l="1"/>
  <c r="H209"/>
  <c r="H210" l="1"/>
  <c r="F211"/>
  <c r="H211" l="1"/>
  <c r="F212"/>
  <c r="F213" l="1"/>
  <c r="H213" s="1"/>
  <c r="H212"/>
  <c r="H215" l="1"/>
  <c r="R16" i="10" l="1"/>
  <c r="R17" s="1"/>
  <c r="R19" s="1"/>
  <c r="O4" i="9" s="1"/>
  <c r="R19" i="30"/>
  <c r="Q19" i="10"/>
  <c r="N4" i="9" s="1"/>
  <c r="R24" i="10" l="1"/>
  <c r="R27" i="30"/>
  <c r="R20"/>
  <c r="R22" s="1"/>
  <c r="O14" i="9"/>
  <c r="O17" s="1"/>
  <c r="O7"/>
  <c r="O11" s="1"/>
  <c r="N14"/>
  <c r="N7"/>
  <c r="N11" s="1"/>
  <c r="N12" s="1"/>
  <c r="O12" s="1"/>
  <c r="P12" s="1"/>
  <c r="Q12" s="1"/>
  <c r="R23" i="30" l="1"/>
  <c r="R24" s="1"/>
  <c r="R29" s="1"/>
  <c r="R20" i="10"/>
  <c r="R21" s="1"/>
  <c r="R26" s="1"/>
  <c r="Q13" i="9"/>
  <c r="R12"/>
  <c r="N17"/>
  <c r="Q23" i="30" s="1"/>
  <c r="Q24" s="1"/>
  <c r="Q29" s="1"/>
  <c r="Q15" i="9"/>
  <c r="Q20" i="10" l="1"/>
  <c r="Q21" s="1"/>
  <c r="Q26" s="1"/>
  <c r="S12" i="9"/>
  <c r="R13"/>
  <c r="Q16"/>
  <c r="R15" s="1"/>
  <c r="T12" l="1"/>
  <c r="S13"/>
  <c r="Q17"/>
  <c r="T23" i="30" s="1"/>
  <c r="T24" s="1"/>
  <c r="T29" s="1"/>
  <c r="R16" i="9"/>
  <c r="R17" s="1"/>
  <c r="U23" i="30" s="1"/>
  <c r="U24" s="1"/>
  <c r="U29" s="1"/>
  <c r="U20" i="10" l="1"/>
  <c r="U21" s="1"/>
  <c r="U26" s="1"/>
  <c r="T20"/>
  <c r="T21" s="1"/>
  <c r="T26" s="1"/>
  <c r="U12" i="9"/>
  <c r="T13"/>
  <c r="S15"/>
  <c r="S16" l="1"/>
  <c r="S17" s="1"/>
  <c r="V23" i="30" s="1"/>
  <c r="V24" s="1"/>
  <c r="V29" s="1"/>
  <c r="V12" i="9"/>
  <c r="V13" s="1"/>
  <c r="V17" s="1"/>
  <c r="Y23" i="30" s="1"/>
  <c r="Y24" s="1"/>
  <c r="Y29" s="1"/>
  <c r="U13" i="9"/>
  <c r="U17" s="1"/>
  <c r="X23" i="30" s="1"/>
  <c r="X24" s="1"/>
  <c r="X29" s="1"/>
  <c r="T15" i="9" l="1"/>
  <c r="T16" s="1"/>
  <c r="T17" s="1"/>
  <c r="W23" i="30" s="1"/>
  <c r="W24" s="1"/>
  <c r="W29" s="1"/>
  <c r="C30" s="1"/>
  <c r="F7" i="25" s="1"/>
  <c r="Y20" i="10"/>
  <c r="Y21" s="1"/>
  <c r="Y26" s="1"/>
  <c r="V20"/>
  <c r="V21" s="1"/>
  <c r="V26" s="1"/>
  <c r="X20"/>
  <c r="X21" s="1"/>
  <c r="X26" s="1"/>
  <c r="U15" i="9" l="1"/>
  <c r="U16" s="1"/>
  <c r="V15" s="1"/>
  <c r="V16" s="1"/>
  <c r="W20" i="10"/>
  <c r="W21" s="1"/>
  <c r="W26" l="1"/>
  <c r="C27" s="1"/>
  <c r="E7" i="25" s="1"/>
  <c r="D21" l="1"/>
  <c r="D20"/>
  <c r="D22"/>
  <c r="D19"/>
</calcChain>
</file>

<file path=xl/sharedStrings.xml><?xml version="1.0" encoding="utf-8"?>
<sst xmlns="http://schemas.openxmlformats.org/spreadsheetml/2006/main" count="834" uniqueCount="224">
  <si>
    <t>Assumptions:</t>
  </si>
  <si>
    <t xml:space="preserve">Location  - State </t>
  </si>
  <si>
    <t xml:space="preserve">                Place</t>
  </si>
  <si>
    <t>Project Size</t>
  </si>
  <si>
    <t>MW</t>
  </si>
  <si>
    <t>nos</t>
  </si>
  <si>
    <t>Total Project Cost</t>
  </si>
  <si>
    <t>Means of Finance</t>
  </si>
  <si>
    <t xml:space="preserve">Debt </t>
  </si>
  <si>
    <t>Equity</t>
  </si>
  <si>
    <t>Opearating Parameters</t>
  </si>
  <si>
    <t>Total Generation for the project at above PLF</t>
  </si>
  <si>
    <t>Grid Availability</t>
  </si>
  <si>
    <t>Line Loss</t>
  </si>
  <si>
    <t>OM Contract</t>
  </si>
  <si>
    <t>Total generation after Line Loss</t>
  </si>
  <si>
    <t>Life of the Wind Turbine</t>
  </si>
  <si>
    <t>Years</t>
  </si>
  <si>
    <t xml:space="preserve">O &amp; M cost </t>
  </si>
  <si>
    <t>Financial Parameters</t>
  </si>
  <si>
    <t>Interest on Term Loan</t>
  </si>
  <si>
    <t>Rupee Loan</t>
  </si>
  <si>
    <t xml:space="preserve">Tariff </t>
  </si>
  <si>
    <t>Tariff escalation</t>
  </si>
  <si>
    <t>Depreciation Rate</t>
  </si>
  <si>
    <t>As per companies Act</t>
  </si>
  <si>
    <t>Plant and machinery - SLM</t>
  </si>
  <si>
    <t>As per Income Tax Act</t>
  </si>
  <si>
    <t>Depreciation rate- first year</t>
  </si>
  <si>
    <t>Taxation</t>
  </si>
  <si>
    <t>Corporate Tax</t>
  </si>
  <si>
    <t>Land cost</t>
  </si>
  <si>
    <t>Cost per MW</t>
  </si>
  <si>
    <t>Months in period</t>
  </si>
  <si>
    <t>Fiscal year</t>
  </si>
  <si>
    <t>No.of Days</t>
  </si>
  <si>
    <t>Number of hours in a day</t>
  </si>
  <si>
    <t>Total generation at 100%, KWh</t>
  </si>
  <si>
    <t>PLF%</t>
  </si>
  <si>
    <t>Net Export,KWh</t>
  </si>
  <si>
    <t>Term Loan</t>
  </si>
  <si>
    <t>Wind Mill</t>
  </si>
  <si>
    <t>TL Amount</t>
  </si>
  <si>
    <t>Rate of Interest</t>
  </si>
  <si>
    <t>Month</t>
  </si>
  <si>
    <t>Particulars</t>
  </si>
  <si>
    <t xml:space="preserve">Debit </t>
  </si>
  <si>
    <t>Credit</t>
  </si>
  <si>
    <t>Balance</t>
  </si>
  <si>
    <t>Interest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</si>
  <si>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</si>
  <si>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</si>
  <si>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</si>
  <si>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</si>
  <si>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</si>
  <si>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</si>
  <si>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</si>
  <si>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</si>
  <si>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</si>
  <si>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</si>
  <si>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</si>
  <si>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</si>
  <si>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 xml:space="preserve">Total </t>
  </si>
  <si>
    <t>Opening Balance</t>
  </si>
  <si>
    <t>By Installment</t>
  </si>
  <si>
    <t>Year</t>
  </si>
  <si>
    <t>Depreciation Details</t>
  </si>
  <si>
    <t>Project Cost</t>
  </si>
  <si>
    <t>Less:</t>
  </si>
  <si>
    <t>100% of the asset is to be written off</t>
  </si>
  <si>
    <t xml:space="preserve">Life of the asset is </t>
  </si>
  <si>
    <t xml:space="preserve">Rate of depreciation </t>
  </si>
  <si>
    <t>Amount of depreciation on SLM</t>
  </si>
  <si>
    <t>Opening Value of assets</t>
  </si>
  <si>
    <t>Depreication</t>
  </si>
  <si>
    <t>Cumulative Depreciation</t>
  </si>
  <si>
    <t>Closing Value of Assets</t>
  </si>
  <si>
    <t>Depreciation as per Income tax Act</t>
  </si>
  <si>
    <t>Rate</t>
  </si>
  <si>
    <t>Opening value</t>
  </si>
  <si>
    <t>Depreciation for each year</t>
  </si>
  <si>
    <t>Closing value</t>
  </si>
  <si>
    <t>Tax Thereon</t>
  </si>
  <si>
    <t>Tax Calculations</t>
  </si>
  <si>
    <t>Profit Before Tax</t>
  </si>
  <si>
    <t xml:space="preserve">Add: </t>
  </si>
  <si>
    <t>Depreciation as per P/L</t>
  </si>
  <si>
    <t>TOTAL</t>
  </si>
  <si>
    <t xml:space="preserve">Depreciation as per </t>
  </si>
  <si>
    <t>Income tax Act</t>
  </si>
  <si>
    <t>Taxable Profit</t>
  </si>
  <si>
    <t>Cumulative Profit/Loss</t>
  </si>
  <si>
    <t>Tax Thereon
(10 yr tax holiday)</t>
  </si>
  <si>
    <t>Amount of Tax Payable</t>
  </si>
  <si>
    <t>P&amp;L Without CDM</t>
  </si>
  <si>
    <t>Description</t>
  </si>
  <si>
    <t>Income</t>
  </si>
  <si>
    <t>Operation &amp; Maintenance</t>
  </si>
  <si>
    <t>Total operating  Expenses</t>
  </si>
  <si>
    <t>Total Interest</t>
  </si>
  <si>
    <t>Profit/Loss  before Depreciation and Tax</t>
  </si>
  <si>
    <t>Depreciation for year</t>
  </si>
  <si>
    <t>Profit/Loss after Depreciation but before Tax</t>
  </si>
  <si>
    <t>Tax</t>
  </si>
  <si>
    <t>Profit/ Loss after tax</t>
  </si>
  <si>
    <t>Salvage Value</t>
  </si>
  <si>
    <t>INR</t>
  </si>
  <si>
    <t>Power Evacuation, kWh</t>
  </si>
  <si>
    <t>Generaton, kWh</t>
  </si>
  <si>
    <t>Percent of Asset depreciation</t>
  </si>
  <si>
    <t>PLF</t>
  </si>
  <si>
    <t>O&amp;M</t>
  </si>
  <si>
    <t>INR Millions</t>
  </si>
  <si>
    <t>Million kWh p.a.</t>
  </si>
  <si>
    <t>Net Export, Million KWh</t>
  </si>
  <si>
    <t>Net Export (in Million kWh)</t>
  </si>
  <si>
    <t>Rate per kWh (Rs).</t>
  </si>
  <si>
    <t>Total Income (Million INR)</t>
  </si>
  <si>
    <t>Expenses, Millions INR</t>
  </si>
  <si>
    <t>Depreciation as per Companies act</t>
  </si>
  <si>
    <t>Sensitivity analysis</t>
  </si>
  <si>
    <t>For sensitiity analysis please enter values in the respective cells as given below</t>
  </si>
  <si>
    <t>Tariff</t>
  </si>
  <si>
    <t>Generation Based Incentive</t>
  </si>
  <si>
    <t>GBI</t>
  </si>
  <si>
    <t>CERs</t>
  </si>
  <si>
    <t>Emission factor</t>
  </si>
  <si>
    <t>CER price</t>
  </si>
  <si>
    <t>MAT</t>
  </si>
  <si>
    <t>CER revenues</t>
  </si>
  <si>
    <t>Capacity of each WTG</t>
  </si>
  <si>
    <t>Capacity(MW)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</si>
  <si>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</si>
  <si>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</si>
  <si>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</si>
  <si>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</si>
  <si>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</si>
  <si>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</si>
  <si>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</si>
  <si>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</si>
  <si>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</si>
  <si>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</si>
  <si>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2010-11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</si>
  <si>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</si>
  <si>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</si>
  <si>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</si>
  <si>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</si>
  <si>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</si>
  <si>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</si>
  <si>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</si>
  <si>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</si>
  <si>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</si>
  <si>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</si>
  <si>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2031-2032</t>
  </si>
  <si>
    <t>Sl.N.</t>
  </si>
  <si>
    <t>Item</t>
  </si>
  <si>
    <t>No.of units</t>
  </si>
  <si>
    <t>Total Price (INR million)</t>
  </si>
  <si>
    <t>TOTAL PROJECT COST</t>
  </si>
  <si>
    <t>O&amp;M - common facility</t>
  </si>
  <si>
    <r>
      <t>TOTAL O&amp;M COST</t>
    </r>
    <r>
      <rPr>
        <b/>
        <sz val="10"/>
        <color indexed="10"/>
        <rFont val="Arial"/>
        <family val="2"/>
      </rPr>
      <t>*</t>
    </r>
  </si>
  <si>
    <r>
      <rPr>
        <b/>
        <sz val="10"/>
        <color indexed="10"/>
        <rFont val="Arial"/>
        <family val="2"/>
      </rPr>
      <t xml:space="preserve">* </t>
    </r>
    <r>
      <rPr>
        <sz val="10"/>
        <rFont val="Arial"/>
        <family val="2"/>
      </rPr>
      <t>5% escalation year on year</t>
    </r>
  </si>
  <si>
    <t>INR million</t>
  </si>
  <si>
    <t>Cost per WTG</t>
  </si>
  <si>
    <t>Interest on term loan</t>
  </si>
  <si>
    <t>Equity IRR</t>
  </si>
  <si>
    <t>Debt repayment</t>
  </si>
  <si>
    <t>Net cash flow</t>
  </si>
  <si>
    <t>Project cost</t>
  </si>
  <si>
    <t>WTG</t>
  </si>
  <si>
    <t>Price per unit (INR million)</t>
  </si>
  <si>
    <t>Annual escallation from 4th year</t>
  </si>
  <si>
    <t>10 euros has been taken</t>
  </si>
  <si>
    <t>%</t>
  </si>
  <si>
    <t>INR/KWh</t>
  </si>
  <si>
    <t>tCO2/MWh</t>
  </si>
  <si>
    <t>Board resolution of Caparo Energy (India) Limited dated 22 July 2012</t>
  </si>
  <si>
    <t>Quotations from Suzlon Energy Limited dated 04 July 2011</t>
  </si>
  <si>
    <t>Calculated</t>
  </si>
  <si>
    <t>Technical Specification document from Suzlon.</t>
  </si>
  <si>
    <t>O &amp; M Cost (in Lacs) from 3rd Year of operation</t>
  </si>
  <si>
    <t>http://www.x-rates.com/d/INR/EUR/hist2011.html</t>
  </si>
  <si>
    <t>Term Loan Parameters</t>
  </si>
  <si>
    <t>Repayment period</t>
  </si>
  <si>
    <t>Morotorium period</t>
  </si>
  <si>
    <t>Number of installments</t>
  </si>
  <si>
    <t>Installment amount</t>
  </si>
  <si>
    <t>INR Million</t>
  </si>
  <si>
    <t>O&amp;M Cost</t>
  </si>
  <si>
    <t>MAT credit available</t>
  </si>
  <si>
    <t>MATset off</t>
  </si>
  <si>
    <t>Equity IRR without CDM</t>
  </si>
  <si>
    <t>Equity IRR with CDM</t>
  </si>
  <si>
    <t>Source</t>
  </si>
  <si>
    <t>Calculated Combined Margin Emission Factor for NEWNE grid</t>
  </si>
  <si>
    <t>Parameters</t>
  </si>
  <si>
    <t>Units</t>
  </si>
  <si>
    <t>2011-12</t>
  </si>
  <si>
    <t>http://www.cwet.tn.nic.in/Docu/Tariff_SERC_23_08_2010.pdf</t>
  </si>
  <si>
    <t xml:space="preserve">Debt to Equity ratio as per IREDA loand sanction letter </t>
  </si>
  <si>
    <t>No of WTGs</t>
  </si>
  <si>
    <t>Plant Load Factor (net of Transmission loss)</t>
  </si>
  <si>
    <t>Loan sanction letter dated 15/02/2012</t>
  </si>
  <si>
    <t>Appendix I of Income Tax Rules</t>
  </si>
  <si>
    <t>Exchange rate</t>
  </si>
  <si>
    <t>Actual values based on Loan sanction letter dated 15/02/2012</t>
  </si>
  <si>
    <t>Maharashtra</t>
  </si>
  <si>
    <t>Sinner</t>
  </si>
  <si>
    <t>Third part PLF study carried out by Garrad Hassan and Partners Ltd dated 01 April 2010</t>
  </si>
  <si>
    <t>MERC Tariff order dated 29 April 2011</t>
  </si>
  <si>
    <t>Basic Cost</t>
  </si>
  <si>
    <t>Total</t>
  </si>
  <si>
    <t>Civil Works</t>
  </si>
  <si>
    <t>Erection &amp; Commissioning</t>
  </si>
  <si>
    <t>Electrical Works</t>
  </si>
  <si>
    <t>Land</t>
  </si>
  <si>
    <t>Blades</t>
  </si>
  <si>
    <t>Towers</t>
  </si>
  <si>
    <t>Transformers</t>
  </si>
  <si>
    <t>Supply of WTG</t>
  </si>
  <si>
    <t>Cost as per Quotation</t>
  </si>
  <si>
    <t>% Difference</t>
  </si>
  <si>
    <t>O&amp;M as per P.O</t>
  </si>
  <si>
    <t>O&amp;M as per Quotation</t>
  </si>
</sst>
</file>

<file path=xl/styles.xml><?xml version="1.0" encoding="utf-8"?>
<styleSheet xmlns="http://schemas.openxmlformats.org/spreadsheetml/2006/main">
  <numFmts count="6">
    <numFmt numFmtId="164" formatCode="0.0"/>
    <numFmt numFmtId="165" formatCode="_(* #,##0_);_(* \(#,##0\);_(* &quot;-&quot;??_);_(@_)"/>
    <numFmt numFmtId="166" formatCode="#,##0.000"/>
    <numFmt numFmtId="167" formatCode="#,##0.0000000"/>
    <numFmt numFmtId="168" formatCode="0.0000"/>
    <numFmt numFmtId="169" formatCode="0.000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9" fillId="0" borderId="0" applyFont="0" applyFill="0" applyBorder="0" applyAlignment="0" applyProtection="0"/>
  </cellStyleXfs>
  <cellXfs count="200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0" xfId="0" applyFont="1" applyFill="1" applyBorder="1"/>
    <xf numFmtId="164" fontId="1" fillId="0" borderId="1" xfId="0" applyNumberFormat="1" applyFont="1" applyFill="1" applyBorder="1"/>
    <xf numFmtId="0" fontId="1" fillId="0" borderId="1" xfId="0" applyFont="1" applyBorder="1"/>
    <xf numFmtId="0" fontId="1" fillId="0" borderId="1" xfId="0" applyFont="1" applyFill="1" applyBorder="1" applyAlignment="1">
      <alignment horizontal="left"/>
    </xf>
    <xf numFmtId="10" fontId="2" fillId="0" borderId="0" xfId="0" applyNumberFormat="1" applyFont="1"/>
    <xf numFmtId="10" fontId="2" fillId="0" borderId="1" xfId="0" applyNumberFormat="1" applyFont="1" applyFill="1" applyBorder="1"/>
    <xf numFmtId="9" fontId="2" fillId="0" borderId="1" xfId="0" applyNumberFormat="1" applyFont="1" applyFill="1" applyBorder="1"/>
    <xf numFmtId="0" fontId="2" fillId="0" borderId="2" xfId="0" applyFont="1" applyFill="1" applyBorder="1"/>
    <xf numFmtId="10" fontId="2" fillId="0" borderId="1" xfId="0" applyNumberFormat="1" applyFont="1" applyBorder="1"/>
    <xf numFmtId="2" fontId="2" fillId="0" borderId="1" xfId="0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Border="1"/>
    <xf numFmtId="0" fontId="1" fillId="0" borderId="1" xfId="0" applyFont="1" applyFill="1" applyBorder="1"/>
    <xf numFmtId="1" fontId="2" fillId="0" borderId="1" xfId="0" applyNumberFormat="1" applyFont="1" applyBorder="1"/>
    <xf numFmtId="1" fontId="2" fillId="0" borderId="0" xfId="0" applyNumberFormat="1" applyFont="1"/>
    <xf numFmtId="10" fontId="0" fillId="0" borderId="0" xfId="0" applyNumberFormat="1"/>
    <xf numFmtId="0" fontId="1" fillId="0" borderId="0" xfId="0" applyFont="1"/>
    <xf numFmtId="0" fontId="0" fillId="0" borderId="1" xfId="0" applyBorder="1"/>
    <xf numFmtId="1" fontId="0" fillId="0" borderId="0" xfId="0" applyNumberFormat="1" applyFill="1"/>
    <xf numFmtId="10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Fill="1" applyBorder="1"/>
    <xf numFmtId="0" fontId="0" fillId="0" borderId="1" xfId="0" applyFill="1" applyBorder="1"/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2" fontId="0" fillId="0" borderId="0" xfId="0" applyNumberFormat="1"/>
    <xf numFmtId="4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1" fillId="0" borderId="0" xfId="0" applyFont="1" applyFill="1"/>
    <xf numFmtId="4" fontId="1" fillId="0" borderId="1" xfId="0" applyNumberFormat="1" applyFont="1" applyFill="1" applyBorder="1"/>
    <xf numFmtId="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2" fontId="0" fillId="0" borderId="1" xfId="0" applyNumberFormat="1" applyFill="1" applyBorder="1"/>
    <xf numFmtId="9" fontId="0" fillId="0" borderId="1" xfId="0" applyNumberFormat="1" applyFill="1" applyBorder="1"/>
    <xf numFmtId="2" fontId="0" fillId="0" borderId="0" xfId="0" applyNumberFormat="1" applyBorder="1"/>
    <xf numFmtId="0" fontId="2" fillId="0" borderId="1" xfId="0" applyFont="1" applyBorder="1" applyAlignment="1"/>
    <xf numFmtId="0" fontId="1" fillId="3" borderId="3" xfId="0" applyFont="1" applyFill="1" applyBorder="1" applyAlignment="1"/>
    <xf numFmtId="166" fontId="0" fillId="0" borderId="1" xfId="0" applyNumberFormat="1" applyBorder="1"/>
    <xf numFmtId="166" fontId="1" fillId="0" borderId="1" xfId="0" applyNumberFormat="1" applyFont="1" applyFill="1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0" fontId="0" fillId="4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Fill="1" applyBorder="1"/>
    <xf numFmtId="0" fontId="0" fillId="5" borderId="1" xfId="0" applyFill="1" applyBorder="1" applyAlignment="1">
      <alignment wrapText="1"/>
    </xf>
    <xf numFmtId="4" fontId="1" fillId="0" borderId="1" xfId="0" applyNumberFormat="1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8" xfId="0" applyBorder="1"/>
    <xf numFmtId="1" fontId="0" fillId="0" borderId="1" xfId="0" applyNumberFormat="1" applyBorder="1"/>
    <xf numFmtId="10" fontId="0" fillId="0" borderId="9" xfId="0" applyNumberFormat="1" applyBorder="1"/>
    <xf numFmtId="1" fontId="0" fillId="0" borderId="10" xfId="0" applyNumberFormat="1" applyBorder="1"/>
    <xf numFmtId="10" fontId="0" fillId="0" borderId="11" xfId="0" applyNumberFormat="1" applyBorder="1" applyAlignment="1">
      <alignment horizontal="right"/>
    </xf>
    <xf numFmtId="0" fontId="0" fillId="0" borderId="12" xfId="0" applyBorder="1"/>
    <xf numFmtId="0" fontId="0" fillId="0" borderId="13" xfId="0" applyBorder="1"/>
    <xf numFmtId="1" fontId="0" fillId="0" borderId="13" xfId="0" applyNumberFormat="1" applyBorder="1"/>
    <xf numFmtId="10" fontId="0" fillId="0" borderId="14" xfId="0" applyNumberFormat="1" applyBorder="1"/>
    <xf numFmtId="1" fontId="0" fillId="7" borderId="1" xfId="0" applyNumberFormat="1" applyFill="1" applyBorder="1"/>
    <xf numFmtId="1" fontId="0" fillId="0" borderId="0" xfId="0" applyNumberForma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9" xfId="0" applyFont="1" applyBorder="1" applyAlignment="1">
      <alignment horizontal="right"/>
    </xf>
    <xf numFmtId="1" fontId="0" fillId="0" borderId="10" xfId="0" applyNumberFormat="1" applyFill="1" applyBorder="1"/>
    <xf numFmtId="0" fontId="0" fillId="0" borderId="0" xfId="0" applyFill="1" applyAlignment="1">
      <alignment horizontal="center"/>
    </xf>
    <xf numFmtId="0" fontId="0" fillId="0" borderId="8" xfId="0" applyFill="1" applyBorder="1"/>
    <xf numFmtId="1" fontId="0" fillId="0" borderId="1" xfId="0" applyNumberFormat="1" applyFill="1" applyBorder="1"/>
    <xf numFmtId="10" fontId="0" fillId="0" borderId="11" xfId="0" applyNumberFormat="1" applyFill="1" applyBorder="1" applyAlignment="1">
      <alignment horizontal="right"/>
    </xf>
    <xf numFmtId="1" fontId="0" fillId="7" borderId="5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68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  <xf numFmtId="168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Border="1"/>
    <xf numFmtId="2" fontId="1" fillId="0" borderId="1" xfId="0" applyNumberFormat="1" applyFont="1" applyBorder="1"/>
    <xf numFmtId="10" fontId="1" fillId="6" borderId="1" xfId="0" applyNumberFormat="1" applyFont="1" applyFill="1" applyBorder="1"/>
    <xf numFmtId="164" fontId="2" fillId="0" borderId="1" xfId="0" applyNumberFormat="1" applyFont="1" applyFill="1" applyBorder="1"/>
    <xf numFmtId="10" fontId="0" fillId="0" borderId="0" xfId="0" applyNumberFormat="1" applyFill="1"/>
    <xf numFmtId="0" fontId="1" fillId="9" borderId="0" xfId="0" applyFont="1" applyFill="1"/>
    <xf numFmtId="4" fontId="2" fillId="9" borderId="1" xfId="0" applyNumberFormat="1" applyFont="1" applyFill="1" applyBorder="1"/>
    <xf numFmtId="4" fontId="1" fillId="5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166" fontId="0" fillId="0" borderId="0" xfId="0" applyNumberFormat="1"/>
    <xf numFmtId="169" fontId="0" fillId="0" borderId="0" xfId="0" applyNumberFormat="1"/>
    <xf numFmtId="0" fontId="6" fillId="10" borderId="1" xfId="0" applyFont="1" applyFill="1" applyBorder="1" applyAlignment="1">
      <alignment horizontal="justify" vertical="top" wrapText="1"/>
    </xf>
    <xf numFmtId="9" fontId="6" fillId="1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5" borderId="1" xfId="0" applyFont="1" applyFill="1" applyBorder="1"/>
    <xf numFmtId="0" fontId="1" fillId="5" borderId="1" xfId="0" applyFont="1" applyFill="1" applyBorder="1"/>
    <xf numFmtId="2" fontId="0" fillId="5" borderId="1" xfId="0" applyNumberFormat="1" applyFill="1" applyBorder="1"/>
    <xf numFmtId="4" fontId="2" fillId="5" borderId="1" xfId="0" applyNumberFormat="1" applyFont="1" applyFill="1" applyBorder="1"/>
    <xf numFmtId="0" fontId="2" fillId="0" borderId="2" xfId="0" applyFont="1" applyFill="1" applyBorder="1" applyAlignment="1">
      <alignment horizontal="right"/>
    </xf>
    <xf numFmtId="1" fontId="2" fillId="0" borderId="9" xfId="0" applyNumberFormat="1" applyFont="1" applyBorder="1" applyAlignment="1">
      <alignment horizontal="center"/>
    </xf>
    <xf numFmtId="0" fontId="2" fillId="0" borderId="9" xfId="0" applyFont="1" applyBorder="1"/>
    <xf numFmtId="4" fontId="2" fillId="0" borderId="9" xfId="0" applyNumberFormat="1" applyFont="1" applyBorder="1"/>
    <xf numFmtId="4" fontId="2" fillId="0" borderId="9" xfId="0" applyNumberFormat="1" applyFont="1" applyFill="1" applyBorder="1"/>
    <xf numFmtId="4" fontId="2" fillId="9" borderId="9" xfId="0" applyNumberFormat="1" applyFont="1" applyFill="1" applyBorder="1"/>
    <xf numFmtId="0" fontId="1" fillId="0" borderId="9" xfId="0" applyFont="1" applyBorder="1"/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/>
    <xf numFmtId="0" fontId="1" fillId="5" borderId="0" xfId="0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1" fontId="1" fillId="0" borderId="0" xfId="0" applyNumberFormat="1" applyFont="1" applyFill="1"/>
    <xf numFmtId="1" fontId="1" fillId="0" borderId="0" xfId="0" applyNumberFormat="1" applyFont="1"/>
    <xf numFmtId="2" fontId="0" fillId="7" borderId="1" xfId="0" applyNumberFormat="1" applyFill="1" applyBorder="1"/>
    <xf numFmtId="2" fontId="0" fillId="0" borderId="10" xfId="0" applyNumberFormat="1" applyFill="1" applyBorder="1"/>
    <xf numFmtId="2" fontId="0" fillId="0" borderId="10" xfId="0" applyNumberFormat="1" applyBorder="1"/>
    <xf numFmtId="2" fontId="0" fillId="0" borderId="15" xfId="0" applyNumberFormat="1" applyBorder="1"/>
    <xf numFmtId="2" fontId="0" fillId="7" borderId="13" xfId="0" applyNumberFormat="1" applyFill="1" applyBorder="1"/>
    <xf numFmtId="0" fontId="2" fillId="0" borderId="0" xfId="0" applyFont="1" applyFill="1"/>
    <xf numFmtId="0" fontId="1" fillId="10" borderId="1" xfId="0" applyFont="1" applyFill="1" applyBorder="1"/>
    <xf numFmtId="10" fontId="0" fillId="0" borderId="1" xfId="2" applyNumberFormat="1" applyFont="1" applyBorder="1"/>
    <xf numFmtId="166" fontId="0" fillId="0" borderId="1" xfId="0" applyNumberFormat="1" applyFill="1" applyBorder="1"/>
    <xf numFmtId="4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/>
    <xf numFmtId="2" fontId="1" fillId="0" borderId="1" xfId="0" applyNumberFormat="1" applyFont="1" applyFill="1" applyBorder="1"/>
    <xf numFmtId="10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" fontId="2" fillId="0" borderId="1" xfId="0" applyNumberFormat="1" applyFont="1" applyFill="1" applyBorder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0" fontId="8" fillId="0" borderId="1" xfId="1" applyFill="1" applyBorder="1" applyAlignment="1" applyProtection="1"/>
    <xf numFmtId="0" fontId="8" fillId="0" borderId="0" xfId="1" applyFill="1" applyAlignment="1" applyProtection="1"/>
    <xf numFmtId="0" fontId="8" fillId="0" borderId="0" xfId="1" applyFill="1" applyBorder="1" applyAlignment="1" applyProtection="1"/>
    <xf numFmtId="17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0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1" fontId="0" fillId="0" borderId="13" xfId="0" applyNumberFormat="1" applyFill="1" applyBorder="1"/>
    <xf numFmtId="10" fontId="0" fillId="0" borderId="14" xfId="0" applyNumberFormat="1" applyFill="1" applyBorder="1"/>
    <xf numFmtId="1" fontId="0" fillId="0" borderId="15" xfId="0" applyNumberFormat="1" applyFill="1" applyBorder="1"/>
    <xf numFmtId="2" fontId="0" fillId="0" borderId="13" xfId="0" applyNumberFormat="1" applyFill="1" applyBorder="1"/>
    <xf numFmtId="2" fontId="0" fillId="0" borderId="15" xfId="0" applyNumberFormat="1" applyFill="1" applyBorder="1"/>
    <xf numFmtId="10" fontId="0" fillId="0" borderId="9" xfId="0" applyNumberFormat="1" applyFill="1" applyBorder="1"/>
    <xf numFmtId="1" fontId="0" fillId="0" borderId="0" xfId="0" applyNumberFormat="1" applyFill="1" applyAlignment="1">
      <alignment horizontal="center"/>
    </xf>
    <xf numFmtId="0" fontId="0" fillId="0" borderId="16" xfId="0" applyFill="1" applyBorder="1" applyAlignment="1">
      <alignment horizontal="center"/>
    </xf>
    <xf numFmtId="2" fontId="0" fillId="0" borderId="9" xfId="0" applyNumberFormat="1" applyFill="1" applyBorder="1" applyAlignment="1">
      <alignment horizontal="right"/>
    </xf>
    <xf numFmtId="0" fontId="0" fillId="0" borderId="17" xfId="0" applyFill="1" applyBorder="1" applyAlignment="1">
      <alignment horizontal="center"/>
    </xf>
    <xf numFmtId="0" fontId="2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1" fontId="0" fillId="0" borderId="0" xfId="0" applyNumberFormat="1" applyFill="1" applyAlignment="1">
      <alignment horizontal="center"/>
    </xf>
    <xf numFmtId="4" fontId="1" fillId="5" borderId="21" xfId="0" applyNumberFormat="1" applyFont="1" applyFill="1" applyBorder="1" applyAlignment="1">
      <alignment horizontal="left" vertical="center"/>
    </xf>
    <xf numFmtId="4" fontId="1" fillId="5" borderId="22" xfId="0" applyNumberFormat="1" applyFont="1" applyFill="1" applyBorder="1" applyAlignment="1">
      <alignment horizontal="left" vertical="center"/>
    </xf>
    <xf numFmtId="4" fontId="1" fillId="5" borderId="23" xfId="0" applyNumberFormat="1" applyFont="1" applyFill="1" applyBorder="1" applyAlignment="1">
      <alignment horizontal="left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wet.tn.nic.in/Docu/Tariff_SERC_23_08_2010.pdf" TargetMode="External"/><Relationship Id="rId1" Type="http://schemas.openxmlformats.org/officeDocument/2006/relationships/hyperlink" Target="http://www.x-rates.com/d/INR/EUR/hist2011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>
      <selection activeCell="G20" sqref="G20"/>
    </sheetView>
  </sheetViews>
  <sheetFormatPr defaultRowHeight="12.75"/>
  <cols>
    <col min="1" max="1" width="51.85546875" style="4" bestFit="1" customWidth="1"/>
    <col min="2" max="2" width="18.140625" style="4" bestFit="1" customWidth="1"/>
    <col min="3" max="3" width="18.140625" style="4" customWidth="1"/>
    <col min="4" max="5" width="51" style="4" customWidth="1"/>
    <col min="6" max="16384" width="9.140625" style="4"/>
  </cols>
  <sheetData>
    <row r="1" spans="1:16">
      <c r="A1" s="123" t="s">
        <v>0</v>
      </c>
      <c r="B1" s="123" t="s">
        <v>195</v>
      </c>
      <c r="C1" s="123" t="s">
        <v>196</v>
      </c>
      <c r="D1" s="126" t="s">
        <v>193</v>
      </c>
      <c r="E1" s="14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</row>
    <row r="2" spans="1:16" ht="25.5">
      <c r="A2" s="2" t="s">
        <v>1</v>
      </c>
      <c r="B2" s="25" t="s">
        <v>206</v>
      </c>
      <c r="C2" s="25"/>
      <c r="D2" s="114" t="s">
        <v>176</v>
      </c>
      <c r="E2" s="142"/>
    </row>
    <row r="3" spans="1:16">
      <c r="A3" s="2" t="s">
        <v>2</v>
      </c>
      <c r="B3" s="85" t="s">
        <v>207</v>
      </c>
      <c r="C3" s="85"/>
      <c r="D3" s="55"/>
      <c r="E3" s="143"/>
    </row>
    <row r="4" spans="1:16">
      <c r="A4" s="2" t="s">
        <v>200</v>
      </c>
      <c r="B4" s="6">
        <v>14</v>
      </c>
      <c r="C4" s="2" t="s">
        <v>5</v>
      </c>
      <c r="D4" s="2" t="s">
        <v>177</v>
      </c>
      <c r="E4" s="3"/>
    </row>
    <row r="5" spans="1:16">
      <c r="A5" s="2" t="s">
        <v>130</v>
      </c>
      <c r="B5" s="6">
        <v>2.1</v>
      </c>
      <c r="C5" s="2" t="s">
        <v>4</v>
      </c>
      <c r="D5" s="2" t="s">
        <v>177</v>
      </c>
      <c r="E5" s="3"/>
    </row>
    <row r="6" spans="1:16" ht="25.5">
      <c r="A6" s="6" t="s">
        <v>3</v>
      </c>
      <c r="B6" s="6">
        <f>B4*B5</f>
        <v>29.400000000000002</v>
      </c>
      <c r="C6" s="6" t="s">
        <v>4</v>
      </c>
      <c r="D6" s="159" t="s">
        <v>176</v>
      </c>
      <c r="E6" s="160"/>
      <c r="F6" s="151"/>
      <c r="G6" s="151"/>
      <c r="H6" s="151"/>
      <c r="I6" s="151"/>
      <c r="J6" s="151"/>
      <c r="K6" s="151"/>
      <c r="L6" s="151"/>
      <c r="M6" s="151"/>
      <c r="N6" s="151"/>
    </row>
    <row r="7" spans="1:16">
      <c r="A7" s="6" t="s">
        <v>163</v>
      </c>
      <c r="B7" s="7">
        <f>'Project Cost'!D3</f>
        <v>125.5</v>
      </c>
      <c r="C7" s="6" t="s">
        <v>112</v>
      </c>
      <c r="D7" s="6" t="s">
        <v>177</v>
      </c>
      <c r="E7" s="8"/>
      <c r="F7" s="151"/>
      <c r="G7" s="151"/>
      <c r="H7" s="151"/>
      <c r="I7" s="151"/>
      <c r="J7" s="151"/>
      <c r="K7" s="151"/>
      <c r="L7" s="151"/>
      <c r="M7" s="151"/>
      <c r="N7" s="151"/>
    </row>
    <row r="8" spans="1:16">
      <c r="A8" s="6" t="s">
        <v>6</v>
      </c>
      <c r="B8" s="161">
        <f>'Project Cost'!D2*(1+'Sensitivity Analysis'!C12)</f>
        <v>1757</v>
      </c>
      <c r="C8" s="6" t="s">
        <v>112</v>
      </c>
      <c r="D8" s="6" t="s">
        <v>178</v>
      </c>
      <c r="E8" s="8"/>
      <c r="F8" s="151"/>
      <c r="G8" s="151"/>
      <c r="H8" s="151"/>
      <c r="I8" s="151"/>
      <c r="J8" s="151"/>
      <c r="K8" s="151"/>
      <c r="L8" s="151"/>
      <c r="M8" s="151"/>
      <c r="N8" s="151"/>
    </row>
    <row r="9" spans="1:16">
      <c r="A9" s="6" t="s">
        <v>32</v>
      </c>
      <c r="B9" s="109">
        <f>B8/B6</f>
        <v>59.761904761904759</v>
      </c>
      <c r="C9" s="6" t="s">
        <v>112</v>
      </c>
      <c r="D9" s="6" t="s">
        <v>178</v>
      </c>
      <c r="E9" s="8"/>
      <c r="F9" s="151"/>
      <c r="G9" s="151"/>
      <c r="H9" s="151"/>
      <c r="I9" s="151"/>
      <c r="J9" s="151"/>
      <c r="K9" s="151"/>
      <c r="L9" s="151"/>
      <c r="M9" s="151"/>
      <c r="N9" s="151"/>
    </row>
    <row r="10" spans="1:16">
      <c r="A10" s="27" t="s">
        <v>7</v>
      </c>
      <c r="B10" s="7"/>
      <c r="C10" s="7"/>
      <c r="D10" s="6"/>
      <c r="E10" s="8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6">
      <c r="A11" s="6" t="s">
        <v>8</v>
      </c>
      <c r="B11" s="9">
        <f>B13*66.09%</f>
        <v>1161.2013000000002</v>
      </c>
      <c r="C11" s="6" t="s">
        <v>112</v>
      </c>
      <c r="D11" s="186" t="s">
        <v>199</v>
      </c>
      <c r="E11" s="162" t="s">
        <v>205</v>
      </c>
      <c r="F11" s="151"/>
      <c r="G11" s="151"/>
      <c r="H11" s="151"/>
      <c r="I11" s="151"/>
      <c r="J11" s="151"/>
      <c r="K11" s="151"/>
      <c r="L11" s="151"/>
      <c r="M11" s="151"/>
      <c r="N11" s="151"/>
    </row>
    <row r="12" spans="1:16">
      <c r="A12" s="6" t="s">
        <v>9</v>
      </c>
      <c r="B12" s="9">
        <f>B13-B11</f>
        <v>595.79869999999983</v>
      </c>
      <c r="C12" s="6" t="s">
        <v>112</v>
      </c>
      <c r="D12" s="187"/>
      <c r="E12" s="162"/>
      <c r="F12" s="151"/>
      <c r="G12" s="151"/>
      <c r="H12" s="151"/>
      <c r="I12" s="151"/>
      <c r="J12" s="151"/>
      <c r="K12" s="151"/>
      <c r="L12" s="151"/>
      <c r="M12" s="151"/>
      <c r="N12" s="151"/>
    </row>
    <row r="13" spans="1:16">
      <c r="A13" s="27" t="s">
        <v>6</v>
      </c>
      <c r="B13" s="9">
        <f>B8</f>
        <v>1757</v>
      </c>
      <c r="C13" s="11" t="s">
        <v>112</v>
      </c>
      <c r="D13" s="15" t="s">
        <v>178</v>
      </c>
      <c r="E13" s="8"/>
      <c r="F13" s="151"/>
      <c r="G13" s="151"/>
      <c r="H13" s="151"/>
      <c r="I13" s="151"/>
      <c r="J13" s="151"/>
      <c r="K13" s="151"/>
      <c r="L13" s="151"/>
      <c r="M13" s="151"/>
      <c r="N13" s="151"/>
    </row>
    <row r="14" spans="1:16">
      <c r="A14" s="27" t="s">
        <v>10</v>
      </c>
      <c r="B14" s="6"/>
      <c r="C14" s="6"/>
      <c r="D14" s="6"/>
      <c r="E14" s="8"/>
      <c r="F14" s="151"/>
      <c r="G14" s="151"/>
      <c r="H14" s="151"/>
      <c r="I14" s="151"/>
      <c r="J14" s="151"/>
      <c r="K14" s="151"/>
      <c r="L14" s="151"/>
      <c r="M14" s="151"/>
      <c r="N14" s="151"/>
    </row>
    <row r="15" spans="1:16" ht="25.5">
      <c r="A15" s="6" t="s">
        <v>201</v>
      </c>
      <c r="B15" s="110">
        <f>22.12%*(1+'Sensitivity Analysis'!C6)</f>
        <v>0.22120000000000001</v>
      </c>
      <c r="C15" s="110" t="s">
        <v>173</v>
      </c>
      <c r="D15" s="159" t="s">
        <v>208</v>
      </c>
      <c r="E15" s="160"/>
      <c r="F15" s="151"/>
      <c r="G15" s="151"/>
      <c r="H15" s="151"/>
      <c r="I15" s="151"/>
      <c r="J15" s="151"/>
      <c r="K15" s="151"/>
      <c r="L15" s="151"/>
      <c r="M15" s="151"/>
      <c r="N15" s="151"/>
    </row>
    <row r="16" spans="1:16">
      <c r="A16" s="6" t="s">
        <v>11</v>
      </c>
      <c r="B16" s="7">
        <f>+B6*24*365*1000/10^6*B15</f>
        <v>56.968732799999998</v>
      </c>
      <c r="C16" s="6" t="s">
        <v>113</v>
      </c>
      <c r="D16" s="15" t="s">
        <v>178</v>
      </c>
      <c r="E16" s="8"/>
      <c r="F16" s="151"/>
      <c r="G16" s="151"/>
      <c r="H16" s="151"/>
      <c r="I16" s="151"/>
      <c r="J16" s="151"/>
      <c r="K16" s="151"/>
      <c r="L16" s="151"/>
      <c r="M16" s="151"/>
      <c r="N16" s="151"/>
    </row>
    <row r="17" spans="1:14" ht="25.5">
      <c r="A17" s="6" t="s">
        <v>12</v>
      </c>
      <c r="B17" s="13">
        <v>1</v>
      </c>
      <c r="C17" s="13" t="s">
        <v>173</v>
      </c>
      <c r="D17" s="159" t="s">
        <v>208</v>
      </c>
      <c r="E17" s="160"/>
      <c r="F17" s="151"/>
      <c r="G17" s="151"/>
      <c r="H17" s="151"/>
      <c r="I17" s="151"/>
      <c r="J17" s="151"/>
      <c r="K17" s="151"/>
      <c r="L17" s="151"/>
      <c r="M17" s="151"/>
      <c r="N17" s="151"/>
    </row>
    <row r="18" spans="1:14">
      <c r="A18" s="6" t="s">
        <v>13</v>
      </c>
      <c r="B18" s="37">
        <v>0</v>
      </c>
      <c r="C18" s="37" t="s">
        <v>173</v>
      </c>
      <c r="D18" s="6" t="s">
        <v>14</v>
      </c>
      <c r="E18" s="8"/>
      <c r="F18" s="151"/>
      <c r="G18" s="151"/>
      <c r="H18" s="151"/>
      <c r="I18" s="151"/>
      <c r="J18" s="151"/>
      <c r="K18" s="151"/>
      <c r="L18" s="151"/>
      <c r="M18" s="151"/>
      <c r="N18" s="151"/>
    </row>
    <row r="19" spans="1:14">
      <c r="A19" s="6" t="s">
        <v>15</v>
      </c>
      <c r="B19" s="7">
        <f>+B16*(1-B18)</f>
        <v>56.968732799999998</v>
      </c>
      <c r="C19" s="6" t="s">
        <v>113</v>
      </c>
      <c r="D19" s="6" t="s">
        <v>178</v>
      </c>
      <c r="E19" s="8"/>
      <c r="F19" s="151"/>
      <c r="G19" s="151"/>
      <c r="H19" s="151"/>
      <c r="I19" s="151"/>
      <c r="J19" s="151"/>
      <c r="K19" s="151"/>
      <c r="L19" s="151"/>
      <c r="M19" s="151"/>
      <c r="N19" s="151"/>
    </row>
    <row r="20" spans="1:14">
      <c r="A20" s="6" t="s">
        <v>16</v>
      </c>
      <c r="B20" s="7">
        <v>20</v>
      </c>
      <c r="C20" s="6" t="s">
        <v>17</v>
      </c>
      <c r="D20" s="6" t="s">
        <v>179</v>
      </c>
      <c r="E20" s="8"/>
      <c r="F20" s="151"/>
      <c r="G20" s="151"/>
      <c r="H20" s="151"/>
      <c r="I20" s="151"/>
      <c r="J20" s="151"/>
      <c r="K20" s="151"/>
      <c r="L20" s="151"/>
      <c r="M20" s="151"/>
      <c r="N20" s="151"/>
    </row>
    <row r="21" spans="1:14">
      <c r="A21" s="27" t="s">
        <v>18</v>
      </c>
      <c r="B21" s="7"/>
      <c r="C21" s="7"/>
      <c r="D21" s="6"/>
      <c r="E21" s="8"/>
      <c r="F21" s="151"/>
      <c r="G21" s="151"/>
      <c r="H21" s="151"/>
      <c r="I21" s="151"/>
      <c r="J21" s="151"/>
      <c r="K21" s="151"/>
      <c r="L21" s="151"/>
      <c r="M21" s="151"/>
      <c r="N21" s="151"/>
    </row>
    <row r="22" spans="1:14">
      <c r="A22" s="6" t="s">
        <v>180</v>
      </c>
      <c r="B22" s="7">
        <f>'Project Cost'!F12*(1+'Sensitivity Analysis'!C8)</f>
        <v>29.861999999999998</v>
      </c>
      <c r="C22" s="7" t="s">
        <v>112</v>
      </c>
      <c r="D22" s="6" t="s">
        <v>177</v>
      </c>
      <c r="E22" s="8"/>
      <c r="F22" s="151"/>
      <c r="G22" s="151"/>
      <c r="H22" s="151"/>
      <c r="I22" s="151"/>
      <c r="J22" s="151"/>
      <c r="K22" s="151"/>
      <c r="L22" s="151"/>
      <c r="M22" s="151"/>
      <c r="N22" s="151"/>
    </row>
    <row r="23" spans="1:14">
      <c r="A23" s="6" t="s">
        <v>171</v>
      </c>
      <c r="B23" s="13">
        <v>0.05</v>
      </c>
      <c r="C23" s="13" t="s">
        <v>173</v>
      </c>
      <c r="D23" s="6" t="s">
        <v>177</v>
      </c>
      <c r="E23" s="8"/>
      <c r="F23" s="151"/>
      <c r="G23" s="151"/>
      <c r="H23" s="151"/>
      <c r="I23" s="151"/>
      <c r="J23" s="151"/>
      <c r="K23" s="151"/>
      <c r="L23" s="151"/>
      <c r="M23" s="151"/>
      <c r="N23" s="151"/>
    </row>
    <row r="24" spans="1:14">
      <c r="A24" s="6"/>
      <c r="B24" s="7"/>
      <c r="C24" s="7"/>
      <c r="D24" s="6"/>
      <c r="E24" s="8"/>
      <c r="F24" s="151"/>
      <c r="G24" s="151"/>
      <c r="H24" s="151"/>
      <c r="I24" s="151"/>
      <c r="J24" s="151"/>
      <c r="K24" s="151"/>
      <c r="L24" s="151"/>
      <c r="M24" s="151"/>
      <c r="N24" s="151"/>
    </row>
    <row r="25" spans="1:14">
      <c r="A25" s="6"/>
      <c r="B25" s="13"/>
      <c r="C25" s="13"/>
      <c r="D25" s="6"/>
      <c r="E25" s="8"/>
      <c r="F25" s="151"/>
      <c r="G25" s="151"/>
      <c r="H25" s="151"/>
      <c r="I25" s="151"/>
      <c r="J25" s="151"/>
      <c r="K25" s="151"/>
      <c r="L25" s="151"/>
      <c r="M25" s="151"/>
      <c r="N25" s="151"/>
    </row>
    <row r="26" spans="1:14">
      <c r="A26" s="27" t="s">
        <v>19</v>
      </c>
      <c r="B26" s="6"/>
      <c r="C26" s="6"/>
      <c r="D26" s="6"/>
      <c r="E26" s="8"/>
      <c r="F26" s="151"/>
      <c r="G26" s="151"/>
      <c r="H26" s="151"/>
      <c r="I26" s="151"/>
      <c r="J26" s="151"/>
      <c r="K26" s="151"/>
      <c r="L26" s="151"/>
      <c r="M26" s="151"/>
      <c r="N26" s="151"/>
    </row>
    <row r="27" spans="1:14">
      <c r="A27" s="6" t="s">
        <v>20</v>
      </c>
      <c r="B27" s="6"/>
      <c r="C27" s="6"/>
      <c r="D27" s="6"/>
      <c r="E27" s="8"/>
      <c r="F27" s="151"/>
      <c r="G27" s="151"/>
      <c r="H27" s="151"/>
      <c r="I27" s="151"/>
      <c r="J27" s="151"/>
      <c r="K27" s="151"/>
      <c r="L27" s="151"/>
      <c r="M27" s="151"/>
      <c r="N27" s="151"/>
    </row>
    <row r="28" spans="1:14">
      <c r="A28" s="6" t="s">
        <v>21</v>
      </c>
      <c r="B28" s="13">
        <f>9.75%+3.25%-0.35%</f>
        <v>0.1265</v>
      </c>
      <c r="C28" s="13" t="s">
        <v>173</v>
      </c>
      <c r="D28" s="6" t="s">
        <v>202</v>
      </c>
      <c r="E28" s="162" t="s">
        <v>205</v>
      </c>
      <c r="F28" s="151"/>
      <c r="G28" s="151"/>
      <c r="H28" s="151"/>
      <c r="I28" s="151"/>
      <c r="J28" s="151"/>
      <c r="K28" s="151"/>
      <c r="L28" s="151"/>
      <c r="M28" s="151"/>
      <c r="N28" s="151"/>
    </row>
    <row r="29" spans="1:14">
      <c r="A29" s="6" t="s">
        <v>22</v>
      </c>
      <c r="B29" s="7">
        <f>4.67*(1+'Sensitivity Analysis'!C10)</f>
        <v>4.67</v>
      </c>
      <c r="C29" s="163" t="s">
        <v>174</v>
      </c>
      <c r="D29" s="164" t="s">
        <v>209</v>
      </c>
      <c r="E29" s="165"/>
      <c r="F29" s="151"/>
      <c r="G29" s="151"/>
      <c r="H29" s="151"/>
      <c r="I29" s="151"/>
      <c r="J29" s="151"/>
      <c r="K29" s="151"/>
      <c r="L29" s="151"/>
      <c r="M29" s="151"/>
      <c r="N29" s="151"/>
    </row>
    <row r="30" spans="1:14">
      <c r="A30" s="6" t="s">
        <v>23</v>
      </c>
      <c r="B30" s="13">
        <v>0</v>
      </c>
      <c r="C30" s="13" t="s">
        <v>173</v>
      </c>
      <c r="D30" s="6"/>
      <c r="E30" s="8"/>
      <c r="F30" s="151"/>
      <c r="G30" s="151"/>
      <c r="H30" s="151"/>
      <c r="I30" s="151"/>
      <c r="J30" s="151"/>
      <c r="K30" s="151"/>
      <c r="L30" s="151"/>
      <c r="M30" s="151"/>
      <c r="N30" s="151"/>
    </row>
    <row r="31" spans="1:14">
      <c r="A31" s="27"/>
      <c r="B31" s="13"/>
      <c r="C31" s="13"/>
      <c r="D31" s="6"/>
      <c r="E31" s="8"/>
      <c r="F31" s="151"/>
      <c r="G31" s="151"/>
      <c r="H31" s="151"/>
      <c r="I31" s="151"/>
      <c r="J31" s="151"/>
      <c r="K31" s="151"/>
      <c r="L31" s="151"/>
      <c r="M31" s="151"/>
      <c r="N31" s="151"/>
    </row>
    <row r="32" spans="1:14">
      <c r="A32" s="27" t="s">
        <v>182</v>
      </c>
      <c r="B32" s="13"/>
      <c r="C32" s="13"/>
      <c r="D32" s="6"/>
      <c r="E32" s="8"/>
      <c r="F32" s="151"/>
      <c r="G32" s="151"/>
      <c r="H32" s="151"/>
      <c r="I32" s="151"/>
      <c r="J32" s="151"/>
      <c r="K32" s="151"/>
      <c r="L32" s="151"/>
      <c r="M32" s="151"/>
      <c r="N32" s="151"/>
    </row>
    <row r="33" spans="1:14">
      <c r="A33" s="6" t="s">
        <v>183</v>
      </c>
      <c r="B33" s="7">
        <v>12.5</v>
      </c>
      <c r="C33" s="13" t="s">
        <v>17</v>
      </c>
      <c r="D33" s="6" t="s">
        <v>202</v>
      </c>
      <c r="E33" s="162" t="s">
        <v>205</v>
      </c>
      <c r="F33" s="151"/>
      <c r="G33" s="151"/>
      <c r="H33" s="151"/>
      <c r="I33" s="151"/>
      <c r="J33" s="151"/>
      <c r="K33" s="151"/>
      <c r="L33" s="151"/>
      <c r="M33" s="151"/>
      <c r="N33" s="151"/>
    </row>
    <row r="34" spans="1:14">
      <c r="A34" s="6" t="s">
        <v>184</v>
      </c>
      <c r="B34" s="115">
        <v>0</v>
      </c>
      <c r="C34" s="13" t="s">
        <v>17</v>
      </c>
      <c r="D34" s="6"/>
      <c r="E34" s="8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1:14">
      <c r="A35" s="6" t="s">
        <v>185</v>
      </c>
      <c r="B35" s="115">
        <f>B33*12</f>
        <v>150</v>
      </c>
      <c r="C35" s="151"/>
      <c r="D35" s="6"/>
      <c r="E35" s="8"/>
      <c r="F35" s="151"/>
      <c r="G35" s="151"/>
      <c r="H35" s="151"/>
      <c r="I35" s="151"/>
      <c r="J35" s="151"/>
      <c r="K35" s="151"/>
      <c r="L35" s="151"/>
      <c r="M35" s="151"/>
      <c r="N35" s="151"/>
    </row>
    <row r="36" spans="1:14" ht="25.5">
      <c r="A36" s="6" t="s">
        <v>186</v>
      </c>
      <c r="B36" s="7">
        <f>B11/B35</f>
        <v>7.7413420000000013</v>
      </c>
      <c r="C36" s="13" t="s">
        <v>187</v>
      </c>
      <c r="D36" s="6"/>
      <c r="E36" s="159" t="s">
        <v>208</v>
      </c>
      <c r="F36" s="151"/>
      <c r="G36" s="151"/>
      <c r="H36" s="151"/>
      <c r="I36" s="151"/>
      <c r="J36" s="151"/>
      <c r="K36" s="151"/>
      <c r="L36" s="151"/>
      <c r="M36" s="151"/>
      <c r="N36" s="151"/>
    </row>
    <row r="37" spans="1:14">
      <c r="A37" s="27" t="s">
        <v>24</v>
      </c>
      <c r="B37" s="14"/>
      <c r="C37" s="14"/>
      <c r="D37" s="6"/>
      <c r="E37" s="8"/>
      <c r="F37" s="151"/>
      <c r="G37" s="151"/>
      <c r="H37" s="151"/>
      <c r="I37" s="151"/>
      <c r="J37" s="151"/>
      <c r="K37" s="151"/>
      <c r="L37" s="151"/>
      <c r="M37" s="151"/>
      <c r="N37" s="151"/>
    </row>
    <row r="38" spans="1:14">
      <c r="A38" s="27" t="s">
        <v>25</v>
      </c>
      <c r="B38" s="14"/>
      <c r="C38" s="14"/>
      <c r="D38" s="6"/>
      <c r="E38" s="8"/>
      <c r="F38" s="151"/>
      <c r="G38" s="151"/>
      <c r="H38" s="151"/>
      <c r="I38" s="151"/>
      <c r="J38" s="151"/>
      <c r="K38" s="151"/>
      <c r="L38" s="151"/>
      <c r="M38" s="151"/>
      <c r="N38" s="151"/>
    </row>
    <row r="39" spans="1:14">
      <c r="A39" s="6" t="s">
        <v>26</v>
      </c>
      <c r="B39" s="13">
        <v>5.28E-2</v>
      </c>
      <c r="C39" s="13" t="s">
        <v>173</v>
      </c>
      <c r="D39" s="165" t="s">
        <v>198</v>
      </c>
      <c r="E39" s="165"/>
      <c r="F39" s="151"/>
      <c r="G39" s="151"/>
      <c r="H39" s="151"/>
      <c r="I39" s="151"/>
      <c r="J39" s="151"/>
      <c r="K39" s="151"/>
      <c r="L39" s="151"/>
      <c r="M39" s="151"/>
      <c r="N39" s="151"/>
    </row>
    <row r="40" spans="1:14">
      <c r="A40" s="27" t="s">
        <v>27</v>
      </c>
      <c r="B40" s="14"/>
      <c r="C40" s="14"/>
      <c r="D40" s="6"/>
      <c r="E40" s="8"/>
      <c r="F40" s="151"/>
      <c r="G40" s="151"/>
      <c r="H40" s="151"/>
      <c r="I40" s="151"/>
      <c r="J40" s="151"/>
      <c r="K40" s="151"/>
      <c r="L40" s="151"/>
      <c r="M40" s="151"/>
      <c r="N40" s="151"/>
    </row>
    <row r="41" spans="1:14">
      <c r="A41" s="6" t="s">
        <v>28</v>
      </c>
      <c r="B41" s="14">
        <v>0.15</v>
      </c>
      <c r="C41" s="14" t="s">
        <v>173</v>
      </c>
      <c r="D41" s="6" t="s">
        <v>203</v>
      </c>
      <c r="E41" s="8"/>
      <c r="F41" s="151"/>
      <c r="G41" s="151"/>
      <c r="H41" s="151"/>
      <c r="I41" s="151"/>
      <c r="J41" s="151"/>
      <c r="K41" s="151"/>
      <c r="L41" s="151"/>
      <c r="M41" s="151"/>
      <c r="N41" s="151"/>
    </row>
    <row r="42" spans="1:14">
      <c r="A42" s="6"/>
      <c r="B42" s="14"/>
      <c r="C42" s="14"/>
      <c r="D42" s="6"/>
      <c r="E42" s="8"/>
      <c r="F42" s="151"/>
      <c r="G42" s="151"/>
      <c r="H42" s="151"/>
      <c r="I42" s="151"/>
      <c r="J42" s="151"/>
      <c r="K42" s="151"/>
      <c r="L42" s="151"/>
      <c r="M42" s="151"/>
      <c r="N42" s="151"/>
    </row>
    <row r="43" spans="1:14">
      <c r="A43" s="27" t="s">
        <v>29</v>
      </c>
      <c r="B43" s="14"/>
      <c r="C43" s="14"/>
      <c r="D43" s="6"/>
      <c r="E43" s="8"/>
      <c r="F43" s="151"/>
      <c r="G43" s="151"/>
      <c r="H43" s="151"/>
      <c r="I43" s="151"/>
      <c r="J43" s="151"/>
      <c r="K43" s="151"/>
      <c r="L43" s="151"/>
      <c r="M43" s="151"/>
      <c r="N43" s="151"/>
    </row>
    <row r="44" spans="1:14">
      <c r="A44" s="6" t="s">
        <v>30</v>
      </c>
      <c r="B44" s="13">
        <v>0.32450000000000001</v>
      </c>
      <c r="C44" s="13" t="s">
        <v>173</v>
      </c>
      <c r="D44" s="6"/>
      <c r="E44" s="8"/>
      <c r="F44" s="151"/>
      <c r="G44" s="151"/>
      <c r="H44" s="151"/>
      <c r="I44" s="151"/>
      <c r="J44" s="151"/>
      <c r="K44" s="151"/>
      <c r="L44" s="151"/>
      <c r="M44" s="151"/>
      <c r="N44" s="151"/>
    </row>
    <row r="45" spans="1:14">
      <c r="A45" s="6" t="s">
        <v>128</v>
      </c>
      <c r="B45" s="14">
        <v>0.2001</v>
      </c>
      <c r="C45" s="14" t="s">
        <v>173</v>
      </c>
      <c r="D45" s="6"/>
      <c r="E45" s="8"/>
      <c r="F45" s="151"/>
      <c r="G45" s="151"/>
      <c r="H45" s="151"/>
      <c r="I45" s="151"/>
      <c r="J45" s="151"/>
      <c r="K45" s="151"/>
      <c r="L45" s="151"/>
      <c r="M45" s="151"/>
      <c r="N45" s="151"/>
    </row>
    <row r="46" spans="1:14">
      <c r="A46" s="27" t="s">
        <v>125</v>
      </c>
      <c r="B46" s="6"/>
      <c r="C46" s="6"/>
      <c r="D46" s="6"/>
      <c r="E46" s="8"/>
      <c r="F46" s="151"/>
      <c r="G46" s="151"/>
      <c r="H46" s="151"/>
      <c r="I46" s="151"/>
      <c r="J46" s="151"/>
      <c r="K46" s="151"/>
      <c r="L46" s="151"/>
      <c r="M46" s="151"/>
      <c r="N46" s="151"/>
    </row>
    <row r="47" spans="1:14" ht="25.5">
      <c r="A47" s="6" t="s">
        <v>126</v>
      </c>
      <c r="B47" s="6">
        <v>0.95269999999999999</v>
      </c>
      <c r="C47" s="6" t="s">
        <v>175</v>
      </c>
      <c r="D47" s="159" t="s">
        <v>194</v>
      </c>
      <c r="E47" s="160"/>
      <c r="F47" s="151"/>
      <c r="G47" s="151"/>
      <c r="H47" s="151"/>
      <c r="I47" s="151"/>
      <c r="J47" s="151"/>
      <c r="K47" s="151"/>
      <c r="L47" s="151"/>
      <c r="M47" s="151"/>
      <c r="N47" s="151"/>
    </row>
    <row r="48" spans="1:14">
      <c r="A48" s="6" t="s">
        <v>127</v>
      </c>
      <c r="B48" s="6">
        <v>10</v>
      </c>
      <c r="C48" s="6"/>
      <c r="D48" s="6" t="s">
        <v>172</v>
      </c>
      <c r="E48" s="8"/>
      <c r="F48" s="151"/>
      <c r="G48" s="151"/>
      <c r="H48" s="151"/>
      <c r="I48" s="151"/>
      <c r="J48" s="151"/>
      <c r="K48" s="151"/>
      <c r="L48" s="151"/>
      <c r="M48" s="151"/>
      <c r="N48" s="151"/>
    </row>
    <row r="49" spans="1:14">
      <c r="A49" s="15" t="s">
        <v>204</v>
      </c>
      <c r="B49" s="6">
        <v>64.52</v>
      </c>
      <c r="C49" s="6" t="s">
        <v>106</v>
      </c>
      <c r="D49" s="164" t="s">
        <v>181</v>
      </c>
      <c r="E49" s="166"/>
      <c r="F49" s="151"/>
      <c r="G49" s="151"/>
      <c r="H49" s="151"/>
      <c r="I49" s="151"/>
      <c r="J49" s="151"/>
      <c r="K49" s="151"/>
      <c r="L49" s="151"/>
      <c r="M49" s="151"/>
      <c r="N49" s="151"/>
    </row>
    <row r="50" spans="1:14">
      <c r="A50" s="6"/>
      <c r="B50" s="167"/>
      <c r="C50" s="167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</row>
    <row r="51" spans="1:14">
      <c r="A51" s="151"/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</row>
    <row r="52" spans="1:14">
      <c r="A52" s="151"/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</row>
    <row r="53" spans="1:14">
      <c r="A53" s="151"/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</row>
    <row r="54" spans="1:14">
      <c r="A54" s="151"/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</row>
    <row r="55" spans="1:14">
      <c r="A55" s="151"/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</row>
    <row r="56" spans="1:14">
      <c r="A56" s="151"/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</row>
    <row r="57" spans="1:14">
      <c r="A57" s="151"/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</row>
    <row r="58" spans="1:14">
      <c r="A58" s="151"/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</row>
    <row r="59" spans="1:14">
      <c r="A59" s="151"/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</row>
    <row r="60" spans="1:14">
      <c r="A60" s="151"/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</row>
    <row r="61" spans="1:14">
      <c r="A61" s="151"/>
      <c r="B61" s="151"/>
      <c r="C61" s="151"/>
      <c r="D61" s="151"/>
      <c r="E61" s="151"/>
      <c r="F61" s="151"/>
      <c r="G61" s="151"/>
      <c r="H61" s="151"/>
      <c r="I61" s="151"/>
      <c r="J61" s="151"/>
      <c r="K61" s="151"/>
      <c r="L61" s="151"/>
      <c r="M61" s="151"/>
      <c r="N61" s="151"/>
    </row>
    <row r="62" spans="1:14">
      <c r="A62" s="151"/>
      <c r="B62" s="151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</row>
    <row r="63" spans="1:14">
      <c r="A63" s="151"/>
      <c r="B63" s="15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</row>
    <row r="64" spans="1:14">
      <c r="A64" s="151"/>
      <c r="B64" s="151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</row>
    <row r="65" spans="1:14">
      <c r="A65" s="151"/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</row>
    <row r="66" spans="1:14">
      <c r="A66" s="151"/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</row>
    <row r="67" spans="1:14">
      <c r="A67" s="151"/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</row>
    <row r="68" spans="1:14">
      <c r="A68" s="151"/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</row>
    <row r="69" spans="1:14">
      <c r="A69" s="151"/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</row>
    <row r="70" spans="1:14">
      <c r="A70" s="151"/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</row>
    <row r="71" spans="1:14">
      <c r="A71" s="151"/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</row>
    <row r="72" spans="1:14">
      <c r="A72" s="151"/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</row>
    <row r="73" spans="1:14">
      <c r="A73" s="151"/>
      <c r="B73" s="151"/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</row>
    <row r="74" spans="1:14">
      <c r="A74" s="151"/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</row>
    <row r="75" spans="1:14">
      <c r="A75" s="151"/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</row>
    <row r="76" spans="1:14">
      <c r="A76" s="151"/>
      <c r="B76" s="151"/>
      <c r="C76" s="151"/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</row>
    <row r="77" spans="1:14">
      <c r="A77" s="151"/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</row>
    <row r="78" spans="1:14">
      <c r="A78" s="151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</row>
    <row r="79" spans="1:14">
      <c r="A79" s="151"/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</row>
    <row r="80" spans="1:14">
      <c r="A80" s="151"/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</row>
    <row r="81" spans="1:14">
      <c r="A81" s="151"/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</row>
    <row r="82" spans="1:14">
      <c r="A82" s="151"/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</row>
    <row r="83" spans="1:14">
      <c r="A83" s="151"/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</row>
    <row r="84" spans="1:14">
      <c r="A84" s="151"/>
      <c r="B84" s="151"/>
      <c r="C84" s="151"/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</row>
    <row r="85" spans="1:14">
      <c r="A85" s="151"/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</row>
    <row r="86" spans="1:14">
      <c r="A86" s="151"/>
      <c r="B86" s="151"/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</row>
    <row r="87" spans="1:14">
      <c r="A87" s="151"/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</row>
    <row r="88" spans="1:14">
      <c r="A88" s="151"/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</row>
    <row r="89" spans="1:14">
      <c r="A89" s="151"/>
      <c r="B89" s="151"/>
      <c r="C89" s="151"/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1"/>
    </row>
    <row r="90" spans="1:14">
      <c r="A90" s="151"/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</row>
    <row r="91" spans="1:14">
      <c r="A91" s="151"/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  <c r="M91" s="151"/>
      <c r="N91" s="151"/>
    </row>
    <row r="92" spans="1:14">
      <c r="A92" s="151"/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</row>
    <row r="93" spans="1:14">
      <c r="A93" s="151"/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</row>
    <row r="94" spans="1:14">
      <c r="A94" s="151"/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51"/>
    </row>
    <row r="95" spans="1:14">
      <c r="A95" s="151"/>
      <c r="B95" s="151"/>
      <c r="C95" s="151"/>
      <c r="D95" s="151"/>
      <c r="E95" s="151"/>
      <c r="F95" s="151"/>
      <c r="G95" s="151"/>
      <c r="H95" s="151"/>
      <c r="I95" s="151"/>
      <c r="J95" s="151"/>
      <c r="K95" s="151"/>
      <c r="L95" s="151"/>
      <c r="M95" s="151"/>
      <c r="N95" s="151"/>
    </row>
    <row r="96" spans="1:14">
      <c r="A96" s="151"/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1"/>
    </row>
    <row r="97" spans="1:14">
      <c r="A97" s="151"/>
      <c r="B97" s="151"/>
      <c r="C97" s="151"/>
      <c r="D97" s="151"/>
      <c r="E97" s="151"/>
      <c r="F97" s="151"/>
      <c r="G97" s="151"/>
      <c r="H97" s="151"/>
      <c r="I97" s="151"/>
      <c r="J97" s="151"/>
      <c r="K97" s="151"/>
      <c r="L97" s="151"/>
      <c r="M97" s="151"/>
      <c r="N97" s="151"/>
    </row>
    <row r="98" spans="1:14">
      <c r="A98" s="151"/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</row>
    <row r="99" spans="1:14">
      <c r="A99" s="151"/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</row>
    <row r="100" spans="1:14">
      <c r="A100" s="151"/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</row>
    <row r="101" spans="1:14">
      <c r="A101" s="151"/>
      <c r="B101" s="151"/>
      <c r="C101" s="151"/>
      <c r="D101" s="151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</row>
    <row r="102" spans="1:14">
      <c r="A102" s="151"/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</row>
    <row r="103" spans="1:14">
      <c r="A103" s="151"/>
      <c r="B103" s="151"/>
      <c r="C103" s="151"/>
      <c r="D103" s="151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</row>
    <row r="104" spans="1:14">
      <c r="A104" s="151"/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</row>
    <row r="105" spans="1:14">
      <c r="A105" s="151"/>
      <c r="B105" s="151"/>
      <c r="C105" s="151"/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</row>
    <row r="106" spans="1:14">
      <c r="A106" s="151"/>
      <c r="B106" s="151"/>
      <c r="C106" s="151"/>
      <c r="D106" s="151"/>
      <c r="E106" s="151"/>
      <c r="F106" s="151"/>
      <c r="G106" s="151"/>
      <c r="H106" s="151"/>
      <c r="I106" s="151"/>
      <c r="J106" s="151"/>
      <c r="K106" s="151"/>
      <c r="L106" s="151"/>
      <c r="M106" s="151"/>
      <c r="N106" s="151"/>
    </row>
    <row r="107" spans="1:14">
      <c r="A107" s="151"/>
      <c r="B107" s="151"/>
      <c r="C107" s="151"/>
      <c r="D107" s="151"/>
      <c r="E107" s="151"/>
      <c r="F107" s="151"/>
      <c r="G107" s="151"/>
      <c r="H107" s="151"/>
      <c r="I107" s="151"/>
      <c r="J107" s="151"/>
      <c r="K107" s="151"/>
      <c r="L107" s="151"/>
      <c r="M107" s="151"/>
      <c r="N107" s="151"/>
    </row>
    <row r="108" spans="1:14">
      <c r="A108" s="151"/>
      <c r="B108" s="151"/>
      <c r="C108" s="151"/>
      <c r="D108" s="151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</row>
    <row r="109" spans="1:14">
      <c r="A109" s="151"/>
      <c r="B109" s="151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</row>
    <row r="110" spans="1:14">
      <c r="A110" s="151"/>
      <c r="B110" s="151"/>
      <c r="C110" s="151"/>
      <c r="D110" s="151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</row>
    <row r="111" spans="1:14">
      <c r="A111" s="151"/>
      <c r="B111" s="151"/>
      <c r="C111" s="151"/>
      <c r="D111" s="151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</row>
    <row r="112" spans="1:14">
      <c r="A112" s="151"/>
      <c r="B112" s="151"/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</row>
  </sheetData>
  <dataConsolidate/>
  <mergeCells count="1">
    <mergeCell ref="D11:D12"/>
  </mergeCells>
  <phoneticPr fontId="0" type="noConversion"/>
  <hyperlinks>
    <hyperlink ref="D49" r:id="rId1"/>
    <hyperlink ref="D39" r:id="rId2"/>
  </hyperlinks>
  <pageMargins left="0" right="0" top="0" bottom="0" header="0" footer="0"/>
  <pageSetup orientation="portrait" verticalDpi="180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2:E20"/>
  <sheetViews>
    <sheetView workbookViewId="0">
      <selection activeCell="B29" sqref="B29"/>
    </sheetView>
  </sheetViews>
  <sheetFormatPr defaultRowHeight="12.75"/>
  <cols>
    <col min="2" max="2" width="25" customWidth="1"/>
    <col min="3" max="3" width="17" customWidth="1"/>
    <col min="4" max="4" width="12.85546875" customWidth="1"/>
    <col min="5" max="5" width="17.42578125" customWidth="1"/>
  </cols>
  <sheetData>
    <row r="2" spans="2:5">
      <c r="B2" s="152" t="s">
        <v>195</v>
      </c>
      <c r="C2" s="152" t="s">
        <v>210</v>
      </c>
      <c r="D2" s="152" t="s">
        <v>103</v>
      </c>
      <c r="E2" s="152" t="s">
        <v>211</v>
      </c>
    </row>
    <row r="3" spans="2:5">
      <c r="B3" s="32" t="s">
        <v>212</v>
      </c>
      <c r="C3" s="32">
        <v>58380000</v>
      </c>
      <c r="D3" s="32">
        <v>6013140</v>
      </c>
      <c r="E3" s="32">
        <v>64393140</v>
      </c>
    </row>
    <row r="4" spans="2:5">
      <c r="B4" s="32" t="s">
        <v>213</v>
      </c>
      <c r="C4" s="32">
        <v>62531000</v>
      </c>
      <c r="D4" s="32">
        <v>6440693</v>
      </c>
      <c r="E4" s="32">
        <v>68971693</v>
      </c>
    </row>
    <row r="5" spans="2:5">
      <c r="B5" s="32" t="s">
        <v>214</v>
      </c>
      <c r="C5" s="32">
        <v>56429736</v>
      </c>
      <c r="D5" s="32">
        <v>5812262.8080000002</v>
      </c>
      <c r="E5" s="32">
        <v>62241998.810000002</v>
      </c>
    </row>
    <row r="6" spans="2:5">
      <c r="B6" s="32" t="s">
        <v>215</v>
      </c>
      <c r="C6" s="32">
        <v>49000000</v>
      </c>
      <c r="D6" s="32"/>
      <c r="E6" s="32">
        <v>49000000</v>
      </c>
    </row>
    <row r="7" spans="2:5">
      <c r="B7" s="32" t="s">
        <v>216</v>
      </c>
      <c r="C7" s="32">
        <v>179200000</v>
      </c>
      <c r="D7" s="32"/>
      <c r="E7" s="32">
        <v>179200000</v>
      </c>
    </row>
    <row r="8" spans="2:5">
      <c r="B8" s="32" t="s">
        <v>217</v>
      </c>
      <c r="C8" s="32">
        <v>261800000</v>
      </c>
      <c r="D8" s="32"/>
      <c r="E8" s="32">
        <v>261800000</v>
      </c>
    </row>
    <row r="9" spans="2:5">
      <c r="B9" s="32" t="s">
        <v>218</v>
      </c>
      <c r="C9" s="32">
        <v>22106000</v>
      </c>
      <c r="D9" s="32"/>
      <c r="E9" s="32">
        <v>22106000</v>
      </c>
    </row>
    <row r="10" spans="2:5">
      <c r="B10" s="32" t="s">
        <v>219</v>
      </c>
      <c r="C10" s="32">
        <v>857661000</v>
      </c>
      <c r="D10" s="32"/>
      <c r="E10" s="32">
        <v>857661000</v>
      </c>
    </row>
    <row r="11" spans="2:5">
      <c r="B11" s="32" t="s">
        <v>211</v>
      </c>
      <c r="C11" s="32">
        <v>1547.1077359999999</v>
      </c>
      <c r="D11" s="32"/>
      <c r="E11" s="32">
        <v>1565.373832</v>
      </c>
    </row>
    <row r="12" spans="2:5">
      <c r="B12" s="32"/>
      <c r="C12" s="32"/>
      <c r="D12" s="32"/>
      <c r="E12" s="32"/>
    </row>
    <row r="13" spans="2:5">
      <c r="B13" s="32" t="s">
        <v>220</v>
      </c>
      <c r="C13" s="32">
        <v>1757</v>
      </c>
      <c r="D13" s="32"/>
      <c r="E13" s="32"/>
    </row>
    <row r="14" spans="2:5">
      <c r="B14" s="32" t="s">
        <v>221</v>
      </c>
      <c r="C14" s="34">
        <f>(C13-E11)/C13</f>
        <v>0.10906440978941377</v>
      </c>
      <c r="D14" s="32"/>
      <c r="E14" s="32"/>
    </row>
    <row r="18" spans="2:3">
      <c r="B18" s="32" t="s">
        <v>222</v>
      </c>
      <c r="C18" s="32">
        <f>((1044500+987000)*14)/10^6</f>
        <v>28.440999999999999</v>
      </c>
    </row>
    <row r="19" spans="2:3">
      <c r="B19" s="32" t="s">
        <v>223</v>
      </c>
      <c r="C19" s="32">
        <v>29.86</v>
      </c>
    </row>
    <row r="20" spans="2:3">
      <c r="B20" s="32" t="s">
        <v>221</v>
      </c>
      <c r="C20" s="153">
        <f>(C19-C18)/C19</f>
        <v>4.7521768251841949E-2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4"/>
  <sheetViews>
    <sheetView workbookViewId="0">
      <selection activeCell="C30" sqref="C30"/>
    </sheetView>
  </sheetViews>
  <sheetFormatPr defaultRowHeight="12.75"/>
  <cols>
    <col min="2" max="2" width="5.140625" style="105" customWidth="1"/>
    <col min="3" max="3" width="28.140625" style="103" customWidth="1"/>
    <col min="4" max="4" width="14.7109375" style="105" customWidth="1"/>
    <col min="5" max="5" width="9.85546875" style="105" bestFit="1" customWidth="1"/>
    <col min="6" max="6" width="12.28515625" style="105" customWidth="1"/>
    <col min="7" max="7" width="9.140625" style="105"/>
    <col min="8" max="8" width="11.5703125" style="105" bestFit="1" customWidth="1"/>
    <col min="9" max="9" width="11" style="105" bestFit="1" customWidth="1"/>
    <col min="10" max="10" width="20.28515625" bestFit="1" customWidth="1"/>
  </cols>
  <sheetData>
    <row r="2" spans="2:9">
      <c r="C2" s="99" t="s">
        <v>6</v>
      </c>
      <c r="D2" s="124">
        <f>F8</f>
        <v>1757</v>
      </c>
      <c r="E2" s="125" t="s">
        <v>162</v>
      </c>
    </row>
    <row r="3" spans="2:9">
      <c r="C3" s="99" t="s">
        <v>163</v>
      </c>
      <c r="D3" s="125">
        <f>D2/Assumptions!B4</f>
        <v>125.5</v>
      </c>
      <c r="E3" s="125" t="s">
        <v>162</v>
      </c>
    </row>
    <row r="4" spans="2:9">
      <c r="C4" s="99" t="s">
        <v>32</v>
      </c>
      <c r="D4" s="124">
        <f>D2/Assumptions!B6</f>
        <v>59.761904761904759</v>
      </c>
      <c r="E4" s="125" t="s">
        <v>162</v>
      </c>
    </row>
    <row r="6" spans="2:9" s="23" customFormat="1" ht="25.5">
      <c r="B6" s="96" t="s">
        <v>154</v>
      </c>
      <c r="C6" s="96" t="s">
        <v>155</v>
      </c>
      <c r="D6" s="96" t="s">
        <v>170</v>
      </c>
      <c r="E6" s="96" t="s">
        <v>156</v>
      </c>
      <c r="F6" s="96" t="s">
        <v>157</v>
      </c>
      <c r="G6" s="97"/>
      <c r="H6" s="97"/>
      <c r="I6" s="97"/>
    </row>
    <row r="7" spans="2:9" s="19" customFormat="1">
      <c r="B7" s="98">
        <v>1</v>
      </c>
      <c r="C7" s="99" t="s">
        <v>169</v>
      </c>
      <c r="D7" s="98">
        <v>125.5</v>
      </c>
      <c r="E7" s="98">
        <v>14</v>
      </c>
      <c r="F7" s="100">
        <f>E7*D7</f>
        <v>1757</v>
      </c>
      <c r="G7" s="101"/>
      <c r="H7" s="101"/>
      <c r="I7" s="101"/>
    </row>
    <row r="8" spans="2:9" s="19" customFormat="1">
      <c r="B8" s="188" t="s">
        <v>158</v>
      </c>
      <c r="C8" s="188"/>
      <c r="D8" s="188"/>
      <c r="E8" s="188"/>
      <c r="F8" s="102">
        <f>F7</f>
        <v>1757</v>
      </c>
      <c r="G8" s="101"/>
      <c r="H8" s="101"/>
      <c r="I8" s="101"/>
    </row>
    <row r="9" spans="2:9" s="19" customFormat="1">
      <c r="B9" s="101"/>
      <c r="C9" s="103"/>
      <c r="D9" s="101"/>
      <c r="E9" s="101"/>
      <c r="F9" s="101"/>
      <c r="G9" s="101"/>
      <c r="H9" s="101"/>
      <c r="I9" s="101"/>
    </row>
    <row r="10" spans="2:9" s="19" customFormat="1">
      <c r="B10" s="98">
        <v>1</v>
      </c>
      <c r="C10" s="189" t="s">
        <v>111</v>
      </c>
      <c r="D10" s="190"/>
      <c r="E10" s="190"/>
      <c r="F10" s="191"/>
      <c r="G10" s="101"/>
      <c r="H10" s="101"/>
      <c r="I10" s="101"/>
    </row>
    <row r="11" spans="2:9" s="19" customFormat="1">
      <c r="B11" s="98"/>
      <c r="C11" s="99" t="s">
        <v>159</v>
      </c>
      <c r="D11" s="127">
        <v>2133000</v>
      </c>
      <c r="E11" s="104">
        <v>14</v>
      </c>
      <c r="F11" s="100">
        <f>(D11*E11)/10^6</f>
        <v>29.861999999999998</v>
      </c>
      <c r="G11" s="101"/>
      <c r="H11" s="101"/>
      <c r="I11" s="101"/>
    </row>
    <row r="12" spans="2:9">
      <c r="B12" s="192" t="s">
        <v>160</v>
      </c>
      <c r="C12" s="193"/>
      <c r="D12" s="193"/>
      <c r="E12" s="194"/>
      <c r="F12" s="102">
        <f>SUM(F11:F11)</f>
        <v>29.861999999999998</v>
      </c>
    </row>
    <row r="14" spans="2:9" s="105" customFormat="1">
      <c r="C14" s="195" t="s">
        <v>161</v>
      </c>
      <c r="D14" s="195"/>
    </row>
  </sheetData>
  <mergeCells count="4">
    <mergeCell ref="B8:E8"/>
    <mergeCell ref="C10:F10"/>
    <mergeCell ref="B12:E12"/>
    <mergeCell ref="C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"/>
  <sheetViews>
    <sheetView workbookViewId="0">
      <selection activeCell="D14" sqref="D14"/>
    </sheetView>
  </sheetViews>
  <sheetFormatPr defaultColWidth="0" defaultRowHeight="12.75"/>
  <cols>
    <col min="1" max="1" width="27.42578125" style="4" bestFit="1" customWidth="1"/>
    <col min="2" max="22" width="12.28515625" style="4" bestFit="1" customWidth="1"/>
    <col min="23" max="16384" width="0" style="4" hidden="1"/>
  </cols>
  <sheetData>
    <row r="1" spans="1:22" s="22" customFormat="1">
      <c r="A1" s="27" t="s">
        <v>34</v>
      </c>
      <c r="B1" s="168" t="s">
        <v>197</v>
      </c>
      <c r="C1" s="168" t="s">
        <v>132</v>
      </c>
      <c r="D1" s="168" t="s">
        <v>133</v>
      </c>
      <c r="E1" s="22" t="s">
        <v>134</v>
      </c>
      <c r="F1" s="22" t="s">
        <v>135</v>
      </c>
      <c r="G1" s="22" t="s">
        <v>136</v>
      </c>
      <c r="H1" s="22" t="s">
        <v>137</v>
      </c>
      <c r="I1" s="22" t="s">
        <v>138</v>
      </c>
      <c r="J1" s="22" t="s">
        <v>139</v>
      </c>
      <c r="K1" s="22" t="s">
        <v>140</v>
      </c>
      <c r="L1" s="22" t="s">
        <v>141</v>
      </c>
      <c r="M1" s="22" t="s">
        <v>143</v>
      </c>
      <c r="N1" s="22" t="s">
        <v>144</v>
      </c>
      <c r="O1" s="22" t="s">
        <v>145</v>
      </c>
      <c r="P1" s="22" t="s">
        <v>146</v>
      </c>
      <c r="Q1" s="22" t="s">
        <v>147</v>
      </c>
      <c r="R1" s="22" t="s">
        <v>148</v>
      </c>
      <c r="S1" s="22" t="s">
        <v>149</v>
      </c>
      <c r="T1" s="22" t="s">
        <v>150</v>
      </c>
      <c r="U1" s="22" t="s">
        <v>151</v>
      </c>
      <c r="V1" s="22" t="s">
        <v>152</v>
      </c>
    </row>
    <row r="2" spans="1:22" ht="13.5" customHeight="1">
      <c r="A2" s="27" t="s">
        <v>33</v>
      </c>
      <c r="B2" s="27">
        <v>12</v>
      </c>
      <c r="C2" s="27">
        <v>12</v>
      </c>
      <c r="D2" s="27">
        <v>12</v>
      </c>
      <c r="E2" s="10">
        <v>12</v>
      </c>
      <c r="F2" s="10">
        <v>12</v>
      </c>
      <c r="G2" s="10">
        <v>12</v>
      </c>
      <c r="H2" s="10">
        <v>12</v>
      </c>
      <c r="I2" s="10">
        <v>12</v>
      </c>
      <c r="J2" s="10">
        <v>12</v>
      </c>
      <c r="K2" s="10">
        <v>12</v>
      </c>
      <c r="L2" s="10">
        <v>12</v>
      </c>
      <c r="M2" s="10">
        <v>12</v>
      </c>
      <c r="N2" s="10">
        <v>12</v>
      </c>
      <c r="O2" s="10">
        <v>12</v>
      </c>
      <c r="P2" s="10">
        <v>12</v>
      </c>
      <c r="Q2" s="10">
        <v>12</v>
      </c>
      <c r="R2" s="10">
        <v>12</v>
      </c>
      <c r="S2" s="10">
        <v>12</v>
      </c>
      <c r="T2" s="10">
        <v>12</v>
      </c>
      <c r="U2" s="10">
        <v>12</v>
      </c>
      <c r="V2" s="10">
        <v>12</v>
      </c>
    </row>
    <row r="3" spans="1:22" ht="13.5" customHeight="1">
      <c r="A3" s="6" t="s">
        <v>131</v>
      </c>
      <c r="B3" s="6">
        <f>Assumptions!B6</f>
        <v>29.400000000000002</v>
      </c>
      <c r="C3" s="6">
        <f>Assumptions!$B$6</f>
        <v>29.400000000000002</v>
      </c>
      <c r="D3" s="6">
        <f>Assumptions!$B$6</f>
        <v>29.400000000000002</v>
      </c>
      <c r="E3" s="2">
        <f>Assumptions!$B$6</f>
        <v>29.400000000000002</v>
      </c>
      <c r="F3" s="2">
        <f>Assumptions!$B$6</f>
        <v>29.400000000000002</v>
      </c>
      <c r="G3" s="2">
        <f>Assumptions!$B$6</f>
        <v>29.400000000000002</v>
      </c>
      <c r="H3" s="2">
        <f>Assumptions!$B$6</f>
        <v>29.400000000000002</v>
      </c>
      <c r="I3" s="2">
        <f>Assumptions!$B$6</f>
        <v>29.400000000000002</v>
      </c>
      <c r="J3" s="2">
        <f>Assumptions!$B$6</f>
        <v>29.400000000000002</v>
      </c>
      <c r="K3" s="2">
        <f>Assumptions!$B$6</f>
        <v>29.400000000000002</v>
      </c>
      <c r="L3" s="2">
        <f>Assumptions!$B$6</f>
        <v>29.400000000000002</v>
      </c>
      <c r="M3" s="2">
        <f>Assumptions!$B$6</f>
        <v>29.400000000000002</v>
      </c>
      <c r="N3" s="2">
        <f>Assumptions!$B$6</f>
        <v>29.400000000000002</v>
      </c>
      <c r="O3" s="2">
        <f>Assumptions!$B$6</f>
        <v>29.400000000000002</v>
      </c>
      <c r="P3" s="2">
        <f>Assumptions!$B$6</f>
        <v>29.400000000000002</v>
      </c>
      <c r="Q3" s="2">
        <f>Assumptions!$B$6</f>
        <v>29.400000000000002</v>
      </c>
      <c r="R3" s="2">
        <f>Assumptions!$B$6</f>
        <v>29.400000000000002</v>
      </c>
      <c r="S3" s="2">
        <f>Assumptions!$B$6</f>
        <v>29.400000000000002</v>
      </c>
      <c r="T3" s="2">
        <f>Assumptions!$B$6</f>
        <v>29.400000000000002</v>
      </c>
      <c r="U3" s="2">
        <f>Assumptions!$B$6</f>
        <v>29.400000000000002</v>
      </c>
      <c r="V3" s="2">
        <f>Assumptions!$B$6</f>
        <v>29.400000000000002</v>
      </c>
    </row>
    <row r="4" spans="1:22" ht="13.5" customHeight="1">
      <c r="A4" s="128" t="s">
        <v>35</v>
      </c>
      <c r="B4" s="6">
        <v>1</v>
      </c>
      <c r="C4" s="5">
        <v>365</v>
      </c>
      <c r="D4" s="5">
        <v>365</v>
      </c>
      <c r="E4" s="5">
        <v>366</v>
      </c>
      <c r="F4" s="5">
        <v>365</v>
      </c>
      <c r="G4" s="5">
        <v>365</v>
      </c>
      <c r="H4" s="5">
        <v>365</v>
      </c>
      <c r="I4" s="5">
        <v>366</v>
      </c>
      <c r="J4" s="5">
        <v>365</v>
      </c>
      <c r="K4" s="5">
        <v>365</v>
      </c>
      <c r="L4" s="5">
        <v>365</v>
      </c>
      <c r="M4" s="5">
        <v>366</v>
      </c>
      <c r="N4" s="5">
        <v>365</v>
      </c>
      <c r="O4" s="5">
        <v>365</v>
      </c>
      <c r="P4" s="5">
        <v>365</v>
      </c>
      <c r="Q4" s="5">
        <v>366</v>
      </c>
      <c r="R4" s="5">
        <v>365</v>
      </c>
      <c r="S4" s="5">
        <v>365</v>
      </c>
      <c r="T4" s="5">
        <v>365</v>
      </c>
      <c r="U4" s="5">
        <v>366</v>
      </c>
      <c r="V4" s="132">
        <f>365-Operations!B4</f>
        <v>364</v>
      </c>
    </row>
    <row r="5" spans="1:22" ht="13.5" customHeight="1">
      <c r="A5" s="2" t="s">
        <v>36</v>
      </c>
      <c r="B5" s="2">
        <v>24</v>
      </c>
      <c r="C5" s="2">
        <v>24</v>
      </c>
      <c r="D5" s="2">
        <f t="shared" ref="D5:V5" si="0">C5</f>
        <v>24</v>
      </c>
      <c r="E5" s="2">
        <f t="shared" si="0"/>
        <v>24</v>
      </c>
      <c r="F5" s="2">
        <f t="shared" si="0"/>
        <v>24</v>
      </c>
      <c r="G5" s="2">
        <f t="shared" si="0"/>
        <v>24</v>
      </c>
      <c r="H5" s="2">
        <f t="shared" si="0"/>
        <v>24</v>
      </c>
      <c r="I5" s="2">
        <f t="shared" si="0"/>
        <v>24</v>
      </c>
      <c r="J5" s="2">
        <f t="shared" si="0"/>
        <v>24</v>
      </c>
      <c r="K5" s="2">
        <f t="shared" si="0"/>
        <v>24</v>
      </c>
      <c r="L5" s="2">
        <f t="shared" si="0"/>
        <v>24</v>
      </c>
      <c r="M5" s="2">
        <f t="shared" si="0"/>
        <v>24</v>
      </c>
      <c r="N5" s="2">
        <f t="shared" si="0"/>
        <v>24</v>
      </c>
      <c r="O5" s="2">
        <f t="shared" si="0"/>
        <v>24</v>
      </c>
      <c r="P5" s="2">
        <f t="shared" si="0"/>
        <v>24</v>
      </c>
      <c r="Q5" s="2">
        <f t="shared" si="0"/>
        <v>24</v>
      </c>
      <c r="R5" s="2">
        <f t="shared" si="0"/>
        <v>24</v>
      </c>
      <c r="S5" s="2">
        <f t="shared" si="0"/>
        <v>24</v>
      </c>
      <c r="T5" s="2">
        <f t="shared" si="0"/>
        <v>24</v>
      </c>
      <c r="U5" s="2">
        <f t="shared" si="0"/>
        <v>24</v>
      </c>
      <c r="V5" s="2">
        <f t="shared" si="0"/>
        <v>24</v>
      </c>
    </row>
    <row r="6" spans="1:22" ht="13.5" customHeight="1">
      <c r="A6" s="2" t="s">
        <v>37</v>
      </c>
      <c r="B6" s="26">
        <f>B3*B4*B5*1000</f>
        <v>705600</v>
      </c>
      <c r="C6" s="26">
        <f t="shared" ref="C6:V6" si="1">C3*C4*C5*1000</f>
        <v>257544000</v>
      </c>
      <c r="D6" s="26">
        <f t="shared" si="1"/>
        <v>257544000</v>
      </c>
      <c r="E6" s="26">
        <f t="shared" si="1"/>
        <v>258249600.00000003</v>
      </c>
      <c r="F6" s="26">
        <f t="shared" si="1"/>
        <v>257544000</v>
      </c>
      <c r="G6" s="26">
        <f t="shared" si="1"/>
        <v>257544000</v>
      </c>
      <c r="H6" s="26">
        <f t="shared" si="1"/>
        <v>257544000</v>
      </c>
      <c r="I6" s="26">
        <f t="shared" si="1"/>
        <v>258249600.00000003</v>
      </c>
      <c r="J6" s="26">
        <f t="shared" si="1"/>
        <v>257544000</v>
      </c>
      <c r="K6" s="26">
        <f t="shared" si="1"/>
        <v>257544000</v>
      </c>
      <c r="L6" s="26">
        <f t="shared" si="1"/>
        <v>257544000</v>
      </c>
      <c r="M6" s="26">
        <f t="shared" si="1"/>
        <v>258249600.00000003</v>
      </c>
      <c r="N6" s="26">
        <f t="shared" si="1"/>
        <v>257544000</v>
      </c>
      <c r="O6" s="26">
        <f t="shared" si="1"/>
        <v>257544000</v>
      </c>
      <c r="P6" s="26">
        <f t="shared" si="1"/>
        <v>257544000</v>
      </c>
      <c r="Q6" s="26">
        <f t="shared" si="1"/>
        <v>258249600.00000003</v>
      </c>
      <c r="R6" s="26">
        <f t="shared" si="1"/>
        <v>257544000</v>
      </c>
      <c r="S6" s="26">
        <f t="shared" si="1"/>
        <v>257544000</v>
      </c>
      <c r="T6" s="26">
        <f t="shared" si="1"/>
        <v>257544000</v>
      </c>
      <c r="U6" s="26">
        <f t="shared" si="1"/>
        <v>258249600.00000003</v>
      </c>
      <c r="V6" s="26">
        <f t="shared" si="1"/>
        <v>256838400.00000003</v>
      </c>
    </row>
    <row r="7" spans="1:22" ht="13.5" customHeight="1">
      <c r="A7" s="2" t="s">
        <v>38</v>
      </c>
      <c r="B7" s="16">
        <f>Assumptions!B15</f>
        <v>0.22120000000000001</v>
      </c>
      <c r="C7" s="12">
        <f>B7</f>
        <v>0.22120000000000001</v>
      </c>
      <c r="D7" s="16">
        <f>B7</f>
        <v>0.22120000000000001</v>
      </c>
      <c r="E7" s="16">
        <f t="shared" ref="E7:V7" si="2">D7</f>
        <v>0.22120000000000001</v>
      </c>
      <c r="F7" s="16">
        <f t="shared" si="2"/>
        <v>0.22120000000000001</v>
      </c>
      <c r="G7" s="16">
        <f t="shared" si="2"/>
        <v>0.22120000000000001</v>
      </c>
      <c r="H7" s="16">
        <f t="shared" si="2"/>
        <v>0.22120000000000001</v>
      </c>
      <c r="I7" s="16">
        <f t="shared" si="2"/>
        <v>0.22120000000000001</v>
      </c>
      <c r="J7" s="16">
        <f t="shared" si="2"/>
        <v>0.22120000000000001</v>
      </c>
      <c r="K7" s="16">
        <f t="shared" si="2"/>
        <v>0.22120000000000001</v>
      </c>
      <c r="L7" s="16">
        <f t="shared" si="2"/>
        <v>0.22120000000000001</v>
      </c>
      <c r="M7" s="16">
        <f t="shared" si="2"/>
        <v>0.22120000000000001</v>
      </c>
      <c r="N7" s="16">
        <f t="shared" si="2"/>
        <v>0.22120000000000001</v>
      </c>
      <c r="O7" s="16">
        <f t="shared" si="2"/>
        <v>0.22120000000000001</v>
      </c>
      <c r="P7" s="16">
        <f t="shared" si="2"/>
        <v>0.22120000000000001</v>
      </c>
      <c r="Q7" s="16">
        <f t="shared" si="2"/>
        <v>0.22120000000000001</v>
      </c>
      <c r="R7" s="16">
        <f t="shared" si="2"/>
        <v>0.22120000000000001</v>
      </c>
      <c r="S7" s="16">
        <f t="shared" si="2"/>
        <v>0.22120000000000001</v>
      </c>
      <c r="T7" s="16">
        <f t="shared" si="2"/>
        <v>0.22120000000000001</v>
      </c>
      <c r="U7" s="16">
        <f t="shared" si="2"/>
        <v>0.22120000000000001</v>
      </c>
      <c r="V7" s="16">
        <f t="shared" si="2"/>
        <v>0.22120000000000001</v>
      </c>
    </row>
    <row r="8" spans="1:22" ht="13.5" customHeight="1">
      <c r="A8" s="27" t="s">
        <v>108</v>
      </c>
      <c r="B8" s="28">
        <f t="shared" ref="B8:V8" si="3">B6*B7</f>
        <v>156078.72</v>
      </c>
      <c r="C8" s="28">
        <f t="shared" si="3"/>
        <v>56968732.800000004</v>
      </c>
      <c r="D8" s="28">
        <f t="shared" si="3"/>
        <v>56968732.800000004</v>
      </c>
      <c r="E8" s="28">
        <f t="shared" si="3"/>
        <v>57124811.520000011</v>
      </c>
      <c r="F8" s="28">
        <f t="shared" si="3"/>
        <v>56968732.800000004</v>
      </c>
      <c r="G8" s="28">
        <f t="shared" si="3"/>
        <v>56968732.800000004</v>
      </c>
      <c r="H8" s="28">
        <f t="shared" si="3"/>
        <v>56968732.800000004</v>
      </c>
      <c r="I8" s="28">
        <f t="shared" si="3"/>
        <v>57124811.520000011</v>
      </c>
      <c r="J8" s="28">
        <f t="shared" si="3"/>
        <v>56968732.800000004</v>
      </c>
      <c r="K8" s="28">
        <f t="shared" si="3"/>
        <v>56968732.800000004</v>
      </c>
      <c r="L8" s="28">
        <f t="shared" si="3"/>
        <v>56968732.800000004</v>
      </c>
      <c r="M8" s="28">
        <f t="shared" si="3"/>
        <v>57124811.520000011</v>
      </c>
      <c r="N8" s="28">
        <f t="shared" si="3"/>
        <v>56968732.800000004</v>
      </c>
      <c r="O8" s="28">
        <f t="shared" si="3"/>
        <v>56968732.800000004</v>
      </c>
      <c r="P8" s="28">
        <f t="shared" si="3"/>
        <v>56968732.800000004</v>
      </c>
      <c r="Q8" s="28">
        <f t="shared" si="3"/>
        <v>57124811.520000011</v>
      </c>
      <c r="R8" s="28">
        <f t="shared" si="3"/>
        <v>56968732.800000004</v>
      </c>
      <c r="S8" s="28">
        <f t="shared" si="3"/>
        <v>56968732.800000004</v>
      </c>
      <c r="T8" s="28">
        <f t="shared" si="3"/>
        <v>56968732.800000004</v>
      </c>
      <c r="U8" s="28">
        <f t="shared" si="3"/>
        <v>57124811.520000011</v>
      </c>
      <c r="V8" s="28">
        <f t="shared" si="3"/>
        <v>56812654.080000006</v>
      </c>
    </row>
    <row r="9" spans="1:22" ht="13.5" customHeight="1">
      <c r="A9" s="27" t="s">
        <v>12</v>
      </c>
      <c r="B9" s="16">
        <f>Assumptions!B17</f>
        <v>1</v>
      </c>
      <c r="C9" s="16">
        <f>B9</f>
        <v>1</v>
      </c>
      <c r="D9" s="16">
        <f t="shared" ref="D9:V9" si="4">+C9</f>
        <v>1</v>
      </c>
      <c r="E9" s="16">
        <f t="shared" si="4"/>
        <v>1</v>
      </c>
      <c r="F9" s="16">
        <f t="shared" si="4"/>
        <v>1</v>
      </c>
      <c r="G9" s="16">
        <f t="shared" si="4"/>
        <v>1</v>
      </c>
      <c r="H9" s="16">
        <f t="shared" si="4"/>
        <v>1</v>
      </c>
      <c r="I9" s="16">
        <f t="shared" si="4"/>
        <v>1</v>
      </c>
      <c r="J9" s="16">
        <f t="shared" si="4"/>
        <v>1</v>
      </c>
      <c r="K9" s="16">
        <f t="shared" si="4"/>
        <v>1</v>
      </c>
      <c r="L9" s="16">
        <f t="shared" si="4"/>
        <v>1</v>
      </c>
      <c r="M9" s="16">
        <f t="shared" si="4"/>
        <v>1</v>
      </c>
      <c r="N9" s="16">
        <f t="shared" si="4"/>
        <v>1</v>
      </c>
      <c r="O9" s="16">
        <f t="shared" si="4"/>
        <v>1</v>
      </c>
      <c r="P9" s="16">
        <f t="shared" si="4"/>
        <v>1</v>
      </c>
      <c r="Q9" s="16">
        <f t="shared" si="4"/>
        <v>1</v>
      </c>
      <c r="R9" s="16">
        <f t="shared" si="4"/>
        <v>1</v>
      </c>
      <c r="S9" s="16">
        <f t="shared" si="4"/>
        <v>1</v>
      </c>
      <c r="T9" s="16">
        <f t="shared" si="4"/>
        <v>1</v>
      </c>
      <c r="U9" s="16">
        <f t="shared" si="4"/>
        <v>1</v>
      </c>
      <c r="V9" s="16">
        <f t="shared" si="4"/>
        <v>1</v>
      </c>
    </row>
    <row r="10" spans="1:22" ht="13.5" customHeight="1">
      <c r="A10" s="27" t="s">
        <v>107</v>
      </c>
      <c r="B10" s="28">
        <f t="shared" ref="B10:V10" si="5">B8*B9</f>
        <v>156078.72</v>
      </c>
      <c r="C10" s="28">
        <f t="shared" si="5"/>
        <v>56968732.800000004</v>
      </c>
      <c r="D10" s="28">
        <f t="shared" si="5"/>
        <v>56968732.800000004</v>
      </c>
      <c r="E10" s="28">
        <f t="shared" si="5"/>
        <v>57124811.520000011</v>
      </c>
      <c r="F10" s="28">
        <f t="shared" si="5"/>
        <v>56968732.800000004</v>
      </c>
      <c r="G10" s="28">
        <f t="shared" si="5"/>
        <v>56968732.800000004</v>
      </c>
      <c r="H10" s="28">
        <f t="shared" si="5"/>
        <v>56968732.800000004</v>
      </c>
      <c r="I10" s="28">
        <f t="shared" si="5"/>
        <v>57124811.520000011</v>
      </c>
      <c r="J10" s="28">
        <f t="shared" si="5"/>
        <v>56968732.800000004</v>
      </c>
      <c r="K10" s="28">
        <f t="shared" si="5"/>
        <v>56968732.800000004</v>
      </c>
      <c r="L10" s="28">
        <f t="shared" si="5"/>
        <v>56968732.800000004</v>
      </c>
      <c r="M10" s="28">
        <f t="shared" si="5"/>
        <v>57124811.520000011</v>
      </c>
      <c r="N10" s="28">
        <f t="shared" si="5"/>
        <v>56968732.800000004</v>
      </c>
      <c r="O10" s="28">
        <f t="shared" si="5"/>
        <v>56968732.800000004</v>
      </c>
      <c r="P10" s="28">
        <f t="shared" si="5"/>
        <v>56968732.800000004</v>
      </c>
      <c r="Q10" s="28">
        <f t="shared" si="5"/>
        <v>57124811.520000011</v>
      </c>
      <c r="R10" s="28">
        <f t="shared" si="5"/>
        <v>56968732.800000004</v>
      </c>
      <c r="S10" s="28">
        <f t="shared" si="5"/>
        <v>56968732.800000004</v>
      </c>
      <c r="T10" s="28">
        <f t="shared" si="5"/>
        <v>56968732.800000004</v>
      </c>
      <c r="U10" s="28">
        <f t="shared" si="5"/>
        <v>57124811.520000011</v>
      </c>
      <c r="V10" s="28">
        <f t="shared" si="5"/>
        <v>56812654.080000006</v>
      </c>
    </row>
    <row r="11" spans="1:22" ht="13.5" customHeight="1">
      <c r="A11" s="27" t="s">
        <v>13</v>
      </c>
      <c r="B11" s="16">
        <f>+Assumptions!B18</f>
        <v>0</v>
      </c>
      <c r="C11" s="12">
        <f>B11</f>
        <v>0</v>
      </c>
      <c r="D11" s="16">
        <f>+B11</f>
        <v>0</v>
      </c>
      <c r="E11" s="16">
        <f t="shared" ref="E11:V11" si="6">+D11</f>
        <v>0</v>
      </c>
      <c r="F11" s="16">
        <f t="shared" si="6"/>
        <v>0</v>
      </c>
      <c r="G11" s="16">
        <f t="shared" si="6"/>
        <v>0</v>
      </c>
      <c r="H11" s="16">
        <f t="shared" si="6"/>
        <v>0</v>
      </c>
      <c r="I11" s="16">
        <f t="shared" si="6"/>
        <v>0</v>
      </c>
      <c r="J11" s="16">
        <f t="shared" si="6"/>
        <v>0</v>
      </c>
      <c r="K11" s="16">
        <f t="shared" si="6"/>
        <v>0</v>
      </c>
      <c r="L11" s="16">
        <f t="shared" si="6"/>
        <v>0</v>
      </c>
      <c r="M11" s="16">
        <f t="shared" si="6"/>
        <v>0</v>
      </c>
      <c r="N11" s="16">
        <f t="shared" si="6"/>
        <v>0</v>
      </c>
      <c r="O11" s="16">
        <f t="shared" si="6"/>
        <v>0</v>
      </c>
      <c r="P11" s="16">
        <f t="shared" si="6"/>
        <v>0</v>
      </c>
      <c r="Q11" s="16">
        <f t="shared" si="6"/>
        <v>0</v>
      </c>
      <c r="R11" s="16">
        <f t="shared" si="6"/>
        <v>0</v>
      </c>
      <c r="S11" s="16">
        <f t="shared" si="6"/>
        <v>0</v>
      </c>
      <c r="T11" s="16">
        <f t="shared" si="6"/>
        <v>0</v>
      </c>
      <c r="U11" s="16">
        <f t="shared" si="6"/>
        <v>0</v>
      </c>
      <c r="V11" s="16">
        <f t="shared" si="6"/>
        <v>0</v>
      </c>
    </row>
    <row r="12" spans="1:22" ht="13.5" customHeight="1">
      <c r="A12" s="2" t="s">
        <v>39</v>
      </c>
      <c r="B12" s="28">
        <f>B10*(1-B11)</f>
        <v>156078.72</v>
      </c>
      <c r="C12" s="28">
        <f t="shared" ref="C12:V12" si="7">C10*(1-C11)</f>
        <v>56968732.800000004</v>
      </c>
      <c r="D12" s="28">
        <f t="shared" si="7"/>
        <v>56968732.800000004</v>
      </c>
      <c r="E12" s="28">
        <f t="shared" si="7"/>
        <v>57124811.520000011</v>
      </c>
      <c r="F12" s="28">
        <f t="shared" si="7"/>
        <v>56968732.800000004</v>
      </c>
      <c r="G12" s="28">
        <f t="shared" si="7"/>
        <v>56968732.800000004</v>
      </c>
      <c r="H12" s="28">
        <f t="shared" si="7"/>
        <v>56968732.800000004</v>
      </c>
      <c r="I12" s="28">
        <f t="shared" si="7"/>
        <v>57124811.520000011</v>
      </c>
      <c r="J12" s="28">
        <f t="shared" si="7"/>
        <v>56968732.800000004</v>
      </c>
      <c r="K12" s="28">
        <f t="shared" si="7"/>
        <v>56968732.800000004</v>
      </c>
      <c r="L12" s="28">
        <f t="shared" si="7"/>
        <v>56968732.800000004</v>
      </c>
      <c r="M12" s="28">
        <f t="shared" si="7"/>
        <v>57124811.520000011</v>
      </c>
      <c r="N12" s="28">
        <f t="shared" si="7"/>
        <v>56968732.800000004</v>
      </c>
      <c r="O12" s="28">
        <f t="shared" si="7"/>
        <v>56968732.800000004</v>
      </c>
      <c r="P12" s="28">
        <f t="shared" si="7"/>
        <v>56968732.800000004</v>
      </c>
      <c r="Q12" s="28">
        <f t="shared" si="7"/>
        <v>57124811.520000011</v>
      </c>
      <c r="R12" s="28">
        <f t="shared" si="7"/>
        <v>56968732.800000004</v>
      </c>
      <c r="S12" s="28">
        <f t="shared" si="7"/>
        <v>56968732.800000004</v>
      </c>
      <c r="T12" s="28">
        <f t="shared" si="7"/>
        <v>56968732.800000004</v>
      </c>
      <c r="U12" s="28">
        <f t="shared" si="7"/>
        <v>57124811.520000011</v>
      </c>
      <c r="V12" s="28">
        <f t="shared" si="7"/>
        <v>56812654.080000006</v>
      </c>
    </row>
    <row r="13" spans="1:22" ht="13.5" customHeight="1">
      <c r="A13" s="2" t="s">
        <v>114</v>
      </c>
      <c r="B13" s="17">
        <f>+B12/1000000</f>
        <v>0.15607872</v>
      </c>
      <c r="C13" s="17">
        <f t="shared" ref="C13:V13" si="8">+C12/1000000</f>
        <v>56.968732800000005</v>
      </c>
      <c r="D13" s="17">
        <f t="shared" si="8"/>
        <v>56.968732800000005</v>
      </c>
      <c r="E13" s="17">
        <f t="shared" si="8"/>
        <v>57.124811520000009</v>
      </c>
      <c r="F13" s="17">
        <f t="shared" si="8"/>
        <v>56.968732800000005</v>
      </c>
      <c r="G13" s="17">
        <f t="shared" si="8"/>
        <v>56.968732800000005</v>
      </c>
      <c r="H13" s="17">
        <f t="shared" si="8"/>
        <v>56.968732800000005</v>
      </c>
      <c r="I13" s="17">
        <f t="shared" si="8"/>
        <v>57.124811520000009</v>
      </c>
      <c r="J13" s="17">
        <f t="shared" si="8"/>
        <v>56.968732800000005</v>
      </c>
      <c r="K13" s="17">
        <f t="shared" si="8"/>
        <v>56.968732800000005</v>
      </c>
      <c r="L13" s="17">
        <f t="shared" si="8"/>
        <v>56.968732800000005</v>
      </c>
      <c r="M13" s="17">
        <f t="shared" si="8"/>
        <v>57.124811520000009</v>
      </c>
      <c r="N13" s="17">
        <f t="shared" si="8"/>
        <v>56.968732800000005</v>
      </c>
      <c r="O13" s="17">
        <f t="shared" si="8"/>
        <v>56.968732800000005</v>
      </c>
      <c r="P13" s="17">
        <f t="shared" si="8"/>
        <v>56.968732800000005</v>
      </c>
      <c r="Q13" s="17">
        <f t="shared" si="8"/>
        <v>57.124811520000009</v>
      </c>
      <c r="R13" s="17">
        <f t="shared" si="8"/>
        <v>56.968732800000005</v>
      </c>
      <c r="S13" s="17">
        <f t="shared" si="8"/>
        <v>56.968732800000005</v>
      </c>
      <c r="T13" s="17">
        <f t="shared" si="8"/>
        <v>56.968732800000005</v>
      </c>
      <c r="U13" s="17">
        <f t="shared" si="8"/>
        <v>57.124811520000009</v>
      </c>
      <c r="V13" s="17">
        <f t="shared" si="8"/>
        <v>56.812654080000009</v>
      </c>
    </row>
    <row r="14" spans="1:22">
      <c r="A14" s="8"/>
      <c r="B14" s="8"/>
      <c r="C14" s="29"/>
    </row>
  </sheetData>
  <phoneticPr fontId="0" type="noConversion"/>
  <printOptions horizontalCentered="1"/>
  <pageMargins left="0" right="0" top="0" bottom="0" header="0" footer="0"/>
  <pageSetup scale="57" orientation="landscape" r:id="rId1"/>
  <headerFooter alignWithMargins="0"/>
  <ignoredErrors>
    <ignoredError sqref="E6:U6 D7 E10:U10 C10 C8 B9:U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215"/>
  <sheetViews>
    <sheetView topLeftCell="A55" workbookViewId="0">
      <selection activeCell="J74" sqref="J74"/>
    </sheetView>
  </sheetViews>
  <sheetFormatPr defaultColWidth="13.140625" defaultRowHeight="12.75"/>
  <cols>
    <col min="1" max="1" width="11.28515625" style="19" customWidth="1"/>
    <col min="2" max="2" width="8.42578125" bestFit="1" customWidth="1"/>
    <col min="3" max="3" width="16" bestFit="1" customWidth="1"/>
    <col min="4" max="4" width="13.28515625" customWidth="1"/>
    <col min="5" max="5" width="10" bestFit="1" customWidth="1"/>
    <col min="6" max="6" width="11" bestFit="1" customWidth="1"/>
    <col min="7" max="7" width="7.85546875" bestFit="1" customWidth="1"/>
    <col min="8" max="8" width="10" bestFit="1" customWidth="1"/>
  </cols>
  <sheetData>
    <row r="1" spans="1:10">
      <c r="G1" s="30"/>
    </row>
    <row r="2" spans="1:10">
      <c r="A2" s="87"/>
      <c r="B2" s="21"/>
      <c r="C2" s="21" t="s">
        <v>40</v>
      </c>
      <c r="D2" s="48" t="s">
        <v>41</v>
      </c>
      <c r="E2" s="33"/>
      <c r="F2" s="33"/>
      <c r="G2" s="110"/>
      <c r="H2" s="33"/>
      <c r="I2" s="21"/>
    </row>
    <row r="3" spans="1:10">
      <c r="A3" s="87"/>
      <c r="B3" s="21"/>
      <c r="C3" s="21" t="s">
        <v>42</v>
      </c>
      <c r="D3" s="33">
        <f>Assumptions!$B$11</f>
        <v>1161.2013000000002</v>
      </c>
      <c r="E3" s="33" t="s">
        <v>112</v>
      </c>
      <c r="F3" s="21"/>
      <c r="G3" s="21"/>
      <c r="H3" s="33"/>
      <c r="I3" s="21"/>
    </row>
    <row r="4" spans="1:10" ht="13.5" thickBot="1">
      <c r="A4" s="87"/>
      <c r="B4" s="21"/>
      <c r="C4" s="21" t="s">
        <v>43</v>
      </c>
      <c r="D4" s="110">
        <f>Assumptions!$B$28</f>
        <v>0.1265</v>
      </c>
      <c r="E4" s="33"/>
      <c r="F4" s="33"/>
      <c r="G4" s="196"/>
      <c r="H4" s="196"/>
      <c r="I4" s="21"/>
    </row>
    <row r="5" spans="1:10">
      <c r="A5" s="87"/>
      <c r="B5" s="169" t="s">
        <v>44</v>
      </c>
      <c r="C5" s="170" t="s">
        <v>45</v>
      </c>
      <c r="D5" s="171" t="s">
        <v>46</v>
      </c>
      <c r="E5" s="171" t="s">
        <v>47</v>
      </c>
      <c r="F5" s="171" t="s">
        <v>48</v>
      </c>
      <c r="G5" s="172"/>
      <c r="H5" s="173" t="s">
        <v>49</v>
      </c>
      <c r="I5" s="21"/>
      <c r="J5" s="82"/>
    </row>
    <row r="6" spans="1:10">
      <c r="A6" s="87"/>
      <c r="B6" s="38"/>
      <c r="C6" s="38" t="s">
        <v>63</v>
      </c>
      <c r="D6" s="89"/>
      <c r="E6" s="89"/>
      <c r="F6" s="89"/>
      <c r="G6" s="37"/>
      <c r="H6" s="89"/>
      <c r="I6" s="21"/>
    </row>
    <row r="7" spans="1:10">
      <c r="A7" s="87"/>
      <c r="B7" s="38" t="s">
        <v>50</v>
      </c>
      <c r="C7" s="38" t="s">
        <v>64</v>
      </c>
      <c r="D7" s="89"/>
      <c r="E7" s="89"/>
      <c r="F7" s="89"/>
      <c r="G7" s="90">
        <f>$D$4</f>
        <v>0.1265</v>
      </c>
      <c r="H7" s="86">
        <f>F7*G7/12</f>
        <v>0</v>
      </c>
      <c r="I7" s="21"/>
    </row>
    <row r="8" spans="1:10">
      <c r="A8" s="87"/>
      <c r="B8" s="38" t="s">
        <v>51</v>
      </c>
      <c r="C8" s="38" t="s">
        <v>64</v>
      </c>
      <c r="D8" s="89"/>
      <c r="E8" s="89"/>
      <c r="F8" s="89"/>
      <c r="G8" s="90">
        <f t="shared" ref="G8:G18" si="0">$D$4</f>
        <v>0.1265</v>
      </c>
      <c r="H8" s="86">
        <f t="shared" ref="H8:H10" si="1">F8*G8/12</f>
        <v>0</v>
      </c>
      <c r="I8" s="21"/>
    </row>
    <row r="9" spans="1:10" s="21" customFormat="1">
      <c r="A9" s="87"/>
      <c r="B9" s="38" t="s">
        <v>52</v>
      </c>
      <c r="C9" s="38" t="s">
        <v>64</v>
      </c>
      <c r="D9" s="89"/>
      <c r="E9" s="89"/>
      <c r="F9" s="89"/>
      <c r="G9" s="90">
        <f t="shared" si="0"/>
        <v>0.1265</v>
      </c>
      <c r="H9" s="86">
        <f t="shared" si="1"/>
        <v>0</v>
      </c>
    </row>
    <row r="10" spans="1:10">
      <c r="A10" s="87"/>
      <c r="B10" s="38" t="s">
        <v>53</v>
      </c>
      <c r="C10" s="38" t="s">
        <v>64</v>
      </c>
      <c r="D10" s="89"/>
      <c r="E10" s="89"/>
      <c r="F10" s="89"/>
      <c r="G10" s="90">
        <f t="shared" si="0"/>
        <v>0.1265</v>
      </c>
      <c r="H10" s="86">
        <f t="shared" si="1"/>
        <v>0</v>
      </c>
      <c r="I10" s="21"/>
    </row>
    <row r="11" spans="1:10" s="21" customFormat="1">
      <c r="A11" s="87"/>
      <c r="B11" s="38" t="s">
        <v>54</v>
      </c>
      <c r="C11" s="38" t="s">
        <v>64</v>
      </c>
      <c r="D11" s="89"/>
      <c r="E11" s="89"/>
      <c r="F11" s="89"/>
      <c r="G11" s="90">
        <f t="shared" si="0"/>
        <v>0.1265</v>
      </c>
      <c r="H11" s="86">
        <f>F11*G11/12</f>
        <v>0</v>
      </c>
    </row>
    <row r="12" spans="1:10">
      <c r="A12" s="87"/>
      <c r="B12" s="38" t="s">
        <v>55</v>
      </c>
      <c r="C12" s="38" t="s">
        <v>64</v>
      </c>
      <c r="D12" s="89"/>
      <c r="E12" s="89"/>
      <c r="F12" s="89"/>
      <c r="G12" s="90">
        <f t="shared" si="0"/>
        <v>0.1265</v>
      </c>
      <c r="H12" s="86">
        <f t="shared" ref="H12:H17" si="2">F12*G12/12</f>
        <v>0</v>
      </c>
      <c r="I12" s="21"/>
    </row>
    <row r="13" spans="1:10">
      <c r="A13" s="87"/>
      <c r="B13" s="38" t="s">
        <v>56</v>
      </c>
      <c r="C13" s="38" t="s">
        <v>64</v>
      </c>
      <c r="D13" s="89"/>
      <c r="E13" s="89"/>
      <c r="F13" s="89"/>
      <c r="G13" s="90">
        <f t="shared" si="0"/>
        <v>0.1265</v>
      </c>
      <c r="H13" s="86">
        <f t="shared" si="2"/>
        <v>0</v>
      </c>
      <c r="I13" s="21"/>
    </row>
    <row r="14" spans="1:10">
      <c r="A14" s="87"/>
      <c r="B14" s="38" t="s">
        <v>57</v>
      </c>
      <c r="C14" s="38" t="s">
        <v>64</v>
      </c>
      <c r="D14" s="89"/>
      <c r="E14" s="89"/>
      <c r="F14" s="89"/>
      <c r="G14" s="90">
        <f t="shared" si="0"/>
        <v>0.1265</v>
      </c>
      <c r="H14" s="86">
        <f t="shared" si="2"/>
        <v>0</v>
      </c>
      <c r="I14" s="21"/>
    </row>
    <row r="15" spans="1:10">
      <c r="A15" s="87"/>
      <c r="B15" s="38" t="s">
        <v>58</v>
      </c>
      <c r="C15" s="38" t="s">
        <v>64</v>
      </c>
      <c r="D15" s="89"/>
      <c r="E15" s="89"/>
      <c r="F15" s="89"/>
      <c r="G15" s="90">
        <f t="shared" si="0"/>
        <v>0.1265</v>
      </c>
      <c r="H15" s="86">
        <f t="shared" si="2"/>
        <v>0</v>
      </c>
      <c r="I15" s="21"/>
    </row>
    <row r="16" spans="1:10">
      <c r="A16" s="87"/>
      <c r="B16" s="38" t="s">
        <v>59</v>
      </c>
      <c r="C16" s="38" t="s">
        <v>64</v>
      </c>
      <c r="D16" s="89"/>
      <c r="E16" s="89"/>
      <c r="F16" s="89"/>
      <c r="G16" s="90">
        <f t="shared" si="0"/>
        <v>0.1265</v>
      </c>
      <c r="H16" s="86">
        <f t="shared" si="2"/>
        <v>0</v>
      </c>
      <c r="I16" s="21"/>
    </row>
    <row r="17" spans="1:10">
      <c r="A17" s="87"/>
      <c r="B17" s="38" t="s">
        <v>60</v>
      </c>
      <c r="C17" s="38" t="s">
        <v>64</v>
      </c>
      <c r="D17" s="89"/>
      <c r="E17" s="89"/>
      <c r="F17" s="89"/>
      <c r="G17" s="90">
        <f t="shared" si="0"/>
        <v>0.1265</v>
      </c>
      <c r="H17" s="86">
        <f t="shared" si="2"/>
        <v>0</v>
      </c>
      <c r="I17" s="21"/>
    </row>
    <row r="18" spans="1:10">
      <c r="A18" s="87"/>
      <c r="B18" s="38" t="s">
        <v>61</v>
      </c>
      <c r="C18" s="38" t="s">
        <v>64</v>
      </c>
      <c r="D18" s="89"/>
      <c r="E18" s="52">
        <f>$D$3/(12.5*365)</f>
        <v>0.25450987397260277</v>
      </c>
      <c r="F18" s="89">
        <f>D3</f>
        <v>1161.2013000000002</v>
      </c>
      <c r="G18" s="90">
        <f t="shared" si="0"/>
        <v>0.1265</v>
      </c>
      <c r="H18" s="147">
        <f>F18*G18/365</f>
        <v>0.40244373821917812</v>
      </c>
      <c r="I18" s="21"/>
    </row>
    <row r="19" spans="1:10" ht="13.5" thickBot="1">
      <c r="A19" s="87"/>
      <c r="B19" s="174"/>
      <c r="C19" s="175" t="s">
        <v>62</v>
      </c>
      <c r="D19" s="176">
        <f>SUM(D7:D18)</f>
        <v>0</v>
      </c>
      <c r="E19" s="176">
        <f>SUM(E7:E18)</f>
        <v>0.25450987397260277</v>
      </c>
      <c r="F19" s="176"/>
      <c r="G19" s="177"/>
      <c r="H19" s="178">
        <f>SUM(H7:H18)</f>
        <v>0.40244373821917812</v>
      </c>
      <c r="I19" s="21"/>
    </row>
    <row r="20" spans="1:10" ht="13.5" thickBot="1">
      <c r="A20" s="87"/>
      <c r="B20" s="21"/>
      <c r="C20" s="21"/>
      <c r="D20" s="33"/>
      <c r="E20" s="33"/>
      <c r="F20" s="33"/>
      <c r="G20" s="110"/>
      <c r="H20" s="33"/>
      <c r="I20" s="21"/>
    </row>
    <row r="21" spans="1:10">
      <c r="A21" s="87"/>
      <c r="B21" s="169" t="s">
        <v>44</v>
      </c>
      <c r="C21" s="170" t="s">
        <v>45</v>
      </c>
      <c r="D21" s="171" t="s">
        <v>46</v>
      </c>
      <c r="E21" s="171" t="s">
        <v>47</v>
      </c>
      <c r="F21" s="171" t="s">
        <v>48</v>
      </c>
      <c r="G21" s="172"/>
      <c r="H21" s="173" t="s">
        <v>49</v>
      </c>
      <c r="I21" s="21"/>
      <c r="J21" s="82"/>
    </row>
    <row r="22" spans="1:10">
      <c r="A22" s="87"/>
      <c r="B22" s="38"/>
      <c r="C22" s="38" t="s">
        <v>63</v>
      </c>
      <c r="D22" s="89"/>
      <c r="E22" s="89"/>
      <c r="F22" s="89"/>
      <c r="G22" s="37"/>
      <c r="H22" s="89"/>
      <c r="I22" s="21"/>
    </row>
    <row r="23" spans="1:10">
      <c r="A23" s="87"/>
      <c r="B23" s="38" t="s">
        <v>50</v>
      </c>
      <c r="C23" s="38" t="s">
        <v>64</v>
      </c>
      <c r="D23" s="89"/>
      <c r="E23" s="52">
        <f>$D$3/12.5/12</f>
        <v>7.7413420000000004</v>
      </c>
      <c r="F23" s="89">
        <f>F18-E23</f>
        <v>1153.4599580000001</v>
      </c>
      <c r="G23" s="90">
        <f>$D$4</f>
        <v>0.1265</v>
      </c>
      <c r="H23" s="147">
        <f>F23*G23/12</f>
        <v>12.159390390583335</v>
      </c>
      <c r="I23" s="21"/>
    </row>
    <row r="24" spans="1:10">
      <c r="A24" s="87"/>
      <c r="B24" s="38" t="s">
        <v>51</v>
      </c>
      <c r="C24" s="38" t="s">
        <v>64</v>
      </c>
      <c r="D24" s="89"/>
      <c r="E24" s="52">
        <f t="shared" ref="E24:E34" si="3">$D$3/12.5/12</f>
        <v>7.7413420000000004</v>
      </c>
      <c r="F24" s="89">
        <f t="shared" ref="F24:F34" si="4">F23-E24</f>
        <v>1145.7186160000001</v>
      </c>
      <c r="G24" s="90">
        <f t="shared" ref="G24:G34" si="5">$D$4</f>
        <v>0.1265</v>
      </c>
      <c r="H24" s="147">
        <f t="shared" ref="H24:H26" si="6">F24*G24/12</f>
        <v>12.07778374366667</v>
      </c>
      <c r="I24" s="21"/>
    </row>
    <row r="25" spans="1:10" s="21" customFormat="1">
      <c r="A25" s="87"/>
      <c r="B25" s="38" t="s">
        <v>52</v>
      </c>
      <c r="C25" s="38" t="s">
        <v>64</v>
      </c>
      <c r="D25" s="89"/>
      <c r="E25" s="52">
        <f t="shared" si="3"/>
        <v>7.7413420000000004</v>
      </c>
      <c r="F25" s="89">
        <f t="shared" si="4"/>
        <v>1137.9772740000001</v>
      </c>
      <c r="G25" s="90">
        <f t="shared" si="5"/>
        <v>0.1265</v>
      </c>
      <c r="H25" s="147">
        <f t="shared" si="6"/>
        <v>11.996177096750001</v>
      </c>
    </row>
    <row r="26" spans="1:10">
      <c r="A26" s="87"/>
      <c r="B26" s="38" t="s">
        <v>53</v>
      </c>
      <c r="C26" s="38" t="s">
        <v>64</v>
      </c>
      <c r="D26" s="89"/>
      <c r="E26" s="52">
        <f t="shared" si="3"/>
        <v>7.7413420000000004</v>
      </c>
      <c r="F26" s="89">
        <f t="shared" si="4"/>
        <v>1130.235932</v>
      </c>
      <c r="G26" s="90">
        <f t="shared" si="5"/>
        <v>0.1265</v>
      </c>
      <c r="H26" s="147">
        <f t="shared" si="6"/>
        <v>11.914570449833334</v>
      </c>
      <c r="I26" s="21"/>
    </row>
    <row r="27" spans="1:10" s="21" customFormat="1">
      <c r="A27" s="87"/>
      <c r="B27" s="38" t="s">
        <v>54</v>
      </c>
      <c r="C27" s="38" t="s">
        <v>64</v>
      </c>
      <c r="D27" s="89"/>
      <c r="E27" s="52">
        <f t="shared" si="3"/>
        <v>7.7413420000000004</v>
      </c>
      <c r="F27" s="89">
        <f t="shared" si="4"/>
        <v>1122.49459</v>
      </c>
      <c r="G27" s="90">
        <f t="shared" si="5"/>
        <v>0.1265</v>
      </c>
      <c r="H27" s="147">
        <f>F27*G27/12</f>
        <v>11.832963802916666</v>
      </c>
    </row>
    <row r="28" spans="1:10">
      <c r="A28" s="87"/>
      <c r="B28" s="38" t="s">
        <v>55</v>
      </c>
      <c r="C28" s="38" t="s">
        <v>64</v>
      </c>
      <c r="D28" s="89"/>
      <c r="E28" s="52">
        <f t="shared" si="3"/>
        <v>7.7413420000000004</v>
      </c>
      <c r="F28" s="89">
        <f t="shared" si="4"/>
        <v>1114.753248</v>
      </c>
      <c r="G28" s="90">
        <f t="shared" si="5"/>
        <v>0.1265</v>
      </c>
      <c r="H28" s="147">
        <f t="shared" ref="H28:H34" si="7">F28*G28/12</f>
        <v>11.751357155999999</v>
      </c>
      <c r="I28" s="21"/>
    </row>
    <row r="29" spans="1:10">
      <c r="A29" s="87"/>
      <c r="B29" s="38" t="s">
        <v>56</v>
      </c>
      <c r="C29" s="38" t="s">
        <v>64</v>
      </c>
      <c r="D29" s="89"/>
      <c r="E29" s="52">
        <f t="shared" si="3"/>
        <v>7.7413420000000004</v>
      </c>
      <c r="F29" s="89">
        <f t="shared" si="4"/>
        <v>1107.011906</v>
      </c>
      <c r="G29" s="90">
        <f t="shared" si="5"/>
        <v>0.1265</v>
      </c>
      <c r="H29" s="147">
        <f t="shared" si="7"/>
        <v>11.669750509083334</v>
      </c>
      <c r="I29" s="21"/>
    </row>
    <row r="30" spans="1:10">
      <c r="A30" s="87"/>
      <c r="B30" s="38" t="s">
        <v>57</v>
      </c>
      <c r="C30" s="38" t="s">
        <v>64</v>
      </c>
      <c r="D30" s="89"/>
      <c r="E30" s="52">
        <f>$D$3/12.5/12</f>
        <v>7.7413420000000004</v>
      </c>
      <c r="F30" s="89">
        <f t="shared" si="4"/>
        <v>1099.2705639999999</v>
      </c>
      <c r="G30" s="90">
        <f t="shared" si="5"/>
        <v>0.1265</v>
      </c>
      <c r="H30" s="147">
        <f t="shared" si="7"/>
        <v>11.588143862166666</v>
      </c>
      <c r="I30" s="21"/>
    </row>
    <row r="31" spans="1:10">
      <c r="A31" s="87"/>
      <c r="B31" s="38" t="s">
        <v>58</v>
      </c>
      <c r="C31" s="38" t="s">
        <v>64</v>
      </c>
      <c r="D31" s="89"/>
      <c r="E31" s="52">
        <f t="shared" si="3"/>
        <v>7.7413420000000004</v>
      </c>
      <c r="F31" s="89">
        <f t="shared" si="4"/>
        <v>1091.5292219999999</v>
      </c>
      <c r="G31" s="90">
        <f t="shared" si="5"/>
        <v>0.1265</v>
      </c>
      <c r="H31" s="147">
        <f t="shared" si="7"/>
        <v>11.506537215249999</v>
      </c>
      <c r="I31" s="21"/>
    </row>
    <row r="32" spans="1:10">
      <c r="A32" s="87"/>
      <c r="B32" s="38" t="s">
        <v>59</v>
      </c>
      <c r="C32" s="38" t="s">
        <v>64</v>
      </c>
      <c r="D32" s="89"/>
      <c r="E32" s="52">
        <f t="shared" si="3"/>
        <v>7.7413420000000004</v>
      </c>
      <c r="F32" s="89">
        <f t="shared" si="4"/>
        <v>1083.7878799999999</v>
      </c>
      <c r="G32" s="90">
        <f t="shared" si="5"/>
        <v>0.1265</v>
      </c>
      <c r="H32" s="147">
        <f t="shared" si="7"/>
        <v>11.424930568333332</v>
      </c>
      <c r="I32" s="21"/>
    </row>
    <row r="33" spans="1:9">
      <c r="A33" s="87"/>
      <c r="B33" s="38" t="s">
        <v>60</v>
      </c>
      <c r="C33" s="38" t="s">
        <v>64</v>
      </c>
      <c r="D33" s="89"/>
      <c r="E33" s="52">
        <f t="shared" si="3"/>
        <v>7.7413420000000004</v>
      </c>
      <c r="F33" s="89">
        <f t="shared" si="4"/>
        <v>1076.0465379999998</v>
      </c>
      <c r="G33" s="90">
        <f t="shared" si="5"/>
        <v>0.1265</v>
      </c>
      <c r="H33" s="147">
        <f t="shared" si="7"/>
        <v>11.343323921416664</v>
      </c>
      <c r="I33" s="21"/>
    </row>
    <row r="34" spans="1:9">
      <c r="A34" s="87"/>
      <c r="B34" s="38" t="s">
        <v>61</v>
      </c>
      <c r="C34" s="38" t="s">
        <v>64</v>
      </c>
      <c r="D34" s="89"/>
      <c r="E34" s="89">
        <f t="shared" si="3"/>
        <v>7.7413420000000004</v>
      </c>
      <c r="F34" s="89">
        <f t="shared" si="4"/>
        <v>1068.3051959999998</v>
      </c>
      <c r="G34" s="90">
        <f t="shared" si="5"/>
        <v>0.1265</v>
      </c>
      <c r="H34" s="147">
        <f t="shared" si="7"/>
        <v>11.261717274499999</v>
      </c>
      <c r="I34" s="21"/>
    </row>
    <row r="35" spans="1:9" ht="13.5" thickBot="1">
      <c r="A35" s="87"/>
      <c r="B35" s="174"/>
      <c r="C35" s="175" t="s">
        <v>62</v>
      </c>
      <c r="D35" s="176">
        <f>SUM(D23:D34)</f>
        <v>0</v>
      </c>
      <c r="E35" s="179">
        <f>SUM(E23:E34)</f>
        <v>92.896104000000022</v>
      </c>
      <c r="F35" s="176"/>
      <c r="G35" s="177"/>
      <c r="H35" s="180">
        <f>SUM(H23:H34)</f>
        <v>140.52664599050001</v>
      </c>
      <c r="I35" s="21"/>
    </row>
    <row r="36" spans="1:9">
      <c r="A36" s="87"/>
      <c r="B36" s="169" t="s">
        <v>44</v>
      </c>
      <c r="C36" s="170" t="s">
        <v>45</v>
      </c>
      <c r="D36" s="171" t="s">
        <v>46</v>
      </c>
      <c r="E36" s="171" t="s">
        <v>47</v>
      </c>
      <c r="F36" s="171" t="s">
        <v>48</v>
      </c>
      <c r="G36" s="172"/>
      <c r="H36" s="173" t="s">
        <v>49</v>
      </c>
      <c r="I36" s="21"/>
    </row>
    <row r="37" spans="1:9">
      <c r="A37" s="87"/>
      <c r="B37" s="88"/>
      <c r="C37" s="38" t="s">
        <v>63</v>
      </c>
      <c r="D37" s="89"/>
      <c r="E37" s="89"/>
      <c r="F37" s="89"/>
      <c r="G37" s="181"/>
      <c r="H37" s="86"/>
      <c r="I37" s="21"/>
    </row>
    <row r="38" spans="1:9">
      <c r="A38" s="87"/>
      <c r="B38" s="88" t="s">
        <v>50</v>
      </c>
      <c r="C38" s="38" t="s">
        <v>64</v>
      </c>
      <c r="D38" s="89"/>
      <c r="E38" s="52">
        <f>$D$3/12.5/12</f>
        <v>7.7413420000000004</v>
      </c>
      <c r="F38" s="89">
        <f>F34-E38</f>
        <v>1060.5638539999998</v>
      </c>
      <c r="G38" s="90">
        <f>$D$4</f>
        <v>0.1265</v>
      </c>
      <c r="H38" s="147">
        <f>F38*G38/12</f>
        <v>11.180110627583332</v>
      </c>
      <c r="I38" s="21"/>
    </row>
    <row r="39" spans="1:9">
      <c r="A39" s="87"/>
      <c r="B39" s="88" t="s">
        <v>51</v>
      </c>
      <c r="C39" s="38" t="s">
        <v>64</v>
      </c>
      <c r="D39" s="89"/>
      <c r="E39" s="52">
        <f t="shared" ref="E39:E49" si="8">$D$3/12.5/12</f>
        <v>7.7413420000000004</v>
      </c>
      <c r="F39" s="89">
        <f t="shared" ref="F39:F49" si="9">F38-E39</f>
        <v>1052.8225119999997</v>
      </c>
      <c r="G39" s="90">
        <f t="shared" ref="G39:G49" si="10">$D$4</f>
        <v>0.1265</v>
      </c>
      <c r="H39" s="147">
        <f t="shared" ref="H39:H49" si="11">F39*G39/12</f>
        <v>11.098503980666663</v>
      </c>
      <c r="I39" s="21"/>
    </row>
    <row r="40" spans="1:9">
      <c r="A40" s="87"/>
      <c r="B40" s="88" t="s">
        <v>52</v>
      </c>
      <c r="C40" s="38" t="s">
        <v>64</v>
      </c>
      <c r="D40" s="89"/>
      <c r="E40" s="52">
        <f t="shared" si="8"/>
        <v>7.7413420000000004</v>
      </c>
      <c r="F40" s="89">
        <f t="shared" si="9"/>
        <v>1045.0811699999997</v>
      </c>
      <c r="G40" s="90">
        <f t="shared" si="10"/>
        <v>0.1265</v>
      </c>
      <c r="H40" s="147">
        <f t="shared" si="11"/>
        <v>11.016897333749997</v>
      </c>
      <c r="I40" s="21"/>
    </row>
    <row r="41" spans="1:9">
      <c r="A41" s="87"/>
      <c r="B41" s="88" t="s">
        <v>53</v>
      </c>
      <c r="C41" s="38" t="s">
        <v>64</v>
      </c>
      <c r="D41" s="89"/>
      <c r="E41" s="52">
        <f t="shared" si="8"/>
        <v>7.7413420000000004</v>
      </c>
      <c r="F41" s="89">
        <f t="shared" si="9"/>
        <v>1037.3398279999997</v>
      </c>
      <c r="G41" s="90">
        <f t="shared" si="10"/>
        <v>0.1265</v>
      </c>
      <c r="H41" s="147">
        <f t="shared" si="11"/>
        <v>10.935290686833332</v>
      </c>
      <c r="I41" s="21"/>
    </row>
    <row r="42" spans="1:9">
      <c r="A42" s="87"/>
      <c r="B42" s="88" t="s">
        <v>54</v>
      </c>
      <c r="C42" s="38" t="s">
        <v>64</v>
      </c>
      <c r="D42" s="89"/>
      <c r="E42" s="52">
        <f t="shared" si="8"/>
        <v>7.7413420000000004</v>
      </c>
      <c r="F42" s="89">
        <f t="shared" si="9"/>
        <v>1029.5984859999996</v>
      </c>
      <c r="G42" s="90">
        <f t="shared" si="10"/>
        <v>0.1265</v>
      </c>
      <c r="H42" s="147">
        <f>F42*G42/12</f>
        <v>10.853684039916663</v>
      </c>
      <c r="I42" s="21"/>
    </row>
    <row r="43" spans="1:9">
      <c r="A43" s="87"/>
      <c r="B43" s="88" t="s">
        <v>55</v>
      </c>
      <c r="C43" s="38" t="s">
        <v>64</v>
      </c>
      <c r="D43" s="89"/>
      <c r="E43" s="52">
        <f t="shared" si="8"/>
        <v>7.7413420000000004</v>
      </c>
      <c r="F43" s="89">
        <f t="shared" si="9"/>
        <v>1021.8571439999996</v>
      </c>
      <c r="G43" s="90">
        <f t="shared" si="10"/>
        <v>0.1265</v>
      </c>
      <c r="H43" s="147">
        <f t="shared" si="11"/>
        <v>10.772077392999996</v>
      </c>
      <c r="I43" s="21"/>
    </row>
    <row r="44" spans="1:9">
      <c r="A44" s="87"/>
      <c r="B44" s="88" t="s">
        <v>56</v>
      </c>
      <c r="C44" s="38" t="s">
        <v>64</v>
      </c>
      <c r="D44" s="89"/>
      <c r="E44" s="52">
        <f t="shared" si="8"/>
        <v>7.7413420000000004</v>
      </c>
      <c r="F44" s="89">
        <f t="shared" si="9"/>
        <v>1014.1158019999996</v>
      </c>
      <c r="G44" s="90">
        <f t="shared" si="10"/>
        <v>0.1265</v>
      </c>
      <c r="H44" s="147">
        <f t="shared" si="11"/>
        <v>10.690470746083328</v>
      </c>
      <c r="I44" s="21"/>
    </row>
    <row r="45" spans="1:9">
      <c r="A45" s="87"/>
      <c r="B45" s="88" t="s">
        <v>57</v>
      </c>
      <c r="C45" s="38" t="s">
        <v>64</v>
      </c>
      <c r="D45" s="89"/>
      <c r="E45" s="52">
        <f>$D$3/12.5/12</f>
        <v>7.7413420000000004</v>
      </c>
      <c r="F45" s="89">
        <f t="shared" si="9"/>
        <v>1006.3744599999995</v>
      </c>
      <c r="G45" s="90">
        <f t="shared" si="10"/>
        <v>0.1265</v>
      </c>
      <c r="H45" s="147">
        <f t="shared" si="11"/>
        <v>10.608864099166661</v>
      </c>
      <c r="I45" s="21"/>
    </row>
    <row r="46" spans="1:9">
      <c r="A46" s="87"/>
      <c r="B46" s="88" t="s">
        <v>58</v>
      </c>
      <c r="C46" s="38" t="s">
        <v>64</v>
      </c>
      <c r="D46" s="89"/>
      <c r="E46" s="52">
        <f t="shared" si="8"/>
        <v>7.7413420000000004</v>
      </c>
      <c r="F46" s="89">
        <f t="shared" si="9"/>
        <v>998.63311799999951</v>
      </c>
      <c r="G46" s="90">
        <f t="shared" si="10"/>
        <v>0.1265</v>
      </c>
      <c r="H46" s="147">
        <f t="shared" si="11"/>
        <v>10.527257452249994</v>
      </c>
      <c r="I46" s="21"/>
    </row>
    <row r="47" spans="1:9">
      <c r="A47" s="87"/>
      <c r="B47" s="88" t="s">
        <v>59</v>
      </c>
      <c r="C47" s="38" t="s">
        <v>64</v>
      </c>
      <c r="D47" s="89"/>
      <c r="E47" s="52">
        <f t="shared" si="8"/>
        <v>7.7413420000000004</v>
      </c>
      <c r="F47" s="89">
        <f t="shared" si="9"/>
        <v>990.89177599999948</v>
      </c>
      <c r="G47" s="90">
        <f t="shared" si="10"/>
        <v>0.1265</v>
      </c>
      <c r="H47" s="147">
        <f t="shared" si="11"/>
        <v>10.445650805333328</v>
      </c>
      <c r="I47" s="21"/>
    </row>
    <row r="48" spans="1:9">
      <c r="A48" s="87"/>
      <c r="B48" s="88" t="s">
        <v>60</v>
      </c>
      <c r="C48" s="38" t="s">
        <v>64</v>
      </c>
      <c r="D48" s="89"/>
      <c r="E48" s="52">
        <f t="shared" si="8"/>
        <v>7.7413420000000004</v>
      </c>
      <c r="F48" s="89">
        <f t="shared" si="9"/>
        <v>983.15043399999945</v>
      </c>
      <c r="G48" s="90">
        <f t="shared" si="10"/>
        <v>0.1265</v>
      </c>
      <c r="H48" s="147">
        <f t="shared" si="11"/>
        <v>10.364044158416661</v>
      </c>
      <c r="I48" s="21"/>
    </row>
    <row r="49" spans="1:9">
      <c r="A49" s="87"/>
      <c r="B49" s="88" t="s">
        <v>61</v>
      </c>
      <c r="C49" s="38" t="s">
        <v>64</v>
      </c>
      <c r="D49" s="89"/>
      <c r="E49" s="52">
        <f t="shared" si="8"/>
        <v>7.7413420000000004</v>
      </c>
      <c r="F49" s="89">
        <f t="shared" si="9"/>
        <v>975.40909199999942</v>
      </c>
      <c r="G49" s="90">
        <f t="shared" si="10"/>
        <v>0.1265</v>
      </c>
      <c r="H49" s="147">
        <f t="shared" si="11"/>
        <v>10.282437511499994</v>
      </c>
      <c r="I49" s="21"/>
    </row>
    <row r="50" spans="1:9" ht="13.5" thickBot="1">
      <c r="A50" s="87"/>
      <c r="B50" s="174"/>
      <c r="C50" s="175" t="s">
        <v>62</v>
      </c>
      <c r="D50" s="176">
        <f>SUM(D38:D49)</f>
        <v>0</v>
      </c>
      <c r="E50" s="179">
        <f>SUM(E38:E49)</f>
        <v>92.896104000000022</v>
      </c>
      <c r="F50" s="176"/>
      <c r="G50" s="177"/>
      <c r="H50" s="180">
        <f>SUM(H38:H49)</f>
        <v>128.77528883449997</v>
      </c>
      <c r="I50" s="21"/>
    </row>
    <row r="51" spans="1:9">
      <c r="A51" s="87"/>
      <c r="B51" s="169" t="s">
        <v>44</v>
      </c>
      <c r="C51" s="170" t="s">
        <v>45</v>
      </c>
      <c r="D51" s="171" t="s">
        <v>46</v>
      </c>
      <c r="E51" s="171" t="s">
        <v>47</v>
      </c>
      <c r="F51" s="171" t="s">
        <v>48</v>
      </c>
      <c r="G51" s="172"/>
      <c r="H51" s="173" t="s">
        <v>49</v>
      </c>
      <c r="I51" s="21"/>
    </row>
    <row r="52" spans="1:9">
      <c r="A52" s="87"/>
      <c r="B52" s="88"/>
      <c r="C52" s="38" t="s">
        <v>63</v>
      </c>
      <c r="D52" s="89"/>
      <c r="E52" s="89"/>
      <c r="F52" s="89"/>
      <c r="G52" s="90"/>
      <c r="H52" s="86"/>
      <c r="I52" s="21"/>
    </row>
    <row r="53" spans="1:9">
      <c r="A53" s="87"/>
      <c r="B53" s="88" t="s">
        <v>50</v>
      </c>
      <c r="C53" s="38" t="s">
        <v>64</v>
      </c>
      <c r="D53" s="89"/>
      <c r="E53" s="52">
        <f>$D$3/12.5/12</f>
        <v>7.7413420000000004</v>
      </c>
      <c r="F53" s="89">
        <f>F49-E53</f>
        <v>967.66774999999939</v>
      </c>
      <c r="G53" s="90">
        <f t="shared" ref="G53:G63" si="12">$D$4</f>
        <v>0.1265</v>
      </c>
      <c r="H53" s="147">
        <f t="shared" ref="H53:H64" si="13">F53*G53/12</f>
        <v>10.200830864583327</v>
      </c>
      <c r="I53" s="33"/>
    </row>
    <row r="54" spans="1:9">
      <c r="A54" s="87"/>
      <c r="B54" s="88" t="s">
        <v>51</v>
      </c>
      <c r="C54" s="38" t="s">
        <v>64</v>
      </c>
      <c r="D54" s="89"/>
      <c r="E54" s="52">
        <f t="shared" ref="E54:E64" si="14">$D$3/12.5/12</f>
        <v>7.7413420000000004</v>
      </c>
      <c r="F54" s="89">
        <f>F53-E54</f>
        <v>959.92640799999936</v>
      </c>
      <c r="G54" s="90">
        <f t="shared" si="12"/>
        <v>0.1265</v>
      </c>
      <c r="H54" s="147">
        <f t="shared" si="13"/>
        <v>10.119224217666661</v>
      </c>
      <c r="I54" s="21"/>
    </row>
    <row r="55" spans="1:9">
      <c r="A55" s="87"/>
      <c r="B55" s="88" t="s">
        <v>52</v>
      </c>
      <c r="C55" s="38" t="s">
        <v>64</v>
      </c>
      <c r="D55" s="89"/>
      <c r="E55" s="52">
        <f t="shared" si="14"/>
        <v>7.7413420000000004</v>
      </c>
      <c r="F55" s="89">
        <f t="shared" ref="F55:F64" si="15">F54-E55</f>
        <v>952.18506599999932</v>
      </c>
      <c r="G55" s="90">
        <f t="shared" si="12"/>
        <v>0.1265</v>
      </c>
      <c r="H55" s="147">
        <f t="shared" si="13"/>
        <v>10.037617570749992</v>
      </c>
      <c r="I55" s="21"/>
    </row>
    <row r="56" spans="1:9">
      <c r="A56" s="87"/>
      <c r="B56" s="88" t="s">
        <v>53</v>
      </c>
      <c r="C56" s="38" t="s">
        <v>64</v>
      </c>
      <c r="D56" s="89"/>
      <c r="E56" s="52">
        <f t="shared" si="14"/>
        <v>7.7413420000000004</v>
      </c>
      <c r="F56" s="89">
        <f t="shared" si="15"/>
        <v>944.44372399999929</v>
      </c>
      <c r="G56" s="90">
        <f t="shared" si="12"/>
        <v>0.1265</v>
      </c>
      <c r="H56" s="147">
        <f t="shared" si="13"/>
        <v>9.9560109238333254</v>
      </c>
      <c r="I56" s="21"/>
    </row>
    <row r="57" spans="1:9">
      <c r="A57" s="87"/>
      <c r="B57" s="88" t="s">
        <v>54</v>
      </c>
      <c r="C57" s="38" t="s">
        <v>64</v>
      </c>
      <c r="D57" s="89"/>
      <c r="E57" s="52">
        <f t="shared" si="14"/>
        <v>7.7413420000000004</v>
      </c>
      <c r="F57" s="89">
        <f t="shared" si="15"/>
        <v>936.70238199999926</v>
      </c>
      <c r="G57" s="90">
        <f t="shared" si="12"/>
        <v>0.1265</v>
      </c>
      <c r="H57" s="147">
        <f t="shared" si="13"/>
        <v>9.8744042769166587</v>
      </c>
      <c r="I57" s="21"/>
    </row>
    <row r="58" spans="1:9">
      <c r="A58" s="87"/>
      <c r="B58" s="88" t="s">
        <v>55</v>
      </c>
      <c r="C58" s="38" t="s">
        <v>64</v>
      </c>
      <c r="D58" s="89"/>
      <c r="E58" s="52">
        <f t="shared" si="14"/>
        <v>7.7413420000000004</v>
      </c>
      <c r="F58" s="89">
        <f t="shared" si="15"/>
        <v>928.96103999999923</v>
      </c>
      <c r="G58" s="90">
        <f t="shared" si="12"/>
        <v>0.1265</v>
      </c>
      <c r="H58" s="147">
        <f t="shared" si="13"/>
        <v>9.7927976299999919</v>
      </c>
      <c r="I58" s="21"/>
    </row>
    <row r="59" spans="1:9">
      <c r="A59" s="87"/>
      <c r="B59" s="88" t="s">
        <v>56</v>
      </c>
      <c r="C59" s="38" t="s">
        <v>64</v>
      </c>
      <c r="D59" s="89"/>
      <c r="E59" s="52">
        <f t="shared" si="14"/>
        <v>7.7413420000000004</v>
      </c>
      <c r="F59" s="89">
        <f t="shared" si="15"/>
        <v>921.2196979999992</v>
      </c>
      <c r="G59" s="90">
        <f t="shared" si="12"/>
        <v>0.1265</v>
      </c>
      <c r="H59" s="147">
        <f t="shared" si="13"/>
        <v>9.7111909830833252</v>
      </c>
      <c r="I59" s="21"/>
    </row>
    <row r="60" spans="1:9">
      <c r="A60" s="87"/>
      <c r="B60" s="88" t="s">
        <v>57</v>
      </c>
      <c r="C60" s="38" t="s">
        <v>64</v>
      </c>
      <c r="D60" s="89"/>
      <c r="E60" s="52">
        <f>$D$3/12.5/12</f>
        <v>7.7413420000000004</v>
      </c>
      <c r="F60" s="89">
        <f t="shared" si="15"/>
        <v>913.47835599999917</v>
      </c>
      <c r="G60" s="90">
        <f t="shared" si="12"/>
        <v>0.1265</v>
      </c>
      <c r="H60" s="147">
        <f t="shared" si="13"/>
        <v>9.6295843361666584</v>
      </c>
      <c r="I60" s="21"/>
    </row>
    <row r="61" spans="1:9">
      <c r="A61" s="87"/>
      <c r="B61" s="88" t="s">
        <v>58</v>
      </c>
      <c r="C61" s="38" t="s">
        <v>64</v>
      </c>
      <c r="D61" s="89"/>
      <c r="E61" s="52">
        <f t="shared" si="14"/>
        <v>7.7413420000000004</v>
      </c>
      <c r="F61" s="89">
        <f t="shared" si="15"/>
        <v>905.73701399999914</v>
      </c>
      <c r="G61" s="90">
        <f t="shared" si="12"/>
        <v>0.1265</v>
      </c>
      <c r="H61" s="147">
        <f t="shared" si="13"/>
        <v>9.5479776892499917</v>
      </c>
      <c r="I61" s="21"/>
    </row>
    <row r="62" spans="1:9">
      <c r="A62" s="87"/>
      <c r="B62" s="88" t="s">
        <v>59</v>
      </c>
      <c r="C62" s="38" t="s">
        <v>64</v>
      </c>
      <c r="D62" s="89"/>
      <c r="E62" s="52">
        <f t="shared" si="14"/>
        <v>7.7413420000000004</v>
      </c>
      <c r="F62" s="89">
        <f t="shared" si="15"/>
        <v>897.9956719999991</v>
      </c>
      <c r="G62" s="90">
        <f t="shared" si="12"/>
        <v>0.1265</v>
      </c>
      <c r="H62" s="147">
        <f t="shared" si="13"/>
        <v>9.4663710423333232</v>
      </c>
      <c r="I62" s="21"/>
    </row>
    <row r="63" spans="1:9">
      <c r="A63" s="87"/>
      <c r="B63" s="88" t="s">
        <v>60</v>
      </c>
      <c r="C63" s="38" t="s">
        <v>64</v>
      </c>
      <c r="D63" s="89"/>
      <c r="E63" s="52">
        <f t="shared" si="14"/>
        <v>7.7413420000000004</v>
      </c>
      <c r="F63" s="89">
        <f t="shared" si="15"/>
        <v>890.25432999999907</v>
      </c>
      <c r="G63" s="90">
        <f t="shared" si="12"/>
        <v>0.1265</v>
      </c>
      <c r="H63" s="147">
        <f t="shared" si="13"/>
        <v>9.3847643954166564</v>
      </c>
      <c r="I63" s="21"/>
    </row>
    <row r="64" spans="1:9">
      <c r="A64" s="87"/>
      <c r="B64" s="88" t="s">
        <v>61</v>
      </c>
      <c r="C64" s="38" t="s">
        <v>64</v>
      </c>
      <c r="D64" s="89"/>
      <c r="E64" s="52">
        <f t="shared" si="14"/>
        <v>7.7413420000000004</v>
      </c>
      <c r="F64" s="89">
        <f t="shared" si="15"/>
        <v>882.51298799999904</v>
      </c>
      <c r="G64" s="90">
        <f>$G$79</f>
        <v>0.1265</v>
      </c>
      <c r="H64" s="147">
        <f t="shared" si="13"/>
        <v>9.3031577484999897</v>
      </c>
      <c r="I64" s="21"/>
    </row>
    <row r="65" spans="1:9" ht="13.5" thickBot="1">
      <c r="A65" s="87"/>
      <c r="B65" s="174"/>
      <c r="C65" s="175" t="s">
        <v>62</v>
      </c>
      <c r="D65" s="176">
        <f>SUM(D53:D64)</f>
        <v>0</v>
      </c>
      <c r="E65" s="179">
        <f>SUM(E53:E64)</f>
        <v>92.896104000000022</v>
      </c>
      <c r="F65" s="176"/>
      <c r="G65" s="177"/>
      <c r="H65" s="180">
        <f>SUM(H53:H64)</f>
        <v>117.02393167849989</v>
      </c>
      <c r="I65" s="33"/>
    </row>
    <row r="66" spans="1:9">
      <c r="A66" s="87"/>
      <c r="B66" s="169" t="s">
        <v>44</v>
      </c>
      <c r="C66" s="170" t="s">
        <v>45</v>
      </c>
      <c r="D66" s="171" t="s">
        <v>46</v>
      </c>
      <c r="E66" s="171" t="s">
        <v>47</v>
      </c>
      <c r="F66" s="171" t="s">
        <v>48</v>
      </c>
      <c r="G66" s="172"/>
      <c r="H66" s="173" t="s">
        <v>49</v>
      </c>
      <c r="I66" s="21"/>
    </row>
    <row r="67" spans="1:9">
      <c r="A67" s="87"/>
      <c r="B67" s="88"/>
      <c r="C67" s="38" t="s">
        <v>63</v>
      </c>
      <c r="D67" s="89"/>
      <c r="E67" s="89"/>
      <c r="F67" s="89"/>
      <c r="G67" s="181"/>
      <c r="H67" s="86"/>
      <c r="I67" s="21"/>
    </row>
    <row r="68" spans="1:9">
      <c r="A68" s="87"/>
      <c r="B68" s="88" t="s">
        <v>50</v>
      </c>
      <c r="C68" s="38" t="s">
        <v>64</v>
      </c>
      <c r="D68" s="89"/>
      <c r="E68" s="52">
        <f>$D$3/12.5/12</f>
        <v>7.7413420000000004</v>
      </c>
      <c r="F68" s="89">
        <f>F64-E68</f>
        <v>874.77164599999901</v>
      </c>
      <c r="G68" s="90">
        <f>$D$4</f>
        <v>0.1265</v>
      </c>
      <c r="H68" s="147">
        <f t="shared" ref="H68:H79" si="16">F68*G68/12</f>
        <v>9.2215511015833229</v>
      </c>
      <c r="I68" s="21"/>
    </row>
    <row r="69" spans="1:9">
      <c r="A69" s="87"/>
      <c r="B69" s="88" t="s">
        <v>51</v>
      </c>
      <c r="C69" s="88" t="s">
        <v>64</v>
      </c>
      <c r="D69" s="89"/>
      <c r="E69" s="52">
        <f t="shared" ref="E69:E79" si="17">$D$3/12.5/12</f>
        <v>7.7413420000000004</v>
      </c>
      <c r="F69" s="89">
        <f t="shared" ref="F69:F79" si="18">F68-E69</f>
        <v>867.03030399999898</v>
      </c>
      <c r="G69" s="90">
        <f t="shared" ref="G69:G79" si="19">$D$4</f>
        <v>0.1265</v>
      </c>
      <c r="H69" s="147">
        <f>F69*G69/12</f>
        <v>9.1399444546666562</v>
      </c>
      <c r="I69" s="21"/>
    </row>
    <row r="70" spans="1:9" s="87" customFormat="1">
      <c r="B70" s="88" t="s">
        <v>52</v>
      </c>
      <c r="C70" s="88" t="s">
        <v>64</v>
      </c>
      <c r="E70" s="52">
        <f t="shared" si="17"/>
        <v>7.7413420000000004</v>
      </c>
      <c r="F70" s="182">
        <f>F69-E70</f>
        <v>859.28896199999895</v>
      </c>
      <c r="G70" s="183">
        <f t="shared" si="19"/>
        <v>0.1265</v>
      </c>
      <c r="H70" s="184">
        <f t="shared" si="16"/>
        <v>9.0583378077499894</v>
      </c>
      <c r="I70" s="185"/>
    </row>
    <row r="71" spans="1:9">
      <c r="A71" s="87"/>
      <c r="B71" s="88" t="s">
        <v>53</v>
      </c>
      <c r="C71" s="88" t="s">
        <v>64</v>
      </c>
      <c r="D71" s="89"/>
      <c r="E71" s="52">
        <f t="shared" si="17"/>
        <v>7.7413420000000004</v>
      </c>
      <c r="F71" s="89">
        <f t="shared" si="18"/>
        <v>851.54761999999891</v>
      </c>
      <c r="G71" s="90">
        <f t="shared" si="19"/>
        <v>0.1265</v>
      </c>
      <c r="H71" s="147">
        <f t="shared" si="16"/>
        <v>8.9767311608333227</v>
      </c>
      <c r="I71" s="21"/>
    </row>
    <row r="72" spans="1:9" s="21" customFormat="1">
      <c r="A72" s="87"/>
      <c r="B72" s="88" t="s">
        <v>54</v>
      </c>
      <c r="C72" s="88" t="s">
        <v>64</v>
      </c>
      <c r="D72" s="89"/>
      <c r="E72" s="52">
        <f t="shared" si="17"/>
        <v>7.7413420000000004</v>
      </c>
      <c r="F72" s="89">
        <f t="shared" si="18"/>
        <v>843.80627799999888</v>
      </c>
      <c r="G72" s="90">
        <f t="shared" si="19"/>
        <v>0.1265</v>
      </c>
      <c r="H72" s="147">
        <f t="shared" si="16"/>
        <v>8.8951245139166542</v>
      </c>
    </row>
    <row r="73" spans="1:9">
      <c r="A73" s="87"/>
      <c r="B73" s="88" t="s">
        <v>55</v>
      </c>
      <c r="C73" s="88" t="s">
        <v>64</v>
      </c>
      <c r="D73" s="89"/>
      <c r="E73" s="52">
        <f t="shared" si="17"/>
        <v>7.7413420000000004</v>
      </c>
      <c r="F73" s="89">
        <f t="shared" si="18"/>
        <v>836.06493599999885</v>
      </c>
      <c r="G73" s="90">
        <f t="shared" si="19"/>
        <v>0.1265</v>
      </c>
      <c r="H73" s="147">
        <f t="shared" si="16"/>
        <v>8.8135178669999874</v>
      </c>
      <c r="I73" s="21"/>
    </row>
    <row r="74" spans="1:9">
      <c r="A74" s="87"/>
      <c r="B74" s="88" t="s">
        <v>56</v>
      </c>
      <c r="C74" s="38" t="s">
        <v>64</v>
      </c>
      <c r="D74" s="89"/>
      <c r="E74" s="52">
        <f t="shared" si="17"/>
        <v>7.7413420000000004</v>
      </c>
      <c r="F74" s="89">
        <f t="shared" si="18"/>
        <v>828.32359399999882</v>
      </c>
      <c r="G74" s="90">
        <f t="shared" si="19"/>
        <v>0.1265</v>
      </c>
      <c r="H74" s="147">
        <f t="shared" si="16"/>
        <v>8.7319112200833207</v>
      </c>
      <c r="I74" s="21"/>
    </row>
    <row r="75" spans="1:9">
      <c r="A75" s="87"/>
      <c r="B75" s="88" t="s">
        <v>57</v>
      </c>
      <c r="C75" s="38" t="s">
        <v>64</v>
      </c>
      <c r="D75" s="89"/>
      <c r="E75" s="52">
        <f>$D$3/12.5/12</f>
        <v>7.7413420000000004</v>
      </c>
      <c r="F75" s="89">
        <f t="shared" si="18"/>
        <v>820.58225199999879</v>
      </c>
      <c r="G75" s="90">
        <f t="shared" si="19"/>
        <v>0.1265</v>
      </c>
      <c r="H75" s="147">
        <f t="shared" si="16"/>
        <v>8.6503045731666539</v>
      </c>
      <c r="I75" s="21"/>
    </row>
    <row r="76" spans="1:9">
      <c r="B76" s="72" t="s">
        <v>58</v>
      </c>
      <c r="C76" s="32" t="s">
        <v>64</v>
      </c>
      <c r="D76" s="73"/>
      <c r="E76" s="146">
        <f t="shared" si="17"/>
        <v>7.7413420000000004</v>
      </c>
      <c r="F76" s="73">
        <f t="shared" si="18"/>
        <v>812.84090999999876</v>
      </c>
      <c r="G76" s="76">
        <f t="shared" si="19"/>
        <v>0.1265</v>
      </c>
      <c r="H76" s="148">
        <f t="shared" si="16"/>
        <v>8.5686979262499872</v>
      </c>
    </row>
    <row r="77" spans="1:9">
      <c r="B77" s="72" t="s">
        <v>59</v>
      </c>
      <c r="C77" s="32" t="s">
        <v>64</v>
      </c>
      <c r="D77" s="73"/>
      <c r="E77" s="146">
        <f t="shared" si="17"/>
        <v>7.7413420000000004</v>
      </c>
      <c r="F77" s="73">
        <f t="shared" si="18"/>
        <v>805.09956799999873</v>
      </c>
      <c r="G77" s="76">
        <f t="shared" si="19"/>
        <v>0.1265</v>
      </c>
      <c r="H77" s="148">
        <f t="shared" si="16"/>
        <v>8.4870912793333204</v>
      </c>
    </row>
    <row r="78" spans="1:9">
      <c r="B78" s="72" t="s">
        <v>60</v>
      </c>
      <c r="C78" s="32" t="s">
        <v>64</v>
      </c>
      <c r="D78" s="73"/>
      <c r="E78" s="146">
        <f t="shared" si="17"/>
        <v>7.7413420000000004</v>
      </c>
      <c r="F78" s="73">
        <f t="shared" si="18"/>
        <v>797.35822599999869</v>
      </c>
      <c r="G78" s="76">
        <f t="shared" si="19"/>
        <v>0.1265</v>
      </c>
      <c r="H78" s="148">
        <f t="shared" si="16"/>
        <v>8.4054846324166537</v>
      </c>
    </row>
    <row r="79" spans="1:9">
      <c r="B79" s="72" t="s">
        <v>61</v>
      </c>
      <c r="C79" s="32" t="s">
        <v>64</v>
      </c>
      <c r="D79" s="73"/>
      <c r="E79" s="146">
        <f t="shared" si="17"/>
        <v>7.7413420000000004</v>
      </c>
      <c r="F79" s="73">
        <f t="shared" si="18"/>
        <v>789.61688399999866</v>
      </c>
      <c r="G79" s="76">
        <f t="shared" si="19"/>
        <v>0.1265</v>
      </c>
      <c r="H79" s="148">
        <f t="shared" si="16"/>
        <v>8.3238779854999851</v>
      </c>
    </row>
    <row r="80" spans="1:9" ht="13.5" thickBot="1">
      <c r="B80" s="77"/>
      <c r="C80" s="78" t="s">
        <v>62</v>
      </c>
      <c r="D80" s="79">
        <f>SUM(D68:D79)</f>
        <v>0</v>
      </c>
      <c r="E80" s="146">
        <f>SUM(E68:E79)</f>
        <v>92.896104000000022</v>
      </c>
      <c r="F80" s="79"/>
      <c r="G80" s="80"/>
      <c r="H80" s="149">
        <f>SUM(H68:H79)</f>
        <v>105.27257452249987</v>
      </c>
    </row>
    <row r="81" spans="2:8">
      <c r="B81" s="67" t="s">
        <v>44</v>
      </c>
      <c r="C81" s="68" t="s">
        <v>45</v>
      </c>
      <c r="D81" s="69" t="s">
        <v>46</v>
      </c>
      <c r="E81" s="92" t="s">
        <v>47</v>
      </c>
      <c r="F81" s="69" t="s">
        <v>48</v>
      </c>
      <c r="G81" s="70"/>
      <c r="H81" s="71" t="s">
        <v>49</v>
      </c>
    </row>
    <row r="82" spans="2:8">
      <c r="B82" s="72"/>
      <c r="C82" s="32" t="s">
        <v>63</v>
      </c>
      <c r="D82" s="73"/>
      <c r="E82" s="81"/>
      <c r="F82" s="73"/>
      <c r="G82" s="74"/>
      <c r="H82" s="75"/>
    </row>
    <row r="83" spans="2:8">
      <c r="B83" s="72" t="s">
        <v>50</v>
      </c>
      <c r="C83" s="32" t="s">
        <v>64</v>
      </c>
      <c r="D83" s="73"/>
      <c r="E83" s="146">
        <f>$D$3/12.5/12</f>
        <v>7.7413420000000004</v>
      </c>
      <c r="F83" s="73">
        <f>F79-E83</f>
        <v>781.87554199999863</v>
      </c>
      <c r="G83" s="76">
        <f>$D$4</f>
        <v>0.1265</v>
      </c>
      <c r="H83" s="148">
        <f t="shared" ref="H83:H94" si="20">F83*G83/12</f>
        <v>8.2422713385833202</v>
      </c>
    </row>
    <row r="84" spans="2:8">
      <c r="B84" s="72" t="s">
        <v>51</v>
      </c>
      <c r="C84" s="32" t="s">
        <v>64</v>
      </c>
      <c r="D84" s="73"/>
      <c r="E84" s="146">
        <f t="shared" ref="E84:E94" si="21">$D$3/12.5/12</f>
        <v>7.7413420000000004</v>
      </c>
      <c r="F84" s="73">
        <f t="shared" ref="F84:F94" si="22">F83-E84</f>
        <v>774.1341999999986</v>
      </c>
      <c r="G84" s="76">
        <f t="shared" ref="G84:G94" si="23">$D$4</f>
        <v>0.1265</v>
      </c>
      <c r="H84" s="148">
        <f t="shared" si="20"/>
        <v>8.1606646916666516</v>
      </c>
    </row>
    <row r="85" spans="2:8">
      <c r="B85" s="72" t="s">
        <v>52</v>
      </c>
      <c r="C85" s="32" t="s">
        <v>64</v>
      </c>
      <c r="D85" s="73"/>
      <c r="E85" s="146">
        <f t="shared" si="21"/>
        <v>7.7413420000000004</v>
      </c>
      <c r="F85" s="73">
        <f t="shared" si="22"/>
        <v>766.39285799999857</v>
      </c>
      <c r="G85" s="76">
        <f t="shared" si="23"/>
        <v>0.1265</v>
      </c>
      <c r="H85" s="148">
        <f t="shared" si="20"/>
        <v>8.0790580447499849</v>
      </c>
    </row>
    <row r="86" spans="2:8">
      <c r="B86" s="72" t="s">
        <v>53</v>
      </c>
      <c r="C86" s="32" t="s">
        <v>64</v>
      </c>
      <c r="D86" s="73"/>
      <c r="E86" s="146">
        <f t="shared" si="21"/>
        <v>7.7413420000000004</v>
      </c>
      <c r="F86" s="73">
        <f t="shared" si="22"/>
        <v>758.65151599999854</v>
      </c>
      <c r="G86" s="76">
        <f t="shared" si="23"/>
        <v>0.1265</v>
      </c>
      <c r="H86" s="148">
        <f t="shared" si="20"/>
        <v>7.9974513978333173</v>
      </c>
    </row>
    <row r="87" spans="2:8">
      <c r="B87" s="72" t="s">
        <v>54</v>
      </c>
      <c r="C87" s="32" t="s">
        <v>64</v>
      </c>
      <c r="D87" s="73"/>
      <c r="E87" s="146">
        <f t="shared" si="21"/>
        <v>7.7413420000000004</v>
      </c>
      <c r="F87" s="73">
        <f t="shared" si="22"/>
        <v>750.91017399999851</v>
      </c>
      <c r="G87" s="76">
        <f t="shared" si="23"/>
        <v>0.1265</v>
      </c>
      <c r="H87" s="148">
        <f t="shared" si="20"/>
        <v>7.9158447509166514</v>
      </c>
    </row>
    <row r="88" spans="2:8">
      <c r="B88" s="72" t="s">
        <v>55</v>
      </c>
      <c r="C88" s="32" t="s">
        <v>64</v>
      </c>
      <c r="D88" s="73"/>
      <c r="E88" s="146">
        <f t="shared" si="21"/>
        <v>7.7413420000000004</v>
      </c>
      <c r="F88" s="73">
        <f t="shared" si="22"/>
        <v>743.16883199999847</v>
      </c>
      <c r="G88" s="76">
        <f t="shared" si="23"/>
        <v>0.1265</v>
      </c>
      <c r="H88" s="148">
        <f t="shared" si="20"/>
        <v>7.8342381039999838</v>
      </c>
    </row>
    <row r="89" spans="2:8">
      <c r="B89" s="72" t="s">
        <v>56</v>
      </c>
      <c r="C89" s="32" t="s">
        <v>64</v>
      </c>
      <c r="D89" s="73"/>
      <c r="E89" s="146">
        <f t="shared" si="21"/>
        <v>7.7413420000000004</v>
      </c>
      <c r="F89" s="73">
        <f t="shared" si="22"/>
        <v>735.42748999999844</v>
      </c>
      <c r="G89" s="76">
        <f t="shared" si="23"/>
        <v>0.1265</v>
      </c>
      <c r="H89" s="148">
        <f t="shared" si="20"/>
        <v>7.752631457083317</v>
      </c>
    </row>
    <row r="90" spans="2:8">
      <c r="B90" s="72" t="s">
        <v>57</v>
      </c>
      <c r="C90" s="32" t="s">
        <v>64</v>
      </c>
      <c r="D90" s="73"/>
      <c r="E90" s="146">
        <f>$D$3/12.5/12</f>
        <v>7.7413420000000004</v>
      </c>
      <c r="F90" s="73">
        <f t="shared" si="22"/>
        <v>727.68614799999841</v>
      </c>
      <c r="G90" s="76">
        <f t="shared" si="23"/>
        <v>0.1265</v>
      </c>
      <c r="H90" s="148">
        <f t="shared" si="20"/>
        <v>7.6710248101666503</v>
      </c>
    </row>
    <row r="91" spans="2:8">
      <c r="B91" s="72" t="s">
        <v>58</v>
      </c>
      <c r="C91" s="32" t="s">
        <v>64</v>
      </c>
      <c r="D91" s="73"/>
      <c r="E91" s="146">
        <f t="shared" si="21"/>
        <v>7.7413420000000004</v>
      </c>
      <c r="F91" s="73">
        <f t="shared" si="22"/>
        <v>719.94480599999838</v>
      </c>
      <c r="G91" s="76">
        <f t="shared" si="23"/>
        <v>0.1265</v>
      </c>
      <c r="H91" s="148">
        <f t="shared" si="20"/>
        <v>7.5894181632499835</v>
      </c>
    </row>
    <row r="92" spans="2:8">
      <c r="B92" s="72" t="s">
        <v>59</v>
      </c>
      <c r="C92" s="32" t="s">
        <v>64</v>
      </c>
      <c r="D92" s="73"/>
      <c r="E92" s="146">
        <f t="shared" si="21"/>
        <v>7.7413420000000004</v>
      </c>
      <c r="F92" s="73">
        <f t="shared" si="22"/>
        <v>712.20346399999835</v>
      </c>
      <c r="G92" s="76">
        <f t="shared" si="23"/>
        <v>0.1265</v>
      </c>
      <c r="H92" s="148">
        <f t="shared" si="20"/>
        <v>7.5078115163333159</v>
      </c>
    </row>
    <row r="93" spans="2:8">
      <c r="B93" s="72" t="s">
        <v>60</v>
      </c>
      <c r="C93" s="32" t="s">
        <v>64</v>
      </c>
      <c r="D93" s="73"/>
      <c r="E93" s="146">
        <f t="shared" si="21"/>
        <v>7.7413420000000004</v>
      </c>
      <c r="F93" s="73">
        <f t="shared" si="22"/>
        <v>704.46212199999832</v>
      </c>
      <c r="G93" s="76">
        <f t="shared" si="23"/>
        <v>0.1265</v>
      </c>
      <c r="H93" s="148">
        <f t="shared" si="20"/>
        <v>7.4262048694166483</v>
      </c>
    </row>
    <row r="94" spans="2:8">
      <c r="B94" s="72" t="s">
        <v>61</v>
      </c>
      <c r="C94" s="32" t="s">
        <v>64</v>
      </c>
      <c r="D94" s="73"/>
      <c r="E94" s="146">
        <f t="shared" si="21"/>
        <v>7.7413420000000004</v>
      </c>
      <c r="F94" s="73">
        <f t="shared" si="22"/>
        <v>696.72077999999829</v>
      </c>
      <c r="G94" s="76">
        <f t="shared" si="23"/>
        <v>0.1265</v>
      </c>
      <c r="H94" s="148">
        <f t="shared" si="20"/>
        <v>7.3445982224999824</v>
      </c>
    </row>
    <row r="95" spans="2:8" ht="13.5" thickBot="1">
      <c r="B95" s="77"/>
      <c r="C95" s="78" t="s">
        <v>62</v>
      </c>
      <c r="D95" s="79">
        <f>SUM(D83:D94)</f>
        <v>0</v>
      </c>
      <c r="E95" s="146">
        <f>SUM(E83:E94)</f>
        <v>92.896104000000022</v>
      </c>
      <c r="F95" s="79"/>
      <c r="G95" s="80"/>
      <c r="H95" s="149">
        <f>SUM(H83:H94)</f>
        <v>93.521217366499812</v>
      </c>
    </row>
    <row r="96" spans="2:8">
      <c r="B96" s="67" t="s">
        <v>44</v>
      </c>
      <c r="C96" s="68" t="s">
        <v>45</v>
      </c>
      <c r="D96" s="69" t="s">
        <v>46</v>
      </c>
      <c r="E96" s="92" t="s">
        <v>47</v>
      </c>
      <c r="F96" s="69" t="s">
        <v>48</v>
      </c>
      <c r="G96" s="70"/>
      <c r="H96" s="71" t="s">
        <v>49</v>
      </c>
    </row>
    <row r="97" spans="2:8">
      <c r="B97" s="72"/>
      <c r="C97" s="32" t="s">
        <v>63</v>
      </c>
      <c r="D97" s="73"/>
      <c r="E97" s="81"/>
      <c r="F97" s="73"/>
      <c r="G97" s="74"/>
      <c r="H97" s="75"/>
    </row>
    <row r="98" spans="2:8">
      <c r="B98" s="72" t="s">
        <v>50</v>
      </c>
      <c r="C98" s="32" t="s">
        <v>64</v>
      </c>
      <c r="D98" s="73"/>
      <c r="E98" s="146">
        <f>$D$3/12.5/12</f>
        <v>7.7413420000000004</v>
      </c>
      <c r="F98" s="73">
        <f>F94-E98</f>
        <v>688.97943799999825</v>
      </c>
      <c r="G98" s="76">
        <f>$D$4</f>
        <v>0.1265</v>
      </c>
      <c r="H98" s="148">
        <f t="shared" ref="H98:H109" si="24">F98*G98/12</f>
        <v>7.2629915755833148</v>
      </c>
    </row>
    <row r="99" spans="2:8">
      <c r="B99" s="72" t="s">
        <v>51</v>
      </c>
      <c r="C99" s="32" t="s">
        <v>64</v>
      </c>
      <c r="D99" s="73"/>
      <c r="E99" s="146">
        <f t="shared" ref="E99:E109" si="25">$D$3/12.5/12</f>
        <v>7.7413420000000004</v>
      </c>
      <c r="F99" s="73">
        <f t="shared" ref="F99:F109" si="26">F98-E99</f>
        <v>681.23809599999822</v>
      </c>
      <c r="G99" s="76">
        <f t="shared" ref="G99:G109" si="27">$D$4</f>
        <v>0.1265</v>
      </c>
      <c r="H99" s="148">
        <f t="shared" si="24"/>
        <v>7.181384928666648</v>
      </c>
    </row>
    <row r="100" spans="2:8">
      <c r="B100" s="72" t="s">
        <v>52</v>
      </c>
      <c r="C100" s="32" t="s">
        <v>64</v>
      </c>
      <c r="D100" s="73"/>
      <c r="E100" s="146">
        <f t="shared" si="25"/>
        <v>7.7413420000000004</v>
      </c>
      <c r="F100" s="73">
        <f t="shared" si="26"/>
        <v>673.49675399999819</v>
      </c>
      <c r="G100" s="76">
        <f t="shared" si="27"/>
        <v>0.1265</v>
      </c>
      <c r="H100" s="148">
        <f t="shared" si="24"/>
        <v>7.0997782817499813</v>
      </c>
    </row>
    <row r="101" spans="2:8">
      <c r="B101" s="72" t="s">
        <v>53</v>
      </c>
      <c r="C101" s="32" t="s">
        <v>64</v>
      </c>
      <c r="D101" s="73"/>
      <c r="E101" s="146">
        <f t="shared" si="25"/>
        <v>7.7413420000000004</v>
      </c>
      <c r="F101" s="73">
        <f t="shared" si="26"/>
        <v>665.75541199999816</v>
      </c>
      <c r="G101" s="76">
        <f t="shared" si="27"/>
        <v>0.1265</v>
      </c>
      <c r="H101" s="148">
        <f t="shared" si="24"/>
        <v>7.0181716348333145</v>
      </c>
    </row>
    <row r="102" spans="2:8">
      <c r="B102" s="72" t="s">
        <v>54</v>
      </c>
      <c r="C102" s="32" t="s">
        <v>64</v>
      </c>
      <c r="D102" s="73"/>
      <c r="E102" s="146">
        <f t="shared" si="25"/>
        <v>7.7413420000000004</v>
      </c>
      <c r="F102" s="73">
        <f t="shared" si="26"/>
        <v>658.01406999999813</v>
      </c>
      <c r="G102" s="76">
        <f t="shared" si="27"/>
        <v>0.1265</v>
      </c>
      <c r="H102" s="148">
        <f t="shared" si="24"/>
        <v>6.9365649879166469</v>
      </c>
    </row>
    <row r="103" spans="2:8">
      <c r="B103" s="72" t="s">
        <v>55</v>
      </c>
      <c r="C103" s="32" t="s">
        <v>64</v>
      </c>
      <c r="D103" s="73"/>
      <c r="E103" s="146">
        <f t="shared" si="25"/>
        <v>7.7413420000000004</v>
      </c>
      <c r="F103" s="73">
        <f t="shared" si="26"/>
        <v>650.2727279999981</v>
      </c>
      <c r="G103" s="76">
        <f t="shared" si="27"/>
        <v>0.1265</v>
      </c>
      <c r="H103" s="148">
        <f t="shared" si="24"/>
        <v>6.8549583409999792</v>
      </c>
    </row>
    <row r="104" spans="2:8">
      <c r="B104" s="72" t="s">
        <v>56</v>
      </c>
      <c r="C104" s="32" t="s">
        <v>64</v>
      </c>
      <c r="D104" s="73"/>
      <c r="E104" s="146">
        <f t="shared" si="25"/>
        <v>7.7413420000000004</v>
      </c>
      <c r="F104" s="73">
        <f t="shared" si="26"/>
        <v>642.53138599999807</v>
      </c>
      <c r="G104" s="76">
        <f t="shared" si="27"/>
        <v>0.1265</v>
      </c>
      <c r="H104" s="148">
        <f t="shared" si="24"/>
        <v>6.7733516940833134</v>
      </c>
    </row>
    <row r="105" spans="2:8">
      <c r="B105" s="72" t="s">
        <v>57</v>
      </c>
      <c r="C105" s="32" t="s">
        <v>64</v>
      </c>
      <c r="D105" s="73"/>
      <c r="E105" s="146">
        <f>$D$3/12.5/12</f>
        <v>7.7413420000000004</v>
      </c>
      <c r="F105" s="73">
        <f t="shared" si="26"/>
        <v>634.79004399999803</v>
      </c>
      <c r="G105" s="76">
        <f t="shared" si="27"/>
        <v>0.1265</v>
      </c>
      <c r="H105" s="148">
        <f t="shared" si="24"/>
        <v>6.6917450471666458</v>
      </c>
    </row>
    <row r="106" spans="2:8">
      <c r="B106" s="72" t="s">
        <v>58</v>
      </c>
      <c r="C106" s="32" t="s">
        <v>64</v>
      </c>
      <c r="D106" s="73"/>
      <c r="E106" s="146">
        <f t="shared" si="25"/>
        <v>7.7413420000000004</v>
      </c>
      <c r="F106" s="73">
        <f t="shared" si="26"/>
        <v>627.048701999998</v>
      </c>
      <c r="G106" s="76">
        <f t="shared" si="27"/>
        <v>0.1265</v>
      </c>
      <c r="H106" s="148">
        <f t="shared" si="24"/>
        <v>6.610138400249979</v>
      </c>
    </row>
    <row r="107" spans="2:8">
      <c r="B107" s="72" t="s">
        <v>59</v>
      </c>
      <c r="C107" s="32" t="s">
        <v>64</v>
      </c>
      <c r="D107" s="73"/>
      <c r="E107" s="146">
        <f t="shared" si="25"/>
        <v>7.7413420000000004</v>
      </c>
      <c r="F107" s="73">
        <f t="shared" si="26"/>
        <v>619.30735999999797</v>
      </c>
      <c r="G107" s="76">
        <f t="shared" si="27"/>
        <v>0.1265</v>
      </c>
      <c r="H107" s="148">
        <f t="shared" si="24"/>
        <v>6.5285317533333123</v>
      </c>
    </row>
    <row r="108" spans="2:8">
      <c r="B108" s="72" t="s">
        <v>60</v>
      </c>
      <c r="C108" s="32" t="s">
        <v>64</v>
      </c>
      <c r="D108" s="73"/>
      <c r="E108" s="146">
        <f t="shared" si="25"/>
        <v>7.7413420000000004</v>
      </c>
      <c r="F108" s="73">
        <f t="shared" si="26"/>
        <v>611.56601799999794</v>
      </c>
      <c r="G108" s="76">
        <f t="shared" si="27"/>
        <v>0.1265</v>
      </c>
      <c r="H108" s="148">
        <f t="shared" si="24"/>
        <v>6.4469251064166455</v>
      </c>
    </row>
    <row r="109" spans="2:8">
      <c r="B109" s="72" t="s">
        <v>61</v>
      </c>
      <c r="C109" s="32" t="s">
        <v>64</v>
      </c>
      <c r="D109" s="73"/>
      <c r="E109" s="146">
        <f t="shared" si="25"/>
        <v>7.7413420000000004</v>
      </c>
      <c r="F109" s="73">
        <f t="shared" si="26"/>
        <v>603.82467599999791</v>
      </c>
      <c r="G109" s="76">
        <f t="shared" si="27"/>
        <v>0.1265</v>
      </c>
      <c r="H109" s="148">
        <f t="shared" si="24"/>
        <v>6.3653184594999779</v>
      </c>
    </row>
    <row r="110" spans="2:8" ht="13.5" thickBot="1">
      <c r="B110" s="77"/>
      <c r="C110" s="78" t="s">
        <v>62</v>
      </c>
      <c r="D110" s="79">
        <f>SUM(D98:D109)</f>
        <v>0</v>
      </c>
      <c r="E110" s="150">
        <f>SUM(E98:E109)</f>
        <v>92.896104000000022</v>
      </c>
      <c r="F110" s="79"/>
      <c r="G110" s="80"/>
      <c r="H110" s="149">
        <f>SUM(H98:H109)</f>
        <v>81.769860210499758</v>
      </c>
    </row>
    <row r="111" spans="2:8">
      <c r="B111" s="67" t="s">
        <v>44</v>
      </c>
      <c r="C111" s="68" t="s">
        <v>45</v>
      </c>
      <c r="D111" s="69" t="s">
        <v>46</v>
      </c>
      <c r="E111" s="91" t="s">
        <v>47</v>
      </c>
      <c r="F111" s="69" t="s">
        <v>48</v>
      </c>
      <c r="G111" s="70"/>
      <c r="H111" s="71" t="s">
        <v>49</v>
      </c>
    </row>
    <row r="112" spans="2:8">
      <c r="B112" s="72"/>
      <c r="C112" s="32" t="s">
        <v>63</v>
      </c>
      <c r="D112" s="73"/>
      <c r="E112" s="81"/>
      <c r="F112" s="73"/>
      <c r="G112" s="74"/>
      <c r="H112" s="75"/>
    </row>
    <row r="113" spans="2:8">
      <c r="B113" s="72" t="s">
        <v>50</v>
      </c>
      <c r="C113" s="32" t="s">
        <v>64</v>
      </c>
      <c r="D113" s="73"/>
      <c r="E113" s="146">
        <f>$D$3/12.5/12</f>
        <v>7.7413420000000004</v>
      </c>
      <c r="F113" s="73">
        <f>F109-E113</f>
        <v>596.08333399999788</v>
      </c>
      <c r="G113" s="76">
        <f>$D$4</f>
        <v>0.1265</v>
      </c>
      <c r="H113" s="148">
        <f t="shared" ref="H113:H124" si="28">F113*G113/12</f>
        <v>6.2837118125833102</v>
      </c>
    </row>
    <row r="114" spans="2:8">
      <c r="B114" s="72" t="s">
        <v>51</v>
      </c>
      <c r="C114" s="32" t="s">
        <v>64</v>
      </c>
      <c r="D114" s="73"/>
      <c r="E114" s="146">
        <f t="shared" ref="E114:E124" si="29">$D$3/12.5/12</f>
        <v>7.7413420000000004</v>
      </c>
      <c r="F114" s="73">
        <f t="shared" ref="F114:F124" si="30">F113-E114</f>
        <v>588.34199199999784</v>
      </c>
      <c r="G114" s="76">
        <f t="shared" ref="G114:G124" si="31">$D$4</f>
        <v>0.1265</v>
      </c>
      <c r="H114" s="148">
        <f t="shared" si="28"/>
        <v>6.2021051656666444</v>
      </c>
    </row>
    <row r="115" spans="2:8">
      <c r="B115" s="72" t="s">
        <v>52</v>
      </c>
      <c r="C115" s="32" t="s">
        <v>64</v>
      </c>
      <c r="D115" s="73"/>
      <c r="E115" s="146">
        <f t="shared" si="29"/>
        <v>7.7413420000000004</v>
      </c>
      <c r="F115" s="73">
        <f t="shared" si="30"/>
        <v>580.60064999999781</v>
      </c>
      <c r="G115" s="76">
        <f t="shared" si="31"/>
        <v>0.1265</v>
      </c>
      <c r="H115" s="148">
        <f t="shared" si="28"/>
        <v>6.1204985187499767</v>
      </c>
    </row>
    <row r="116" spans="2:8">
      <c r="B116" s="72" t="s">
        <v>53</v>
      </c>
      <c r="C116" s="32" t="s">
        <v>64</v>
      </c>
      <c r="D116" s="73"/>
      <c r="E116" s="146">
        <f t="shared" si="29"/>
        <v>7.7413420000000004</v>
      </c>
      <c r="F116" s="73">
        <f t="shared" si="30"/>
        <v>572.85930799999778</v>
      </c>
      <c r="G116" s="76">
        <f t="shared" si="31"/>
        <v>0.1265</v>
      </c>
      <c r="H116" s="148">
        <f t="shared" si="28"/>
        <v>6.03889187183331</v>
      </c>
    </row>
    <row r="117" spans="2:8">
      <c r="B117" s="72" t="s">
        <v>54</v>
      </c>
      <c r="C117" s="32" t="s">
        <v>64</v>
      </c>
      <c r="D117" s="73"/>
      <c r="E117" s="146">
        <f t="shared" si="29"/>
        <v>7.7413420000000004</v>
      </c>
      <c r="F117" s="73">
        <f t="shared" si="30"/>
        <v>565.11796599999775</v>
      </c>
      <c r="G117" s="76">
        <f t="shared" si="31"/>
        <v>0.1265</v>
      </c>
      <c r="H117" s="148">
        <f t="shared" si="28"/>
        <v>5.9572852249166433</v>
      </c>
    </row>
    <row r="118" spans="2:8">
      <c r="B118" s="72" t="s">
        <v>55</v>
      </c>
      <c r="C118" s="32" t="s">
        <v>64</v>
      </c>
      <c r="D118" s="73"/>
      <c r="E118" s="146">
        <f t="shared" si="29"/>
        <v>7.7413420000000004</v>
      </c>
      <c r="F118" s="73">
        <f t="shared" si="30"/>
        <v>557.37662399999772</v>
      </c>
      <c r="G118" s="76">
        <f t="shared" si="31"/>
        <v>0.1265</v>
      </c>
      <c r="H118" s="148">
        <f t="shared" si="28"/>
        <v>5.8756785779999765</v>
      </c>
    </row>
    <row r="119" spans="2:8">
      <c r="B119" s="72" t="s">
        <v>56</v>
      </c>
      <c r="C119" s="32" t="s">
        <v>64</v>
      </c>
      <c r="D119" s="73"/>
      <c r="E119" s="146">
        <f t="shared" si="29"/>
        <v>7.7413420000000004</v>
      </c>
      <c r="F119" s="73">
        <f t="shared" si="30"/>
        <v>549.63528199999769</v>
      </c>
      <c r="G119" s="76">
        <f t="shared" si="31"/>
        <v>0.1265</v>
      </c>
      <c r="H119" s="148">
        <f t="shared" si="28"/>
        <v>5.7940719310833089</v>
      </c>
    </row>
    <row r="120" spans="2:8">
      <c r="B120" s="72" t="s">
        <v>57</v>
      </c>
      <c r="C120" s="32" t="s">
        <v>64</v>
      </c>
      <c r="D120" s="73"/>
      <c r="E120" s="146">
        <f>$D$3/12.5/12</f>
        <v>7.7413420000000004</v>
      </c>
      <c r="F120" s="73">
        <f t="shared" si="30"/>
        <v>541.89393999999766</v>
      </c>
      <c r="G120" s="76">
        <f t="shared" si="31"/>
        <v>0.1265</v>
      </c>
      <c r="H120" s="148">
        <f t="shared" si="28"/>
        <v>5.7124652841666412</v>
      </c>
    </row>
    <row r="121" spans="2:8">
      <c r="B121" s="72" t="s">
        <v>58</v>
      </c>
      <c r="C121" s="32" t="s">
        <v>64</v>
      </c>
      <c r="D121" s="73"/>
      <c r="E121" s="146">
        <f t="shared" si="29"/>
        <v>7.7413420000000004</v>
      </c>
      <c r="F121" s="73">
        <f t="shared" si="30"/>
        <v>534.15259799999762</v>
      </c>
      <c r="G121" s="76">
        <f t="shared" si="31"/>
        <v>0.1265</v>
      </c>
      <c r="H121" s="148">
        <f t="shared" si="28"/>
        <v>5.6308586372499754</v>
      </c>
    </row>
    <row r="122" spans="2:8">
      <c r="B122" s="72" t="s">
        <v>59</v>
      </c>
      <c r="C122" s="32" t="s">
        <v>64</v>
      </c>
      <c r="D122" s="73"/>
      <c r="E122" s="146">
        <f t="shared" si="29"/>
        <v>7.7413420000000004</v>
      </c>
      <c r="F122" s="73">
        <f t="shared" si="30"/>
        <v>526.41125599999759</v>
      </c>
      <c r="G122" s="76">
        <f t="shared" si="31"/>
        <v>0.1265</v>
      </c>
      <c r="H122" s="148">
        <f t="shared" si="28"/>
        <v>5.5492519903333077</v>
      </c>
    </row>
    <row r="123" spans="2:8">
      <c r="B123" s="72" t="s">
        <v>60</v>
      </c>
      <c r="C123" s="32" t="s">
        <v>64</v>
      </c>
      <c r="D123" s="73"/>
      <c r="E123" s="146">
        <f t="shared" si="29"/>
        <v>7.7413420000000004</v>
      </c>
      <c r="F123" s="73">
        <f t="shared" si="30"/>
        <v>518.66991399999756</v>
      </c>
      <c r="G123" s="76">
        <f t="shared" si="31"/>
        <v>0.1265</v>
      </c>
      <c r="H123" s="148">
        <f t="shared" si="28"/>
        <v>5.467645343416641</v>
      </c>
    </row>
    <row r="124" spans="2:8">
      <c r="B124" s="72" t="s">
        <v>61</v>
      </c>
      <c r="C124" s="32" t="s">
        <v>64</v>
      </c>
      <c r="D124" s="73"/>
      <c r="E124" s="146">
        <f t="shared" si="29"/>
        <v>7.7413420000000004</v>
      </c>
      <c r="F124" s="73">
        <f t="shared" si="30"/>
        <v>510.92857199999759</v>
      </c>
      <c r="G124" s="76">
        <f t="shared" si="31"/>
        <v>0.1265</v>
      </c>
      <c r="H124" s="148">
        <f t="shared" si="28"/>
        <v>5.3860386964999742</v>
      </c>
    </row>
    <row r="125" spans="2:8" ht="13.5" thickBot="1">
      <c r="B125" s="77"/>
      <c r="C125" s="78" t="s">
        <v>62</v>
      </c>
      <c r="D125" s="79">
        <f>SUM(D113:D124)</f>
        <v>0</v>
      </c>
      <c r="E125" s="150">
        <f>SUM(E113:E124)</f>
        <v>92.896104000000022</v>
      </c>
      <c r="F125" s="79"/>
      <c r="G125" s="80"/>
      <c r="H125" s="149">
        <f>SUM(H113:H124)</f>
        <v>70.018503054499718</v>
      </c>
    </row>
    <row r="126" spans="2:8">
      <c r="B126" s="67" t="s">
        <v>44</v>
      </c>
      <c r="C126" s="68" t="s">
        <v>45</v>
      </c>
      <c r="D126" s="69" t="s">
        <v>46</v>
      </c>
      <c r="E126" s="91" t="s">
        <v>47</v>
      </c>
      <c r="F126" s="69" t="s">
        <v>48</v>
      </c>
      <c r="G126" s="70"/>
      <c r="H126" s="71" t="s">
        <v>49</v>
      </c>
    </row>
    <row r="127" spans="2:8">
      <c r="B127" s="72"/>
      <c r="C127" s="32" t="s">
        <v>63</v>
      </c>
      <c r="D127" s="73"/>
      <c r="E127" s="81"/>
      <c r="F127" s="73"/>
      <c r="G127" s="74"/>
      <c r="H127" s="75"/>
    </row>
    <row r="128" spans="2:8">
      <c r="B128" s="72" t="s">
        <v>50</v>
      </c>
      <c r="C128" s="32" t="s">
        <v>64</v>
      </c>
      <c r="D128" s="73"/>
      <c r="E128" s="146">
        <f>$D$3/12.5/12</f>
        <v>7.7413420000000004</v>
      </c>
      <c r="F128" s="73">
        <f>F124-E128</f>
        <v>503.18722999999761</v>
      </c>
      <c r="G128" s="76">
        <f>$D$4</f>
        <v>0.1265</v>
      </c>
      <c r="H128" s="148">
        <f t="shared" ref="H128:H139" si="32">F128*G128/12</f>
        <v>5.3044320495833084</v>
      </c>
    </row>
    <row r="129" spans="2:8">
      <c r="B129" s="72" t="s">
        <v>51</v>
      </c>
      <c r="C129" s="32" t="s">
        <v>64</v>
      </c>
      <c r="D129" s="73"/>
      <c r="E129" s="146">
        <f t="shared" ref="E129:E139" si="33">$D$3/12.5/12</f>
        <v>7.7413420000000004</v>
      </c>
      <c r="F129" s="73">
        <f t="shared" ref="F129:F139" si="34">F128-E129</f>
        <v>495.44588799999764</v>
      </c>
      <c r="G129" s="76">
        <f t="shared" ref="G129:G139" si="35">$D$4</f>
        <v>0.1265</v>
      </c>
      <c r="H129" s="148">
        <f t="shared" si="32"/>
        <v>5.2228254026666416</v>
      </c>
    </row>
    <row r="130" spans="2:8">
      <c r="B130" s="72" t="s">
        <v>52</v>
      </c>
      <c r="C130" s="32" t="s">
        <v>64</v>
      </c>
      <c r="D130" s="73"/>
      <c r="E130" s="146">
        <f t="shared" si="33"/>
        <v>7.7413420000000004</v>
      </c>
      <c r="F130" s="73">
        <f t="shared" si="34"/>
        <v>487.70454599999766</v>
      </c>
      <c r="G130" s="76">
        <f t="shared" si="35"/>
        <v>0.1265</v>
      </c>
      <c r="H130" s="148">
        <f t="shared" si="32"/>
        <v>5.1412187557499758</v>
      </c>
    </row>
    <row r="131" spans="2:8">
      <c r="B131" s="72" t="s">
        <v>53</v>
      </c>
      <c r="C131" s="32" t="s">
        <v>64</v>
      </c>
      <c r="D131" s="73"/>
      <c r="E131" s="146">
        <f t="shared" si="33"/>
        <v>7.7413420000000004</v>
      </c>
      <c r="F131" s="73">
        <f t="shared" si="34"/>
        <v>479.96320399999769</v>
      </c>
      <c r="G131" s="76">
        <f t="shared" si="35"/>
        <v>0.1265</v>
      </c>
      <c r="H131" s="148">
        <f t="shared" si="32"/>
        <v>5.059612108833309</v>
      </c>
    </row>
    <row r="132" spans="2:8">
      <c r="B132" s="72" t="s">
        <v>54</v>
      </c>
      <c r="C132" s="32" t="s">
        <v>64</v>
      </c>
      <c r="D132" s="73"/>
      <c r="E132" s="146">
        <f t="shared" si="33"/>
        <v>7.7413420000000004</v>
      </c>
      <c r="F132" s="73">
        <f t="shared" si="34"/>
        <v>472.22186199999771</v>
      </c>
      <c r="G132" s="76">
        <f t="shared" si="35"/>
        <v>0.1265</v>
      </c>
      <c r="H132" s="148">
        <f t="shared" si="32"/>
        <v>4.9780054619166423</v>
      </c>
    </row>
    <row r="133" spans="2:8">
      <c r="B133" s="72" t="s">
        <v>55</v>
      </c>
      <c r="C133" s="32" t="s">
        <v>64</v>
      </c>
      <c r="D133" s="73"/>
      <c r="E133" s="146">
        <f t="shared" si="33"/>
        <v>7.7413420000000004</v>
      </c>
      <c r="F133" s="73">
        <f t="shared" si="34"/>
        <v>464.48051999999774</v>
      </c>
      <c r="G133" s="76">
        <f t="shared" si="35"/>
        <v>0.1265</v>
      </c>
      <c r="H133" s="148">
        <f t="shared" si="32"/>
        <v>4.8963988149999764</v>
      </c>
    </row>
    <row r="134" spans="2:8">
      <c r="B134" s="72" t="s">
        <v>56</v>
      </c>
      <c r="C134" s="32" t="s">
        <v>64</v>
      </c>
      <c r="D134" s="73"/>
      <c r="E134" s="146">
        <f t="shared" si="33"/>
        <v>7.7413420000000004</v>
      </c>
      <c r="F134" s="73">
        <f t="shared" si="34"/>
        <v>456.73917799999776</v>
      </c>
      <c r="G134" s="76">
        <f t="shared" si="35"/>
        <v>0.1265</v>
      </c>
      <c r="H134" s="148">
        <f t="shared" si="32"/>
        <v>4.8147921680833097</v>
      </c>
    </row>
    <row r="135" spans="2:8">
      <c r="B135" s="72" t="s">
        <v>57</v>
      </c>
      <c r="C135" s="32" t="s">
        <v>64</v>
      </c>
      <c r="D135" s="73"/>
      <c r="E135" s="146">
        <f>$D$3/12.5/12</f>
        <v>7.7413420000000004</v>
      </c>
      <c r="F135" s="73">
        <f t="shared" si="34"/>
        <v>448.99783599999779</v>
      </c>
      <c r="G135" s="76">
        <f t="shared" si="35"/>
        <v>0.1265</v>
      </c>
      <c r="H135" s="148">
        <f t="shared" si="32"/>
        <v>4.7331855211666438</v>
      </c>
    </row>
    <row r="136" spans="2:8">
      <c r="B136" s="72" t="s">
        <v>58</v>
      </c>
      <c r="C136" s="32" t="s">
        <v>64</v>
      </c>
      <c r="D136" s="73"/>
      <c r="E136" s="146">
        <f t="shared" si="33"/>
        <v>7.7413420000000004</v>
      </c>
      <c r="F136" s="73">
        <f t="shared" si="34"/>
        <v>441.25649399999782</v>
      </c>
      <c r="G136" s="76">
        <f t="shared" si="35"/>
        <v>0.1265</v>
      </c>
      <c r="H136" s="148">
        <f t="shared" si="32"/>
        <v>4.6515788742499771</v>
      </c>
    </row>
    <row r="137" spans="2:8">
      <c r="B137" s="72" t="s">
        <v>59</v>
      </c>
      <c r="C137" s="32" t="s">
        <v>64</v>
      </c>
      <c r="D137" s="73"/>
      <c r="E137" s="146">
        <f t="shared" si="33"/>
        <v>7.7413420000000004</v>
      </c>
      <c r="F137" s="73">
        <f t="shared" si="34"/>
        <v>433.51515199999784</v>
      </c>
      <c r="G137" s="76">
        <f t="shared" si="35"/>
        <v>0.1265</v>
      </c>
      <c r="H137" s="148">
        <f t="shared" si="32"/>
        <v>4.5699722273333103</v>
      </c>
    </row>
    <row r="138" spans="2:8">
      <c r="B138" s="72" t="s">
        <v>60</v>
      </c>
      <c r="C138" s="32" t="s">
        <v>64</v>
      </c>
      <c r="D138" s="73"/>
      <c r="E138" s="146">
        <f t="shared" si="33"/>
        <v>7.7413420000000004</v>
      </c>
      <c r="F138" s="73">
        <f t="shared" si="34"/>
        <v>425.77380999999787</v>
      </c>
      <c r="G138" s="76">
        <f t="shared" si="35"/>
        <v>0.1265</v>
      </c>
      <c r="H138" s="148">
        <f t="shared" si="32"/>
        <v>4.4883655804166445</v>
      </c>
    </row>
    <row r="139" spans="2:8">
      <c r="B139" s="72" t="s">
        <v>61</v>
      </c>
      <c r="C139" s="32" t="s">
        <v>64</v>
      </c>
      <c r="D139" s="73"/>
      <c r="E139" s="146">
        <f t="shared" si="33"/>
        <v>7.7413420000000004</v>
      </c>
      <c r="F139" s="73">
        <f t="shared" si="34"/>
        <v>418.03246799999789</v>
      </c>
      <c r="G139" s="76">
        <f t="shared" si="35"/>
        <v>0.1265</v>
      </c>
      <c r="H139" s="148">
        <f t="shared" si="32"/>
        <v>4.4067589334999777</v>
      </c>
    </row>
    <row r="140" spans="2:8" ht="13.5" thickBot="1">
      <c r="B140" s="77"/>
      <c r="C140" s="78" t="s">
        <v>62</v>
      </c>
      <c r="D140" s="79">
        <f>SUM(D128:D139)</f>
        <v>0</v>
      </c>
      <c r="E140" s="150">
        <f>SUM(E128:E139)</f>
        <v>92.896104000000022</v>
      </c>
      <c r="F140" s="79"/>
      <c r="G140" s="80"/>
      <c r="H140" s="149">
        <f>SUM(H128:H139)</f>
        <v>58.267145898499727</v>
      </c>
    </row>
    <row r="141" spans="2:8">
      <c r="B141" s="67" t="s">
        <v>44</v>
      </c>
      <c r="C141" s="68" t="s">
        <v>45</v>
      </c>
      <c r="D141" s="69" t="s">
        <v>46</v>
      </c>
      <c r="E141" s="91" t="s">
        <v>47</v>
      </c>
      <c r="F141" s="69" t="s">
        <v>48</v>
      </c>
      <c r="G141" s="70"/>
      <c r="H141" s="71" t="s">
        <v>49</v>
      </c>
    </row>
    <row r="142" spans="2:8">
      <c r="B142" s="72"/>
      <c r="C142" s="32" t="s">
        <v>63</v>
      </c>
      <c r="D142" s="73"/>
      <c r="E142" s="81"/>
      <c r="F142" s="73"/>
      <c r="G142" s="74"/>
      <c r="H142" s="75"/>
    </row>
    <row r="143" spans="2:8">
      <c r="B143" s="72" t="s">
        <v>50</v>
      </c>
      <c r="C143" s="32" t="s">
        <v>64</v>
      </c>
      <c r="D143" s="73"/>
      <c r="E143" s="146">
        <f>$D$3/12.5/12</f>
        <v>7.7413420000000004</v>
      </c>
      <c r="F143" s="73">
        <f>F139-E143</f>
        <v>410.29112599999792</v>
      </c>
      <c r="G143" s="76">
        <f>$D$4</f>
        <v>0.1265</v>
      </c>
      <c r="H143" s="148">
        <f t="shared" ref="H143:H154" si="36">F143*G143/12</f>
        <v>4.3251522865833119</v>
      </c>
    </row>
    <row r="144" spans="2:8">
      <c r="B144" s="72" t="s">
        <v>51</v>
      </c>
      <c r="C144" s="32" t="s">
        <v>64</v>
      </c>
      <c r="D144" s="73"/>
      <c r="E144" s="146">
        <f t="shared" ref="E144:E154" si="37">$D$3/12.5/12</f>
        <v>7.7413420000000004</v>
      </c>
      <c r="F144" s="73">
        <f t="shared" ref="F144:F154" si="38">F143-E144</f>
        <v>402.54978399999794</v>
      </c>
      <c r="G144" s="76">
        <f t="shared" ref="G144:G154" si="39">$D$4</f>
        <v>0.1265</v>
      </c>
      <c r="H144" s="148">
        <f t="shared" si="36"/>
        <v>4.2435456396666451</v>
      </c>
    </row>
    <row r="145" spans="2:8">
      <c r="B145" s="72" t="s">
        <v>52</v>
      </c>
      <c r="C145" s="32" t="s">
        <v>64</v>
      </c>
      <c r="D145" s="73"/>
      <c r="E145" s="146">
        <f t="shared" si="37"/>
        <v>7.7413420000000004</v>
      </c>
      <c r="F145" s="73">
        <f t="shared" si="38"/>
        <v>394.80844199999797</v>
      </c>
      <c r="G145" s="76">
        <f t="shared" si="39"/>
        <v>0.1265</v>
      </c>
      <c r="H145" s="148">
        <f t="shared" si="36"/>
        <v>4.1619389927499784</v>
      </c>
    </row>
    <row r="146" spans="2:8">
      <c r="B146" s="72" t="s">
        <v>53</v>
      </c>
      <c r="C146" s="32" t="s">
        <v>64</v>
      </c>
      <c r="D146" s="73"/>
      <c r="E146" s="146">
        <f t="shared" si="37"/>
        <v>7.7413420000000004</v>
      </c>
      <c r="F146" s="73">
        <f t="shared" si="38"/>
        <v>387.06709999999799</v>
      </c>
      <c r="G146" s="76">
        <f t="shared" si="39"/>
        <v>0.1265</v>
      </c>
      <c r="H146" s="148">
        <f t="shared" si="36"/>
        <v>4.0803323458333125</v>
      </c>
    </row>
    <row r="147" spans="2:8">
      <c r="B147" s="72" t="s">
        <v>54</v>
      </c>
      <c r="C147" s="32" t="s">
        <v>64</v>
      </c>
      <c r="D147" s="73"/>
      <c r="E147" s="146">
        <f t="shared" si="37"/>
        <v>7.7413420000000004</v>
      </c>
      <c r="F147" s="73">
        <f t="shared" si="38"/>
        <v>379.32575799999802</v>
      </c>
      <c r="G147" s="76">
        <f t="shared" si="39"/>
        <v>0.1265</v>
      </c>
      <c r="H147" s="148">
        <f t="shared" si="36"/>
        <v>3.9987256989166458</v>
      </c>
    </row>
    <row r="148" spans="2:8">
      <c r="B148" s="72" t="s">
        <v>55</v>
      </c>
      <c r="C148" s="32" t="s">
        <v>64</v>
      </c>
      <c r="D148" s="73"/>
      <c r="E148" s="146">
        <f t="shared" si="37"/>
        <v>7.7413420000000004</v>
      </c>
      <c r="F148" s="73">
        <f t="shared" si="38"/>
        <v>371.58441599999804</v>
      </c>
      <c r="G148" s="76">
        <f t="shared" si="39"/>
        <v>0.1265</v>
      </c>
      <c r="H148" s="148">
        <f t="shared" si="36"/>
        <v>3.9171190519999795</v>
      </c>
    </row>
    <row r="149" spans="2:8">
      <c r="B149" s="72" t="s">
        <v>56</v>
      </c>
      <c r="C149" s="32" t="s">
        <v>64</v>
      </c>
      <c r="D149" s="73"/>
      <c r="E149" s="146">
        <f t="shared" si="37"/>
        <v>7.7413420000000004</v>
      </c>
      <c r="F149" s="73">
        <f t="shared" si="38"/>
        <v>363.84307399999807</v>
      </c>
      <c r="G149" s="76">
        <f t="shared" si="39"/>
        <v>0.1265</v>
      </c>
      <c r="H149" s="148">
        <f t="shared" si="36"/>
        <v>3.8355124050833127</v>
      </c>
    </row>
    <row r="150" spans="2:8">
      <c r="B150" s="72" t="s">
        <v>57</v>
      </c>
      <c r="C150" s="32" t="s">
        <v>64</v>
      </c>
      <c r="D150" s="73"/>
      <c r="E150" s="146">
        <f>$D$3/12.5/12</f>
        <v>7.7413420000000004</v>
      </c>
      <c r="F150" s="73">
        <f t="shared" si="38"/>
        <v>356.10173199999809</v>
      </c>
      <c r="G150" s="76">
        <f t="shared" si="39"/>
        <v>0.1265</v>
      </c>
      <c r="H150" s="148">
        <f t="shared" si="36"/>
        <v>3.7539057581666468</v>
      </c>
    </row>
    <row r="151" spans="2:8">
      <c r="B151" s="72" t="s">
        <v>58</v>
      </c>
      <c r="C151" s="32" t="s">
        <v>64</v>
      </c>
      <c r="D151" s="73"/>
      <c r="E151" s="146">
        <f t="shared" si="37"/>
        <v>7.7413420000000004</v>
      </c>
      <c r="F151" s="73">
        <f t="shared" si="38"/>
        <v>348.36038999999812</v>
      </c>
      <c r="G151" s="76">
        <f t="shared" si="39"/>
        <v>0.1265</v>
      </c>
      <c r="H151" s="148">
        <f t="shared" si="36"/>
        <v>3.6722991112499801</v>
      </c>
    </row>
    <row r="152" spans="2:8">
      <c r="B152" s="72" t="s">
        <v>59</v>
      </c>
      <c r="C152" s="32" t="s">
        <v>64</v>
      </c>
      <c r="D152" s="73"/>
      <c r="E152" s="146">
        <f t="shared" si="37"/>
        <v>7.7413420000000004</v>
      </c>
      <c r="F152" s="73">
        <f t="shared" si="38"/>
        <v>340.61904799999814</v>
      </c>
      <c r="G152" s="76">
        <f t="shared" si="39"/>
        <v>0.1265</v>
      </c>
      <c r="H152" s="148">
        <f t="shared" si="36"/>
        <v>3.5906924643333138</v>
      </c>
    </row>
    <row r="153" spans="2:8">
      <c r="B153" s="72" t="s">
        <v>60</v>
      </c>
      <c r="C153" s="32" t="s">
        <v>64</v>
      </c>
      <c r="D153" s="73"/>
      <c r="E153" s="146">
        <f t="shared" si="37"/>
        <v>7.7413420000000004</v>
      </c>
      <c r="F153" s="73">
        <f t="shared" si="38"/>
        <v>332.87770599999817</v>
      </c>
      <c r="G153" s="76">
        <f t="shared" si="39"/>
        <v>0.1265</v>
      </c>
      <c r="H153" s="148">
        <f t="shared" si="36"/>
        <v>3.5090858174166475</v>
      </c>
    </row>
    <row r="154" spans="2:8">
      <c r="B154" s="72" t="s">
        <v>61</v>
      </c>
      <c r="C154" s="32" t="s">
        <v>64</v>
      </c>
      <c r="D154" s="73"/>
      <c r="E154" s="146">
        <f t="shared" si="37"/>
        <v>7.7413420000000004</v>
      </c>
      <c r="F154" s="73">
        <f t="shared" si="38"/>
        <v>325.1363639999982</v>
      </c>
      <c r="G154" s="76">
        <f t="shared" si="39"/>
        <v>0.1265</v>
      </c>
      <c r="H154" s="148">
        <f t="shared" si="36"/>
        <v>3.4274791704999807</v>
      </c>
    </row>
    <row r="155" spans="2:8" ht="13.5" thickBot="1">
      <c r="B155" s="77"/>
      <c r="C155" s="78" t="s">
        <v>62</v>
      </c>
      <c r="D155" s="79">
        <f>SUM(D143:D154)</f>
        <v>0</v>
      </c>
      <c r="E155" s="150">
        <f>SUM(E143:E154)</f>
        <v>92.896104000000022</v>
      </c>
      <c r="F155" s="79"/>
      <c r="G155" s="80"/>
      <c r="H155" s="149">
        <f>SUM(H143:H154)</f>
        <v>46.515788742499751</v>
      </c>
    </row>
    <row r="156" spans="2:8">
      <c r="B156" s="67" t="s">
        <v>44</v>
      </c>
      <c r="C156" s="68" t="s">
        <v>45</v>
      </c>
      <c r="D156" s="69" t="s">
        <v>46</v>
      </c>
      <c r="E156" s="91" t="s">
        <v>47</v>
      </c>
      <c r="F156" s="69" t="s">
        <v>48</v>
      </c>
      <c r="G156" s="70"/>
      <c r="H156" s="71" t="s">
        <v>49</v>
      </c>
    </row>
    <row r="157" spans="2:8">
      <c r="B157" s="72"/>
      <c r="C157" s="32" t="s">
        <v>63</v>
      </c>
      <c r="D157" s="73"/>
      <c r="E157" s="81"/>
      <c r="F157" s="73"/>
      <c r="G157" s="74"/>
      <c r="H157" s="75"/>
    </row>
    <row r="158" spans="2:8">
      <c r="B158" s="72" t="s">
        <v>50</v>
      </c>
      <c r="C158" s="32" t="s">
        <v>64</v>
      </c>
      <c r="D158" s="73"/>
      <c r="E158" s="146">
        <f>$D$3/12.5/12</f>
        <v>7.7413420000000004</v>
      </c>
      <c r="F158" s="73">
        <f>F154-E158</f>
        <v>317.39502199999822</v>
      </c>
      <c r="G158" s="76">
        <f>$D$4</f>
        <v>0.1265</v>
      </c>
      <c r="H158" s="148">
        <f t="shared" ref="H158:H169" si="40">F158*G158/12</f>
        <v>3.3458725235833149</v>
      </c>
    </row>
    <row r="159" spans="2:8">
      <c r="B159" s="72" t="s">
        <v>51</v>
      </c>
      <c r="C159" s="32" t="s">
        <v>64</v>
      </c>
      <c r="D159" s="73"/>
      <c r="E159" s="146">
        <f t="shared" ref="E159:E169" si="41">$D$3/12.5/12</f>
        <v>7.7413420000000004</v>
      </c>
      <c r="F159" s="73">
        <f t="shared" ref="F159:F169" si="42">F158-E159</f>
        <v>309.65367999999825</v>
      </c>
      <c r="G159" s="76">
        <f t="shared" ref="G159:G169" si="43">$D$4</f>
        <v>0.1265</v>
      </c>
      <c r="H159" s="148">
        <f t="shared" si="40"/>
        <v>3.2642658766666481</v>
      </c>
    </row>
    <row r="160" spans="2:8">
      <c r="B160" s="72" t="s">
        <v>52</v>
      </c>
      <c r="C160" s="32" t="s">
        <v>64</v>
      </c>
      <c r="D160" s="73"/>
      <c r="E160" s="146">
        <f t="shared" si="41"/>
        <v>7.7413420000000004</v>
      </c>
      <c r="F160" s="73">
        <f t="shared" si="42"/>
        <v>301.91233799999827</v>
      </c>
      <c r="G160" s="76">
        <f t="shared" si="43"/>
        <v>0.1265</v>
      </c>
      <c r="H160" s="148">
        <f t="shared" si="40"/>
        <v>3.1826592297499818</v>
      </c>
    </row>
    <row r="161" spans="2:8">
      <c r="B161" s="72" t="s">
        <v>53</v>
      </c>
      <c r="C161" s="32" t="s">
        <v>64</v>
      </c>
      <c r="D161" s="73"/>
      <c r="E161" s="146">
        <f t="shared" si="41"/>
        <v>7.7413420000000004</v>
      </c>
      <c r="F161" s="73">
        <f t="shared" si="42"/>
        <v>294.1709959999983</v>
      </c>
      <c r="G161" s="76">
        <f t="shared" si="43"/>
        <v>0.1265</v>
      </c>
      <c r="H161" s="148">
        <f t="shared" si="40"/>
        <v>3.1010525828333155</v>
      </c>
    </row>
    <row r="162" spans="2:8">
      <c r="B162" s="72" t="s">
        <v>54</v>
      </c>
      <c r="C162" s="32" t="s">
        <v>64</v>
      </c>
      <c r="D162" s="73"/>
      <c r="E162" s="146">
        <f t="shared" si="41"/>
        <v>7.7413420000000004</v>
      </c>
      <c r="F162" s="73">
        <f t="shared" si="42"/>
        <v>286.42965399999832</v>
      </c>
      <c r="G162" s="76">
        <f t="shared" si="43"/>
        <v>0.1265</v>
      </c>
      <c r="H162" s="148">
        <f t="shared" si="40"/>
        <v>3.0194459359166488</v>
      </c>
    </row>
    <row r="163" spans="2:8">
      <c r="B163" s="72" t="s">
        <v>55</v>
      </c>
      <c r="C163" s="32" t="s">
        <v>64</v>
      </c>
      <c r="D163" s="73"/>
      <c r="E163" s="146">
        <f t="shared" si="41"/>
        <v>7.7413420000000004</v>
      </c>
      <c r="F163" s="73">
        <f t="shared" si="42"/>
        <v>278.68831199999835</v>
      </c>
      <c r="G163" s="76">
        <f t="shared" si="43"/>
        <v>0.1265</v>
      </c>
      <c r="H163" s="148">
        <f t="shared" si="40"/>
        <v>2.9378392889999829</v>
      </c>
    </row>
    <row r="164" spans="2:8">
      <c r="B164" s="72" t="s">
        <v>56</v>
      </c>
      <c r="C164" s="32" t="s">
        <v>64</v>
      </c>
      <c r="D164" s="73"/>
      <c r="E164" s="146">
        <f t="shared" si="41"/>
        <v>7.7413420000000004</v>
      </c>
      <c r="F164" s="73">
        <f t="shared" si="42"/>
        <v>270.94696999999837</v>
      </c>
      <c r="G164" s="76">
        <f t="shared" si="43"/>
        <v>0.1265</v>
      </c>
      <c r="H164" s="148">
        <f t="shared" si="40"/>
        <v>2.8562326420833162</v>
      </c>
    </row>
    <row r="165" spans="2:8">
      <c r="B165" s="72" t="s">
        <v>57</v>
      </c>
      <c r="C165" s="32" t="s">
        <v>64</v>
      </c>
      <c r="D165" s="73"/>
      <c r="E165" s="146">
        <f>$D$3/12.5/12</f>
        <v>7.7413420000000004</v>
      </c>
      <c r="F165" s="73">
        <f t="shared" si="42"/>
        <v>263.2056279999984</v>
      </c>
      <c r="G165" s="76">
        <f t="shared" si="43"/>
        <v>0.1265</v>
      </c>
      <c r="H165" s="148">
        <f t="shared" si="40"/>
        <v>2.7746259951666499</v>
      </c>
    </row>
    <row r="166" spans="2:8">
      <c r="B166" s="72" t="s">
        <v>58</v>
      </c>
      <c r="C166" s="32" t="s">
        <v>64</v>
      </c>
      <c r="D166" s="73"/>
      <c r="E166" s="146">
        <f t="shared" si="41"/>
        <v>7.7413420000000004</v>
      </c>
      <c r="F166" s="73">
        <f t="shared" si="42"/>
        <v>255.4642859999984</v>
      </c>
      <c r="G166" s="76">
        <f t="shared" si="43"/>
        <v>0.1265</v>
      </c>
      <c r="H166" s="148">
        <f t="shared" si="40"/>
        <v>2.6930193482499831</v>
      </c>
    </row>
    <row r="167" spans="2:8">
      <c r="B167" s="72" t="s">
        <v>59</v>
      </c>
      <c r="C167" s="32" t="s">
        <v>64</v>
      </c>
      <c r="D167" s="73"/>
      <c r="E167" s="146">
        <f t="shared" si="41"/>
        <v>7.7413420000000004</v>
      </c>
      <c r="F167" s="73">
        <f t="shared" si="42"/>
        <v>247.72294399999839</v>
      </c>
      <c r="G167" s="76">
        <f t="shared" si="43"/>
        <v>0.1265</v>
      </c>
      <c r="H167" s="148">
        <f t="shared" si="40"/>
        <v>2.6114127013333164</v>
      </c>
    </row>
    <row r="168" spans="2:8">
      <c r="B168" s="72" t="s">
        <v>60</v>
      </c>
      <c r="C168" s="32" t="s">
        <v>64</v>
      </c>
      <c r="D168" s="73"/>
      <c r="E168" s="146">
        <f t="shared" si="41"/>
        <v>7.7413420000000004</v>
      </c>
      <c r="F168" s="73">
        <f t="shared" si="42"/>
        <v>239.98160199999839</v>
      </c>
      <c r="G168" s="76">
        <f t="shared" si="43"/>
        <v>0.1265</v>
      </c>
      <c r="H168" s="148">
        <f t="shared" si="40"/>
        <v>2.5298060544166496</v>
      </c>
    </row>
    <row r="169" spans="2:8">
      <c r="B169" s="72" t="s">
        <v>61</v>
      </c>
      <c r="C169" s="32" t="s">
        <v>64</v>
      </c>
      <c r="D169" s="73"/>
      <c r="E169" s="146">
        <f t="shared" si="41"/>
        <v>7.7413420000000004</v>
      </c>
      <c r="F169" s="73">
        <f t="shared" si="42"/>
        <v>232.24025999999839</v>
      </c>
      <c r="G169" s="76">
        <f t="shared" si="43"/>
        <v>0.1265</v>
      </c>
      <c r="H169" s="148">
        <f t="shared" si="40"/>
        <v>2.4481994074999829</v>
      </c>
    </row>
    <row r="170" spans="2:8" ht="13.5" thickBot="1">
      <c r="B170" s="77"/>
      <c r="C170" s="78" t="s">
        <v>62</v>
      </c>
      <c r="D170" s="79">
        <f>SUM(D158:D169)</f>
        <v>0</v>
      </c>
      <c r="E170" s="150">
        <f>SUM(E158:E169)</f>
        <v>92.896104000000022</v>
      </c>
      <c r="F170" s="79"/>
      <c r="G170" s="80"/>
      <c r="H170" s="149">
        <f>SUM(H158:H169)</f>
        <v>34.764431586499796</v>
      </c>
    </row>
    <row r="171" spans="2:8">
      <c r="B171" s="67" t="s">
        <v>44</v>
      </c>
      <c r="C171" s="68" t="s">
        <v>45</v>
      </c>
      <c r="D171" s="69" t="s">
        <v>46</v>
      </c>
      <c r="E171" s="91" t="s">
        <v>47</v>
      </c>
      <c r="F171" s="69" t="s">
        <v>48</v>
      </c>
      <c r="G171" s="70"/>
      <c r="H171" s="71" t="s">
        <v>49</v>
      </c>
    </row>
    <row r="172" spans="2:8">
      <c r="B172" s="72"/>
      <c r="C172" s="32" t="s">
        <v>63</v>
      </c>
      <c r="D172" s="73"/>
      <c r="E172" s="81"/>
      <c r="F172" s="73"/>
      <c r="G172" s="74"/>
      <c r="H172" s="75"/>
    </row>
    <row r="173" spans="2:8">
      <c r="B173" s="72" t="s">
        <v>50</v>
      </c>
      <c r="C173" s="32" t="s">
        <v>64</v>
      </c>
      <c r="D173" s="73"/>
      <c r="E173" s="146">
        <f>$D$3/12.5/12</f>
        <v>7.7413420000000004</v>
      </c>
      <c r="F173" s="73">
        <f>F169-E173</f>
        <v>224.49891799999838</v>
      </c>
      <c r="G173" s="76">
        <f>$D$4</f>
        <v>0.1265</v>
      </c>
      <c r="H173" s="148">
        <f t="shared" ref="H173:H184" si="44">F173*G173/12</f>
        <v>2.3665927605833166</v>
      </c>
    </row>
    <row r="174" spans="2:8">
      <c r="B174" s="72" t="s">
        <v>51</v>
      </c>
      <c r="C174" s="32" t="s">
        <v>64</v>
      </c>
      <c r="D174" s="73"/>
      <c r="E174" s="146">
        <f t="shared" ref="E174:E184" si="45">$D$3/12.5/12</f>
        <v>7.7413420000000004</v>
      </c>
      <c r="F174" s="73">
        <f t="shared" ref="F174:F184" si="46">F173-E174</f>
        <v>216.75757599999838</v>
      </c>
      <c r="G174" s="76">
        <f t="shared" ref="G174:G184" si="47">$D$4</f>
        <v>0.1265</v>
      </c>
      <c r="H174" s="148">
        <f t="shared" si="44"/>
        <v>2.2849861136666498</v>
      </c>
    </row>
    <row r="175" spans="2:8">
      <c r="B175" s="72" t="s">
        <v>52</v>
      </c>
      <c r="C175" s="32" t="s">
        <v>64</v>
      </c>
      <c r="D175" s="73"/>
      <c r="E175" s="146">
        <f t="shared" si="45"/>
        <v>7.7413420000000004</v>
      </c>
      <c r="F175" s="73">
        <f t="shared" si="46"/>
        <v>209.01623399999838</v>
      </c>
      <c r="G175" s="76">
        <f t="shared" si="47"/>
        <v>0.1265</v>
      </c>
      <c r="H175" s="148">
        <f t="shared" si="44"/>
        <v>2.2033794667499831</v>
      </c>
    </row>
    <row r="176" spans="2:8">
      <c r="B176" s="72" t="s">
        <v>53</v>
      </c>
      <c r="C176" s="32" t="s">
        <v>64</v>
      </c>
      <c r="D176" s="73"/>
      <c r="E176" s="146">
        <f t="shared" si="45"/>
        <v>7.7413420000000004</v>
      </c>
      <c r="F176" s="73">
        <f t="shared" si="46"/>
        <v>201.27489199999837</v>
      </c>
      <c r="G176" s="76">
        <f t="shared" si="47"/>
        <v>0.1265</v>
      </c>
      <c r="H176" s="148">
        <f t="shared" si="44"/>
        <v>2.1217728198333163</v>
      </c>
    </row>
    <row r="177" spans="2:8">
      <c r="B177" s="72" t="s">
        <v>54</v>
      </c>
      <c r="C177" s="32" t="s">
        <v>64</v>
      </c>
      <c r="D177" s="73"/>
      <c r="E177" s="146">
        <f t="shared" si="45"/>
        <v>7.7413420000000004</v>
      </c>
      <c r="F177" s="73">
        <f t="shared" si="46"/>
        <v>193.53354999999837</v>
      </c>
      <c r="G177" s="76">
        <f t="shared" si="47"/>
        <v>0.1265</v>
      </c>
      <c r="H177" s="148">
        <f t="shared" si="44"/>
        <v>2.0401661729166496</v>
      </c>
    </row>
    <row r="178" spans="2:8">
      <c r="B178" s="72" t="s">
        <v>55</v>
      </c>
      <c r="C178" s="32" t="s">
        <v>64</v>
      </c>
      <c r="D178" s="73"/>
      <c r="E178" s="146">
        <f t="shared" si="45"/>
        <v>7.7413420000000004</v>
      </c>
      <c r="F178" s="73">
        <f t="shared" si="46"/>
        <v>185.79220799999837</v>
      </c>
      <c r="G178" s="76">
        <f t="shared" si="47"/>
        <v>0.1265</v>
      </c>
      <c r="H178" s="148">
        <f t="shared" si="44"/>
        <v>1.9585595259999826</v>
      </c>
    </row>
    <row r="179" spans="2:8">
      <c r="B179" s="72" t="s">
        <v>56</v>
      </c>
      <c r="C179" s="32" t="s">
        <v>64</v>
      </c>
      <c r="D179" s="73"/>
      <c r="E179" s="146">
        <f t="shared" si="45"/>
        <v>7.7413420000000004</v>
      </c>
      <c r="F179" s="73">
        <f t="shared" si="46"/>
        <v>178.05086599999836</v>
      </c>
      <c r="G179" s="76">
        <f t="shared" si="47"/>
        <v>0.1265</v>
      </c>
      <c r="H179" s="148">
        <f t="shared" si="44"/>
        <v>1.8769528790833163</v>
      </c>
    </row>
    <row r="180" spans="2:8">
      <c r="B180" s="72" t="s">
        <v>57</v>
      </c>
      <c r="C180" s="32" t="s">
        <v>64</v>
      </c>
      <c r="D180" s="73"/>
      <c r="E180" s="146">
        <f>$D$3/12.5/12</f>
        <v>7.7413420000000004</v>
      </c>
      <c r="F180" s="73">
        <f t="shared" si="46"/>
        <v>170.30952399999836</v>
      </c>
      <c r="G180" s="76">
        <f t="shared" si="47"/>
        <v>0.1265</v>
      </c>
      <c r="H180" s="148">
        <f t="shared" si="44"/>
        <v>1.7953462321666496</v>
      </c>
    </row>
    <row r="181" spans="2:8">
      <c r="B181" s="72" t="s">
        <v>58</v>
      </c>
      <c r="C181" s="32" t="s">
        <v>64</v>
      </c>
      <c r="D181" s="73"/>
      <c r="E181" s="146">
        <f t="shared" si="45"/>
        <v>7.7413420000000004</v>
      </c>
      <c r="F181" s="73">
        <f t="shared" si="46"/>
        <v>162.56818199999836</v>
      </c>
      <c r="G181" s="76">
        <f t="shared" si="47"/>
        <v>0.1265</v>
      </c>
      <c r="H181" s="148">
        <f t="shared" si="44"/>
        <v>1.7137395852499828</v>
      </c>
    </row>
    <row r="182" spans="2:8">
      <c r="B182" s="72" t="s">
        <v>59</v>
      </c>
      <c r="C182" s="32" t="s">
        <v>64</v>
      </c>
      <c r="D182" s="73"/>
      <c r="E182" s="146">
        <f t="shared" si="45"/>
        <v>7.7413420000000004</v>
      </c>
      <c r="F182" s="73">
        <f t="shared" si="46"/>
        <v>154.82683999999836</v>
      </c>
      <c r="G182" s="76">
        <f t="shared" si="47"/>
        <v>0.1265</v>
      </c>
      <c r="H182" s="148">
        <f t="shared" si="44"/>
        <v>1.6321329383333161</v>
      </c>
    </row>
    <row r="183" spans="2:8">
      <c r="B183" s="72" t="s">
        <v>60</v>
      </c>
      <c r="C183" s="32" t="s">
        <v>64</v>
      </c>
      <c r="D183" s="73"/>
      <c r="E183" s="146">
        <f t="shared" si="45"/>
        <v>7.7413420000000004</v>
      </c>
      <c r="F183" s="73">
        <f t="shared" si="46"/>
        <v>147.08549799999835</v>
      </c>
      <c r="G183" s="76">
        <f t="shared" si="47"/>
        <v>0.1265</v>
      </c>
      <c r="H183" s="148">
        <f t="shared" si="44"/>
        <v>1.5505262914166493</v>
      </c>
    </row>
    <row r="184" spans="2:8">
      <c r="B184" s="72" t="s">
        <v>61</v>
      </c>
      <c r="C184" s="32" t="s">
        <v>64</v>
      </c>
      <c r="D184" s="73"/>
      <c r="E184" s="146">
        <f t="shared" si="45"/>
        <v>7.7413420000000004</v>
      </c>
      <c r="F184" s="73">
        <f t="shared" si="46"/>
        <v>139.34415599999835</v>
      </c>
      <c r="G184" s="76">
        <f t="shared" si="47"/>
        <v>0.1265</v>
      </c>
      <c r="H184" s="148">
        <f t="shared" si="44"/>
        <v>1.4689196444999826</v>
      </c>
    </row>
    <row r="185" spans="2:8" ht="13.5" thickBot="1">
      <c r="B185" s="77"/>
      <c r="C185" s="78" t="s">
        <v>62</v>
      </c>
      <c r="D185" s="79">
        <f>SUM(D173:D184)</f>
        <v>0</v>
      </c>
      <c r="E185" s="150">
        <f>SUM(E173:E184)</f>
        <v>92.896104000000022</v>
      </c>
      <c r="F185" s="79"/>
      <c r="G185" s="80"/>
      <c r="H185" s="149">
        <f>SUM(H173:H184)</f>
        <v>23.013074430499795</v>
      </c>
    </row>
    <row r="186" spans="2:8">
      <c r="B186" s="67" t="s">
        <v>44</v>
      </c>
      <c r="C186" s="68" t="s">
        <v>45</v>
      </c>
      <c r="D186" s="69" t="s">
        <v>46</v>
      </c>
      <c r="E186" s="91" t="s">
        <v>47</v>
      </c>
      <c r="F186" s="69" t="s">
        <v>48</v>
      </c>
      <c r="G186" s="70"/>
      <c r="H186" s="71" t="s">
        <v>49</v>
      </c>
    </row>
    <row r="187" spans="2:8">
      <c r="B187" s="72"/>
      <c r="C187" s="32" t="s">
        <v>63</v>
      </c>
      <c r="D187" s="73"/>
      <c r="E187" s="81"/>
      <c r="F187" s="73"/>
      <c r="G187" s="74"/>
      <c r="H187" s="75"/>
    </row>
    <row r="188" spans="2:8">
      <c r="B188" s="72" t="s">
        <v>50</v>
      </c>
      <c r="C188" s="32" t="s">
        <v>64</v>
      </c>
      <c r="D188" s="73"/>
      <c r="E188" s="146">
        <f>$D$3/12.5/12</f>
        <v>7.7413420000000004</v>
      </c>
      <c r="F188" s="73">
        <f>F184-E188</f>
        <v>131.60281399999835</v>
      </c>
      <c r="G188" s="76">
        <f>$D$4</f>
        <v>0.1265</v>
      </c>
      <c r="H188" s="148">
        <f t="shared" ref="H188:H199" si="48">F188*G188/12</f>
        <v>1.3873129975833161</v>
      </c>
    </row>
    <row r="189" spans="2:8">
      <c r="B189" s="72" t="s">
        <v>51</v>
      </c>
      <c r="C189" s="32" t="s">
        <v>64</v>
      </c>
      <c r="D189" s="73"/>
      <c r="E189" s="146">
        <f t="shared" ref="E189:E199" si="49">$D$3/12.5/12</f>
        <v>7.7413420000000004</v>
      </c>
      <c r="F189" s="73">
        <f t="shared" ref="F189:F199" si="50">F188-E189</f>
        <v>123.86147199999834</v>
      </c>
      <c r="G189" s="76">
        <f t="shared" ref="G189:G199" si="51">$D$4</f>
        <v>0.1265</v>
      </c>
      <c r="H189" s="148">
        <f t="shared" si="48"/>
        <v>1.3057063506666491</v>
      </c>
    </row>
    <row r="190" spans="2:8">
      <c r="B190" s="72" t="s">
        <v>52</v>
      </c>
      <c r="C190" s="32" t="s">
        <v>64</v>
      </c>
      <c r="D190" s="73"/>
      <c r="E190" s="146">
        <f t="shared" si="49"/>
        <v>7.7413420000000004</v>
      </c>
      <c r="F190" s="73">
        <f t="shared" si="50"/>
        <v>116.12012999999834</v>
      </c>
      <c r="G190" s="76">
        <f t="shared" si="51"/>
        <v>0.1265</v>
      </c>
      <c r="H190" s="148">
        <f t="shared" si="48"/>
        <v>1.2240997037499826</v>
      </c>
    </row>
    <row r="191" spans="2:8">
      <c r="B191" s="72" t="s">
        <v>53</v>
      </c>
      <c r="C191" s="32" t="s">
        <v>64</v>
      </c>
      <c r="D191" s="73"/>
      <c r="E191" s="146">
        <f t="shared" si="49"/>
        <v>7.7413420000000004</v>
      </c>
      <c r="F191" s="73">
        <f t="shared" si="50"/>
        <v>108.37878799999834</v>
      </c>
      <c r="G191" s="76">
        <f t="shared" si="51"/>
        <v>0.1265</v>
      </c>
      <c r="H191" s="148">
        <f t="shared" si="48"/>
        <v>1.1424930568333158</v>
      </c>
    </row>
    <row r="192" spans="2:8">
      <c r="B192" s="72" t="s">
        <v>54</v>
      </c>
      <c r="C192" s="32" t="s">
        <v>64</v>
      </c>
      <c r="D192" s="73"/>
      <c r="E192" s="146">
        <f t="shared" si="49"/>
        <v>7.7413420000000004</v>
      </c>
      <c r="F192" s="73">
        <f t="shared" si="50"/>
        <v>100.63744599999833</v>
      </c>
      <c r="G192" s="76">
        <f t="shared" si="51"/>
        <v>0.1265</v>
      </c>
      <c r="H192" s="148">
        <f t="shared" si="48"/>
        <v>1.0608864099166491</v>
      </c>
    </row>
    <row r="193" spans="2:8">
      <c r="B193" s="72" t="s">
        <v>55</v>
      </c>
      <c r="C193" s="32" t="s">
        <v>64</v>
      </c>
      <c r="D193" s="73"/>
      <c r="E193" s="146">
        <f t="shared" si="49"/>
        <v>7.7413420000000004</v>
      </c>
      <c r="F193" s="73">
        <f t="shared" si="50"/>
        <v>92.896103999998331</v>
      </c>
      <c r="G193" s="76">
        <f t="shared" si="51"/>
        <v>0.1265</v>
      </c>
      <c r="H193" s="148">
        <f t="shared" si="48"/>
        <v>0.97927976299998243</v>
      </c>
    </row>
    <row r="194" spans="2:8">
      <c r="B194" s="72" t="s">
        <v>56</v>
      </c>
      <c r="C194" s="32" t="s">
        <v>64</v>
      </c>
      <c r="D194" s="73"/>
      <c r="E194" s="146">
        <f t="shared" si="49"/>
        <v>7.7413420000000004</v>
      </c>
      <c r="F194" s="73">
        <f t="shared" si="50"/>
        <v>85.154761999998328</v>
      </c>
      <c r="G194" s="76">
        <f t="shared" si="51"/>
        <v>0.1265</v>
      </c>
      <c r="H194" s="148">
        <f t="shared" si="48"/>
        <v>0.89767311608331568</v>
      </c>
    </row>
    <row r="195" spans="2:8">
      <c r="B195" s="72" t="s">
        <v>57</v>
      </c>
      <c r="C195" s="32" t="s">
        <v>64</v>
      </c>
      <c r="D195" s="73"/>
      <c r="E195" s="146">
        <f>$D$3/12.5/12</f>
        <v>7.7413420000000004</v>
      </c>
      <c r="F195" s="73">
        <f t="shared" si="50"/>
        <v>77.413419999998325</v>
      </c>
      <c r="G195" s="76">
        <f t="shared" si="51"/>
        <v>0.1265</v>
      </c>
      <c r="H195" s="148">
        <f t="shared" si="48"/>
        <v>0.81606646916664893</v>
      </c>
    </row>
    <row r="196" spans="2:8">
      <c r="B196" s="72" t="s">
        <v>58</v>
      </c>
      <c r="C196" s="32" t="s">
        <v>64</v>
      </c>
      <c r="D196" s="73"/>
      <c r="E196" s="146">
        <f t="shared" si="49"/>
        <v>7.7413420000000004</v>
      </c>
      <c r="F196" s="73">
        <f t="shared" si="50"/>
        <v>69.672077999998322</v>
      </c>
      <c r="G196" s="76">
        <f t="shared" si="51"/>
        <v>0.1265</v>
      </c>
      <c r="H196" s="148">
        <f t="shared" si="48"/>
        <v>0.73445982224998241</v>
      </c>
    </row>
    <row r="197" spans="2:8">
      <c r="B197" s="72" t="s">
        <v>59</v>
      </c>
      <c r="C197" s="32" t="s">
        <v>64</v>
      </c>
      <c r="D197" s="73"/>
      <c r="E197" s="146">
        <f t="shared" si="49"/>
        <v>7.7413420000000004</v>
      </c>
      <c r="F197" s="73">
        <f t="shared" si="50"/>
        <v>61.930735999998319</v>
      </c>
      <c r="G197" s="76">
        <f t="shared" si="51"/>
        <v>0.1265</v>
      </c>
      <c r="H197" s="148">
        <f t="shared" si="48"/>
        <v>0.65285317533331566</v>
      </c>
    </row>
    <row r="198" spans="2:8">
      <c r="B198" s="72" t="s">
        <v>60</v>
      </c>
      <c r="C198" s="32" t="s">
        <v>64</v>
      </c>
      <c r="D198" s="73"/>
      <c r="E198" s="146">
        <f t="shared" si="49"/>
        <v>7.7413420000000004</v>
      </c>
      <c r="F198" s="73">
        <f t="shared" si="50"/>
        <v>54.189393999998316</v>
      </c>
      <c r="G198" s="76">
        <f t="shared" si="51"/>
        <v>0.1265</v>
      </c>
      <c r="H198" s="148">
        <f t="shared" si="48"/>
        <v>0.57124652841664891</v>
      </c>
    </row>
    <row r="199" spans="2:8">
      <c r="B199" s="72" t="s">
        <v>61</v>
      </c>
      <c r="C199" s="32" t="s">
        <v>64</v>
      </c>
      <c r="D199" s="73"/>
      <c r="E199" s="146">
        <f t="shared" si="49"/>
        <v>7.7413420000000004</v>
      </c>
      <c r="F199" s="73">
        <f t="shared" si="50"/>
        <v>46.448051999998313</v>
      </c>
      <c r="G199" s="76">
        <f t="shared" si="51"/>
        <v>0.1265</v>
      </c>
      <c r="H199" s="148">
        <f t="shared" si="48"/>
        <v>0.48963988149998222</v>
      </c>
    </row>
    <row r="200" spans="2:8" ht="13.5" thickBot="1">
      <c r="B200" s="77"/>
      <c r="C200" s="78" t="s">
        <v>62</v>
      </c>
      <c r="D200" s="79">
        <f>SUM(D188:D199)</f>
        <v>0</v>
      </c>
      <c r="E200" s="150">
        <f>SUM(E188:E199)</f>
        <v>92.896104000000022</v>
      </c>
      <c r="F200" s="79"/>
      <c r="G200" s="80"/>
      <c r="H200" s="149">
        <f>SUM(H188:H199)</f>
        <v>11.261717274499791</v>
      </c>
    </row>
    <row r="201" spans="2:8">
      <c r="B201" s="67" t="s">
        <v>44</v>
      </c>
      <c r="C201" s="68" t="s">
        <v>45</v>
      </c>
      <c r="D201" s="69" t="s">
        <v>46</v>
      </c>
      <c r="E201" s="91" t="s">
        <v>47</v>
      </c>
      <c r="F201" s="69" t="s">
        <v>48</v>
      </c>
      <c r="G201" s="70"/>
      <c r="H201" s="71" t="s">
        <v>49</v>
      </c>
    </row>
    <row r="202" spans="2:8">
      <c r="B202" s="72"/>
      <c r="C202" s="32" t="s">
        <v>63</v>
      </c>
      <c r="D202" s="73"/>
      <c r="E202" s="81"/>
      <c r="F202" s="73"/>
      <c r="G202" s="74"/>
      <c r="H202" s="75"/>
    </row>
    <row r="203" spans="2:8">
      <c r="B203" s="72" t="s">
        <v>50</v>
      </c>
      <c r="C203" s="32" t="s">
        <v>64</v>
      </c>
      <c r="D203" s="73"/>
      <c r="E203" s="146">
        <f>$D$3/12.5/12</f>
        <v>7.7413420000000004</v>
      </c>
      <c r="F203" s="73">
        <f>F199-E203</f>
        <v>38.70670999999831</v>
      </c>
      <c r="G203" s="76">
        <f>$D$4</f>
        <v>0.1265</v>
      </c>
      <c r="H203" s="148">
        <f t="shared" ref="H203:H214" si="52">F203*G203/12</f>
        <v>0.40803323458331553</v>
      </c>
    </row>
    <row r="204" spans="2:8">
      <c r="B204" s="72" t="s">
        <v>51</v>
      </c>
      <c r="C204" s="32" t="s">
        <v>64</v>
      </c>
      <c r="D204" s="73"/>
      <c r="E204" s="146">
        <f t="shared" ref="E204:E208" si="53">$D$3/12.5/12</f>
        <v>7.7413420000000004</v>
      </c>
      <c r="F204" s="73">
        <f t="shared" ref="F204:F213" si="54">F203-E204</f>
        <v>30.96536799999831</v>
      </c>
      <c r="G204" s="76">
        <f t="shared" ref="G204:G214" si="55">$D$4</f>
        <v>0.1265</v>
      </c>
      <c r="H204" s="148">
        <f t="shared" si="52"/>
        <v>0.32642658766664884</v>
      </c>
    </row>
    <row r="205" spans="2:8">
      <c r="B205" s="72" t="s">
        <v>52</v>
      </c>
      <c r="C205" s="32" t="s">
        <v>64</v>
      </c>
      <c r="D205" s="73"/>
      <c r="E205" s="146">
        <f t="shared" si="53"/>
        <v>7.7413420000000004</v>
      </c>
      <c r="F205" s="73">
        <f t="shared" si="54"/>
        <v>23.224025999998311</v>
      </c>
      <c r="G205" s="76">
        <f t="shared" si="55"/>
        <v>0.1265</v>
      </c>
      <c r="H205" s="148">
        <f t="shared" si="52"/>
        <v>0.24481994074998217</v>
      </c>
    </row>
    <row r="206" spans="2:8">
      <c r="B206" s="72" t="s">
        <v>53</v>
      </c>
      <c r="C206" s="32" t="s">
        <v>64</v>
      </c>
      <c r="D206" s="73"/>
      <c r="E206" s="146">
        <f t="shared" si="53"/>
        <v>7.7413420000000004</v>
      </c>
      <c r="F206" s="73">
        <f t="shared" si="54"/>
        <v>15.482683999998311</v>
      </c>
      <c r="G206" s="76">
        <f t="shared" si="55"/>
        <v>0.1265</v>
      </c>
      <c r="H206" s="148">
        <f t="shared" si="52"/>
        <v>0.16321329383331554</v>
      </c>
    </row>
    <row r="207" spans="2:8">
      <c r="B207" s="72" t="s">
        <v>54</v>
      </c>
      <c r="C207" s="32" t="s">
        <v>64</v>
      </c>
      <c r="D207" s="73"/>
      <c r="E207" s="146">
        <f t="shared" si="53"/>
        <v>7.7413420000000004</v>
      </c>
      <c r="F207" s="73">
        <f t="shared" si="54"/>
        <v>7.7413419999983111</v>
      </c>
      <c r="G207" s="76">
        <f t="shared" si="55"/>
        <v>0.1265</v>
      </c>
      <c r="H207" s="148">
        <f t="shared" si="52"/>
        <v>8.1606646916648859E-2</v>
      </c>
    </row>
    <row r="208" spans="2:8">
      <c r="B208" s="72" t="s">
        <v>55</v>
      </c>
      <c r="C208" s="32" t="s">
        <v>64</v>
      </c>
      <c r="D208" s="73"/>
      <c r="E208" s="146">
        <f t="shared" si="53"/>
        <v>7.7413420000000004</v>
      </c>
      <c r="F208" s="73">
        <f t="shared" si="54"/>
        <v>-1.6893153542696382E-12</v>
      </c>
      <c r="G208" s="76">
        <f t="shared" si="55"/>
        <v>0.1265</v>
      </c>
      <c r="H208" s="148">
        <f t="shared" si="52"/>
        <v>-1.7808199359592438E-14</v>
      </c>
    </row>
    <row r="209" spans="2:8">
      <c r="B209" s="72" t="s">
        <v>56</v>
      </c>
      <c r="C209" s="32" t="s">
        <v>64</v>
      </c>
      <c r="D209" s="73"/>
      <c r="E209" s="146">
        <v>0</v>
      </c>
      <c r="F209" s="73">
        <f t="shared" si="54"/>
        <v>-1.6893153542696382E-12</v>
      </c>
      <c r="G209" s="76">
        <f t="shared" si="55"/>
        <v>0.1265</v>
      </c>
      <c r="H209" s="148">
        <f t="shared" si="52"/>
        <v>-1.7808199359592438E-14</v>
      </c>
    </row>
    <row r="210" spans="2:8">
      <c r="B210" s="72" t="s">
        <v>57</v>
      </c>
      <c r="C210" s="32" t="s">
        <v>64</v>
      </c>
      <c r="D210" s="73"/>
      <c r="E210" s="146"/>
      <c r="F210" s="73">
        <f t="shared" si="54"/>
        <v>-1.6893153542696382E-12</v>
      </c>
      <c r="G210" s="76">
        <f t="shared" si="55"/>
        <v>0.1265</v>
      </c>
      <c r="H210" s="148">
        <f t="shared" si="52"/>
        <v>-1.7808199359592438E-14</v>
      </c>
    </row>
    <row r="211" spans="2:8">
      <c r="B211" s="72" t="s">
        <v>58</v>
      </c>
      <c r="C211" s="32" t="s">
        <v>64</v>
      </c>
      <c r="D211" s="73"/>
      <c r="E211" s="146"/>
      <c r="F211" s="73">
        <f t="shared" si="54"/>
        <v>-1.6893153542696382E-12</v>
      </c>
      <c r="G211" s="76">
        <f t="shared" si="55"/>
        <v>0.1265</v>
      </c>
      <c r="H211" s="148">
        <f t="shared" si="52"/>
        <v>-1.7808199359592438E-14</v>
      </c>
    </row>
    <row r="212" spans="2:8">
      <c r="B212" s="72" t="s">
        <v>59</v>
      </c>
      <c r="C212" s="32" t="s">
        <v>64</v>
      </c>
      <c r="D212" s="73"/>
      <c r="E212" s="146"/>
      <c r="F212" s="73">
        <f t="shared" si="54"/>
        <v>-1.6893153542696382E-12</v>
      </c>
      <c r="G212" s="76">
        <f t="shared" si="55"/>
        <v>0.1265</v>
      </c>
      <c r="H212" s="148">
        <f t="shared" si="52"/>
        <v>-1.7808199359592438E-14</v>
      </c>
    </row>
    <row r="213" spans="2:8">
      <c r="B213" s="72" t="s">
        <v>60</v>
      </c>
      <c r="C213" s="32" t="s">
        <v>64</v>
      </c>
      <c r="D213" s="73"/>
      <c r="E213" s="146"/>
      <c r="F213" s="73">
        <f t="shared" si="54"/>
        <v>-1.6893153542696382E-12</v>
      </c>
      <c r="G213" s="76">
        <f t="shared" si="55"/>
        <v>0.1265</v>
      </c>
      <c r="H213" s="148">
        <f t="shared" si="52"/>
        <v>-1.7808199359592438E-14</v>
      </c>
    </row>
    <row r="214" spans="2:8">
      <c r="B214" s="72" t="s">
        <v>61</v>
      </c>
      <c r="C214" s="32" t="s">
        <v>64</v>
      </c>
      <c r="D214" s="73"/>
      <c r="E214" s="146"/>
      <c r="F214" s="73">
        <v>0</v>
      </c>
      <c r="G214" s="76">
        <f t="shared" si="55"/>
        <v>0.1265</v>
      </c>
      <c r="H214" s="148">
        <f t="shared" si="52"/>
        <v>0</v>
      </c>
    </row>
    <row r="215" spans="2:8" ht="13.5" thickBot="1">
      <c r="B215" s="77"/>
      <c r="C215" s="78" t="s">
        <v>62</v>
      </c>
      <c r="D215" s="79">
        <f>SUM(D203:D214)</f>
        <v>0</v>
      </c>
      <c r="E215" s="150">
        <f>SUM(E203:E214)</f>
        <v>46.448052000000004</v>
      </c>
      <c r="F215" s="79"/>
      <c r="G215" s="80"/>
      <c r="H215" s="149">
        <f>SUM(H203:H214)</f>
        <v>1.2240997037498043</v>
      </c>
    </row>
  </sheetData>
  <mergeCells count="1">
    <mergeCell ref="G4:H4"/>
  </mergeCells>
  <pageMargins left="0.75" right="0.75" top="0.61" bottom="0.63" header="0.5" footer="0.5"/>
  <pageSetup scale="86" orientation="portrait" r:id="rId1"/>
  <headerFooter alignWithMargins="0"/>
  <rowBreaks count="2" manualBreakCount="2">
    <brk id="64" max="16383" man="1"/>
    <brk id="124" max="16383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V29"/>
  <sheetViews>
    <sheetView workbookViewId="0">
      <pane ySplit="1" topLeftCell="A2" activePane="bottomLeft" state="frozen"/>
      <selection activeCell="H34" sqref="H34"/>
      <selection pane="bottomLeft" activeCell="D28" sqref="D28"/>
    </sheetView>
  </sheetViews>
  <sheetFormatPr defaultRowHeight="12.75"/>
  <cols>
    <col min="1" max="1" width="48.42578125" bestFit="1" customWidth="1"/>
    <col min="2" max="2" width="9" bestFit="1" customWidth="1"/>
    <col min="3" max="21" width="8.7109375" bestFit="1" customWidth="1"/>
  </cols>
  <sheetData>
    <row r="1" spans="1:22" s="19" customFormat="1">
      <c r="B1" s="19">
        <v>1</v>
      </c>
      <c r="C1" s="19">
        <v>2</v>
      </c>
      <c r="D1" s="19">
        <v>3</v>
      </c>
      <c r="E1" s="19">
        <v>4</v>
      </c>
      <c r="F1" s="19">
        <v>5</v>
      </c>
      <c r="G1" s="19">
        <v>6</v>
      </c>
      <c r="H1" s="19">
        <v>7</v>
      </c>
      <c r="I1" s="19">
        <v>8</v>
      </c>
      <c r="J1" s="19">
        <v>9</v>
      </c>
      <c r="K1" s="19">
        <v>10</v>
      </c>
      <c r="L1" s="19">
        <v>11</v>
      </c>
      <c r="M1" s="19">
        <v>12</v>
      </c>
      <c r="N1" s="19">
        <v>13</v>
      </c>
      <c r="O1" s="19">
        <v>14</v>
      </c>
      <c r="P1" s="19">
        <v>15</v>
      </c>
      <c r="Q1" s="19">
        <v>16</v>
      </c>
      <c r="R1" s="19">
        <v>17</v>
      </c>
      <c r="S1" s="19">
        <v>18</v>
      </c>
      <c r="T1" s="19">
        <v>19</v>
      </c>
      <c r="U1" s="19">
        <v>20</v>
      </c>
    </row>
    <row r="2" spans="1:22">
      <c r="A2" s="1" t="s">
        <v>66</v>
      </c>
      <c r="B2" s="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2">
      <c r="A3" s="32" t="s">
        <v>67</v>
      </c>
      <c r="B3" s="35">
        <f>'Project Cost'!F8</f>
        <v>1757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2">
      <c r="A4" s="32" t="s">
        <v>68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5" spans="1:22">
      <c r="A5" s="32" t="s">
        <v>31</v>
      </c>
      <c r="B5" s="130">
        <f>B3*10%</f>
        <v>175.70000000000002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2">
      <c r="A6" s="32"/>
      <c r="B6" s="35">
        <f>B3-B5</f>
        <v>1581.3</v>
      </c>
      <c r="C6" s="32"/>
      <c r="D6" s="32"/>
      <c r="E6" s="32"/>
      <c r="F6" s="32"/>
      <c r="G6" s="32"/>
      <c r="H6" s="32"/>
      <c r="I6" s="32"/>
      <c r="J6" s="34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</row>
    <row r="7" spans="1:22">
      <c r="A7" s="2" t="s">
        <v>109</v>
      </c>
      <c r="B7" s="34">
        <v>1</v>
      </c>
      <c r="C7" s="32"/>
      <c r="D7" s="32"/>
      <c r="E7" s="32"/>
      <c r="F7" s="32"/>
      <c r="G7" s="32"/>
      <c r="H7" s="32"/>
      <c r="I7" s="32"/>
      <c r="J7" s="34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8" spans="1:22">
      <c r="A8" s="32"/>
      <c r="B8" s="35">
        <f>B6*B7</f>
        <v>1581.3</v>
      </c>
      <c r="C8" s="32"/>
      <c r="D8" s="32"/>
      <c r="E8" s="32"/>
      <c r="F8" s="32"/>
      <c r="G8" s="32"/>
      <c r="H8" s="32"/>
      <c r="I8" s="32"/>
      <c r="J8" s="34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2">
      <c r="A9" s="1" t="s">
        <v>119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</row>
    <row r="10" spans="1:22">
      <c r="A10" s="32" t="s">
        <v>69</v>
      </c>
      <c r="B10" s="35">
        <f>B8</f>
        <v>1581.3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</row>
    <row r="11" spans="1:22">
      <c r="A11" s="32" t="s">
        <v>70</v>
      </c>
      <c r="B11" s="35">
        <f>Assumptions!B20</f>
        <v>20</v>
      </c>
      <c r="C11" s="32" t="s">
        <v>17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</row>
    <row r="12" spans="1:22">
      <c r="A12" s="32" t="s">
        <v>71</v>
      </c>
      <c r="B12" s="37">
        <f>Assumptions!$B$39</f>
        <v>5.28E-2</v>
      </c>
      <c r="C12" s="32"/>
      <c r="D12" s="34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22">
      <c r="A13" s="32" t="s">
        <v>72</v>
      </c>
      <c r="B13" s="35">
        <f>+B10*B12</f>
        <v>83.492639999999994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</row>
    <row r="14" spans="1:22" s="31" customFormat="1">
      <c r="A14" s="27" t="s">
        <v>119</v>
      </c>
      <c r="B14" s="94" t="s">
        <v>197</v>
      </c>
      <c r="C14" s="94" t="s">
        <v>132</v>
      </c>
      <c r="D14" s="94" t="s">
        <v>133</v>
      </c>
      <c r="E14" s="94" t="s">
        <v>134</v>
      </c>
      <c r="F14" s="94" t="s">
        <v>135</v>
      </c>
      <c r="G14" s="94" t="s">
        <v>136</v>
      </c>
      <c r="H14" s="94" t="s">
        <v>137</v>
      </c>
      <c r="I14" s="94" t="s">
        <v>138</v>
      </c>
      <c r="J14" s="94" t="s">
        <v>139</v>
      </c>
      <c r="K14" s="94" t="s">
        <v>140</v>
      </c>
      <c r="L14" s="94" t="s">
        <v>141</v>
      </c>
      <c r="M14" s="94" t="s">
        <v>143</v>
      </c>
      <c r="N14" s="94" t="s">
        <v>144</v>
      </c>
      <c r="O14" s="94" t="s">
        <v>145</v>
      </c>
      <c r="P14" s="94" t="s">
        <v>146</v>
      </c>
      <c r="Q14" s="94" t="s">
        <v>147</v>
      </c>
      <c r="R14" s="94" t="s">
        <v>148</v>
      </c>
      <c r="S14" s="94" t="s">
        <v>149</v>
      </c>
      <c r="T14" s="94" t="s">
        <v>150</v>
      </c>
      <c r="U14" s="94" t="s">
        <v>151</v>
      </c>
      <c r="V14" s="94" t="s">
        <v>152</v>
      </c>
    </row>
    <row r="15" spans="1:22">
      <c r="A15" s="32" t="s">
        <v>73</v>
      </c>
      <c r="B15" s="35">
        <f>B8</f>
        <v>1581.3</v>
      </c>
      <c r="C15" s="35">
        <f t="shared" ref="C15:V15" si="0">+B18</f>
        <v>1581.0712530410958</v>
      </c>
      <c r="D15" s="35">
        <f t="shared" si="0"/>
        <v>1497.5786130410959</v>
      </c>
      <c r="E15" s="35">
        <f t="shared" si="0"/>
        <v>1414.0859730410959</v>
      </c>
      <c r="F15" s="35">
        <f t="shared" si="0"/>
        <v>1330.593333041096</v>
      </c>
      <c r="G15" s="35">
        <f t="shared" si="0"/>
        <v>1247.1006930410961</v>
      </c>
      <c r="H15" s="35">
        <f t="shared" si="0"/>
        <v>1163.6080530410961</v>
      </c>
      <c r="I15" s="35">
        <f t="shared" si="0"/>
        <v>1080.1154130410962</v>
      </c>
      <c r="J15" s="35">
        <f t="shared" si="0"/>
        <v>996.62277304109625</v>
      </c>
      <c r="K15" s="35">
        <f t="shared" si="0"/>
        <v>913.13013304109631</v>
      </c>
      <c r="L15" s="35">
        <f t="shared" si="0"/>
        <v>829.63749304109638</v>
      </c>
      <c r="M15" s="35">
        <f t="shared" si="0"/>
        <v>746.14485304109644</v>
      </c>
      <c r="N15" s="35">
        <f t="shared" si="0"/>
        <v>662.6522130410965</v>
      </c>
      <c r="O15" s="35">
        <f t="shared" si="0"/>
        <v>579.15957304109656</v>
      </c>
      <c r="P15" s="35">
        <f t="shared" si="0"/>
        <v>495.66693304109657</v>
      </c>
      <c r="Q15" s="35">
        <f t="shared" si="0"/>
        <v>412.17429304109658</v>
      </c>
      <c r="R15" s="35">
        <f t="shared" si="0"/>
        <v>328.68165304109658</v>
      </c>
      <c r="S15" s="35">
        <f t="shared" si="0"/>
        <v>245.18901304109659</v>
      </c>
      <c r="T15" s="35">
        <f t="shared" si="0"/>
        <v>161.69637304109659</v>
      </c>
      <c r="U15" s="35">
        <f t="shared" si="0"/>
        <v>78.203733041096598</v>
      </c>
      <c r="V15" s="35">
        <f t="shared" si="0"/>
        <v>0</v>
      </c>
    </row>
    <row r="16" spans="1:22">
      <c r="A16" s="32" t="s">
        <v>74</v>
      </c>
      <c r="B16" s="130">
        <f>+B13*Operations!B4/365</f>
        <v>0.22874695890410957</v>
      </c>
      <c r="C16" s="35">
        <f t="shared" ref="C16:S16" si="1">IF($B$13&lt;B18,$B$13,B18)</f>
        <v>83.492639999999994</v>
      </c>
      <c r="D16" s="35">
        <f t="shared" si="1"/>
        <v>83.492639999999994</v>
      </c>
      <c r="E16" s="35">
        <f t="shared" si="1"/>
        <v>83.492639999999994</v>
      </c>
      <c r="F16" s="35">
        <f t="shared" si="1"/>
        <v>83.492639999999994</v>
      </c>
      <c r="G16" s="35">
        <f t="shared" si="1"/>
        <v>83.492639999999994</v>
      </c>
      <c r="H16" s="35">
        <f t="shared" si="1"/>
        <v>83.492639999999994</v>
      </c>
      <c r="I16" s="35">
        <f t="shared" si="1"/>
        <v>83.492639999999994</v>
      </c>
      <c r="J16" s="35">
        <f t="shared" si="1"/>
        <v>83.492639999999994</v>
      </c>
      <c r="K16" s="35">
        <f t="shared" si="1"/>
        <v>83.492639999999994</v>
      </c>
      <c r="L16" s="35">
        <f t="shared" si="1"/>
        <v>83.492639999999994</v>
      </c>
      <c r="M16" s="35">
        <f t="shared" si="1"/>
        <v>83.492639999999994</v>
      </c>
      <c r="N16" s="35">
        <f t="shared" si="1"/>
        <v>83.492639999999994</v>
      </c>
      <c r="O16" s="35">
        <f t="shared" si="1"/>
        <v>83.492639999999994</v>
      </c>
      <c r="P16" s="35">
        <f t="shared" si="1"/>
        <v>83.492639999999994</v>
      </c>
      <c r="Q16" s="35">
        <f t="shared" si="1"/>
        <v>83.492639999999994</v>
      </c>
      <c r="R16" s="35">
        <f t="shared" si="1"/>
        <v>83.492639999999994</v>
      </c>
      <c r="S16" s="35">
        <f t="shared" si="1"/>
        <v>83.492639999999994</v>
      </c>
      <c r="T16" s="35">
        <f>IF($B$13&lt;S18,$B$13,S18)</f>
        <v>83.492639999999994</v>
      </c>
      <c r="U16" s="35">
        <f>IF($B$13&lt;T18,$B$13,T18)</f>
        <v>78.203733041096598</v>
      </c>
      <c r="V16" s="35">
        <f>IF($B$13&lt;U18,$B$13,U18)</f>
        <v>0</v>
      </c>
    </row>
    <row r="17" spans="1:22">
      <c r="A17" s="32" t="s">
        <v>75</v>
      </c>
      <c r="B17" s="35">
        <f>+B16</f>
        <v>0.22874695890410957</v>
      </c>
      <c r="C17" s="35">
        <f>+C16+B17</f>
        <v>83.721386958904105</v>
      </c>
      <c r="D17" s="35">
        <f>+D16+C17</f>
        <v>167.2140269589041</v>
      </c>
      <c r="E17" s="35">
        <f t="shared" ref="E17:R17" si="2">+D17+E16</f>
        <v>250.70666695890409</v>
      </c>
      <c r="F17" s="35">
        <f t="shared" si="2"/>
        <v>334.19930695890412</v>
      </c>
      <c r="G17" s="35">
        <f t="shared" si="2"/>
        <v>417.69194695890411</v>
      </c>
      <c r="H17" s="35">
        <f t="shared" si="2"/>
        <v>501.18458695890411</v>
      </c>
      <c r="I17" s="35">
        <f t="shared" si="2"/>
        <v>584.67722695890416</v>
      </c>
      <c r="J17" s="35">
        <f t="shared" si="2"/>
        <v>668.16986695890409</v>
      </c>
      <c r="K17" s="35">
        <f t="shared" si="2"/>
        <v>751.66250695890403</v>
      </c>
      <c r="L17" s="35">
        <f t="shared" si="2"/>
        <v>835.15514695890397</v>
      </c>
      <c r="M17" s="35">
        <f t="shared" si="2"/>
        <v>918.64778695890391</v>
      </c>
      <c r="N17" s="35">
        <f t="shared" si="2"/>
        <v>1002.1404269589038</v>
      </c>
      <c r="O17" s="35">
        <f t="shared" si="2"/>
        <v>1085.6330669589038</v>
      </c>
      <c r="P17" s="35">
        <f t="shared" si="2"/>
        <v>1169.1257069589037</v>
      </c>
      <c r="Q17" s="35">
        <f t="shared" si="2"/>
        <v>1252.6183469589037</v>
      </c>
      <c r="R17" s="35">
        <f t="shared" si="2"/>
        <v>1336.1109869589036</v>
      </c>
      <c r="S17" s="35">
        <f>+R17+S16</f>
        <v>1419.6036269589035</v>
      </c>
      <c r="T17" s="35">
        <f>+S17+T16</f>
        <v>1503.0962669589035</v>
      </c>
      <c r="U17" s="35">
        <f>+T17+U16</f>
        <v>1581.3000000000002</v>
      </c>
      <c r="V17" s="35">
        <f>+U17+V16</f>
        <v>1581.3000000000002</v>
      </c>
    </row>
    <row r="18" spans="1:22">
      <c r="A18" s="32" t="s">
        <v>76</v>
      </c>
      <c r="B18" s="35">
        <f>+B15-B16</f>
        <v>1581.0712530410958</v>
      </c>
      <c r="C18" s="35">
        <f t="shared" ref="C18:V18" si="3">IF((C15-C16)&gt;0,(C15-C16),0)</f>
        <v>1497.5786130410959</v>
      </c>
      <c r="D18" s="35">
        <f t="shared" si="3"/>
        <v>1414.0859730410959</v>
      </c>
      <c r="E18" s="35">
        <f t="shared" si="3"/>
        <v>1330.593333041096</v>
      </c>
      <c r="F18" s="35">
        <f t="shared" si="3"/>
        <v>1247.1006930410961</v>
      </c>
      <c r="G18" s="35">
        <f t="shared" si="3"/>
        <v>1163.6080530410961</v>
      </c>
      <c r="H18" s="35">
        <f t="shared" si="3"/>
        <v>1080.1154130410962</v>
      </c>
      <c r="I18" s="35">
        <f t="shared" si="3"/>
        <v>996.62277304109625</v>
      </c>
      <c r="J18" s="35">
        <f t="shared" si="3"/>
        <v>913.13013304109631</v>
      </c>
      <c r="K18" s="35">
        <f t="shared" si="3"/>
        <v>829.63749304109638</v>
      </c>
      <c r="L18" s="35">
        <f t="shared" si="3"/>
        <v>746.14485304109644</v>
      </c>
      <c r="M18" s="35">
        <f t="shared" si="3"/>
        <v>662.6522130410965</v>
      </c>
      <c r="N18" s="35">
        <f t="shared" si="3"/>
        <v>579.15957304109656</v>
      </c>
      <c r="O18" s="35">
        <f t="shared" si="3"/>
        <v>495.66693304109657</v>
      </c>
      <c r="P18" s="35">
        <f t="shared" si="3"/>
        <v>412.17429304109658</v>
      </c>
      <c r="Q18" s="35">
        <f t="shared" si="3"/>
        <v>328.68165304109658</v>
      </c>
      <c r="R18" s="35">
        <f t="shared" si="3"/>
        <v>245.18901304109659</v>
      </c>
      <c r="S18" s="35">
        <f>IF((S15-S16)&gt;0,(S15-S16),0)</f>
        <v>161.69637304109659</v>
      </c>
      <c r="T18" s="35">
        <f>IF((T15-T16)&gt;0,(T15-T16),0)</f>
        <v>78.203733041096598</v>
      </c>
      <c r="U18" s="35">
        <f t="shared" si="3"/>
        <v>0</v>
      </c>
      <c r="V18" s="35">
        <f t="shared" si="3"/>
        <v>0</v>
      </c>
    </row>
    <row r="19" spans="1:22" s="31" customFormat="1">
      <c r="A19" s="1" t="s">
        <v>77</v>
      </c>
      <c r="B19" s="94" t="s">
        <v>197</v>
      </c>
      <c r="C19" s="94" t="s">
        <v>132</v>
      </c>
      <c r="D19" s="94" t="s">
        <v>133</v>
      </c>
      <c r="E19" s="94" t="s">
        <v>134</v>
      </c>
      <c r="F19" s="94" t="s">
        <v>135</v>
      </c>
      <c r="G19" s="94" t="s">
        <v>136</v>
      </c>
      <c r="H19" s="94" t="s">
        <v>137</v>
      </c>
      <c r="I19" s="94" t="s">
        <v>138</v>
      </c>
      <c r="J19" s="94" t="s">
        <v>139</v>
      </c>
      <c r="K19" s="94" t="s">
        <v>140</v>
      </c>
      <c r="L19" s="94" t="s">
        <v>141</v>
      </c>
      <c r="M19" s="94" t="s">
        <v>143</v>
      </c>
      <c r="N19" s="94" t="s">
        <v>144</v>
      </c>
      <c r="O19" s="94" t="s">
        <v>145</v>
      </c>
      <c r="P19" s="94" t="s">
        <v>146</v>
      </c>
      <c r="Q19" s="94" t="s">
        <v>147</v>
      </c>
      <c r="R19" s="94" t="s">
        <v>148</v>
      </c>
      <c r="S19" s="94" t="s">
        <v>149</v>
      </c>
      <c r="T19" s="94" t="s">
        <v>150</v>
      </c>
      <c r="U19" s="94" t="s">
        <v>151</v>
      </c>
      <c r="V19" s="94" t="s">
        <v>152</v>
      </c>
    </row>
    <row r="20" spans="1:22">
      <c r="A20" s="32" t="s">
        <v>78</v>
      </c>
      <c r="B20" s="53">
        <f>Assumptions!$B$41</f>
        <v>0.15</v>
      </c>
      <c r="C20" s="36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</row>
    <row r="21" spans="1:22">
      <c r="A21" s="32" t="s">
        <v>79</v>
      </c>
      <c r="B21" s="52">
        <f>B8</f>
        <v>1581.3</v>
      </c>
      <c r="C21" s="35">
        <f t="shared" ref="C21:L21" si="4">+B23</f>
        <v>1462.7024999999999</v>
      </c>
      <c r="D21" s="35">
        <f t="shared" si="4"/>
        <v>1243.2971249999998</v>
      </c>
      <c r="E21" s="35">
        <f t="shared" si="4"/>
        <v>1056.80255625</v>
      </c>
      <c r="F21" s="35">
        <f t="shared" si="4"/>
        <v>898.28217281249999</v>
      </c>
      <c r="G21" s="35">
        <f t="shared" si="4"/>
        <v>763.53984689062497</v>
      </c>
      <c r="H21" s="35">
        <f t="shared" si="4"/>
        <v>649.00886985703119</v>
      </c>
      <c r="I21" s="35">
        <f t="shared" si="4"/>
        <v>551.65753937847649</v>
      </c>
      <c r="J21" s="35">
        <f t="shared" si="4"/>
        <v>468.90890847170499</v>
      </c>
      <c r="K21" s="35">
        <f t="shared" si="4"/>
        <v>398.57257220094925</v>
      </c>
      <c r="L21" s="35">
        <f t="shared" si="4"/>
        <v>338.78668637080688</v>
      </c>
      <c r="M21" s="35">
        <f t="shared" ref="M21:V21" si="5">+L23</f>
        <v>287.96868341518586</v>
      </c>
      <c r="N21" s="35">
        <f t="shared" si="5"/>
        <v>244.773380902908</v>
      </c>
      <c r="O21" s="35">
        <f t="shared" si="5"/>
        <v>208.0573737674718</v>
      </c>
      <c r="P21" s="35">
        <f t="shared" si="5"/>
        <v>176.84876770235104</v>
      </c>
      <c r="Q21" s="35">
        <f t="shared" si="5"/>
        <v>150.32145254699839</v>
      </c>
      <c r="R21" s="35">
        <f t="shared" si="5"/>
        <v>127.77323466494863</v>
      </c>
      <c r="S21" s="35">
        <f t="shared" si="5"/>
        <v>108.60724946520634</v>
      </c>
      <c r="T21" s="35">
        <f t="shared" si="5"/>
        <v>92.316162045425386</v>
      </c>
      <c r="U21" s="35">
        <f t="shared" si="5"/>
        <v>78.46873773861158</v>
      </c>
      <c r="V21" s="35">
        <f t="shared" si="5"/>
        <v>66.698427077819844</v>
      </c>
    </row>
    <row r="22" spans="1:22">
      <c r="A22" s="32" t="s">
        <v>80</v>
      </c>
      <c r="B22" s="130">
        <f>+B21*$B$20/2</f>
        <v>118.5975</v>
      </c>
      <c r="C22" s="52">
        <f t="shared" ref="C22:L22" si="6">+C21*$B$20</f>
        <v>219.40537499999996</v>
      </c>
      <c r="D22" s="52">
        <f t="shared" si="6"/>
        <v>186.49456874999996</v>
      </c>
      <c r="E22" s="52">
        <f t="shared" si="6"/>
        <v>158.52038343749999</v>
      </c>
      <c r="F22" s="52">
        <f t="shared" si="6"/>
        <v>134.74232592187499</v>
      </c>
      <c r="G22" s="52">
        <f t="shared" si="6"/>
        <v>114.53097703359374</v>
      </c>
      <c r="H22" s="52">
        <f t="shared" si="6"/>
        <v>97.351330478554672</v>
      </c>
      <c r="I22" s="52">
        <f t="shared" si="6"/>
        <v>82.748630906771467</v>
      </c>
      <c r="J22" s="52">
        <f t="shared" si="6"/>
        <v>70.336336270755751</v>
      </c>
      <c r="K22" s="52">
        <f t="shared" si="6"/>
        <v>59.785885830142384</v>
      </c>
      <c r="L22" s="52">
        <f t="shared" si="6"/>
        <v>50.818002955621033</v>
      </c>
      <c r="M22" s="52">
        <f t="shared" ref="M22:V22" si="7">+M21*$B$20</f>
        <v>43.195302512277877</v>
      </c>
      <c r="N22" s="52">
        <f t="shared" si="7"/>
        <v>36.7160071354362</v>
      </c>
      <c r="O22" s="52">
        <f t="shared" si="7"/>
        <v>31.208606065120769</v>
      </c>
      <c r="P22" s="52">
        <f t="shared" si="7"/>
        <v>26.527315155352657</v>
      </c>
      <c r="Q22" s="52">
        <f t="shared" si="7"/>
        <v>22.548217882049759</v>
      </c>
      <c r="R22" s="52">
        <f t="shared" si="7"/>
        <v>19.165985199742295</v>
      </c>
      <c r="S22" s="52">
        <f t="shared" si="7"/>
        <v>16.291087419780951</v>
      </c>
      <c r="T22" s="52">
        <f t="shared" si="7"/>
        <v>13.847424306813808</v>
      </c>
      <c r="U22" s="52">
        <f t="shared" si="7"/>
        <v>11.770310660791736</v>
      </c>
      <c r="V22" s="52">
        <f t="shared" si="7"/>
        <v>10.004764061672976</v>
      </c>
    </row>
    <row r="23" spans="1:22">
      <c r="A23" s="38" t="s">
        <v>81</v>
      </c>
      <c r="B23" s="52">
        <f>+B21-B22</f>
        <v>1462.7024999999999</v>
      </c>
      <c r="C23" s="52">
        <f>C21-C22</f>
        <v>1243.2971249999998</v>
      </c>
      <c r="D23" s="35">
        <f t="shared" ref="D23:L23" si="8">+C23-D22</f>
        <v>1056.80255625</v>
      </c>
      <c r="E23" s="35">
        <f t="shared" si="8"/>
        <v>898.28217281249999</v>
      </c>
      <c r="F23" s="35">
        <f t="shared" si="8"/>
        <v>763.53984689062497</v>
      </c>
      <c r="G23" s="35">
        <f t="shared" si="8"/>
        <v>649.00886985703119</v>
      </c>
      <c r="H23" s="35">
        <f t="shared" si="8"/>
        <v>551.65753937847649</v>
      </c>
      <c r="I23" s="35">
        <f t="shared" si="8"/>
        <v>468.90890847170499</v>
      </c>
      <c r="J23" s="35">
        <f t="shared" si="8"/>
        <v>398.57257220094925</v>
      </c>
      <c r="K23" s="35">
        <f t="shared" si="8"/>
        <v>338.78668637080688</v>
      </c>
      <c r="L23" s="35">
        <f t="shared" si="8"/>
        <v>287.96868341518586</v>
      </c>
      <c r="M23" s="35">
        <f t="shared" ref="M23:V23" si="9">+L23-M22</f>
        <v>244.773380902908</v>
      </c>
      <c r="N23" s="35">
        <f t="shared" si="9"/>
        <v>208.0573737674718</v>
      </c>
      <c r="O23" s="35">
        <f t="shared" si="9"/>
        <v>176.84876770235104</v>
      </c>
      <c r="P23" s="35">
        <f t="shared" si="9"/>
        <v>150.32145254699839</v>
      </c>
      <c r="Q23" s="35">
        <f t="shared" si="9"/>
        <v>127.77323466494863</v>
      </c>
      <c r="R23" s="35">
        <f t="shared" si="9"/>
        <v>108.60724946520634</v>
      </c>
      <c r="S23" s="35">
        <f t="shared" si="9"/>
        <v>92.316162045425386</v>
      </c>
      <c r="T23" s="35">
        <f t="shared" si="9"/>
        <v>78.46873773861158</v>
      </c>
      <c r="U23" s="35">
        <f t="shared" si="9"/>
        <v>66.698427077819844</v>
      </c>
      <c r="V23" s="35">
        <f t="shared" si="9"/>
        <v>56.693663016146871</v>
      </c>
    </row>
    <row r="24" spans="1:22">
      <c r="A24" s="20"/>
      <c r="B24" s="64"/>
      <c r="C24" s="64"/>
      <c r="D24" s="54"/>
      <c r="E24" s="54"/>
      <c r="F24" s="54"/>
      <c r="G24" s="54"/>
      <c r="H24" s="54"/>
      <c r="I24" s="54"/>
      <c r="J24" s="54"/>
      <c r="K24" s="54"/>
      <c r="L24" s="54"/>
      <c r="M24" s="18"/>
      <c r="N24" s="18"/>
      <c r="O24" s="18"/>
      <c r="P24" s="18"/>
      <c r="Q24" s="18"/>
      <c r="R24" s="18"/>
      <c r="S24" s="18"/>
      <c r="T24" s="18"/>
      <c r="U24" s="18"/>
    </row>
    <row r="25" spans="1:22">
      <c r="A25" s="48" t="s">
        <v>82</v>
      </c>
      <c r="B25" s="110">
        <f>+Assumptions!B44</f>
        <v>0.32450000000000001</v>
      </c>
      <c r="C25" s="21"/>
      <c r="D25" s="41"/>
    </row>
    <row r="26" spans="1:22">
      <c r="A26" s="21"/>
      <c r="B26" s="21"/>
      <c r="C26" s="21"/>
    </row>
    <row r="27" spans="1:22">
      <c r="A27" s="21"/>
      <c r="B27" s="21"/>
      <c r="C27" s="21"/>
    </row>
    <row r="29" spans="1:22">
      <c r="D29" s="30"/>
    </row>
  </sheetData>
  <phoneticPr fontId="0" type="noConversion"/>
  <pageMargins left="0.75" right="0.75" top="1" bottom="1" header="0.5" footer="0.5"/>
  <pageSetup scale="53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"/>
  <sheetViews>
    <sheetView workbookViewId="0">
      <pane ySplit="3" topLeftCell="A4" activePane="bottomLeft" state="frozen"/>
      <selection activeCell="H34" sqref="H34"/>
      <selection pane="bottomLeft" activeCell="Q15" sqref="Q15"/>
    </sheetView>
  </sheetViews>
  <sheetFormatPr defaultRowHeight="12.75"/>
  <cols>
    <col min="1" max="1" width="22.7109375" bestFit="1" customWidth="1"/>
    <col min="2" max="3" width="9.7109375" bestFit="1" customWidth="1"/>
    <col min="4" max="4" width="11.42578125" customWidth="1"/>
    <col min="5" max="12" width="9.7109375" bestFit="1" customWidth="1"/>
    <col min="13" max="13" width="12.28515625" customWidth="1"/>
    <col min="14" max="21" width="9.140625" bestFit="1" customWidth="1"/>
  </cols>
  <sheetData>
    <row r="1" spans="1:22">
      <c r="A1" s="39" t="s">
        <v>83</v>
      </c>
      <c r="B1" s="22" t="s">
        <v>197</v>
      </c>
      <c r="C1" s="22" t="s">
        <v>132</v>
      </c>
      <c r="D1" s="22" t="s">
        <v>133</v>
      </c>
      <c r="E1" s="22" t="s">
        <v>134</v>
      </c>
      <c r="F1" s="22" t="s">
        <v>135</v>
      </c>
      <c r="G1" s="22" t="s">
        <v>136</v>
      </c>
      <c r="H1" s="22" t="s">
        <v>137</v>
      </c>
      <c r="I1" s="22" t="s">
        <v>138</v>
      </c>
      <c r="J1" s="22" t="s">
        <v>139</v>
      </c>
      <c r="K1" s="22" t="s">
        <v>140</v>
      </c>
      <c r="L1" s="22" t="s">
        <v>141</v>
      </c>
      <c r="M1" s="22" t="s">
        <v>143</v>
      </c>
      <c r="N1" s="22" t="s">
        <v>144</v>
      </c>
      <c r="O1" s="22" t="s">
        <v>145</v>
      </c>
      <c r="P1" s="22" t="s">
        <v>146</v>
      </c>
      <c r="Q1" s="22" t="s">
        <v>147</v>
      </c>
      <c r="R1" s="22" t="s">
        <v>148</v>
      </c>
      <c r="S1" s="22" t="s">
        <v>149</v>
      </c>
      <c r="T1" s="22" t="s">
        <v>150</v>
      </c>
      <c r="U1" s="22" t="s">
        <v>151</v>
      </c>
      <c r="V1" s="22" t="s">
        <v>152</v>
      </c>
    </row>
    <row r="2" spans="1:22">
      <c r="A2" s="40" t="s">
        <v>65</v>
      </c>
      <c r="B2" s="40">
        <v>1</v>
      </c>
      <c r="C2" s="40">
        <f t="shared" ref="C2:V2" si="0">B2+1</f>
        <v>2</v>
      </c>
      <c r="D2" s="40">
        <f t="shared" si="0"/>
        <v>3</v>
      </c>
      <c r="E2" s="40">
        <f t="shared" si="0"/>
        <v>4</v>
      </c>
      <c r="F2" s="40">
        <f t="shared" si="0"/>
        <v>5</v>
      </c>
      <c r="G2" s="40">
        <f t="shared" si="0"/>
        <v>6</v>
      </c>
      <c r="H2" s="40">
        <f t="shared" si="0"/>
        <v>7</v>
      </c>
      <c r="I2" s="40">
        <f t="shared" si="0"/>
        <v>8</v>
      </c>
      <c r="J2" s="40">
        <f t="shared" si="0"/>
        <v>9</v>
      </c>
      <c r="K2" s="40">
        <f t="shared" si="0"/>
        <v>10</v>
      </c>
      <c r="L2" s="40">
        <f t="shared" si="0"/>
        <v>11</v>
      </c>
      <c r="M2" s="40">
        <f t="shared" si="0"/>
        <v>12</v>
      </c>
      <c r="N2" s="40">
        <f t="shared" si="0"/>
        <v>13</v>
      </c>
      <c r="O2" s="40">
        <f t="shared" si="0"/>
        <v>14</v>
      </c>
      <c r="P2" s="40">
        <f t="shared" si="0"/>
        <v>15</v>
      </c>
      <c r="Q2" s="40">
        <f t="shared" si="0"/>
        <v>16</v>
      </c>
      <c r="R2" s="40">
        <f t="shared" si="0"/>
        <v>17</v>
      </c>
      <c r="S2" s="40">
        <f t="shared" si="0"/>
        <v>18</v>
      </c>
      <c r="T2" s="40">
        <f t="shared" si="0"/>
        <v>19</v>
      </c>
      <c r="U2" s="40">
        <f t="shared" si="0"/>
        <v>20</v>
      </c>
      <c r="V2" s="40">
        <f t="shared" si="0"/>
        <v>21</v>
      </c>
    </row>
    <row r="3" spans="1:22">
      <c r="A3" s="10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2">
      <c r="A4" s="32" t="s">
        <v>84</v>
      </c>
      <c r="B4" s="57">
        <f>'P&amp;L'!E19</f>
        <v>0.17573628527671237</v>
      </c>
      <c r="C4" s="57">
        <f>'P&amp;L'!F19</f>
        <v>70.509062585500033</v>
      </c>
      <c r="D4" s="57">
        <f>'P&amp;L'!G19</f>
        <v>82.178606042869944</v>
      </c>
      <c r="E4" s="57">
        <f>'P&amp;L'!H19</f>
        <v>64.956703879900147</v>
      </c>
      <c r="F4" s="57">
        <f>'P&amp;L'!I19</f>
        <v>74.408034053500188</v>
      </c>
      <c r="G4" s="57">
        <f>'P&amp;L'!J19</f>
        <v>84.59163620950028</v>
      </c>
      <c r="H4" s="57">
        <f>'P&amp;L'!K19</f>
        <v>94.696850615500296</v>
      </c>
      <c r="I4" s="57">
        <f>'P&amp;L'!L19</f>
        <v>89.910451873900342</v>
      </c>
      <c r="J4" s="57">
        <f>'P&amp;L'!M19</f>
        <v>89.71519852750032</v>
      </c>
      <c r="K4" s="57">
        <f>'P&amp;L'!N19</f>
        <v>101.4665556835003</v>
      </c>
      <c r="L4" s="57">
        <f>'P&amp;L'!O19</f>
        <v>113.21791283950026</v>
      </c>
      <c r="M4" s="57">
        <f>'P&amp;L'!P19</f>
        <v>125.69815761790028</v>
      </c>
      <c r="N4" s="57">
        <f>'P&amp;L'!Q19</f>
        <v>136.72062715150025</v>
      </c>
      <c r="O4" s="57">
        <f>'P&amp;L'!R19</f>
        <v>146.75824472225025</v>
      </c>
      <c r="P4" s="57">
        <f>'P&amp;L'!S19</f>
        <v>147.98234442600005</v>
      </c>
      <c r="Q4" s="57">
        <f>'P&amp;L'!T19</f>
        <v>148.71123204840006</v>
      </c>
      <c r="R4" s="57">
        <f>'P&amp;L'!U19</f>
        <v>147.98234442600005</v>
      </c>
      <c r="S4" s="57">
        <f>'P&amp;L'!V19</f>
        <v>147.98234442600005</v>
      </c>
      <c r="T4" s="57">
        <f>'P&amp;L'!W19</f>
        <v>147.98234442600005</v>
      </c>
      <c r="U4" s="57">
        <f>'P&amp;L'!X19</f>
        <v>154.00013900730346</v>
      </c>
      <c r="V4" s="57">
        <f>'P&amp;L'!Y19</f>
        <v>230.84080638647674</v>
      </c>
    </row>
    <row r="5" spans="1:22">
      <c r="A5" s="10" t="s">
        <v>85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</row>
    <row r="6" spans="1:22">
      <c r="A6" s="32" t="s">
        <v>86</v>
      </c>
      <c r="B6" s="57">
        <f>'P&amp;L'!E18</f>
        <v>0.22874695890410957</v>
      </c>
      <c r="C6" s="57">
        <f>'P&amp;L'!F18</f>
        <v>83.492639999999994</v>
      </c>
      <c r="D6" s="57">
        <f>'P&amp;L'!G18</f>
        <v>83.492639999999994</v>
      </c>
      <c r="E6" s="57">
        <f>'P&amp;L'!H18</f>
        <v>83.492639999999994</v>
      </c>
      <c r="F6" s="57">
        <f>'P&amp;L'!I18</f>
        <v>83.492639999999994</v>
      </c>
      <c r="G6" s="57">
        <f>'P&amp;L'!J18</f>
        <v>83.492639999999994</v>
      </c>
      <c r="H6" s="57">
        <f>'P&amp;L'!K18</f>
        <v>83.492639999999994</v>
      </c>
      <c r="I6" s="57">
        <f>'P&amp;L'!L18</f>
        <v>83.492639999999994</v>
      </c>
      <c r="J6" s="57">
        <f>'P&amp;L'!M18</f>
        <v>83.492639999999994</v>
      </c>
      <c r="K6" s="57">
        <f>'P&amp;L'!N18</f>
        <v>83.492639999999994</v>
      </c>
      <c r="L6" s="57">
        <f>'P&amp;L'!O18</f>
        <v>83.492639999999994</v>
      </c>
      <c r="M6" s="57">
        <f>'P&amp;L'!P18</f>
        <v>83.492639999999994</v>
      </c>
      <c r="N6" s="57">
        <f>'P&amp;L'!Q18</f>
        <v>83.492639999999994</v>
      </c>
      <c r="O6" s="57">
        <f>'P&amp;L'!R18</f>
        <v>83.492639999999994</v>
      </c>
      <c r="P6" s="57">
        <f>'P&amp;L'!S18</f>
        <v>83.492639999999994</v>
      </c>
      <c r="Q6" s="57">
        <f>'P&amp;L'!T18</f>
        <v>83.492639999999994</v>
      </c>
      <c r="R6" s="57">
        <f>'P&amp;L'!U18</f>
        <v>83.492639999999994</v>
      </c>
      <c r="S6" s="57">
        <f>'P&amp;L'!V18</f>
        <v>83.492639999999994</v>
      </c>
      <c r="T6" s="57">
        <f>'P&amp;L'!W18</f>
        <v>83.492639999999994</v>
      </c>
      <c r="U6" s="57">
        <f>'P&amp;L'!X18</f>
        <v>78.203733041096598</v>
      </c>
      <c r="V6" s="57">
        <f>'P&amp;L'!Y18</f>
        <v>0</v>
      </c>
    </row>
    <row r="7" spans="1:22">
      <c r="A7" s="32" t="s">
        <v>87</v>
      </c>
      <c r="B7" s="57">
        <f t="shared" ref="B7:V7" si="1">+B4+B6</f>
        <v>0.40448324418082193</v>
      </c>
      <c r="C7" s="57">
        <f t="shared" si="1"/>
        <v>154.00170258550003</v>
      </c>
      <c r="D7" s="57">
        <f t="shared" si="1"/>
        <v>165.67124604286994</v>
      </c>
      <c r="E7" s="57">
        <f t="shared" si="1"/>
        <v>148.44934387990014</v>
      </c>
      <c r="F7" s="57">
        <f t="shared" si="1"/>
        <v>157.90067405350018</v>
      </c>
      <c r="G7" s="57">
        <f t="shared" si="1"/>
        <v>168.08427620950027</v>
      </c>
      <c r="H7" s="57">
        <f t="shared" si="1"/>
        <v>178.18949061550029</v>
      </c>
      <c r="I7" s="57">
        <f t="shared" si="1"/>
        <v>173.40309187390034</v>
      </c>
      <c r="J7" s="57">
        <f t="shared" si="1"/>
        <v>173.20783852750031</v>
      </c>
      <c r="K7" s="57">
        <f t="shared" si="1"/>
        <v>184.9591956835003</v>
      </c>
      <c r="L7" s="57">
        <f t="shared" si="1"/>
        <v>196.71055283950025</v>
      </c>
      <c r="M7" s="57">
        <f t="shared" si="1"/>
        <v>209.19079761790027</v>
      </c>
      <c r="N7" s="57">
        <f t="shared" si="1"/>
        <v>220.21326715150025</v>
      </c>
      <c r="O7" s="57">
        <f t="shared" si="1"/>
        <v>230.25088472225025</v>
      </c>
      <c r="P7" s="57">
        <f t="shared" si="1"/>
        <v>231.47498442600005</v>
      </c>
      <c r="Q7" s="57">
        <f t="shared" si="1"/>
        <v>232.20387204840006</v>
      </c>
      <c r="R7" s="57">
        <f t="shared" si="1"/>
        <v>231.47498442600005</v>
      </c>
      <c r="S7" s="57">
        <f t="shared" si="1"/>
        <v>231.47498442600005</v>
      </c>
      <c r="T7" s="57">
        <f t="shared" si="1"/>
        <v>231.47498442600005</v>
      </c>
      <c r="U7" s="57">
        <f t="shared" si="1"/>
        <v>232.20387204840006</v>
      </c>
      <c r="V7" s="57">
        <f t="shared" si="1"/>
        <v>230.84080638647674</v>
      </c>
    </row>
    <row r="8" spans="1:22">
      <c r="A8" s="10" t="s">
        <v>68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</row>
    <row r="9" spans="1:22">
      <c r="A9" s="32" t="s">
        <v>88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</row>
    <row r="10" spans="1:22">
      <c r="A10" s="32" t="s">
        <v>89</v>
      </c>
      <c r="B10" s="57">
        <f>Depreciation!B22</f>
        <v>118.5975</v>
      </c>
      <c r="C10" s="57">
        <f>Depreciation!C22</f>
        <v>219.40537499999996</v>
      </c>
      <c r="D10" s="57">
        <f>Depreciation!D22</f>
        <v>186.49456874999996</v>
      </c>
      <c r="E10" s="57">
        <f>Depreciation!E22</f>
        <v>158.52038343749999</v>
      </c>
      <c r="F10" s="57">
        <f>Depreciation!F22</f>
        <v>134.74232592187499</v>
      </c>
      <c r="G10" s="57">
        <f>Depreciation!G22</f>
        <v>114.53097703359374</v>
      </c>
      <c r="H10" s="57">
        <f>Depreciation!H22</f>
        <v>97.351330478554672</v>
      </c>
      <c r="I10" s="57">
        <f>Depreciation!I22</f>
        <v>82.748630906771467</v>
      </c>
      <c r="J10" s="57">
        <f>Depreciation!J22</f>
        <v>70.336336270755751</v>
      </c>
      <c r="K10" s="57">
        <f>Depreciation!K22</f>
        <v>59.785885830142384</v>
      </c>
      <c r="L10" s="57">
        <f>Depreciation!L22</f>
        <v>50.818002955621033</v>
      </c>
      <c r="M10" s="57">
        <f>Depreciation!M22</f>
        <v>43.195302512277877</v>
      </c>
      <c r="N10" s="57">
        <f>Depreciation!N22</f>
        <v>36.7160071354362</v>
      </c>
      <c r="O10" s="57">
        <f>Depreciation!O22</f>
        <v>31.208606065120769</v>
      </c>
      <c r="P10" s="57">
        <f>Depreciation!P22</f>
        <v>26.527315155352657</v>
      </c>
      <c r="Q10" s="57">
        <f>Depreciation!Q22</f>
        <v>22.548217882049759</v>
      </c>
      <c r="R10" s="57">
        <f>Depreciation!R22</f>
        <v>19.165985199742295</v>
      </c>
      <c r="S10" s="57">
        <f>Depreciation!S22</f>
        <v>16.291087419780951</v>
      </c>
      <c r="T10" s="57">
        <f>Depreciation!T22</f>
        <v>13.847424306813808</v>
      </c>
      <c r="U10" s="57">
        <f>Depreciation!U22</f>
        <v>11.770310660791736</v>
      </c>
      <c r="V10" s="57">
        <f>Depreciation!V22</f>
        <v>10.004764061672976</v>
      </c>
    </row>
    <row r="11" spans="1:22">
      <c r="A11" s="38" t="s">
        <v>90</v>
      </c>
      <c r="B11" s="57">
        <f t="shared" ref="B11:V11" si="2">+B7-B10</f>
        <v>-118.19301675581917</v>
      </c>
      <c r="C11" s="57">
        <f t="shared" si="2"/>
        <v>-65.403672414499937</v>
      </c>
      <c r="D11" s="57">
        <f t="shared" si="2"/>
        <v>-20.823322707130018</v>
      </c>
      <c r="E11" s="57">
        <f t="shared" si="2"/>
        <v>-10.071039557599846</v>
      </c>
      <c r="F11" s="57">
        <f t="shared" si="2"/>
        <v>23.158348131625189</v>
      </c>
      <c r="G11" s="57">
        <f t="shared" si="2"/>
        <v>53.553299175906531</v>
      </c>
      <c r="H11" s="57">
        <f t="shared" si="2"/>
        <v>80.838160136945618</v>
      </c>
      <c r="I11" s="57">
        <f t="shared" si="2"/>
        <v>90.65446096712887</v>
      </c>
      <c r="J11" s="57">
        <f t="shared" si="2"/>
        <v>102.87150225674456</v>
      </c>
      <c r="K11" s="57">
        <f t="shared" si="2"/>
        <v>125.17330985335792</v>
      </c>
      <c r="L11" s="57">
        <f t="shared" si="2"/>
        <v>145.89254988387921</v>
      </c>
      <c r="M11" s="57">
        <f t="shared" si="2"/>
        <v>165.99549510562241</v>
      </c>
      <c r="N11" s="57">
        <f t="shared" si="2"/>
        <v>183.49726001606405</v>
      </c>
      <c r="O11" s="57">
        <f t="shared" si="2"/>
        <v>199.04227865712949</v>
      </c>
      <c r="P11" s="57">
        <f t="shared" si="2"/>
        <v>204.9476692706474</v>
      </c>
      <c r="Q11" s="57">
        <f t="shared" si="2"/>
        <v>209.6556541663503</v>
      </c>
      <c r="R11" s="57">
        <f t="shared" si="2"/>
        <v>212.30899922625775</v>
      </c>
      <c r="S11" s="57">
        <f t="shared" si="2"/>
        <v>215.1838970062191</v>
      </c>
      <c r="T11" s="57">
        <f t="shared" si="2"/>
        <v>217.62756011918623</v>
      </c>
      <c r="U11" s="57">
        <f t="shared" si="2"/>
        <v>220.43356138760834</v>
      </c>
      <c r="V11" s="57">
        <f t="shared" si="2"/>
        <v>220.83604232480377</v>
      </c>
    </row>
    <row r="12" spans="1:22">
      <c r="A12" s="32" t="s">
        <v>91</v>
      </c>
      <c r="B12" s="57">
        <f>B11</f>
        <v>-118.19301675581917</v>
      </c>
      <c r="C12" s="57">
        <f t="shared" ref="C12:V12" si="3">B12+C11</f>
        <v>-183.59668917031911</v>
      </c>
      <c r="D12" s="57">
        <f t="shared" si="3"/>
        <v>-204.42001187744913</v>
      </c>
      <c r="E12" s="57">
        <f t="shared" si="3"/>
        <v>-214.49105143504897</v>
      </c>
      <c r="F12" s="57">
        <f t="shared" si="3"/>
        <v>-191.33270330342378</v>
      </c>
      <c r="G12" s="57">
        <f t="shared" si="3"/>
        <v>-137.77940412751724</v>
      </c>
      <c r="H12" s="57">
        <f t="shared" si="3"/>
        <v>-56.941243990571621</v>
      </c>
      <c r="I12" s="57">
        <f t="shared" si="3"/>
        <v>33.713216976557248</v>
      </c>
      <c r="J12" s="57">
        <f t="shared" si="3"/>
        <v>136.58471923330183</v>
      </c>
      <c r="K12" s="57">
        <f t="shared" si="3"/>
        <v>261.75802908665975</v>
      </c>
      <c r="L12" s="57">
        <f t="shared" si="3"/>
        <v>407.65057897053896</v>
      </c>
      <c r="M12" s="57">
        <f t="shared" si="3"/>
        <v>573.64607407616131</v>
      </c>
      <c r="N12" s="57">
        <f t="shared" si="3"/>
        <v>757.14333409222536</v>
      </c>
      <c r="O12" s="57">
        <f t="shared" si="3"/>
        <v>956.18561274935485</v>
      </c>
      <c r="P12" s="57">
        <f t="shared" si="3"/>
        <v>1161.1332820200023</v>
      </c>
      <c r="Q12" s="57">
        <f t="shared" si="3"/>
        <v>1370.7889361863527</v>
      </c>
      <c r="R12" s="57">
        <f t="shared" si="3"/>
        <v>1583.0979354126105</v>
      </c>
      <c r="S12" s="57">
        <f t="shared" si="3"/>
        <v>1798.2818324188295</v>
      </c>
      <c r="T12" s="57">
        <f t="shared" si="3"/>
        <v>2015.9093925380157</v>
      </c>
      <c r="U12" s="57">
        <f t="shared" si="3"/>
        <v>2236.342953925624</v>
      </c>
      <c r="V12" s="57">
        <f t="shared" si="3"/>
        <v>2457.1789962504276</v>
      </c>
    </row>
    <row r="13" spans="1:22" ht="25.5">
      <c r="A13" s="65" t="s">
        <v>92</v>
      </c>
      <c r="B13" s="57">
        <f>IF(B11&lt;0, 0, IF(B2&lt;=15,0,(B11*Depreciation!$B$25)))</f>
        <v>0</v>
      </c>
      <c r="C13" s="57">
        <f>IF(C2&lt;=15,0,IF(C12&lt;=0,0,(C11*Depreciation!$B$25)))</f>
        <v>0</v>
      </c>
      <c r="D13" s="57">
        <f>IF(D2&lt;=15,0,IF(D12&lt;=0,0,(D11*Depreciation!$B$25)))</f>
        <v>0</v>
      </c>
      <c r="E13" s="57">
        <f>IF(E2&lt;=15,0,IF(E12&lt;=0,0,(E11*Depreciation!$B$25)))</f>
        <v>0</v>
      </c>
      <c r="F13" s="57">
        <f>IF(F2&lt;=15,0,IF(F12&lt;=0,0,(F11*Depreciation!$B$25)))</f>
        <v>0</v>
      </c>
      <c r="G13" s="57">
        <f>IF(G2&lt;=15,0,IF(G12&lt;=0,0,(G11*Depreciation!$B$25)))</f>
        <v>0</v>
      </c>
      <c r="H13" s="57">
        <f>IF(H2&lt;=15,0,IF(H12&lt;=0,0,(H11*Depreciation!$B$25)))</f>
        <v>0</v>
      </c>
      <c r="I13" s="57">
        <f>IF(I2&lt;=15,0,IF(I12&lt;=0,0,(I11*Depreciation!$B$25)))</f>
        <v>0</v>
      </c>
      <c r="J13" s="57">
        <f>IF(J2&lt;=15,0,IF(J12&lt;=0,0,(J11*Depreciation!$B$25)))</f>
        <v>0</v>
      </c>
      <c r="K13" s="57">
        <f>IF(K2&lt;=15,0,IF(K12&lt;=0,0,(K11*Depreciation!$B$25)))</f>
        <v>0</v>
      </c>
      <c r="L13" s="57">
        <f>IF(L2&lt;=15,0,IF(L12&lt;=0,0,(L11*Depreciation!$B$25)))</f>
        <v>0</v>
      </c>
      <c r="M13" s="57">
        <f>IF(M2&lt;=15,0,IF(M12&lt;=0,0,(M11*Depreciation!$B$25)))</f>
        <v>0</v>
      </c>
      <c r="N13" s="57">
        <f>IF(N2&lt;=15,0,IF(N12&lt;=0,0,(N11*Depreciation!$B$25)))</f>
        <v>0</v>
      </c>
      <c r="O13" s="57">
        <f>IF(O2&lt;=15,0,IF(O12&lt;=0,0,(O11*Depreciation!$B$25)))</f>
        <v>0</v>
      </c>
      <c r="P13" s="57">
        <f>IF(P2&lt;=15,0,IF(P12&lt;=0,0,(P11*Depreciation!$B$25)))</f>
        <v>0</v>
      </c>
      <c r="Q13" s="57">
        <f>IF(Q2&lt;=15,0,IF(Q12&lt;=0,0,(Q11*Depreciation!$B$25)))</f>
        <v>68.033259776980671</v>
      </c>
      <c r="R13" s="57">
        <f>IF(R2&lt;=15,0,IF(R12&lt;=0,0,(R11*Depreciation!$B$25)))</f>
        <v>68.894270248920648</v>
      </c>
      <c r="S13" s="57">
        <f>IF(S2&lt;=15,0,IF(S12&lt;=0,0,(S11*Depreciation!$B$25)))</f>
        <v>69.827174578518097</v>
      </c>
      <c r="T13" s="57">
        <f>IF(T2&lt;=15,0,IF(T12&lt;=0,0,(T11*Depreciation!$B$25)))</f>
        <v>70.620143258675938</v>
      </c>
      <c r="U13" s="57">
        <f>IF(U2&lt;=15,0,IF(U12&lt;=0,0,(U11*Depreciation!$B$25)))</f>
        <v>71.530690670278901</v>
      </c>
      <c r="V13" s="57">
        <f>IF(V2&lt;=15,0,IF(V12&lt;=0,0,(V11*Depreciation!$B$25)))</f>
        <v>71.66129573439882</v>
      </c>
    </row>
    <row r="14" spans="1:22">
      <c r="A14" s="65" t="s">
        <v>128</v>
      </c>
      <c r="B14" s="57">
        <f>IF(B4&gt;0,Assumptions!$B$45*B4,0)</f>
        <v>3.5164830683870142E-2</v>
      </c>
      <c r="C14" s="57">
        <f>IF(C4&gt;0,Assumptions!$B$45*C4,0)</f>
        <v>14.108863423358557</v>
      </c>
      <c r="D14" s="57">
        <f>IF(D4&gt;0,Assumptions!$B$45*D4,0)</f>
        <v>16.443939069178278</v>
      </c>
      <c r="E14" s="57">
        <f>IF(E4&gt;0,Assumptions!$B$45*E4,0)</f>
        <v>12.997836446368019</v>
      </c>
      <c r="F14" s="57">
        <f>IF(F4&gt;0,Assumptions!$B$45*F4,0)</f>
        <v>14.889047614105388</v>
      </c>
      <c r="G14" s="57">
        <f>IF(G4&gt;0,Assumptions!$B$45*G4,0)</f>
        <v>16.926786405521007</v>
      </c>
      <c r="H14" s="57">
        <f>IF(H4&gt;0,Assumptions!$B$45*H4,0)</f>
        <v>18.948839808161608</v>
      </c>
      <c r="I14" s="57">
        <f>IF(I4&gt;0,Assumptions!$B$45*I4,0)</f>
        <v>17.991081419967458</v>
      </c>
      <c r="J14" s="57">
        <f>IF(J4&gt;0,Assumptions!$B$45*J4,0)</f>
        <v>17.952011225352813</v>
      </c>
      <c r="K14" s="57">
        <f>IF(K4&gt;0,Assumptions!$B$45*K4,0)</f>
        <v>20.303457792268411</v>
      </c>
      <c r="L14" s="57">
        <f>IF(L4&gt;0,Assumptions!$B$45*L4,0)</f>
        <v>22.654904359184002</v>
      </c>
      <c r="M14" s="57">
        <f>IF(M4&gt;0,Assumptions!$B$45*M4,0)</f>
        <v>25.152201339341847</v>
      </c>
      <c r="N14" s="57">
        <f>IF(N4&gt;0,Assumptions!$B$45*N4,0)</f>
        <v>27.357797493015202</v>
      </c>
      <c r="O14" s="57">
        <f>IF(O4&gt;0,Assumptions!$B$45*O4,0)</f>
        <v>29.366324768922276</v>
      </c>
      <c r="P14" s="57">
        <f>IF(P4&gt;0,Assumptions!$B$45*P4,0)</f>
        <v>29.611267119642612</v>
      </c>
      <c r="Q14" s="57">
        <f>IF(Q4&gt;0,Assumptions!$B$45*Q4,0)</f>
        <v>29.757117532884852</v>
      </c>
      <c r="R14" s="57">
        <f>IF(R4&gt;0,Assumptions!$B$45*R4,0)</f>
        <v>29.611267119642612</v>
      </c>
      <c r="S14" s="57">
        <f>IF(S4&gt;0,Assumptions!$B$45*S4,0)</f>
        <v>29.611267119642612</v>
      </c>
      <c r="T14" s="57">
        <f>IF(T4&gt;0,Assumptions!$B$45*T4,0)</f>
        <v>29.611267119642612</v>
      </c>
      <c r="U14" s="57">
        <f>IF(U4&gt;0,Assumptions!$B$45*U4,0)</f>
        <v>30.815427815361421</v>
      </c>
      <c r="V14" s="57">
        <f>IF(V4&gt;0,Assumptions!$B$45*V4,0)</f>
        <v>46.191245357933994</v>
      </c>
    </row>
    <row r="15" spans="1:22">
      <c r="A15" s="116" t="s">
        <v>189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154">
        <f>SUM(B14:P14)</f>
        <v>284.73952311507134</v>
      </c>
      <c r="R15" s="57">
        <f>Q15-Q16</f>
        <v>246.46338087097553</v>
      </c>
      <c r="S15" s="57">
        <f>R15-R16</f>
        <v>207.1803777416975</v>
      </c>
      <c r="T15" s="57">
        <f>S15-S16</f>
        <v>166.96447028282202</v>
      </c>
      <c r="U15" s="57">
        <f>T15-T16</f>
        <v>125.95559414378869</v>
      </c>
      <c r="V15" s="57">
        <f>U15-U16</f>
        <v>85.240331288871204</v>
      </c>
    </row>
    <row r="16" spans="1:22">
      <c r="A16" s="116" t="s">
        <v>190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>
        <f t="shared" ref="Q16:V16" si="4">MIN((Q13-Q14),Q15)</f>
        <v>38.276142244095823</v>
      </c>
      <c r="R16" s="57">
        <f t="shared" si="4"/>
        <v>39.283003129278036</v>
      </c>
      <c r="S16" s="57">
        <f t="shared" si="4"/>
        <v>40.215907458875485</v>
      </c>
      <c r="T16" s="57">
        <f t="shared" si="4"/>
        <v>41.008876139033326</v>
      </c>
      <c r="U16" s="57">
        <f t="shared" si="4"/>
        <v>40.715262854917484</v>
      </c>
      <c r="V16" s="57">
        <f t="shared" si="4"/>
        <v>25.470050376464826</v>
      </c>
    </row>
    <row r="17" spans="1:22" s="31" customFormat="1">
      <c r="A17" s="129" t="s">
        <v>93</v>
      </c>
      <c r="B17" s="58">
        <f>MAX(B14,(B13-B16))</f>
        <v>3.5164830683870142E-2</v>
      </c>
      <c r="C17" s="58">
        <f t="shared" ref="C17:T17" si="5">MAX(C14,(C13-C16))</f>
        <v>14.108863423358557</v>
      </c>
      <c r="D17" s="58">
        <f t="shared" si="5"/>
        <v>16.443939069178278</v>
      </c>
      <c r="E17" s="58">
        <f t="shared" si="5"/>
        <v>12.997836446368019</v>
      </c>
      <c r="F17" s="58">
        <f t="shared" si="5"/>
        <v>14.889047614105388</v>
      </c>
      <c r="G17" s="58">
        <f t="shared" si="5"/>
        <v>16.926786405521007</v>
      </c>
      <c r="H17" s="58">
        <f t="shared" si="5"/>
        <v>18.948839808161608</v>
      </c>
      <c r="I17" s="58">
        <f t="shared" si="5"/>
        <v>17.991081419967458</v>
      </c>
      <c r="J17" s="58">
        <f t="shared" si="5"/>
        <v>17.952011225352813</v>
      </c>
      <c r="K17" s="58">
        <f t="shared" si="5"/>
        <v>20.303457792268411</v>
      </c>
      <c r="L17" s="58">
        <f t="shared" si="5"/>
        <v>22.654904359184002</v>
      </c>
      <c r="M17" s="58">
        <f t="shared" si="5"/>
        <v>25.152201339341847</v>
      </c>
      <c r="N17" s="58">
        <f t="shared" si="5"/>
        <v>27.357797493015202</v>
      </c>
      <c r="O17" s="58">
        <f t="shared" si="5"/>
        <v>29.366324768922276</v>
      </c>
      <c r="P17" s="58">
        <f t="shared" si="5"/>
        <v>29.611267119642612</v>
      </c>
      <c r="Q17" s="58">
        <f t="shared" si="5"/>
        <v>29.757117532884852</v>
      </c>
      <c r="R17" s="58">
        <f t="shared" si="5"/>
        <v>29.611267119642612</v>
      </c>
      <c r="S17" s="58">
        <f t="shared" si="5"/>
        <v>29.611267119642612</v>
      </c>
      <c r="T17" s="58">
        <f t="shared" si="5"/>
        <v>29.611267119642612</v>
      </c>
      <c r="U17" s="58">
        <f>MAX(U13,U14)</f>
        <v>71.530690670278901</v>
      </c>
      <c r="V17" s="58">
        <f>MAX(V13,V14)</f>
        <v>71.66129573439882</v>
      </c>
    </row>
    <row r="18" spans="1:22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2">
      <c r="B19" s="117"/>
      <c r="C19" s="117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</row>
  </sheetData>
  <phoneticPr fontId="0" type="noConversion"/>
  <pageMargins left="0.75" right="0.75" top="1" bottom="1" header="0.5" footer="0.5"/>
  <pageSetup scale="57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0"/>
  <sheetViews>
    <sheetView tabSelected="1" workbookViewId="0">
      <pane xSplit="2" topLeftCell="C1" activePane="topRight" state="frozen"/>
      <selection activeCell="H34" sqref="H34"/>
      <selection pane="topRight" activeCell="B7" sqref="B7:B10"/>
    </sheetView>
  </sheetViews>
  <sheetFormatPr defaultRowHeight="12.75"/>
  <cols>
    <col min="1" max="1" width="14.85546875" style="95" customWidth="1"/>
    <col min="2" max="2" width="42.28515625" style="4" bestFit="1" customWidth="1"/>
    <col min="3" max="3" width="8.7109375" style="4" bestFit="1" customWidth="1"/>
    <col min="4" max="4" width="11.5703125" style="4" bestFit="1" customWidth="1"/>
    <col min="5" max="5" width="8.140625" style="4" bestFit="1" customWidth="1"/>
    <col min="6" max="15" width="10.140625" style="4" bestFit="1" customWidth="1"/>
    <col min="16" max="19" width="7.5703125" style="4" bestFit="1" customWidth="1"/>
    <col min="20" max="24" width="8.140625" style="4" bestFit="1" customWidth="1"/>
    <col min="25" max="16384" width="9.140625" style="4"/>
  </cols>
  <sheetData>
    <row r="1" spans="1:25" s="31" customFormat="1">
      <c r="A1" s="83"/>
      <c r="B1" s="56" t="s">
        <v>94</v>
      </c>
    </row>
    <row r="2" spans="1:25" s="31" customFormat="1">
      <c r="A2" s="83"/>
      <c r="B2" s="42" t="s">
        <v>95</v>
      </c>
      <c r="C2" s="42"/>
      <c r="D2" s="93">
        <v>0</v>
      </c>
      <c r="E2" s="43">
        <v>1</v>
      </c>
      <c r="F2" s="43">
        <v>2</v>
      </c>
      <c r="G2" s="43">
        <v>3</v>
      </c>
      <c r="H2" s="43">
        <v>4</v>
      </c>
      <c r="I2" s="43">
        <v>5</v>
      </c>
      <c r="J2" s="43">
        <v>6</v>
      </c>
      <c r="K2" s="43">
        <v>7</v>
      </c>
      <c r="L2" s="43">
        <v>8</v>
      </c>
      <c r="M2" s="43">
        <v>9</v>
      </c>
      <c r="N2" s="43">
        <v>10</v>
      </c>
      <c r="O2" s="43">
        <v>11</v>
      </c>
      <c r="P2" s="43">
        <v>12</v>
      </c>
      <c r="Q2" s="43">
        <v>13</v>
      </c>
      <c r="R2" s="43">
        <v>14</v>
      </c>
      <c r="S2" s="133">
        <v>15</v>
      </c>
      <c r="T2" s="43">
        <v>16</v>
      </c>
      <c r="U2" s="43">
        <v>17</v>
      </c>
      <c r="V2" s="43">
        <v>18</v>
      </c>
      <c r="W2" s="43">
        <v>19</v>
      </c>
      <c r="X2" s="43">
        <v>20</v>
      </c>
      <c r="Y2" s="43">
        <v>21</v>
      </c>
    </row>
    <row r="3" spans="1:25" s="31" customFormat="1">
      <c r="A3" s="83"/>
      <c r="B3" s="10"/>
      <c r="C3" s="10"/>
      <c r="D3" s="22" t="s">
        <v>142</v>
      </c>
      <c r="E3" s="22" t="s">
        <v>197</v>
      </c>
      <c r="F3" s="22" t="s">
        <v>132</v>
      </c>
      <c r="G3" s="22" t="s">
        <v>133</v>
      </c>
      <c r="H3" s="22" t="s">
        <v>134</v>
      </c>
      <c r="I3" s="22" t="s">
        <v>135</v>
      </c>
      <c r="J3" s="22" t="s">
        <v>136</v>
      </c>
      <c r="K3" s="22" t="s">
        <v>137</v>
      </c>
      <c r="L3" s="22" t="s">
        <v>138</v>
      </c>
      <c r="M3" s="22" t="s">
        <v>139</v>
      </c>
      <c r="N3" s="22" t="s">
        <v>140</v>
      </c>
      <c r="O3" s="22" t="s">
        <v>141</v>
      </c>
      <c r="P3" s="22" t="s">
        <v>143</v>
      </c>
      <c r="Q3" s="22" t="s">
        <v>144</v>
      </c>
      <c r="R3" s="22" t="s">
        <v>145</v>
      </c>
      <c r="S3" s="22" t="s">
        <v>146</v>
      </c>
      <c r="T3" s="139" t="s">
        <v>147</v>
      </c>
      <c r="U3" s="139" t="s">
        <v>148</v>
      </c>
      <c r="V3" s="139" t="s">
        <v>149</v>
      </c>
      <c r="W3" s="139" t="s">
        <v>150</v>
      </c>
      <c r="X3" s="139" t="s">
        <v>151</v>
      </c>
      <c r="Y3" s="2" t="s">
        <v>153</v>
      </c>
    </row>
    <row r="4" spans="1:25" s="31" customFormat="1">
      <c r="A4" s="83"/>
      <c r="B4" s="44" t="s">
        <v>96</v>
      </c>
      <c r="C4" s="45"/>
      <c r="D4" s="45"/>
      <c r="E4" s="46"/>
      <c r="F4" s="4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34"/>
      <c r="T4" s="2"/>
      <c r="U4" s="2"/>
      <c r="V4" s="2"/>
      <c r="W4" s="2"/>
      <c r="X4" s="2"/>
      <c r="Y4" s="10"/>
    </row>
    <row r="5" spans="1:25" s="31" customFormat="1">
      <c r="A5" s="83"/>
      <c r="B5" s="45" t="s">
        <v>115</v>
      </c>
      <c r="C5" s="45"/>
      <c r="D5" s="45"/>
      <c r="E5" s="46">
        <f>Operations!B13</f>
        <v>0.15607872</v>
      </c>
      <c r="F5" s="46">
        <f>Operations!C13</f>
        <v>56.968732800000005</v>
      </c>
      <c r="G5" s="46">
        <f>Operations!D13</f>
        <v>56.968732800000005</v>
      </c>
      <c r="H5" s="46">
        <f>Operations!E13</f>
        <v>57.124811520000009</v>
      </c>
      <c r="I5" s="46">
        <f>Operations!F13</f>
        <v>56.968732800000005</v>
      </c>
      <c r="J5" s="46">
        <f>Operations!G13</f>
        <v>56.968732800000005</v>
      </c>
      <c r="K5" s="46">
        <f>Operations!H13</f>
        <v>56.968732800000005</v>
      </c>
      <c r="L5" s="46">
        <f>Operations!I13</f>
        <v>57.124811520000009</v>
      </c>
      <c r="M5" s="46">
        <f>Operations!J13</f>
        <v>56.968732800000005</v>
      </c>
      <c r="N5" s="46">
        <f>Operations!K13</f>
        <v>56.968732800000005</v>
      </c>
      <c r="O5" s="46">
        <f>Operations!L13</f>
        <v>56.968732800000005</v>
      </c>
      <c r="P5" s="46">
        <f>Operations!M13</f>
        <v>57.124811520000009</v>
      </c>
      <c r="Q5" s="46">
        <f>Operations!N13</f>
        <v>56.968732800000005</v>
      </c>
      <c r="R5" s="46">
        <f>Operations!O13</f>
        <v>56.968732800000005</v>
      </c>
      <c r="S5" s="135">
        <f>Operations!P13</f>
        <v>56.968732800000005</v>
      </c>
      <c r="T5" s="46">
        <f>Operations!Q13</f>
        <v>57.124811520000009</v>
      </c>
      <c r="U5" s="46">
        <f>Operations!R13</f>
        <v>56.968732800000005</v>
      </c>
      <c r="V5" s="46">
        <f>Operations!S13</f>
        <v>56.968732800000005</v>
      </c>
      <c r="W5" s="46">
        <f>Operations!T13</f>
        <v>56.968732800000005</v>
      </c>
      <c r="X5" s="46">
        <f>Operations!U13</f>
        <v>57.124811520000009</v>
      </c>
      <c r="Y5" s="46">
        <f>Operations!V13</f>
        <v>56.812654080000009</v>
      </c>
    </row>
    <row r="6" spans="1:25" s="31" customFormat="1">
      <c r="A6" s="83"/>
      <c r="B6" s="113" t="s">
        <v>116</v>
      </c>
      <c r="C6" s="45"/>
      <c r="D6" s="45"/>
      <c r="E6" s="46">
        <f>Assumptions!B29</f>
        <v>4.67</v>
      </c>
      <c r="F6" s="46">
        <f>E6*(1+Assumptions!$B$30)</f>
        <v>4.67</v>
      </c>
      <c r="G6" s="46">
        <f>F6*(1+Assumptions!$B$30)</f>
        <v>4.67</v>
      </c>
      <c r="H6" s="46">
        <f>G6*(1+Assumptions!$B$30)</f>
        <v>4.67</v>
      </c>
      <c r="I6" s="46">
        <f>H6*(1+Assumptions!$B$30)</f>
        <v>4.67</v>
      </c>
      <c r="J6" s="46">
        <f>I6*(1+Assumptions!$B$30)</f>
        <v>4.67</v>
      </c>
      <c r="K6" s="46">
        <f>J6*(1+Assumptions!$B$30)</f>
        <v>4.67</v>
      </c>
      <c r="L6" s="46">
        <f>K6*(1+Assumptions!$B$30)</f>
        <v>4.67</v>
      </c>
      <c r="M6" s="46">
        <f>L6*(1+Assumptions!$B$30)</f>
        <v>4.67</v>
      </c>
      <c r="N6" s="46">
        <f>M6*(1+Assumptions!$B$30)</f>
        <v>4.67</v>
      </c>
      <c r="O6" s="46">
        <f>N6*(1+Assumptions!$B$30)</f>
        <v>4.67</v>
      </c>
      <c r="P6" s="46">
        <f>O6*(1+Assumptions!$B$30)</f>
        <v>4.67</v>
      </c>
      <c r="Q6" s="46">
        <f>P6*(1+Assumptions!$B$30)</f>
        <v>4.67</v>
      </c>
      <c r="R6" s="46">
        <f>Q6*(1+Assumptions!$B$30)</f>
        <v>4.67</v>
      </c>
      <c r="S6" s="46">
        <f>R6*(1+Assumptions!$B$30)</f>
        <v>4.67</v>
      </c>
      <c r="T6" s="46">
        <f>S6*(1+Assumptions!$B$30)</f>
        <v>4.67</v>
      </c>
      <c r="U6" s="46">
        <f>T6*(1+Assumptions!$B$30)</f>
        <v>4.67</v>
      </c>
      <c r="V6" s="46">
        <f>U6*(1+Assumptions!$B$30)</f>
        <v>4.67</v>
      </c>
      <c r="W6" s="46">
        <f>V6*(1+Assumptions!$B$30)</f>
        <v>4.67</v>
      </c>
      <c r="X6" s="46">
        <f>W6*(1+Assumptions!$B$30)</f>
        <v>4.67</v>
      </c>
      <c r="Y6" s="46">
        <f>X6*(1+Assumptions!$B$30)</f>
        <v>4.67</v>
      </c>
    </row>
    <row r="7" spans="1:25" s="31" customFormat="1">
      <c r="A7" s="83"/>
      <c r="B7" s="197" t="s">
        <v>123</v>
      </c>
      <c r="C7" s="45"/>
      <c r="D7" s="45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135"/>
      <c r="T7" s="46"/>
      <c r="U7" s="46"/>
      <c r="V7" s="46"/>
      <c r="W7" s="46"/>
      <c r="X7" s="46"/>
      <c r="Y7" s="10"/>
    </row>
    <row r="8" spans="1:25" s="31" customFormat="1">
      <c r="A8" s="83"/>
      <c r="B8" s="198"/>
      <c r="C8" s="49"/>
      <c r="D8" s="49"/>
      <c r="E8" s="47">
        <f>IF((E5*0.5)&gt;(1.55*Assumptions!$B$6),(1.55*Assumptions!$B$6),(E5*0.5))</f>
        <v>7.8039360000000002E-2</v>
      </c>
      <c r="F8" s="47">
        <f>IF((F5*0.5)&gt;(1.55*Assumptions!$B$6),(1.55*Assumptions!$B$6),(F5*0.5))</f>
        <v>28.484366400000003</v>
      </c>
      <c r="G8" s="47">
        <f>IF((G5*0.5)&gt;(1.55*Assumptions!$B$6),(1.55*Assumptions!$B$6),(G5*0.5))</f>
        <v>28.484366400000003</v>
      </c>
      <c r="H8" s="47">
        <f>IF((H5*0.5)&gt;(1.55*Assumptions!$B$6),(1.55*Assumptions!$B$6),(H5*0.5))</f>
        <v>28.562405760000004</v>
      </c>
      <c r="I8" s="47">
        <f>IF((I5*0.5)&gt;(1.55*Assumptions!$B$6),(1.55*Assumptions!$B$6),(I5*0.5))</f>
        <v>28.484366400000003</v>
      </c>
      <c r="J8" s="47">
        <f>IF((J5*0.5)&gt;(1.55*Assumptions!$B$6),(1.55*Assumptions!$B$6),(J5*0.5))</f>
        <v>28.484366400000003</v>
      </c>
      <c r="K8" s="47">
        <f>IF((K5*0.5)&gt;(1.55*Assumptions!$B$6),(1.55*Assumptions!$B$6),(K5*0.5))</f>
        <v>28.484366400000003</v>
      </c>
      <c r="L8" s="47">
        <f>IF((L5*0.5)&gt;(1.55*Assumptions!$B$6),(1.55*Assumptions!$B$6),(L5*0.5))</f>
        <v>28.562405760000004</v>
      </c>
      <c r="M8" s="47">
        <f>IF((M5*0.5)&gt;(1.55*Assumptions!$B$6),(1.55*Assumptions!$B$6),(M5*0.5))</f>
        <v>28.484366400000003</v>
      </c>
      <c r="N8" s="47">
        <f>IF((N5*0.5)&gt;(1.55*Assumptions!$B$6),(1.55*Assumptions!$B$6),(N5*0.5))</f>
        <v>28.484366400000003</v>
      </c>
      <c r="O8" s="47">
        <f>IF((O5*0.5)&gt;(1.55*Assumptions!$B$6),(1.55*Assumptions!$B$6),(O5*0.5))</f>
        <v>28.484366400000003</v>
      </c>
      <c r="P8" s="47">
        <f>IF((P5*0.5)&gt;(1.55*Assumptions!$B$6),(1.55*Assumptions!$B$6),(P5*0.5))</f>
        <v>28.562405760000004</v>
      </c>
      <c r="Q8" s="47">
        <f>IF((Q5*0.5)&gt;(1.55*Assumptions!$B$6),(1.55*Assumptions!$B$6),(Q5*0.5))</f>
        <v>28.484366400000003</v>
      </c>
      <c r="R8" s="47">
        <f>IF((R5*0.5)&gt;(1.55*Assumptions!$B$6),(1.55*Assumptions!$B$6),(R5*0.5))</f>
        <v>28.484366400000003</v>
      </c>
      <c r="S8" s="136">
        <f>IF((S5*0.5)&gt;(1.55*Assumptions!$B$6),(1.55*Assumptions!$B$6),(S5*0.5))</f>
        <v>28.484366400000003</v>
      </c>
      <c r="T8" s="47">
        <f>IF((T5*0.5)&gt;(1.55*Assumptions!$B$6),(1.55*Assumptions!$B$6),(T5*0.5))</f>
        <v>28.562405760000004</v>
      </c>
      <c r="U8" s="47">
        <f>IF((U5*0.5)&gt;(1.55*Assumptions!$B$6),(1.55*Assumptions!$B$6),(U5*0.5))</f>
        <v>28.484366400000003</v>
      </c>
      <c r="V8" s="47">
        <f>IF((V5*0.5)&gt;(1.55*Assumptions!$B$6),(1.55*Assumptions!$B$6),(V5*0.5))</f>
        <v>28.484366400000003</v>
      </c>
      <c r="W8" s="47">
        <f>IF((W5*0.5)&gt;(1.55*Assumptions!$B$6),(1.55*Assumptions!$B$6),(W5*0.5))</f>
        <v>28.484366400000003</v>
      </c>
      <c r="X8" s="47">
        <f>IF((X5*0.5)&gt;(1.55*Assumptions!$B$6),(1.55*Assumptions!$B$6),(X5*0.5))</f>
        <v>28.562405760000004</v>
      </c>
      <c r="Y8" s="47">
        <f>IF((Y5*0.5)&gt;(1.55*Assumptions!$B$6),(1.55*Assumptions!$B$6),(Y5*0.5))</f>
        <v>28.406327040000004</v>
      </c>
    </row>
    <row r="9" spans="1:25" s="31" customFormat="1">
      <c r="A9" s="83"/>
      <c r="B9" s="198"/>
      <c r="C9" s="49"/>
      <c r="D9" s="49"/>
      <c r="E9" s="47">
        <f>E8</f>
        <v>7.8039360000000002E-2</v>
      </c>
      <c r="F9" s="47">
        <f t="shared" ref="F9:Y9" si="0">E9+F8</f>
        <v>28.562405760000004</v>
      </c>
      <c r="G9" s="47">
        <f t="shared" si="0"/>
        <v>57.046772160000003</v>
      </c>
      <c r="H9" s="47">
        <f t="shared" si="0"/>
        <v>85.609177920000008</v>
      </c>
      <c r="I9" s="47">
        <f t="shared" si="0"/>
        <v>114.09354432000001</v>
      </c>
      <c r="J9" s="47">
        <f t="shared" si="0"/>
        <v>142.57791072000001</v>
      </c>
      <c r="K9" s="47">
        <f t="shared" si="0"/>
        <v>171.06227712</v>
      </c>
      <c r="L9" s="47">
        <f t="shared" si="0"/>
        <v>199.62468288000002</v>
      </c>
      <c r="M9" s="47">
        <f t="shared" si="0"/>
        <v>228.10904928000002</v>
      </c>
      <c r="N9" s="47">
        <f t="shared" si="0"/>
        <v>256.59341568000002</v>
      </c>
      <c r="O9" s="47">
        <f t="shared" si="0"/>
        <v>285.07778208000002</v>
      </c>
      <c r="P9" s="47">
        <f t="shared" si="0"/>
        <v>313.64018784000001</v>
      </c>
      <c r="Q9" s="47">
        <f t="shared" si="0"/>
        <v>342.12455424000001</v>
      </c>
      <c r="R9" s="47">
        <f t="shared" si="0"/>
        <v>370.60892064000001</v>
      </c>
      <c r="S9" s="136">
        <f t="shared" si="0"/>
        <v>399.09328704000001</v>
      </c>
      <c r="T9" s="47">
        <f t="shared" si="0"/>
        <v>427.6556928</v>
      </c>
      <c r="U9" s="47">
        <f t="shared" si="0"/>
        <v>456.1400592</v>
      </c>
      <c r="V9" s="47">
        <f t="shared" si="0"/>
        <v>484.6244256</v>
      </c>
      <c r="W9" s="47">
        <f t="shared" si="0"/>
        <v>513.10879199999999</v>
      </c>
      <c r="X9" s="47">
        <f t="shared" si="0"/>
        <v>541.67119776000004</v>
      </c>
      <c r="Y9" s="47">
        <f t="shared" si="0"/>
        <v>570.07752479999999</v>
      </c>
    </row>
    <row r="10" spans="1:25" s="31" customFormat="1">
      <c r="A10" s="83"/>
      <c r="B10" s="199"/>
      <c r="C10" s="49"/>
      <c r="D10" s="49"/>
      <c r="E10" s="47">
        <f>IF((6.2*Assumptions!$B$6)&gt;E9,E8,(6.2*Assumptions!$B$6)-D9)</f>
        <v>7.8039360000000002E-2</v>
      </c>
      <c r="F10" s="47">
        <f>IF((6.2*Assumptions!$B$6)&gt;F9,F8,(6.2*Assumptions!$B$6)-E9)</f>
        <v>28.484366400000003</v>
      </c>
      <c r="G10" s="47">
        <f>IF((6.2*Assumptions!$B$6)&gt;G9,G8,(6.2*Assumptions!$B$6)-F9)</f>
        <v>28.484366400000003</v>
      </c>
      <c r="H10" s="47">
        <f>IF((6.2*Assumptions!$B$6)&gt;H9,H8,(6.2*Assumptions!$B$6)-G9)</f>
        <v>28.562405760000004</v>
      </c>
      <c r="I10" s="47">
        <f>IF((6.2*Assumptions!$B$6)&gt;I9,I8,(6.2*Assumptions!$B$6)-H9)</f>
        <v>28.484366400000003</v>
      </c>
      <c r="J10" s="47">
        <f>IF((6.2*Assumptions!$B$6)&gt;J9,J8,(6.2*Assumptions!$B$6)-I9)</f>
        <v>28.484366400000003</v>
      </c>
      <c r="K10" s="47">
        <f>IF((6.2*Assumptions!$B$6)&gt;K9,K8,(6.2*Assumptions!$B$6)-J9)</f>
        <v>28.484366400000003</v>
      </c>
      <c r="L10" s="47">
        <f>IF((6.2*Assumptions!$B$6)&gt;L9,L8,(6.2*Assumptions!$B$6)-K9)</f>
        <v>11.217722880000025</v>
      </c>
      <c r="M10" s="47">
        <f>IF((6.2*Assumptions!$B$6)&gt;M9,M8,(6.2*Assumptions!$B$6)-L9)</f>
        <v>-17.344682879999993</v>
      </c>
      <c r="N10" s="47">
        <f>IF((6.2*Assumptions!$B$6)&gt;N9,N8,(6.2*Assumptions!$B$6)-M9)</f>
        <v>-45.829049279999992</v>
      </c>
      <c r="O10" s="47">
        <f>IF((6.2*Assumptions!$B$6)&gt;O9,O8,(6.2*Assumptions!$B$6)-N9)</f>
        <v>-74.313415679999991</v>
      </c>
      <c r="P10" s="47">
        <f>IF((6.2*Assumptions!$B$6)&gt;P9,P8,(6.2*Assumptions!$B$6)-O9)</f>
        <v>-102.79778207999999</v>
      </c>
      <c r="Q10" s="47">
        <f>IF((6.2*Assumptions!$B$6)&gt;Q9,Q8,(6.2*Assumptions!$B$6)-P9)</f>
        <v>-131.36018783999998</v>
      </c>
      <c r="R10" s="47">
        <f>IF((6.2*Assumptions!$B$6)&gt;R9,R8,(6.2*Assumptions!$B$6)-Q9)</f>
        <v>-159.84455423999998</v>
      </c>
      <c r="S10" s="47">
        <f>IF((6.2*Assumptions!$B$6)&gt;S9,S8,(6.2*Assumptions!$B$6)-R9)</f>
        <v>-188.32892063999998</v>
      </c>
      <c r="T10" s="47">
        <f>IF((6.2*Assumptions!$B$6)&gt;T9,T8,(6.2*Assumptions!$B$6)-S9)</f>
        <v>-216.81328703999998</v>
      </c>
      <c r="U10" s="47">
        <f>IF((6.2*Assumptions!$B$6)&gt;U9,U8,(6.2*Assumptions!$B$6)-T9)</f>
        <v>-245.37569279999997</v>
      </c>
      <c r="V10" s="47">
        <f>IF((6.2*Assumptions!$B$6)&gt;V9,V8,(6.2*Assumptions!$B$6)-U9)</f>
        <v>-273.86005919999997</v>
      </c>
      <c r="W10" s="47">
        <f>IF((6.2*Assumptions!$B$6)&gt;W9,W8,(6.2*Assumptions!$B$6)-V9)</f>
        <v>-302.34442559999997</v>
      </c>
      <c r="X10" s="47">
        <f>IF((6.2*Assumptions!$B$6)&gt;X9,X8,(6.2*Assumptions!$B$6)-W9)</f>
        <v>-330.82879199999996</v>
      </c>
      <c r="Y10" s="47">
        <f>IF((6.2*Assumptions!$B$6)&gt;Y9,Y8,(6.2*Assumptions!$B$6)-X9)</f>
        <v>-359.39119776000001</v>
      </c>
    </row>
    <row r="11" spans="1:25" s="31" customFormat="1">
      <c r="A11" s="83"/>
      <c r="B11" s="155" t="s">
        <v>124</v>
      </c>
      <c r="C11" s="156"/>
      <c r="D11" s="156"/>
      <c r="E11" s="47">
        <f>IF(E10&gt;0,E10,0)</f>
        <v>7.8039360000000002E-2</v>
      </c>
      <c r="F11" s="47">
        <f t="shared" ref="F11:Y11" si="1">IF(F10&gt;0,F10,0)</f>
        <v>28.484366400000003</v>
      </c>
      <c r="G11" s="47">
        <f t="shared" si="1"/>
        <v>28.484366400000003</v>
      </c>
      <c r="H11" s="47">
        <f t="shared" si="1"/>
        <v>28.562405760000004</v>
      </c>
      <c r="I11" s="47">
        <f t="shared" si="1"/>
        <v>28.484366400000003</v>
      </c>
      <c r="J11" s="47">
        <f t="shared" si="1"/>
        <v>28.484366400000003</v>
      </c>
      <c r="K11" s="47">
        <f t="shared" si="1"/>
        <v>28.484366400000003</v>
      </c>
      <c r="L11" s="47">
        <f>IF(L10&gt;0,L10,0)</f>
        <v>11.217722880000025</v>
      </c>
      <c r="M11" s="47">
        <f t="shared" si="1"/>
        <v>0</v>
      </c>
      <c r="N11" s="47">
        <f t="shared" si="1"/>
        <v>0</v>
      </c>
      <c r="O11" s="47">
        <f t="shared" si="1"/>
        <v>0</v>
      </c>
      <c r="P11" s="47">
        <f t="shared" si="1"/>
        <v>0</v>
      </c>
      <c r="Q11" s="47">
        <f t="shared" si="1"/>
        <v>0</v>
      </c>
      <c r="R11" s="47">
        <f t="shared" si="1"/>
        <v>0</v>
      </c>
      <c r="S11" s="136">
        <f t="shared" si="1"/>
        <v>0</v>
      </c>
      <c r="T11" s="47">
        <f t="shared" si="1"/>
        <v>0</v>
      </c>
      <c r="U11" s="47">
        <f t="shared" si="1"/>
        <v>0</v>
      </c>
      <c r="V11" s="47">
        <f t="shared" si="1"/>
        <v>0</v>
      </c>
      <c r="W11" s="47">
        <f t="shared" si="1"/>
        <v>0</v>
      </c>
      <c r="X11" s="47">
        <f t="shared" si="1"/>
        <v>0</v>
      </c>
      <c r="Y11" s="47">
        <f t="shared" si="1"/>
        <v>0</v>
      </c>
    </row>
    <row r="12" spans="1:25" s="31" customFormat="1">
      <c r="A12" s="83"/>
      <c r="B12" s="45" t="s">
        <v>117</v>
      </c>
      <c r="C12" s="45"/>
      <c r="D12" s="45"/>
      <c r="E12" s="46">
        <f>E5*E6+E11</f>
        <v>0.80692698240000005</v>
      </c>
      <c r="F12" s="46">
        <f>F5*F6+F11</f>
        <v>294.52834857600004</v>
      </c>
      <c r="G12" s="46">
        <f t="shared" ref="G12:Y12" si="2">G5*G6+G11</f>
        <v>294.52834857600004</v>
      </c>
      <c r="H12" s="46">
        <f t="shared" si="2"/>
        <v>295.33527555840004</v>
      </c>
      <c r="I12" s="46">
        <f t="shared" si="2"/>
        <v>294.52834857600004</v>
      </c>
      <c r="J12" s="46">
        <f t="shared" si="2"/>
        <v>294.52834857600004</v>
      </c>
      <c r="K12" s="46">
        <f t="shared" si="2"/>
        <v>294.52834857600004</v>
      </c>
      <c r="L12" s="46">
        <f t="shared" si="2"/>
        <v>277.99059267840005</v>
      </c>
      <c r="M12" s="46">
        <f t="shared" si="2"/>
        <v>266.04398217600004</v>
      </c>
      <c r="N12" s="46">
        <f t="shared" si="2"/>
        <v>266.04398217600004</v>
      </c>
      <c r="O12" s="46">
        <f t="shared" si="2"/>
        <v>266.04398217600004</v>
      </c>
      <c r="P12" s="46">
        <f t="shared" si="2"/>
        <v>266.77286979840005</v>
      </c>
      <c r="Q12" s="46">
        <f t="shared" si="2"/>
        <v>266.04398217600004</v>
      </c>
      <c r="R12" s="46">
        <f t="shared" si="2"/>
        <v>266.04398217600004</v>
      </c>
      <c r="S12" s="46">
        <f t="shared" si="2"/>
        <v>266.04398217600004</v>
      </c>
      <c r="T12" s="46">
        <f t="shared" si="2"/>
        <v>266.77286979840005</v>
      </c>
      <c r="U12" s="46">
        <f t="shared" si="2"/>
        <v>266.04398217600004</v>
      </c>
      <c r="V12" s="46">
        <f t="shared" si="2"/>
        <v>266.04398217600004</v>
      </c>
      <c r="W12" s="46">
        <f t="shared" si="2"/>
        <v>266.04398217600004</v>
      </c>
      <c r="X12" s="46">
        <f t="shared" si="2"/>
        <v>266.77286979840005</v>
      </c>
      <c r="Y12" s="46">
        <f t="shared" si="2"/>
        <v>265.31509455360003</v>
      </c>
    </row>
    <row r="13" spans="1:25" s="31" customFormat="1">
      <c r="A13" s="83"/>
      <c r="B13" s="44" t="s">
        <v>118</v>
      </c>
      <c r="C13" s="45"/>
      <c r="D13" s="45"/>
      <c r="E13" s="46"/>
      <c r="F13" s="46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134"/>
      <c r="T13" s="2"/>
      <c r="U13" s="2"/>
      <c r="V13" s="2"/>
      <c r="W13" s="2"/>
      <c r="X13" s="2"/>
      <c r="Y13" s="10"/>
    </row>
    <row r="14" spans="1:25" s="48" customFormat="1">
      <c r="A14" s="84"/>
      <c r="B14" s="47" t="s">
        <v>97</v>
      </c>
      <c r="C14" s="47"/>
      <c r="D14" s="47"/>
      <c r="E14" s="47">
        <v>0</v>
      </c>
      <c r="F14" s="47">
        <v>0</v>
      </c>
      <c r="G14" s="47">
        <f>Assumptions!$B$22*Operations!B4/365</f>
        <v>8.1813698630136988E-2</v>
      </c>
      <c r="H14" s="131">
        <f>Assumptions!$B$22*Operations!C4/365</f>
        <v>29.861999999999998</v>
      </c>
      <c r="I14" s="47">
        <f>Assumptions!B22*(1+Assumptions!$B$23)</f>
        <v>31.3551</v>
      </c>
      <c r="J14" s="47">
        <f>I14*(1+Assumptions!$B$23)</f>
        <v>32.922854999999998</v>
      </c>
      <c r="K14" s="47">
        <f>J14*(1+Assumptions!$B$23)</f>
        <v>34.568997750000001</v>
      </c>
      <c r="L14" s="47">
        <f>K14*(1+Assumptions!$B$24)</f>
        <v>34.568997750000001</v>
      </c>
      <c r="M14" s="47">
        <f>L14*(1+Assumptions!$B$24)</f>
        <v>34.568997750000001</v>
      </c>
      <c r="N14" s="47">
        <f>M14*(1+Assumptions!$B$24)</f>
        <v>34.568997750000001</v>
      </c>
      <c r="O14" s="47">
        <f>N14*(1+Assumptions!$B$24)</f>
        <v>34.568997750000001</v>
      </c>
      <c r="P14" s="47">
        <f>O14*(1+Assumptions!$B$24)</f>
        <v>34.568997750000001</v>
      </c>
      <c r="Q14" s="47">
        <f>P14*(1+Assumptions!$B$24)</f>
        <v>34.568997750000001</v>
      </c>
      <c r="R14" s="47">
        <f>Q14*(1+Assumptions!$B$24)</f>
        <v>34.568997750000001</v>
      </c>
      <c r="S14" s="136">
        <f>R14*(1+Assumptions!$B$24)</f>
        <v>34.568997750000001</v>
      </c>
      <c r="T14" s="47">
        <f>S14*(1+Assumptions!$B$24)</f>
        <v>34.568997750000001</v>
      </c>
      <c r="U14" s="47">
        <f>T14*(1+Assumptions!$B$24)</f>
        <v>34.568997750000001</v>
      </c>
      <c r="V14" s="47">
        <f>U14*(1+Assumptions!$B$24)</f>
        <v>34.568997750000001</v>
      </c>
      <c r="W14" s="47">
        <f>V14*(1+Assumptions!$B$24)</f>
        <v>34.568997750000001</v>
      </c>
      <c r="X14" s="47">
        <f>W14*(1+Assumptions!$B$24)</f>
        <v>34.568997750000001</v>
      </c>
      <c r="Y14" s="47">
        <f>X14*(1+Assumptions!$B$24)*Operations!V4/365</f>
        <v>34.474288167123291</v>
      </c>
    </row>
    <row r="15" spans="1:25" s="31" customFormat="1">
      <c r="A15" s="83"/>
      <c r="B15" s="49" t="s">
        <v>98</v>
      </c>
      <c r="C15" s="45"/>
      <c r="D15" s="45"/>
      <c r="E15" s="46">
        <f t="shared" ref="E15:Y15" si="3">SUM(E14:E14)</f>
        <v>0</v>
      </c>
      <c r="F15" s="46">
        <f t="shared" si="3"/>
        <v>0</v>
      </c>
      <c r="G15" s="46">
        <f t="shared" si="3"/>
        <v>8.1813698630136988E-2</v>
      </c>
      <c r="H15" s="46">
        <f t="shared" si="3"/>
        <v>29.861999999999998</v>
      </c>
      <c r="I15" s="46">
        <f t="shared" si="3"/>
        <v>31.3551</v>
      </c>
      <c r="J15" s="46">
        <f t="shared" si="3"/>
        <v>32.922854999999998</v>
      </c>
      <c r="K15" s="46">
        <f t="shared" si="3"/>
        <v>34.568997750000001</v>
      </c>
      <c r="L15" s="46">
        <f t="shared" si="3"/>
        <v>34.568997750000001</v>
      </c>
      <c r="M15" s="46">
        <f t="shared" si="3"/>
        <v>34.568997750000001</v>
      </c>
      <c r="N15" s="46">
        <f t="shared" si="3"/>
        <v>34.568997750000001</v>
      </c>
      <c r="O15" s="46">
        <f t="shared" si="3"/>
        <v>34.568997750000001</v>
      </c>
      <c r="P15" s="46">
        <f t="shared" si="3"/>
        <v>34.568997750000001</v>
      </c>
      <c r="Q15" s="46">
        <f t="shared" si="3"/>
        <v>34.568997750000001</v>
      </c>
      <c r="R15" s="46">
        <f t="shared" si="3"/>
        <v>34.568997750000001</v>
      </c>
      <c r="S15" s="135">
        <f t="shared" si="3"/>
        <v>34.568997750000001</v>
      </c>
      <c r="T15" s="46">
        <f t="shared" si="3"/>
        <v>34.568997750000001</v>
      </c>
      <c r="U15" s="46">
        <f t="shared" si="3"/>
        <v>34.568997750000001</v>
      </c>
      <c r="V15" s="46">
        <f t="shared" si="3"/>
        <v>34.568997750000001</v>
      </c>
      <c r="W15" s="46">
        <f t="shared" si="3"/>
        <v>34.568997750000001</v>
      </c>
      <c r="X15" s="46">
        <f t="shared" si="3"/>
        <v>34.568997750000001</v>
      </c>
      <c r="Y15" s="46">
        <f t="shared" si="3"/>
        <v>34.474288167123291</v>
      </c>
    </row>
    <row r="16" spans="1:25" s="48" customFormat="1">
      <c r="A16" s="84"/>
      <c r="B16" s="49" t="s">
        <v>99</v>
      </c>
      <c r="C16" s="49"/>
      <c r="D16" s="49"/>
      <c r="E16" s="144">
        <f>'Term Loan'!H19</f>
        <v>0.40244373821917812</v>
      </c>
      <c r="F16" s="47">
        <f>'Term Loan'!H35</f>
        <v>140.52664599050001</v>
      </c>
      <c r="G16" s="47">
        <f>'Term Loan'!H50</f>
        <v>128.77528883449997</v>
      </c>
      <c r="H16" s="47">
        <f>'Term Loan'!H65</f>
        <v>117.02393167849989</v>
      </c>
      <c r="I16" s="47">
        <f>'Term Loan'!H80</f>
        <v>105.27257452249987</v>
      </c>
      <c r="J16" s="47">
        <f>'Term Loan'!H95</f>
        <v>93.521217366499812</v>
      </c>
      <c r="K16" s="47">
        <f>'Term Loan'!H110</f>
        <v>81.769860210499758</v>
      </c>
      <c r="L16" s="47">
        <f>'Term Loan'!H125</f>
        <v>70.018503054499718</v>
      </c>
      <c r="M16" s="47">
        <f>'Term Loan'!H140</f>
        <v>58.267145898499727</v>
      </c>
      <c r="N16" s="47">
        <f>'Term Loan'!H155</f>
        <v>46.515788742499751</v>
      </c>
      <c r="O16" s="47">
        <f>'Term Loan'!H170</f>
        <v>34.764431586499796</v>
      </c>
      <c r="P16" s="47">
        <f>'Term Loan'!H185</f>
        <v>23.013074430499795</v>
      </c>
      <c r="Q16" s="47">
        <f>'Term Loan'!H200</f>
        <v>11.261717274499791</v>
      </c>
      <c r="R16" s="47">
        <f>'Term Loan'!H215</f>
        <v>1.2240997037498043</v>
      </c>
      <c r="S16" s="136">
        <v>0</v>
      </c>
      <c r="T16" s="47">
        <f t="shared" ref="T16:Y16" si="4">S16</f>
        <v>0</v>
      </c>
      <c r="U16" s="47">
        <f t="shared" si="4"/>
        <v>0</v>
      </c>
      <c r="V16" s="47">
        <f t="shared" si="4"/>
        <v>0</v>
      </c>
      <c r="W16" s="47">
        <f t="shared" si="4"/>
        <v>0</v>
      </c>
      <c r="X16" s="47">
        <f t="shared" si="4"/>
        <v>0</v>
      </c>
      <c r="Y16" s="47">
        <f t="shared" si="4"/>
        <v>0</v>
      </c>
    </row>
    <row r="17" spans="1:25" s="31" customFormat="1">
      <c r="A17" s="83"/>
      <c r="B17" s="49" t="s">
        <v>100</v>
      </c>
      <c r="C17" s="45"/>
      <c r="D17" s="45"/>
      <c r="E17" s="46">
        <f>+E12-E15-E16</f>
        <v>0.40448324418082193</v>
      </c>
      <c r="F17" s="46">
        <f t="shared" ref="F17:Y17" si="5">+F12-F15-F16</f>
        <v>154.00170258550003</v>
      </c>
      <c r="G17" s="46">
        <f t="shared" si="5"/>
        <v>165.67124604286994</v>
      </c>
      <c r="H17" s="46">
        <f t="shared" si="5"/>
        <v>148.44934387990014</v>
      </c>
      <c r="I17" s="46">
        <f t="shared" si="5"/>
        <v>157.90067405350018</v>
      </c>
      <c r="J17" s="46">
        <f t="shared" si="5"/>
        <v>168.08427620950027</v>
      </c>
      <c r="K17" s="46">
        <f t="shared" si="5"/>
        <v>178.18949061550029</v>
      </c>
      <c r="L17" s="46">
        <f t="shared" si="5"/>
        <v>173.40309187390034</v>
      </c>
      <c r="M17" s="46">
        <f t="shared" si="5"/>
        <v>173.20783852750031</v>
      </c>
      <c r="N17" s="46">
        <f t="shared" si="5"/>
        <v>184.9591956835003</v>
      </c>
      <c r="O17" s="46">
        <f t="shared" si="5"/>
        <v>196.71055283950025</v>
      </c>
      <c r="P17" s="46">
        <f t="shared" si="5"/>
        <v>209.19079761790027</v>
      </c>
      <c r="Q17" s="46">
        <f t="shared" si="5"/>
        <v>220.21326715150025</v>
      </c>
      <c r="R17" s="46">
        <f t="shared" si="5"/>
        <v>230.25088472225025</v>
      </c>
      <c r="S17" s="46">
        <f t="shared" si="5"/>
        <v>231.47498442600005</v>
      </c>
      <c r="T17" s="46">
        <f t="shared" si="5"/>
        <v>232.20387204840006</v>
      </c>
      <c r="U17" s="46">
        <f t="shared" si="5"/>
        <v>231.47498442600005</v>
      </c>
      <c r="V17" s="46">
        <f t="shared" si="5"/>
        <v>231.47498442600005</v>
      </c>
      <c r="W17" s="46">
        <f t="shared" si="5"/>
        <v>231.47498442600005</v>
      </c>
      <c r="X17" s="46">
        <f t="shared" si="5"/>
        <v>232.20387204840006</v>
      </c>
      <c r="Y17" s="46">
        <f t="shared" si="5"/>
        <v>230.84080638647674</v>
      </c>
    </row>
    <row r="18" spans="1:25" s="31" customFormat="1">
      <c r="A18" s="83"/>
      <c r="B18" s="49" t="s">
        <v>101</v>
      </c>
      <c r="C18" s="45"/>
      <c r="D18" s="45"/>
      <c r="E18" s="46">
        <f>Depreciation!B16</f>
        <v>0.22874695890410957</v>
      </c>
      <c r="F18" s="46">
        <f>Depreciation!C16</f>
        <v>83.492639999999994</v>
      </c>
      <c r="G18" s="46">
        <f>Depreciation!D16</f>
        <v>83.492639999999994</v>
      </c>
      <c r="H18" s="46">
        <f>Depreciation!E16</f>
        <v>83.492639999999994</v>
      </c>
      <c r="I18" s="46">
        <f>Depreciation!F16</f>
        <v>83.492639999999994</v>
      </c>
      <c r="J18" s="46">
        <f>Depreciation!G16</f>
        <v>83.492639999999994</v>
      </c>
      <c r="K18" s="46">
        <f>Depreciation!H16</f>
        <v>83.492639999999994</v>
      </c>
      <c r="L18" s="46">
        <f>Depreciation!I16</f>
        <v>83.492639999999994</v>
      </c>
      <c r="M18" s="46">
        <f>Depreciation!J16</f>
        <v>83.492639999999994</v>
      </c>
      <c r="N18" s="46">
        <f>Depreciation!K16</f>
        <v>83.492639999999994</v>
      </c>
      <c r="O18" s="46">
        <f>Depreciation!L16</f>
        <v>83.492639999999994</v>
      </c>
      <c r="P18" s="46">
        <f>Depreciation!M16</f>
        <v>83.492639999999994</v>
      </c>
      <c r="Q18" s="46">
        <f>Depreciation!N16</f>
        <v>83.492639999999994</v>
      </c>
      <c r="R18" s="46">
        <f>Depreciation!O16</f>
        <v>83.492639999999994</v>
      </c>
      <c r="S18" s="135">
        <f>Depreciation!P16</f>
        <v>83.492639999999994</v>
      </c>
      <c r="T18" s="46">
        <f>Depreciation!Q16</f>
        <v>83.492639999999994</v>
      </c>
      <c r="U18" s="46">
        <f>Depreciation!R16</f>
        <v>83.492639999999994</v>
      </c>
      <c r="V18" s="46">
        <f>Depreciation!S16</f>
        <v>83.492639999999994</v>
      </c>
      <c r="W18" s="46">
        <f>Depreciation!T16</f>
        <v>83.492639999999994</v>
      </c>
      <c r="X18" s="46">
        <f>Depreciation!U16</f>
        <v>78.203733041096598</v>
      </c>
      <c r="Y18" s="46">
        <f>Depreciation!V16</f>
        <v>0</v>
      </c>
    </row>
    <row r="19" spans="1:25" s="31" customFormat="1">
      <c r="A19" s="83"/>
      <c r="B19" s="49" t="s">
        <v>102</v>
      </c>
      <c r="C19" s="45"/>
      <c r="D19" s="45"/>
      <c r="E19" s="46">
        <f>+E17-E18</f>
        <v>0.17573628527671237</v>
      </c>
      <c r="F19" s="46">
        <f t="shared" ref="F19:Y19" si="6">+F17-F18</f>
        <v>70.509062585500033</v>
      </c>
      <c r="G19" s="46">
        <f t="shared" si="6"/>
        <v>82.178606042869944</v>
      </c>
      <c r="H19" s="46">
        <f t="shared" si="6"/>
        <v>64.956703879900147</v>
      </c>
      <c r="I19" s="46">
        <f t="shared" si="6"/>
        <v>74.408034053500188</v>
      </c>
      <c r="J19" s="46">
        <f t="shared" si="6"/>
        <v>84.59163620950028</v>
      </c>
      <c r="K19" s="46">
        <f t="shared" si="6"/>
        <v>94.696850615500296</v>
      </c>
      <c r="L19" s="46">
        <f t="shared" si="6"/>
        <v>89.910451873900342</v>
      </c>
      <c r="M19" s="46">
        <f t="shared" si="6"/>
        <v>89.71519852750032</v>
      </c>
      <c r="N19" s="46">
        <f t="shared" si="6"/>
        <v>101.4665556835003</v>
      </c>
      <c r="O19" s="46">
        <f t="shared" si="6"/>
        <v>113.21791283950026</v>
      </c>
      <c r="P19" s="46">
        <f t="shared" si="6"/>
        <v>125.69815761790028</v>
      </c>
      <c r="Q19" s="46">
        <f t="shared" si="6"/>
        <v>136.72062715150025</v>
      </c>
      <c r="R19" s="46">
        <f t="shared" si="6"/>
        <v>146.75824472225025</v>
      </c>
      <c r="S19" s="135">
        <f t="shared" si="6"/>
        <v>147.98234442600005</v>
      </c>
      <c r="T19" s="46">
        <f t="shared" si="6"/>
        <v>148.71123204840006</v>
      </c>
      <c r="U19" s="46">
        <f t="shared" si="6"/>
        <v>147.98234442600005</v>
      </c>
      <c r="V19" s="46">
        <f t="shared" si="6"/>
        <v>147.98234442600005</v>
      </c>
      <c r="W19" s="46">
        <f t="shared" si="6"/>
        <v>147.98234442600005</v>
      </c>
      <c r="X19" s="46">
        <f t="shared" si="6"/>
        <v>154.00013900730346</v>
      </c>
      <c r="Y19" s="46">
        <f t="shared" si="6"/>
        <v>230.84080638647674</v>
      </c>
    </row>
    <row r="20" spans="1:25" s="31" customFormat="1">
      <c r="A20" s="83"/>
      <c r="B20" s="66" t="s">
        <v>103</v>
      </c>
      <c r="C20" s="51"/>
      <c r="D20" s="51"/>
      <c r="E20" s="46">
        <f>'Tax calculations'!B17</f>
        <v>3.5164830683870142E-2</v>
      </c>
      <c r="F20" s="46">
        <f>'Tax calculations'!C17</f>
        <v>14.108863423358557</v>
      </c>
      <c r="G20" s="46">
        <f>'Tax calculations'!D17</f>
        <v>16.443939069178278</v>
      </c>
      <c r="H20" s="46">
        <f>'Tax calculations'!E17</f>
        <v>12.997836446368019</v>
      </c>
      <c r="I20" s="46">
        <f>'Tax calculations'!F17</f>
        <v>14.889047614105388</v>
      </c>
      <c r="J20" s="46">
        <f>'Tax calculations'!G17</f>
        <v>16.926786405521007</v>
      </c>
      <c r="K20" s="46">
        <f>'Tax calculations'!H17</f>
        <v>18.948839808161608</v>
      </c>
      <c r="L20" s="46">
        <f>'Tax calculations'!I17</f>
        <v>17.991081419967458</v>
      </c>
      <c r="M20" s="46">
        <f>'Tax calculations'!J17</f>
        <v>17.952011225352813</v>
      </c>
      <c r="N20" s="46">
        <f>'Tax calculations'!K17</f>
        <v>20.303457792268411</v>
      </c>
      <c r="O20" s="46">
        <f>'Tax calculations'!L17</f>
        <v>22.654904359184002</v>
      </c>
      <c r="P20" s="46">
        <f>'Tax calculations'!M17</f>
        <v>25.152201339341847</v>
      </c>
      <c r="Q20" s="46">
        <f>'Tax calculations'!N17</f>
        <v>27.357797493015202</v>
      </c>
      <c r="R20" s="46">
        <f>'Tax calculations'!O17</f>
        <v>29.366324768922276</v>
      </c>
      <c r="S20" s="135">
        <f>'Tax calculations'!P17</f>
        <v>29.611267119642612</v>
      </c>
      <c r="T20" s="46">
        <f>'Tax calculations'!Q17</f>
        <v>29.757117532884852</v>
      </c>
      <c r="U20" s="46">
        <f>'Tax calculations'!R17</f>
        <v>29.611267119642612</v>
      </c>
      <c r="V20" s="46">
        <f>'Tax calculations'!S17</f>
        <v>29.611267119642612</v>
      </c>
      <c r="W20" s="46">
        <f>'Tax calculations'!T17</f>
        <v>29.611267119642612</v>
      </c>
      <c r="X20" s="46">
        <f>'Tax calculations'!U17</f>
        <v>71.530690670278901</v>
      </c>
      <c r="Y20" s="46">
        <f>'Tax calculations'!V17</f>
        <v>71.66129573439882</v>
      </c>
    </row>
    <row r="21" spans="1:25" s="31" customFormat="1">
      <c r="A21" s="83"/>
      <c r="B21" s="66" t="s">
        <v>104</v>
      </c>
      <c r="C21" s="50"/>
      <c r="D21" s="50"/>
      <c r="E21" s="46">
        <f>E19-E20</f>
        <v>0.14057145459284223</v>
      </c>
      <c r="F21" s="46">
        <f t="shared" ref="F21:W21" si="7">F19-F20</f>
        <v>56.400199162141476</v>
      </c>
      <c r="G21" s="46">
        <f t="shared" si="7"/>
        <v>65.734666973691674</v>
      </c>
      <c r="H21" s="46">
        <f t="shared" si="7"/>
        <v>51.958867433532127</v>
      </c>
      <c r="I21" s="46">
        <f t="shared" si="7"/>
        <v>59.518986439394801</v>
      </c>
      <c r="J21" s="46">
        <f t="shared" si="7"/>
        <v>67.66484980397928</v>
      </c>
      <c r="K21" s="46">
        <f t="shared" si="7"/>
        <v>75.748010807338687</v>
      </c>
      <c r="L21" s="46">
        <f t="shared" si="7"/>
        <v>71.919370453932885</v>
      </c>
      <c r="M21" s="46">
        <f t="shared" si="7"/>
        <v>71.763187302147514</v>
      </c>
      <c r="N21" s="46">
        <f t="shared" si="7"/>
        <v>81.163097891231899</v>
      </c>
      <c r="O21" s="46">
        <f t="shared" si="7"/>
        <v>90.563008480316256</v>
      </c>
      <c r="P21" s="46">
        <f t="shared" si="7"/>
        <v>100.54595627855844</v>
      </c>
      <c r="Q21" s="46">
        <f t="shared" si="7"/>
        <v>109.36282965848505</v>
      </c>
      <c r="R21" s="46">
        <f t="shared" si="7"/>
        <v>117.39191995332797</v>
      </c>
      <c r="S21" s="135">
        <f t="shared" si="7"/>
        <v>118.37107730635745</v>
      </c>
      <c r="T21" s="46">
        <f t="shared" si="7"/>
        <v>118.95411451551522</v>
      </c>
      <c r="U21" s="46">
        <f t="shared" si="7"/>
        <v>118.37107730635745</v>
      </c>
      <c r="V21" s="46">
        <f t="shared" si="7"/>
        <v>118.37107730635745</v>
      </c>
      <c r="W21" s="46">
        <f t="shared" si="7"/>
        <v>118.37107730635745</v>
      </c>
      <c r="X21" s="46">
        <f>X19-X20</f>
        <v>82.469448337024559</v>
      </c>
      <c r="Y21" s="46">
        <f>Y19-Y20</f>
        <v>159.17951065207791</v>
      </c>
    </row>
    <row r="22" spans="1:25" s="31" customFormat="1">
      <c r="A22" s="83"/>
      <c r="B22" s="66" t="s">
        <v>105</v>
      </c>
      <c r="C22" s="50"/>
      <c r="D22" s="50"/>
      <c r="E22" s="111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37"/>
      <c r="T22" s="112"/>
      <c r="U22" s="112"/>
      <c r="V22" s="112"/>
      <c r="W22" s="112"/>
      <c r="Y22" s="46">
        <f>Depreciation!B5+(Depreciation!B6*10%)</f>
        <v>333.83000000000004</v>
      </c>
    </row>
    <row r="23" spans="1:25" s="31" customFormat="1">
      <c r="A23" s="83"/>
      <c r="B23" s="66"/>
      <c r="C23" s="50"/>
      <c r="D23" s="50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135"/>
      <c r="T23" s="46"/>
      <c r="U23" s="46"/>
      <c r="V23" s="46"/>
      <c r="W23" s="46"/>
      <c r="X23" s="46"/>
      <c r="Y23" s="10"/>
    </row>
    <row r="24" spans="1:25" s="31" customFormat="1">
      <c r="A24" s="83"/>
      <c r="B24" s="10" t="s">
        <v>164</v>
      </c>
      <c r="C24" s="10"/>
      <c r="D24" s="10"/>
      <c r="E24" s="46">
        <f t="shared" ref="E24:R24" si="8">E16</f>
        <v>0.40244373821917812</v>
      </c>
      <c r="F24" s="46">
        <f t="shared" si="8"/>
        <v>140.52664599050001</v>
      </c>
      <c r="G24" s="46">
        <f t="shared" si="8"/>
        <v>128.77528883449997</v>
      </c>
      <c r="H24" s="46">
        <f t="shared" si="8"/>
        <v>117.02393167849989</v>
      </c>
      <c r="I24" s="46">
        <f t="shared" si="8"/>
        <v>105.27257452249987</v>
      </c>
      <c r="J24" s="46">
        <f t="shared" si="8"/>
        <v>93.521217366499812</v>
      </c>
      <c r="K24" s="46">
        <f t="shared" si="8"/>
        <v>81.769860210499758</v>
      </c>
      <c r="L24" s="46">
        <f t="shared" si="8"/>
        <v>70.018503054499718</v>
      </c>
      <c r="M24" s="46">
        <f t="shared" si="8"/>
        <v>58.267145898499727</v>
      </c>
      <c r="N24" s="46">
        <f t="shared" si="8"/>
        <v>46.515788742499751</v>
      </c>
      <c r="O24" s="46">
        <f t="shared" si="8"/>
        <v>34.764431586499796</v>
      </c>
      <c r="P24" s="46">
        <f t="shared" si="8"/>
        <v>23.013074430499795</v>
      </c>
      <c r="Q24" s="46">
        <f t="shared" si="8"/>
        <v>11.261717274499791</v>
      </c>
      <c r="R24" s="46">
        <f t="shared" si="8"/>
        <v>1.2240997037498043</v>
      </c>
      <c r="S24" s="46">
        <f t="shared" ref="S24:V24" si="9">S16</f>
        <v>0</v>
      </c>
      <c r="T24" s="46">
        <f t="shared" si="9"/>
        <v>0</v>
      </c>
      <c r="U24" s="46">
        <f t="shared" si="9"/>
        <v>0</v>
      </c>
      <c r="V24" s="46">
        <f t="shared" si="9"/>
        <v>0</v>
      </c>
      <c r="W24" s="46">
        <f>W16</f>
        <v>0</v>
      </c>
      <c r="X24" s="46">
        <f>X16</f>
        <v>0</v>
      </c>
      <c r="Y24" s="46">
        <f>Y16</f>
        <v>0</v>
      </c>
    </row>
    <row r="25" spans="1:25" s="31" customFormat="1">
      <c r="A25" s="83"/>
      <c r="B25" s="10" t="s">
        <v>166</v>
      </c>
      <c r="C25" s="10"/>
      <c r="D25" s="10"/>
      <c r="E25" s="145">
        <f>'Term Loan'!E19</f>
        <v>0.25450987397260277</v>
      </c>
      <c r="F25" s="140">
        <f>'Term Loan'!E35</f>
        <v>92.896104000000022</v>
      </c>
      <c r="G25" s="28">
        <f>'Term Loan'!E50</f>
        <v>92.896104000000022</v>
      </c>
      <c r="H25" s="17">
        <f>'Term Loan'!E65</f>
        <v>92.896104000000022</v>
      </c>
      <c r="I25" s="17">
        <f>'Term Loan'!E80</f>
        <v>92.896104000000022</v>
      </c>
      <c r="J25" s="17">
        <f>'Term Loan'!E95</f>
        <v>92.896104000000022</v>
      </c>
      <c r="K25" s="17">
        <f>'Term Loan'!E110</f>
        <v>92.896104000000022</v>
      </c>
      <c r="L25" s="17">
        <f>'Term Loan'!E125</f>
        <v>92.896104000000022</v>
      </c>
      <c r="M25" s="17">
        <f>'Term Loan'!E140</f>
        <v>92.896104000000022</v>
      </c>
      <c r="N25" s="17">
        <f>'Term Loan'!E155</f>
        <v>92.896104000000022</v>
      </c>
      <c r="O25" s="17">
        <f>'Term Loan'!E170</f>
        <v>92.896104000000022</v>
      </c>
      <c r="P25" s="17">
        <f>'Term Loan'!E185</f>
        <v>92.896104000000022</v>
      </c>
      <c r="Q25" s="28">
        <f>'Term Loan'!E200</f>
        <v>92.896104000000022</v>
      </c>
      <c r="R25" s="28">
        <f>'Term Loan'!E215</f>
        <v>46.448052000000004</v>
      </c>
      <c r="S25" s="134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s="31" customFormat="1">
      <c r="A26" s="83"/>
      <c r="B26" s="10" t="s">
        <v>167</v>
      </c>
      <c r="C26" s="10"/>
      <c r="D26" s="10">
        <f>-Assumptions!B12</f>
        <v>-595.79869999999983</v>
      </c>
      <c r="E26" s="107">
        <f>E18+E21+E22-E25+D26</f>
        <v>-595.68389146047548</v>
      </c>
      <c r="F26" s="107">
        <f>F18+F21+F22-F25</f>
        <v>46.996735162141434</v>
      </c>
      <c r="G26" s="107">
        <f>G18+G21+G22-G25</f>
        <v>56.331202973691646</v>
      </c>
      <c r="H26" s="107">
        <f>H18+H21+H22-H25</f>
        <v>42.555403433532106</v>
      </c>
      <c r="I26" s="107">
        <f t="shared" ref="I26:X26" si="10">I18+I21+I22-I25</f>
        <v>50.11552243939478</v>
      </c>
      <c r="J26" s="107">
        <f t="shared" si="10"/>
        <v>58.261385803979252</v>
      </c>
      <c r="K26" s="107">
        <f t="shared" si="10"/>
        <v>66.344546807338659</v>
      </c>
      <c r="L26" s="107">
        <f t="shared" si="10"/>
        <v>62.515906453932857</v>
      </c>
      <c r="M26" s="107">
        <f t="shared" si="10"/>
        <v>62.359723302147486</v>
      </c>
      <c r="N26" s="107">
        <f t="shared" si="10"/>
        <v>71.759633891231871</v>
      </c>
      <c r="O26" s="107">
        <f t="shared" si="10"/>
        <v>81.159544480316228</v>
      </c>
      <c r="P26" s="107">
        <f t="shared" si="10"/>
        <v>91.142492278558407</v>
      </c>
      <c r="Q26" s="107">
        <f t="shared" si="10"/>
        <v>99.959365658485027</v>
      </c>
      <c r="R26" s="107">
        <f t="shared" si="10"/>
        <v>154.43650795332798</v>
      </c>
      <c r="S26" s="107">
        <f t="shared" si="10"/>
        <v>201.86371730635744</v>
      </c>
      <c r="T26" s="107">
        <f t="shared" si="10"/>
        <v>202.44675451551521</v>
      </c>
      <c r="U26" s="107">
        <f t="shared" si="10"/>
        <v>201.86371730635744</v>
      </c>
      <c r="V26" s="107">
        <f t="shared" si="10"/>
        <v>201.86371730635744</v>
      </c>
      <c r="W26" s="107">
        <f t="shared" si="10"/>
        <v>201.86371730635744</v>
      </c>
      <c r="X26" s="107">
        <f t="shared" si="10"/>
        <v>160.67318137812117</v>
      </c>
      <c r="Y26" s="107">
        <f>Y18+Y21+Y22-Y25</f>
        <v>493.00951065207795</v>
      </c>
    </row>
    <row r="27" spans="1:25" s="31" customFormat="1">
      <c r="A27" s="83"/>
      <c r="B27" s="27" t="s">
        <v>165</v>
      </c>
      <c r="C27" s="108">
        <f>IRR(E26:Y26)</f>
        <v>0.12876834259652742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38"/>
      <c r="T27" s="10"/>
      <c r="U27" s="10"/>
      <c r="V27" s="10"/>
      <c r="W27" s="10"/>
      <c r="X27" s="10"/>
      <c r="Y27" s="10"/>
    </row>
    <row r="28" spans="1:25" s="31" customFormat="1">
      <c r="A28" s="83"/>
      <c r="B28" s="106"/>
      <c r="C28" s="106"/>
      <c r="D28" s="106"/>
      <c r="E28" s="106"/>
      <c r="F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</row>
    <row r="29" spans="1:25" s="31" customFormat="1">
      <c r="A29" s="83"/>
      <c r="B29" s="106"/>
      <c r="C29" s="106"/>
      <c r="D29" s="106"/>
      <c r="E29" s="106"/>
      <c r="F29" s="106"/>
      <c r="I29" s="106"/>
      <c r="J29" s="106"/>
      <c r="K29" s="106"/>
      <c r="L29" s="106"/>
      <c r="M29" s="106"/>
      <c r="N29" s="106"/>
      <c r="O29" s="106"/>
      <c r="P29" s="106"/>
      <c r="R29" s="106"/>
      <c r="S29" s="106"/>
      <c r="T29" s="106"/>
      <c r="U29" s="106"/>
      <c r="V29" s="106"/>
      <c r="W29" s="106"/>
      <c r="X29" s="106"/>
    </row>
    <row r="30" spans="1:25" s="31" customFormat="1">
      <c r="A30" s="83"/>
      <c r="R30" s="106"/>
    </row>
  </sheetData>
  <dataConsolidate/>
  <mergeCells count="1">
    <mergeCell ref="B7:B10"/>
  </mergeCells>
  <phoneticPr fontId="0" type="noConversion"/>
  <pageMargins left="0" right="0" top="0" bottom="0" header="0" footer="0"/>
  <pageSetup scale="5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Y33"/>
  <sheetViews>
    <sheetView workbookViewId="0">
      <selection activeCell="G18" sqref="G17:G18"/>
    </sheetView>
  </sheetViews>
  <sheetFormatPr defaultRowHeight="12.75"/>
  <cols>
    <col min="1" max="1" width="14.85546875" style="95" customWidth="1"/>
    <col min="2" max="2" width="42.28515625" style="4" bestFit="1" customWidth="1"/>
    <col min="3" max="3" width="8.7109375" style="4" bestFit="1" customWidth="1"/>
    <col min="4" max="4" width="11.5703125" style="4" bestFit="1" customWidth="1"/>
    <col min="5" max="5" width="8.140625" style="4" bestFit="1" customWidth="1"/>
    <col min="6" max="15" width="10.140625" style="4" bestFit="1" customWidth="1"/>
    <col min="16" max="19" width="7.5703125" style="4" bestFit="1" customWidth="1"/>
    <col min="20" max="24" width="8.140625" style="4" bestFit="1" customWidth="1"/>
    <col min="25" max="16384" width="9.140625" style="4"/>
  </cols>
  <sheetData>
    <row r="1" spans="1:25" s="31" customFormat="1">
      <c r="A1" s="83"/>
      <c r="B1" s="56" t="s">
        <v>94</v>
      </c>
    </row>
    <row r="2" spans="1:25" s="31" customFormat="1">
      <c r="A2" s="83"/>
      <c r="B2" s="42" t="s">
        <v>95</v>
      </c>
      <c r="C2" s="42"/>
      <c r="D2" s="93">
        <v>0</v>
      </c>
      <c r="E2" s="43">
        <v>1</v>
      </c>
      <c r="F2" s="43">
        <v>2</v>
      </c>
      <c r="G2" s="43">
        <v>3</v>
      </c>
      <c r="H2" s="43">
        <v>4</v>
      </c>
      <c r="I2" s="43">
        <v>5</v>
      </c>
      <c r="J2" s="43">
        <v>6</v>
      </c>
      <c r="K2" s="43">
        <v>7</v>
      </c>
      <c r="L2" s="43">
        <v>8</v>
      </c>
      <c r="M2" s="43">
        <v>9</v>
      </c>
      <c r="N2" s="43">
        <v>10</v>
      </c>
      <c r="O2" s="43">
        <v>11</v>
      </c>
      <c r="P2" s="43">
        <v>12</v>
      </c>
      <c r="Q2" s="43">
        <v>13</v>
      </c>
      <c r="R2" s="43">
        <v>14</v>
      </c>
      <c r="S2" s="133">
        <v>15</v>
      </c>
      <c r="T2" s="43">
        <v>16</v>
      </c>
      <c r="U2" s="43">
        <v>17</v>
      </c>
      <c r="V2" s="43">
        <v>18</v>
      </c>
      <c r="W2" s="43">
        <v>19</v>
      </c>
      <c r="X2" s="43">
        <v>20</v>
      </c>
      <c r="Y2" s="43">
        <v>21</v>
      </c>
    </row>
    <row r="3" spans="1:25" s="31" customFormat="1">
      <c r="A3" s="83"/>
      <c r="B3" s="10"/>
      <c r="C3" s="10"/>
      <c r="D3" s="22" t="s">
        <v>142</v>
      </c>
      <c r="E3" s="22" t="s">
        <v>197</v>
      </c>
      <c r="F3" s="22" t="s">
        <v>132</v>
      </c>
      <c r="G3" s="22" t="s">
        <v>133</v>
      </c>
      <c r="H3" s="22" t="s">
        <v>134</v>
      </c>
      <c r="I3" s="22" t="s">
        <v>135</v>
      </c>
      <c r="J3" s="22" t="s">
        <v>136</v>
      </c>
      <c r="K3" s="22" t="s">
        <v>137</v>
      </c>
      <c r="L3" s="22" t="s">
        <v>138</v>
      </c>
      <c r="M3" s="22" t="s">
        <v>139</v>
      </c>
      <c r="N3" s="22" t="s">
        <v>140</v>
      </c>
      <c r="O3" s="22" t="s">
        <v>141</v>
      </c>
      <c r="P3" s="22" t="s">
        <v>143</v>
      </c>
      <c r="Q3" s="22" t="s">
        <v>144</v>
      </c>
      <c r="R3" s="22" t="s">
        <v>145</v>
      </c>
      <c r="S3" s="22" t="s">
        <v>146</v>
      </c>
      <c r="T3" s="139" t="s">
        <v>147</v>
      </c>
      <c r="U3" s="139" t="s">
        <v>148</v>
      </c>
      <c r="V3" s="139" t="s">
        <v>149</v>
      </c>
      <c r="W3" s="139" t="s">
        <v>150</v>
      </c>
      <c r="X3" s="139" t="s">
        <v>151</v>
      </c>
      <c r="Y3" s="2" t="s">
        <v>153</v>
      </c>
    </row>
    <row r="4" spans="1:25" s="31" customFormat="1">
      <c r="A4" s="83"/>
      <c r="B4" s="44" t="s">
        <v>96</v>
      </c>
      <c r="C4" s="45"/>
      <c r="D4" s="45"/>
      <c r="E4" s="46"/>
      <c r="F4" s="4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34"/>
      <c r="T4" s="2"/>
      <c r="U4" s="2"/>
      <c r="V4" s="2"/>
      <c r="W4" s="2"/>
      <c r="X4" s="2"/>
      <c r="Y4" s="10"/>
    </row>
    <row r="5" spans="1:25" s="31" customFormat="1">
      <c r="A5" s="83"/>
      <c r="B5" s="45" t="s">
        <v>115</v>
      </c>
      <c r="C5" s="45"/>
      <c r="D5" s="45"/>
      <c r="E5" s="46">
        <f>Operations!B13</f>
        <v>0.15607872</v>
      </c>
      <c r="F5" s="46">
        <f>Operations!C13</f>
        <v>56.968732800000005</v>
      </c>
      <c r="G5" s="46">
        <f>Operations!D13</f>
        <v>56.968732800000005</v>
      </c>
      <c r="H5" s="46">
        <f>Operations!E13</f>
        <v>57.124811520000009</v>
      </c>
      <c r="I5" s="46">
        <f>Operations!F13</f>
        <v>56.968732800000005</v>
      </c>
      <c r="J5" s="46">
        <f>Operations!G13</f>
        <v>56.968732800000005</v>
      </c>
      <c r="K5" s="46">
        <f>Operations!H13</f>
        <v>56.968732800000005</v>
      </c>
      <c r="L5" s="46">
        <f>Operations!I13</f>
        <v>57.124811520000009</v>
      </c>
      <c r="M5" s="46">
        <f>Operations!J13</f>
        <v>56.968732800000005</v>
      </c>
      <c r="N5" s="46">
        <f>Operations!K13</f>
        <v>56.968732800000005</v>
      </c>
      <c r="O5" s="46">
        <f>Operations!L13</f>
        <v>56.968732800000005</v>
      </c>
      <c r="P5" s="46">
        <f>Operations!M13</f>
        <v>57.124811520000009</v>
      </c>
      <c r="Q5" s="46">
        <f>Operations!N13</f>
        <v>56.968732800000005</v>
      </c>
      <c r="R5" s="46">
        <f>Operations!O13</f>
        <v>56.968732800000005</v>
      </c>
      <c r="S5" s="135">
        <f>Operations!P13</f>
        <v>56.968732800000005</v>
      </c>
      <c r="T5" s="46">
        <f>Operations!Q13</f>
        <v>57.124811520000009</v>
      </c>
      <c r="U5" s="46">
        <f>Operations!R13</f>
        <v>56.968732800000005</v>
      </c>
      <c r="V5" s="46">
        <f>Operations!S13</f>
        <v>56.968732800000005</v>
      </c>
      <c r="W5" s="46">
        <f>Operations!T13</f>
        <v>56.968732800000005</v>
      </c>
      <c r="X5" s="46">
        <f>Operations!U13</f>
        <v>57.124811520000009</v>
      </c>
      <c r="Y5" s="46">
        <f>Operations!V13</f>
        <v>56.812654080000009</v>
      </c>
    </row>
    <row r="6" spans="1:25" s="31" customFormat="1">
      <c r="A6" s="83"/>
      <c r="B6" s="49" t="s">
        <v>116</v>
      </c>
      <c r="C6" s="49"/>
      <c r="D6" s="49"/>
      <c r="E6" s="47">
        <f>Assumptions!B29</f>
        <v>4.67</v>
      </c>
      <c r="F6" s="47">
        <f>E6*(1+Assumptions!$B$30)</f>
        <v>4.67</v>
      </c>
      <c r="G6" s="47">
        <f>F6*(1+Assumptions!$B$30)</f>
        <v>4.67</v>
      </c>
      <c r="H6" s="47">
        <f>G6*(1+Assumptions!$B$30)</f>
        <v>4.67</v>
      </c>
      <c r="I6" s="47">
        <f>H6*(1+Assumptions!$B$30)</f>
        <v>4.67</v>
      </c>
      <c r="J6" s="47">
        <f>I6*(1+Assumptions!$B$30)</f>
        <v>4.67</v>
      </c>
      <c r="K6" s="46">
        <f>J6*(1+Assumptions!$B$30)</f>
        <v>4.67</v>
      </c>
      <c r="L6" s="46">
        <f>K6*(1+Assumptions!$B$30)</f>
        <v>4.67</v>
      </c>
      <c r="M6" s="46">
        <f>L6*(1+Assumptions!$B$30)</f>
        <v>4.67</v>
      </c>
      <c r="N6" s="46">
        <f>M6*(1+Assumptions!$B$30)</f>
        <v>4.67</v>
      </c>
      <c r="O6" s="46">
        <f>N6*(1+Assumptions!$B$30)</f>
        <v>4.67</v>
      </c>
      <c r="P6" s="46">
        <f>O6*(1+Assumptions!$B$30)</f>
        <v>4.67</v>
      </c>
      <c r="Q6" s="46">
        <f>P6*(1+Assumptions!$B$30)</f>
        <v>4.67</v>
      </c>
      <c r="R6" s="46">
        <f>Q6*(1+Assumptions!$B$30)</f>
        <v>4.67</v>
      </c>
      <c r="S6" s="46">
        <f>R6*(1+Assumptions!$B$30)</f>
        <v>4.67</v>
      </c>
      <c r="T6" s="46">
        <f>S6*(1+Assumptions!$B$30)</f>
        <v>4.67</v>
      </c>
      <c r="U6" s="46">
        <f>T6*(1+Assumptions!$B$30)</f>
        <v>4.67</v>
      </c>
      <c r="V6" s="46">
        <f>U6*(1+Assumptions!$B$30)</f>
        <v>4.67</v>
      </c>
      <c r="W6" s="46">
        <f>V6*(1+Assumptions!$B$30)</f>
        <v>4.67</v>
      </c>
      <c r="X6" s="46">
        <f>W6*(1+Assumptions!$B$30)</f>
        <v>4.67</v>
      </c>
      <c r="Y6" s="46">
        <f>X6*(1+Assumptions!$B$30)</f>
        <v>4.67</v>
      </c>
    </row>
    <row r="7" spans="1:25" s="31" customFormat="1">
      <c r="A7" s="83"/>
      <c r="B7" s="197" t="s">
        <v>123</v>
      </c>
      <c r="C7" s="49"/>
      <c r="D7" s="49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136"/>
      <c r="T7" s="47"/>
      <c r="U7" s="47"/>
      <c r="V7" s="47"/>
      <c r="W7" s="47"/>
      <c r="X7" s="47"/>
      <c r="Y7" s="27"/>
    </row>
    <row r="8" spans="1:25" s="31" customFormat="1">
      <c r="A8" s="83"/>
      <c r="B8" s="198"/>
      <c r="C8" s="49"/>
      <c r="D8" s="49"/>
      <c r="E8" s="47">
        <f>IF((E5*0.5)&gt;(1.55*Assumptions!$B$6),(1.55*Assumptions!$B$6),(E5*0.5))</f>
        <v>7.8039360000000002E-2</v>
      </c>
      <c r="F8" s="47">
        <f>IF((F5*0.5)&gt;(1.55*Assumptions!$B$6),(1.55*Assumptions!$B$6),(F5*0.5))</f>
        <v>28.484366400000003</v>
      </c>
      <c r="G8" s="47">
        <f>IF((G5*0.5)&gt;(1.55*Assumptions!$B$6),(1.55*Assumptions!$B$6),(G5*0.5))</f>
        <v>28.484366400000003</v>
      </c>
      <c r="H8" s="47">
        <f>IF((H5*0.5)&gt;(1.55*Assumptions!$B$6),(1.55*Assumptions!$B$6),(H5*0.5))</f>
        <v>28.562405760000004</v>
      </c>
      <c r="I8" s="47">
        <f>IF((I5*0.5)&gt;(1.55*Assumptions!$B$6),(1.55*Assumptions!$B$6),(I5*0.5))</f>
        <v>28.484366400000003</v>
      </c>
      <c r="J8" s="47">
        <f>IF((J5*0.5)&gt;(1.55*Assumptions!$B$6),(1.55*Assumptions!$B$6),(J5*0.5))</f>
        <v>28.484366400000003</v>
      </c>
      <c r="K8" s="47">
        <f>IF((K5*0.5)&gt;(1.55*Assumptions!$B$6),(1.55*Assumptions!$B$6),(K5*0.5))</f>
        <v>28.484366400000003</v>
      </c>
      <c r="L8" s="47">
        <f>IF((L5*0.5)&gt;(1.55*Assumptions!$B$6),(1.55*Assumptions!$B$6),(L5*0.5))</f>
        <v>28.562405760000004</v>
      </c>
      <c r="M8" s="47">
        <f>IF((M5*0.5)&gt;(1.55*Assumptions!$B$6),(1.55*Assumptions!$B$6),(M5*0.5))</f>
        <v>28.484366400000003</v>
      </c>
      <c r="N8" s="47">
        <f>IF((N5*0.5)&gt;(1.55*Assumptions!$B$6),(1.55*Assumptions!$B$6),(N5*0.5))</f>
        <v>28.484366400000003</v>
      </c>
      <c r="O8" s="47">
        <f>IF((O5*0.5)&gt;(1.55*Assumptions!$B$6),(1.55*Assumptions!$B$6),(O5*0.5))</f>
        <v>28.484366400000003</v>
      </c>
      <c r="P8" s="47">
        <f>IF((P5*0.5)&gt;(1.55*Assumptions!$B$6),(1.55*Assumptions!$B$6),(P5*0.5))</f>
        <v>28.562405760000004</v>
      </c>
      <c r="Q8" s="47">
        <f>IF((Q5*0.5)&gt;(1.55*Assumptions!$B$6),(1.55*Assumptions!$B$6),(Q5*0.5))</f>
        <v>28.484366400000003</v>
      </c>
      <c r="R8" s="47">
        <f>IF((R5*0.5)&gt;(1.55*Assumptions!$B$6),(1.55*Assumptions!$B$6),(R5*0.5))</f>
        <v>28.484366400000003</v>
      </c>
      <c r="S8" s="136">
        <f>IF((S5*0.5)&gt;(1.55*Assumptions!$B$6),(1.55*Assumptions!$B$6),(S5*0.5))</f>
        <v>28.484366400000003</v>
      </c>
      <c r="T8" s="47">
        <f>IF((T5*0.5)&gt;(1.55*Assumptions!$B$6),(1.55*Assumptions!$B$6),(T5*0.5))</f>
        <v>28.562405760000004</v>
      </c>
      <c r="U8" s="47">
        <f>IF((U5*0.5)&gt;(1.55*Assumptions!$B$6),(1.55*Assumptions!$B$6),(U5*0.5))</f>
        <v>28.484366400000003</v>
      </c>
      <c r="V8" s="47">
        <f>IF((V5*0.5)&gt;(1.55*Assumptions!$B$6),(1.55*Assumptions!$B$6),(V5*0.5))</f>
        <v>28.484366400000003</v>
      </c>
      <c r="W8" s="47">
        <f>IF((W5*0.5)&gt;(1.55*Assumptions!$B$6),(1.55*Assumptions!$B$6),(W5*0.5))</f>
        <v>28.484366400000003</v>
      </c>
      <c r="X8" s="47">
        <f>IF((X5*0.5)&gt;(1.55*Assumptions!$B$6),(1.55*Assumptions!$B$6),(X5*0.5))</f>
        <v>28.562405760000004</v>
      </c>
      <c r="Y8" s="47">
        <f>IF((Y5*0.5)&gt;(1.55*Assumptions!$B$6),(1.55*Assumptions!$B$6),(Y5*0.5))</f>
        <v>28.406327040000004</v>
      </c>
    </row>
    <row r="9" spans="1:25" s="31" customFormat="1">
      <c r="A9" s="83"/>
      <c r="B9" s="198"/>
      <c r="C9" s="49"/>
      <c r="D9" s="49"/>
      <c r="E9" s="47">
        <f>E8</f>
        <v>7.8039360000000002E-2</v>
      </c>
      <c r="F9" s="47">
        <f t="shared" ref="F9:Y9" si="0">E9+F8</f>
        <v>28.562405760000004</v>
      </c>
      <c r="G9" s="47">
        <f t="shared" si="0"/>
        <v>57.046772160000003</v>
      </c>
      <c r="H9" s="47">
        <f t="shared" si="0"/>
        <v>85.609177920000008</v>
      </c>
      <c r="I9" s="47">
        <f t="shared" si="0"/>
        <v>114.09354432000001</v>
      </c>
      <c r="J9" s="47">
        <f t="shared" si="0"/>
        <v>142.57791072000001</v>
      </c>
      <c r="K9" s="47">
        <f t="shared" si="0"/>
        <v>171.06227712</v>
      </c>
      <c r="L9" s="47">
        <f t="shared" si="0"/>
        <v>199.62468288000002</v>
      </c>
      <c r="M9" s="47">
        <f t="shared" si="0"/>
        <v>228.10904928000002</v>
      </c>
      <c r="N9" s="47">
        <f t="shared" si="0"/>
        <v>256.59341568000002</v>
      </c>
      <c r="O9" s="47">
        <f t="shared" si="0"/>
        <v>285.07778208000002</v>
      </c>
      <c r="P9" s="47">
        <f t="shared" si="0"/>
        <v>313.64018784000001</v>
      </c>
      <c r="Q9" s="47">
        <f t="shared" si="0"/>
        <v>342.12455424000001</v>
      </c>
      <c r="R9" s="47">
        <f t="shared" si="0"/>
        <v>370.60892064000001</v>
      </c>
      <c r="S9" s="136">
        <f t="shared" si="0"/>
        <v>399.09328704000001</v>
      </c>
      <c r="T9" s="47">
        <f t="shared" si="0"/>
        <v>427.6556928</v>
      </c>
      <c r="U9" s="47">
        <f t="shared" si="0"/>
        <v>456.1400592</v>
      </c>
      <c r="V9" s="47">
        <f t="shared" si="0"/>
        <v>484.6244256</v>
      </c>
      <c r="W9" s="47">
        <f t="shared" si="0"/>
        <v>513.10879199999999</v>
      </c>
      <c r="X9" s="47">
        <f t="shared" si="0"/>
        <v>541.67119776000004</v>
      </c>
      <c r="Y9" s="47">
        <f t="shared" si="0"/>
        <v>570.07752479999999</v>
      </c>
    </row>
    <row r="10" spans="1:25" s="31" customFormat="1">
      <c r="A10" s="83"/>
      <c r="B10" s="199"/>
      <c r="C10" s="49"/>
      <c r="D10" s="49"/>
      <c r="E10" s="47">
        <f>IF((6.2*Assumptions!$B$6)&gt;E9,E8,(6.2*Assumptions!$B$6)-D9)</f>
        <v>7.8039360000000002E-2</v>
      </c>
      <c r="F10" s="47">
        <f>IF((6.2*Assumptions!$B$6)&gt;F9,F8,(6.2*Assumptions!$B$6)-E9)</f>
        <v>28.484366400000003</v>
      </c>
      <c r="G10" s="47">
        <f>IF((6.2*Assumptions!$B$6)&gt;G9,G8,(6.2*Assumptions!$B$6)-F9)</f>
        <v>28.484366400000003</v>
      </c>
      <c r="H10" s="47">
        <f>IF((6.2*Assumptions!$B$6)&gt;H9,H8,(6.2*Assumptions!$B$6)-G9)</f>
        <v>28.562405760000004</v>
      </c>
      <c r="I10" s="47">
        <f>IF((6.2*Assumptions!$B$6)&gt;I9,I8,(6.2*Assumptions!$B$6)-H9)</f>
        <v>28.484366400000003</v>
      </c>
      <c r="J10" s="47">
        <f>IF((6.2*Assumptions!$B$6)&gt;J9,J8,(6.2*Assumptions!$B$6)-I9)</f>
        <v>28.484366400000003</v>
      </c>
      <c r="K10" s="47">
        <f>IF((6.2*Assumptions!$B$6)&gt;K9,K8,(6.2*Assumptions!$B$6)-J9)</f>
        <v>28.484366400000003</v>
      </c>
      <c r="L10" s="47">
        <f>IF((6.2*Assumptions!$B$6)&gt;L9,L8,(6.2*Assumptions!$B$6)-K9)</f>
        <v>11.217722880000025</v>
      </c>
      <c r="M10" s="47">
        <f>IF((6.2*Assumptions!$B$6)&gt;M9,M8,(6.2*Assumptions!$B$6)-L9)</f>
        <v>-17.344682879999993</v>
      </c>
      <c r="N10" s="47">
        <f>IF((6.2*Assumptions!$B$6)&gt;N9,N8,(6.2*Assumptions!$B$6)-M9)</f>
        <v>-45.829049279999992</v>
      </c>
      <c r="O10" s="47">
        <f>IF((6.2*Assumptions!$B$6)&gt;O9,O8,(6.2*Assumptions!$B$6)-N9)</f>
        <v>-74.313415679999991</v>
      </c>
      <c r="P10" s="47">
        <f>IF((6.2*Assumptions!$B$6)&gt;P9,P8,(6.2*Assumptions!$B$6)-O9)</f>
        <v>-102.79778207999999</v>
      </c>
      <c r="Q10" s="47">
        <f>IF((6.2*Assumptions!$B$6)&gt;Q9,Q8,(6.2*Assumptions!$B$6)-P9)</f>
        <v>-131.36018783999998</v>
      </c>
      <c r="R10" s="47">
        <f>IF((6.2*Assumptions!$B$6)&gt;R9,R8,(6.2*Assumptions!$B$6)-Q9)</f>
        <v>-159.84455423999998</v>
      </c>
      <c r="S10" s="47">
        <f>IF((6.2*Assumptions!$B$6)&gt;S9,S8,(6.2*Assumptions!$B$6)-R9)</f>
        <v>-188.32892063999998</v>
      </c>
      <c r="T10" s="47">
        <f>IF((6.2*Assumptions!$B$6)&gt;T9,T8,(6.2*Assumptions!$B$6)-S9)</f>
        <v>-216.81328703999998</v>
      </c>
      <c r="U10" s="47">
        <f>IF((6.2*Assumptions!$B$6)&gt;U9,U8,(6.2*Assumptions!$B$6)-T9)</f>
        <v>-245.37569279999997</v>
      </c>
      <c r="V10" s="47">
        <f>IF((6.2*Assumptions!$B$6)&gt;V9,V8,(6.2*Assumptions!$B$6)-U9)</f>
        <v>-273.86005919999997</v>
      </c>
      <c r="W10" s="47">
        <f>IF((6.2*Assumptions!$B$6)&gt;W9,W8,(6.2*Assumptions!$B$6)-V9)</f>
        <v>-302.34442559999997</v>
      </c>
      <c r="X10" s="47">
        <f>IF((6.2*Assumptions!$B$6)&gt;X9,X8,(6.2*Assumptions!$B$6)-W9)</f>
        <v>-330.82879199999996</v>
      </c>
      <c r="Y10" s="47">
        <f>IF((6.2*Assumptions!$B$6)&gt;Y9,Y8,(6.2*Assumptions!$B$6)-X9)</f>
        <v>-359.39119776000001</v>
      </c>
    </row>
    <row r="11" spans="1:25" s="31" customFormat="1">
      <c r="A11" s="83"/>
      <c r="B11" s="155" t="s">
        <v>124</v>
      </c>
      <c r="C11" s="156"/>
      <c r="D11" s="156"/>
      <c r="E11" s="47">
        <f>IF(E10&gt;0,E10,0)</f>
        <v>7.8039360000000002E-2</v>
      </c>
      <c r="F11" s="47">
        <f t="shared" ref="F11:Y11" si="1">IF(F10&gt;0,F10,0)</f>
        <v>28.484366400000003</v>
      </c>
      <c r="G11" s="47">
        <f t="shared" si="1"/>
        <v>28.484366400000003</v>
      </c>
      <c r="H11" s="47">
        <f t="shared" si="1"/>
        <v>28.562405760000004</v>
      </c>
      <c r="I11" s="47">
        <f t="shared" si="1"/>
        <v>28.484366400000003</v>
      </c>
      <c r="J11" s="47">
        <f t="shared" si="1"/>
        <v>28.484366400000003</v>
      </c>
      <c r="K11" s="47">
        <f t="shared" si="1"/>
        <v>28.484366400000003</v>
      </c>
      <c r="L11" s="47">
        <f>IF(L10&gt;0,L10,0)</f>
        <v>11.217722880000025</v>
      </c>
      <c r="M11" s="47">
        <f t="shared" si="1"/>
        <v>0</v>
      </c>
      <c r="N11" s="47">
        <f t="shared" si="1"/>
        <v>0</v>
      </c>
      <c r="O11" s="47">
        <f t="shared" si="1"/>
        <v>0</v>
      </c>
      <c r="P11" s="47">
        <f t="shared" si="1"/>
        <v>0</v>
      </c>
      <c r="Q11" s="47">
        <f t="shared" si="1"/>
        <v>0</v>
      </c>
      <c r="R11" s="47">
        <f t="shared" si="1"/>
        <v>0</v>
      </c>
      <c r="S11" s="136">
        <f t="shared" si="1"/>
        <v>0</v>
      </c>
      <c r="T11" s="47">
        <f t="shared" si="1"/>
        <v>0</v>
      </c>
      <c r="U11" s="47">
        <f t="shared" si="1"/>
        <v>0</v>
      </c>
      <c r="V11" s="47">
        <f t="shared" si="1"/>
        <v>0</v>
      </c>
      <c r="W11" s="47">
        <f t="shared" si="1"/>
        <v>0</v>
      </c>
      <c r="X11" s="47">
        <f t="shared" si="1"/>
        <v>0</v>
      </c>
      <c r="Y11" s="47">
        <f t="shared" si="1"/>
        <v>0</v>
      </c>
    </row>
    <row r="12" spans="1:25" s="31" customFormat="1">
      <c r="A12" s="83"/>
      <c r="B12" s="155"/>
      <c r="C12" s="156"/>
      <c r="D12" s="15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136"/>
      <c r="T12" s="47"/>
      <c r="U12" s="47"/>
      <c r="V12" s="47"/>
      <c r="W12" s="47"/>
      <c r="X12" s="47"/>
      <c r="Y12" s="47"/>
    </row>
    <row r="13" spans="1:25" s="31" customFormat="1">
      <c r="A13" s="83"/>
      <c r="B13" s="155" t="s">
        <v>125</v>
      </c>
      <c r="C13" s="156"/>
      <c r="D13" s="156"/>
      <c r="E13" s="47"/>
      <c r="F13" s="47">
        <f>ROUND(F5*1000*Assumptions!$B$47,0)</f>
        <v>54274</v>
      </c>
      <c r="G13" s="47">
        <f>ROUND(G5*1000*Assumptions!$B$47,0)</f>
        <v>54274</v>
      </c>
      <c r="H13" s="47">
        <f>ROUND(H5*1000*Assumptions!$B$47,0)</f>
        <v>54423</v>
      </c>
      <c r="I13" s="47">
        <f>ROUND(I5*1000*Assumptions!$B$47,0)</f>
        <v>54274</v>
      </c>
      <c r="J13" s="47">
        <f>ROUND(J5*1000*Assumptions!$B$47,0)</f>
        <v>54274</v>
      </c>
      <c r="K13" s="47">
        <f>ROUND(K5*1000*Assumptions!$B$47,0)</f>
        <v>54274</v>
      </c>
      <c r="L13" s="47">
        <f>ROUND(L5*1000*Assumptions!$B$47,0)</f>
        <v>54423</v>
      </c>
      <c r="M13" s="47">
        <f>ROUND(M5*1000*Assumptions!$B$47,0)</f>
        <v>54274</v>
      </c>
      <c r="N13" s="47">
        <f>ROUND(N5*1000*Assumptions!$B$47,0)</f>
        <v>54274</v>
      </c>
      <c r="O13" s="47">
        <f>ROUND(O5*1000*Assumptions!$B$47,0)</f>
        <v>54274</v>
      </c>
      <c r="P13" s="47"/>
      <c r="Q13" s="47"/>
      <c r="R13" s="47"/>
      <c r="S13" s="136"/>
      <c r="T13" s="47"/>
      <c r="U13" s="47"/>
      <c r="V13" s="47"/>
      <c r="W13" s="47"/>
      <c r="X13" s="47"/>
      <c r="Y13" s="27"/>
    </row>
    <row r="14" spans="1:25" s="31" customFormat="1">
      <c r="A14" s="83"/>
      <c r="B14" s="155" t="s">
        <v>129</v>
      </c>
      <c r="C14" s="156"/>
      <c r="D14" s="156"/>
      <c r="E14" s="47"/>
      <c r="F14" s="47">
        <f>F13*(Assumptions!$B$48*Assumptions!$B$49)/10^6</f>
        <v>35.017584799999995</v>
      </c>
      <c r="G14" s="47">
        <f>G13*(Assumptions!$B$48*Assumptions!$B$49)/10^6</f>
        <v>35.017584799999995</v>
      </c>
      <c r="H14" s="47">
        <f>H13*(Assumptions!$B$48*Assumptions!$B$49)/10^6</f>
        <v>35.113719599999996</v>
      </c>
      <c r="I14" s="47">
        <f>I13*(Assumptions!$B$48*Assumptions!$B$49)/10^6</f>
        <v>35.017584799999995</v>
      </c>
      <c r="J14" s="47">
        <f>J13*(Assumptions!$B$48*Assumptions!$B$49)/10^6</f>
        <v>35.017584799999995</v>
      </c>
      <c r="K14" s="47">
        <f>K13*(Assumptions!$B$48*Assumptions!$B$49)/10^6</f>
        <v>35.017584799999995</v>
      </c>
      <c r="L14" s="47">
        <f>L13*(Assumptions!$B$48*Assumptions!$B$49)/10^6</f>
        <v>35.113719599999996</v>
      </c>
      <c r="M14" s="47">
        <f>M13*(Assumptions!$B$48*Assumptions!$B$49)/10^6</f>
        <v>35.017584799999995</v>
      </c>
      <c r="N14" s="47">
        <f>N13*(Assumptions!$B$48*Assumptions!$B$49)/10^6</f>
        <v>35.017584799999995</v>
      </c>
      <c r="O14" s="47">
        <f>O13*(Assumptions!$B$48*Assumptions!$B$49)/10^6</f>
        <v>35.017584799999995</v>
      </c>
      <c r="P14" s="47"/>
      <c r="Q14" s="47"/>
      <c r="R14" s="47"/>
      <c r="S14" s="136"/>
      <c r="T14" s="47"/>
      <c r="U14" s="47"/>
      <c r="V14" s="47"/>
      <c r="W14" s="47"/>
      <c r="X14" s="47"/>
      <c r="Y14" s="27"/>
    </row>
    <row r="15" spans="1:25" s="31" customFormat="1">
      <c r="A15" s="83"/>
      <c r="B15" s="49" t="s">
        <v>117</v>
      </c>
      <c r="C15" s="49"/>
      <c r="D15" s="49"/>
      <c r="E15" s="47">
        <f>E5*E6+E11+E14</f>
        <v>0.80692698240000005</v>
      </c>
      <c r="F15" s="47">
        <f t="shared" ref="F15:Y15" si="2">F5*F6+F11+F14</f>
        <v>329.54593337600005</v>
      </c>
      <c r="G15" s="47">
        <f t="shared" si="2"/>
        <v>329.54593337600005</v>
      </c>
      <c r="H15" s="47">
        <f t="shared" si="2"/>
        <v>330.44899515840007</v>
      </c>
      <c r="I15" s="47">
        <f t="shared" si="2"/>
        <v>329.54593337600005</v>
      </c>
      <c r="J15" s="47">
        <f t="shared" si="2"/>
        <v>329.54593337600005</v>
      </c>
      <c r="K15" s="46">
        <f t="shared" si="2"/>
        <v>329.54593337600005</v>
      </c>
      <c r="L15" s="46">
        <f t="shared" si="2"/>
        <v>313.10431227840002</v>
      </c>
      <c r="M15" s="46">
        <f t="shared" si="2"/>
        <v>301.06156697600005</v>
      </c>
      <c r="N15" s="46">
        <f t="shared" si="2"/>
        <v>301.06156697600005</v>
      </c>
      <c r="O15" s="46">
        <f t="shared" si="2"/>
        <v>301.06156697600005</v>
      </c>
      <c r="P15" s="46">
        <f t="shared" si="2"/>
        <v>266.77286979840005</v>
      </c>
      <c r="Q15" s="46">
        <f t="shared" si="2"/>
        <v>266.04398217600004</v>
      </c>
      <c r="R15" s="46">
        <f t="shared" si="2"/>
        <v>266.04398217600004</v>
      </c>
      <c r="S15" s="46">
        <f t="shared" si="2"/>
        <v>266.04398217600004</v>
      </c>
      <c r="T15" s="46">
        <f t="shared" si="2"/>
        <v>266.77286979840005</v>
      </c>
      <c r="U15" s="46">
        <f t="shared" si="2"/>
        <v>266.04398217600004</v>
      </c>
      <c r="V15" s="46">
        <f t="shared" si="2"/>
        <v>266.04398217600004</v>
      </c>
      <c r="W15" s="46">
        <f t="shared" si="2"/>
        <v>266.04398217600004</v>
      </c>
      <c r="X15" s="46">
        <f t="shared" si="2"/>
        <v>266.77286979840005</v>
      </c>
      <c r="Y15" s="46">
        <f t="shared" si="2"/>
        <v>265.31509455360003</v>
      </c>
    </row>
    <row r="16" spans="1:25" s="31" customFormat="1">
      <c r="A16" s="83"/>
      <c r="B16" s="44" t="s">
        <v>118</v>
      </c>
      <c r="C16" s="45"/>
      <c r="D16" s="45"/>
      <c r="E16" s="46"/>
      <c r="F16" s="4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134"/>
      <c r="T16" s="2"/>
      <c r="U16" s="2"/>
      <c r="V16" s="2"/>
      <c r="W16" s="2"/>
      <c r="X16" s="2"/>
      <c r="Y16" s="10"/>
    </row>
    <row r="17" spans="1:25" s="48" customFormat="1">
      <c r="A17" s="84"/>
      <c r="B17" s="47" t="s">
        <v>97</v>
      </c>
      <c r="C17" s="47"/>
      <c r="D17" s="47"/>
      <c r="E17" s="47">
        <v>0</v>
      </c>
      <c r="F17" s="47">
        <v>0</v>
      </c>
      <c r="G17" s="47">
        <f>Assumptions!$B$22*Operations!B4/365</f>
        <v>8.1813698630136988E-2</v>
      </c>
      <c r="H17" s="131">
        <f>Assumptions!$B$22*Operations!C4/365</f>
        <v>29.861999999999998</v>
      </c>
      <c r="I17" s="47">
        <f>Assumptions!B22*(1+Assumptions!$B$23)</f>
        <v>31.3551</v>
      </c>
      <c r="J17" s="47">
        <f>I17*(1+Assumptions!$B$23)</f>
        <v>32.922854999999998</v>
      </c>
      <c r="K17" s="47">
        <f>J17*(1+Assumptions!$B$23)</f>
        <v>34.568997750000001</v>
      </c>
      <c r="L17" s="47">
        <f>K17*(1+Assumptions!$B$24)</f>
        <v>34.568997750000001</v>
      </c>
      <c r="M17" s="47">
        <f>L17*(1+Assumptions!$B$24)</f>
        <v>34.568997750000001</v>
      </c>
      <c r="N17" s="47">
        <f>M17*(1+Assumptions!$B$24)</f>
        <v>34.568997750000001</v>
      </c>
      <c r="O17" s="47">
        <f>N17*(1+Assumptions!$B$24)</f>
        <v>34.568997750000001</v>
      </c>
      <c r="P17" s="47">
        <f>O17*(1+Assumptions!$B$24)</f>
        <v>34.568997750000001</v>
      </c>
      <c r="Q17" s="47">
        <f>P17*(1+Assumptions!$B$24)</f>
        <v>34.568997750000001</v>
      </c>
      <c r="R17" s="47">
        <f>Q17*(1+Assumptions!$B$24)</f>
        <v>34.568997750000001</v>
      </c>
      <c r="S17" s="136">
        <f>R17*(1+Assumptions!$B$24)</f>
        <v>34.568997750000001</v>
      </c>
      <c r="T17" s="47">
        <f>S17*(1+Assumptions!$B$24)</f>
        <v>34.568997750000001</v>
      </c>
      <c r="U17" s="47">
        <f>T17*(1+Assumptions!$B$24)</f>
        <v>34.568997750000001</v>
      </c>
      <c r="V17" s="47">
        <f>U17*(1+Assumptions!$B$24)</f>
        <v>34.568997750000001</v>
      </c>
      <c r="W17" s="47">
        <f>V17*(1+Assumptions!$B$24)</f>
        <v>34.568997750000001</v>
      </c>
      <c r="X17" s="47">
        <f>W17*(1+Assumptions!$B$24)</f>
        <v>34.568997750000001</v>
      </c>
      <c r="Y17" s="47">
        <f>X17*(1+Assumptions!$B$24)*Operations!V4/365</f>
        <v>34.474288167123291</v>
      </c>
    </row>
    <row r="18" spans="1:25" s="31" customFormat="1">
      <c r="A18" s="83"/>
      <c r="B18" s="49" t="s">
        <v>98</v>
      </c>
      <c r="C18" s="45"/>
      <c r="D18" s="45"/>
      <c r="E18" s="46">
        <f t="shared" ref="E18:Y18" si="3">SUM(E17:E17)</f>
        <v>0</v>
      </c>
      <c r="F18" s="46">
        <f t="shared" si="3"/>
        <v>0</v>
      </c>
      <c r="G18" s="46">
        <f t="shared" si="3"/>
        <v>8.1813698630136988E-2</v>
      </c>
      <c r="H18" s="46">
        <f t="shared" si="3"/>
        <v>29.861999999999998</v>
      </c>
      <c r="I18" s="46">
        <f t="shared" si="3"/>
        <v>31.3551</v>
      </c>
      <c r="J18" s="46">
        <f t="shared" si="3"/>
        <v>32.922854999999998</v>
      </c>
      <c r="K18" s="46">
        <f t="shared" si="3"/>
        <v>34.568997750000001</v>
      </c>
      <c r="L18" s="46">
        <f t="shared" si="3"/>
        <v>34.568997750000001</v>
      </c>
      <c r="M18" s="46">
        <f t="shared" si="3"/>
        <v>34.568997750000001</v>
      </c>
      <c r="N18" s="46">
        <f t="shared" si="3"/>
        <v>34.568997750000001</v>
      </c>
      <c r="O18" s="46">
        <f t="shared" si="3"/>
        <v>34.568997750000001</v>
      </c>
      <c r="P18" s="46">
        <f t="shared" si="3"/>
        <v>34.568997750000001</v>
      </c>
      <c r="Q18" s="46">
        <f t="shared" si="3"/>
        <v>34.568997750000001</v>
      </c>
      <c r="R18" s="46">
        <f t="shared" si="3"/>
        <v>34.568997750000001</v>
      </c>
      <c r="S18" s="135">
        <f t="shared" si="3"/>
        <v>34.568997750000001</v>
      </c>
      <c r="T18" s="46">
        <f t="shared" si="3"/>
        <v>34.568997750000001</v>
      </c>
      <c r="U18" s="46">
        <f t="shared" si="3"/>
        <v>34.568997750000001</v>
      </c>
      <c r="V18" s="46">
        <f t="shared" si="3"/>
        <v>34.568997750000001</v>
      </c>
      <c r="W18" s="46">
        <f t="shared" si="3"/>
        <v>34.568997750000001</v>
      </c>
      <c r="X18" s="46">
        <f t="shared" si="3"/>
        <v>34.568997750000001</v>
      </c>
      <c r="Y18" s="46">
        <f t="shared" si="3"/>
        <v>34.474288167123291</v>
      </c>
    </row>
    <row r="19" spans="1:25" s="48" customFormat="1">
      <c r="A19" s="84"/>
      <c r="B19" s="49" t="s">
        <v>99</v>
      </c>
      <c r="C19" s="49"/>
      <c r="D19" s="49"/>
      <c r="E19" s="144">
        <f>'Term Loan'!H19</f>
        <v>0.40244373821917812</v>
      </c>
      <c r="F19" s="47">
        <f>'Term Loan'!H35</f>
        <v>140.52664599050001</v>
      </c>
      <c r="G19" s="47">
        <f>'Term Loan'!H50</f>
        <v>128.77528883449997</v>
      </c>
      <c r="H19" s="47">
        <f>'Term Loan'!H65</f>
        <v>117.02393167849989</v>
      </c>
      <c r="I19" s="47">
        <f>'Term Loan'!H80</f>
        <v>105.27257452249987</v>
      </c>
      <c r="J19" s="47">
        <f>'Term Loan'!H95</f>
        <v>93.521217366499812</v>
      </c>
      <c r="K19" s="47">
        <f>'Term Loan'!H110</f>
        <v>81.769860210499758</v>
      </c>
      <c r="L19" s="47">
        <f>'Term Loan'!H125</f>
        <v>70.018503054499718</v>
      </c>
      <c r="M19" s="47">
        <f>'Term Loan'!H140</f>
        <v>58.267145898499727</v>
      </c>
      <c r="N19" s="47">
        <f>'Term Loan'!H155</f>
        <v>46.515788742499751</v>
      </c>
      <c r="O19" s="47">
        <f>'Term Loan'!H170</f>
        <v>34.764431586499796</v>
      </c>
      <c r="P19" s="47">
        <f>'Term Loan'!H185</f>
        <v>23.013074430499795</v>
      </c>
      <c r="Q19" s="47">
        <f>'Term Loan'!H200</f>
        <v>11.261717274499791</v>
      </c>
      <c r="R19" s="47">
        <f>'Term Loan'!H215</f>
        <v>1.2240997037498043</v>
      </c>
      <c r="S19" s="136">
        <v>0</v>
      </c>
      <c r="T19" s="47">
        <f t="shared" ref="T19:Y19" si="4">S19</f>
        <v>0</v>
      </c>
      <c r="U19" s="47">
        <f t="shared" si="4"/>
        <v>0</v>
      </c>
      <c r="V19" s="47">
        <f t="shared" si="4"/>
        <v>0</v>
      </c>
      <c r="W19" s="47">
        <f t="shared" si="4"/>
        <v>0</v>
      </c>
      <c r="X19" s="47">
        <f t="shared" si="4"/>
        <v>0</v>
      </c>
      <c r="Y19" s="47">
        <f t="shared" si="4"/>
        <v>0</v>
      </c>
    </row>
    <row r="20" spans="1:25" s="31" customFormat="1">
      <c r="A20" s="83"/>
      <c r="B20" s="49" t="s">
        <v>100</v>
      </c>
      <c r="C20" s="45"/>
      <c r="D20" s="45"/>
      <c r="E20" s="46">
        <f>+E15-E18-E19</f>
        <v>0.40448324418082193</v>
      </c>
      <c r="F20" s="46">
        <f t="shared" ref="F20:Y20" si="5">+F15-F18-F19</f>
        <v>189.01928738550004</v>
      </c>
      <c r="G20" s="46">
        <f t="shared" si="5"/>
        <v>200.68883084286995</v>
      </c>
      <c r="H20" s="46">
        <f t="shared" si="5"/>
        <v>183.56306347990017</v>
      </c>
      <c r="I20" s="46">
        <f t="shared" si="5"/>
        <v>192.91825885350019</v>
      </c>
      <c r="J20" s="46">
        <f t="shared" si="5"/>
        <v>203.10186100950028</v>
      </c>
      <c r="K20" s="46">
        <f t="shared" si="5"/>
        <v>213.2070754155003</v>
      </c>
      <c r="L20" s="46">
        <f t="shared" si="5"/>
        <v>208.5168114739003</v>
      </c>
      <c r="M20" s="46">
        <f t="shared" si="5"/>
        <v>208.22542332750032</v>
      </c>
      <c r="N20" s="46">
        <f t="shared" si="5"/>
        <v>219.97678048350031</v>
      </c>
      <c r="O20" s="46">
        <f t="shared" si="5"/>
        <v>231.72813763950026</v>
      </c>
      <c r="P20" s="46">
        <f t="shared" si="5"/>
        <v>209.19079761790027</v>
      </c>
      <c r="Q20" s="46">
        <f t="shared" si="5"/>
        <v>220.21326715150025</v>
      </c>
      <c r="R20" s="46">
        <f t="shared" si="5"/>
        <v>230.25088472225025</v>
      </c>
      <c r="S20" s="46">
        <f t="shared" si="5"/>
        <v>231.47498442600005</v>
      </c>
      <c r="T20" s="46">
        <f t="shared" si="5"/>
        <v>232.20387204840006</v>
      </c>
      <c r="U20" s="46">
        <f t="shared" si="5"/>
        <v>231.47498442600005</v>
      </c>
      <c r="V20" s="46">
        <f t="shared" si="5"/>
        <v>231.47498442600005</v>
      </c>
      <c r="W20" s="46">
        <f t="shared" si="5"/>
        <v>231.47498442600005</v>
      </c>
      <c r="X20" s="46">
        <f t="shared" si="5"/>
        <v>232.20387204840006</v>
      </c>
      <c r="Y20" s="46">
        <f t="shared" si="5"/>
        <v>230.84080638647674</v>
      </c>
    </row>
    <row r="21" spans="1:25" s="31" customFormat="1">
      <c r="A21" s="83"/>
      <c r="B21" s="49" t="s">
        <v>101</v>
      </c>
      <c r="C21" s="45"/>
      <c r="D21" s="45"/>
      <c r="E21" s="46">
        <f>Depreciation!B16</f>
        <v>0.22874695890410957</v>
      </c>
      <c r="F21" s="46">
        <f>Depreciation!C16</f>
        <v>83.492639999999994</v>
      </c>
      <c r="G21" s="46">
        <f>Depreciation!D16</f>
        <v>83.492639999999994</v>
      </c>
      <c r="H21" s="46">
        <f>Depreciation!E16</f>
        <v>83.492639999999994</v>
      </c>
      <c r="I21" s="46">
        <f>Depreciation!F16</f>
        <v>83.492639999999994</v>
      </c>
      <c r="J21" s="46">
        <f>Depreciation!G16</f>
        <v>83.492639999999994</v>
      </c>
      <c r="K21" s="46">
        <f>Depreciation!H16</f>
        <v>83.492639999999994</v>
      </c>
      <c r="L21" s="46">
        <f>Depreciation!I16</f>
        <v>83.492639999999994</v>
      </c>
      <c r="M21" s="46">
        <f>Depreciation!J16</f>
        <v>83.492639999999994</v>
      </c>
      <c r="N21" s="46">
        <f>Depreciation!K16</f>
        <v>83.492639999999994</v>
      </c>
      <c r="O21" s="46">
        <f>Depreciation!L16</f>
        <v>83.492639999999994</v>
      </c>
      <c r="P21" s="46">
        <f>Depreciation!M16</f>
        <v>83.492639999999994</v>
      </c>
      <c r="Q21" s="46">
        <f>Depreciation!N16</f>
        <v>83.492639999999994</v>
      </c>
      <c r="R21" s="46">
        <f>Depreciation!O16</f>
        <v>83.492639999999994</v>
      </c>
      <c r="S21" s="135">
        <f>Depreciation!P16</f>
        <v>83.492639999999994</v>
      </c>
      <c r="T21" s="46">
        <f>Depreciation!Q16</f>
        <v>83.492639999999994</v>
      </c>
      <c r="U21" s="46">
        <f>Depreciation!R16</f>
        <v>83.492639999999994</v>
      </c>
      <c r="V21" s="46">
        <f>Depreciation!S16</f>
        <v>83.492639999999994</v>
      </c>
      <c r="W21" s="46">
        <f>Depreciation!T16</f>
        <v>83.492639999999994</v>
      </c>
      <c r="X21" s="46">
        <f>Depreciation!U16</f>
        <v>78.203733041096598</v>
      </c>
      <c r="Y21" s="46">
        <f>Depreciation!V16</f>
        <v>0</v>
      </c>
    </row>
    <row r="22" spans="1:25" s="31" customFormat="1">
      <c r="A22" s="83"/>
      <c r="B22" s="49" t="s">
        <v>102</v>
      </c>
      <c r="C22" s="45"/>
      <c r="D22" s="45"/>
      <c r="E22" s="46">
        <f>+E20-E21</f>
        <v>0.17573628527671237</v>
      </c>
      <c r="F22" s="46">
        <f t="shared" ref="F22:Y22" si="6">+F20-F21</f>
        <v>105.52664738550004</v>
      </c>
      <c r="G22" s="46">
        <f t="shared" si="6"/>
        <v>117.19619084286995</v>
      </c>
      <c r="H22" s="46">
        <f t="shared" si="6"/>
        <v>100.07042347990017</v>
      </c>
      <c r="I22" s="46">
        <f t="shared" si="6"/>
        <v>109.4256188535002</v>
      </c>
      <c r="J22" s="46">
        <f t="shared" si="6"/>
        <v>119.60922100950029</v>
      </c>
      <c r="K22" s="46">
        <f t="shared" si="6"/>
        <v>129.7144354155003</v>
      </c>
      <c r="L22" s="46">
        <f t="shared" si="6"/>
        <v>125.02417147390031</v>
      </c>
      <c r="M22" s="46">
        <f t="shared" si="6"/>
        <v>124.73278332750033</v>
      </c>
      <c r="N22" s="46">
        <f t="shared" si="6"/>
        <v>136.48414048350031</v>
      </c>
      <c r="O22" s="46">
        <f t="shared" si="6"/>
        <v>148.23549763950027</v>
      </c>
      <c r="P22" s="46">
        <f t="shared" si="6"/>
        <v>125.69815761790028</v>
      </c>
      <c r="Q22" s="46">
        <f t="shared" si="6"/>
        <v>136.72062715150025</v>
      </c>
      <c r="R22" s="46">
        <f t="shared" si="6"/>
        <v>146.75824472225025</v>
      </c>
      <c r="S22" s="135">
        <f t="shared" si="6"/>
        <v>147.98234442600005</v>
      </c>
      <c r="T22" s="46">
        <f t="shared" si="6"/>
        <v>148.71123204840006</v>
      </c>
      <c r="U22" s="46">
        <f t="shared" si="6"/>
        <v>147.98234442600005</v>
      </c>
      <c r="V22" s="46">
        <f t="shared" si="6"/>
        <v>147.98234442600005</v>
      </c>
      <c r="W22" s="46">
        <f t="shared" si="6"/>
        <v>147.98234442600005</v>
      </c>
      <c r="X22" s="46">
        <f t="shared" si="6"/>
        <v>154.00013900730346</v>
      </c>
      <c r="Y22" s="46">
        <f t="shared" si="6"/>
        <v>230.84080638647674</v>
      </c>
    </row>
    <row r="23" spans="1:25" s="31" customFormat="1">
      <c r="A23" s="83"/>
      <c r="B23" s="66" t="s">
        <v>103</v>
      </c>
      <c r="C23" s="51"/>
      <c r="D23" s="51"/>
      <c r="E23" s="46">
        <f>'Tax calculations'!B17</f>
        <v>3.5164830683870142E-2</v>
      </c>
      <c r="F23" s="46">
        <f>'Tax calculations'!C17</f>
        <v>14.108863423358557</v>
      </c>
      <c r="G23" s="46">
        <f>'Tax calculations'!D17</f>
        <v>16.443939069178278</v>
      </c>
      <c r="H23" s="46">
        <f>'Tax calculations'!E17</f>
        <v>12.997836446368019</v>
      </c>
      <c r="I23" s="46">
        <f>'Tax calculations'!F17</f>
        <v>14.889047614105388</v>
      </c>
      <c r="J23" s="46">
        <f>'Tax calculations'!G17</f>
        <v>16.926786405521007</v>
      </c>
      <c r="K23" s="46">
        <f>'Tax calculations'!H17</f>
        <v>18.948839808161608</v>
      </c>
      <c r="L23" s="46">
        <f>'Tax calculations'!I17</f>
        <v>17.991081419967458</v>
      </c>
      <c r="M23" s="46">
        <f>'Tax calculations'!J17</f>
        <v>17.952011225352813</v>
      </c>
      <c r="N23" s="46">
        <f>'Tax calculations'!K17</f>
        <v>20.303457792268411</v>
      </c>
      <c r="O23" s="46">
        <f>'Tax calculations'!L17</f>
        <v>22.654904359184002</v>
      </c>
      <c r="P23" s="46">
        <f>'Tax calculations'!M17</f>
        <v>25.152201339341847</v>
      </c>
      <c r="Q23" s="46">
        <f>'Tax calculations'!N17</f>
        <v>27.357797493015202</v>
      </c>
      <c r="R23" s="46">
        <f>'Tax calculations'!O17</f>
        <v>29.366324768922276</v>
      </c>
      <c r="S23" s="135">
        <f>'Tax calculations'!P17</f>
        <v>29.611267119642612</v>
      </c>
      <c r="T23" s="46">
        <f>'Tax calculations'!Q17</f>
        <v>29.757117532884852</v>
      </c>
      <c r="U23" s="46">
        <f>'Tax calculations'!R17</f>
        <v>29.611267119642612</v>
      </c>
      <c r="V23" s="46">
        <f>'Tax calculations'!S17</f>
        <v>29.611267119642612</v>
      </c>
      <c r="W23" s="46">
        <f>'Tax calculations'!T17</f>
        <v>29.611267119642612</v>
      </c>
      <c r="X23" s="46">
        <f>'Tax calculations'!U17</f>
        <v>71.530690670278901</v>
      </c>
      <c r="Y23" s="46">
        <f>'Tax calculations'!V17</f>
        <v>71.66129573439882</v>
      </c>
    </row>
    <row r="24" spans="1:25" s="31" customFormat="1">
      <c r="A24" s="83"/>
      <c r="B24" s="66" t="s">
        <v>104</v>
      </c>
      <c r="C24" s="50"/>
      <c r="D24" s="50"/>
      <c r="E24" s="46">
        <f>E22-E23</f>
        <v>0.14057145459284223</v>
      </c>
      <c r="F24" s="46">
        <f t="shared" ref="F24:W24" si="7">F22-F23</f>
        <v>91.417783962141485</v>
      </c>
      <c r="G24" s="46">
        <f t="shared" si="7"/>
        <v>100.75225177369168</v>
      </c>
      <c r="H24" s="46">
        <f t="shared" si="7"/>
        <v>87.072587033532159</v>
      </c>
      <c r="I24" s="46">
        <f t="shared" si="7"/>
        <v>94.536571239394803</v>
      </c>
      <c r="J24" s="46">
        <f t="shared" si="7"/>
        <v>102.68243460397929</v>
      </c>
      <c r="K24" s="46">
        <f t="shared" si="7"/>
        <v>110.7655956073387</v>
      </c>
      <c r="L24" s="46">
        <f t="shared" si="7"/>
        <v>107.03309005393285</v>
      </c>
      <c r="M24" s="46">
        <f t="shared" si="7"/>
        <v>106.78077210214752</v>
      </c>
      <c r="N24" s="46">
        <f t="shared" si="7"/>
        <v>116.18068269123191</v>
      </c>
      <c r="O24" s="46">
        <f t="shared" si="7"/>
        <v>125.58059328031626</v>
      </c>
      <c r="P24" s="46">
        <f t="shared" si="7"/>
        <v>100.54595627855844</v>
      </c>
      <c r="Q24" s="46">
        <f t="shared" si="7"/>
        <v>109.36282965848505</v>
      </c>
      <c r="R24" s="46">
        <f t="shared" si="7"/>
        <v>117.39191995332797</v>
      </c>
      <c r="S24" s="135">
        <f t="shared" si="7"/>
        <v>118.37107730635745</v>
      </c>
      <c r="T24" s="46">
        <f t="shared" si="7"/>
        <v>118.95411451551522</v>
      </c>
      <c r="U24" s="46">
        <f t="shared" si="7"/>
        <v>118.37107730635745</v>
      </c>
      <c r="V24" s="46">
        <f t="shared" si="7"/>
        <v>118.37107730635745</v>
      </c>
      <c r="W24" s="46">
        <f t="shared" si="7"/>
        <v>118.37107730635745</v>
      </c>
      <c r="X24" s="46">
        <f>X22-X23</f>
        <v>82.469448337024559</v>
      </c>
      <c r="Y24" s="46">
        <f>Y22-Y23</f>
        <v>159.17951065207791</v>
      </c>
    </row>
    <row r="25" spans="1:25" s="31" customFormat="1">
      <c r="A25" s="83"/>
      <c r="B25" s="66" t="s">
        <v>105</v>
      </c>
      <c r="C25" s="50"/>
      <c r="D25" s="50"/>
      <c r="E25" s="111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37"/>
      <c r="T25" s="112"/>
      <c r="U25" s="112"/>
      <c r="V25" s="112"/>
      <c r="W25" s="112"/>
      <c r="Y25" s="46">
        <f>Depreciation!B5+(Depreciation!B6*10%)</f>
        <v>333.83000000000004</v>
      </c>
    </row>
    <row r="26" spans="1:25" s="31" customFormat="1">
      <c r="A26" s="83"/>
      <c r="B26" s="66"/>
      <c r="C26" s="50"/>
      <c r="D26" s="50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135"/>
      <c r="T26" s="46"/>
      <c r="U26" s="46"/>
      <c r="V26" s="46"/>
      <c r="W26" s="46"/>
      <c r="X26" s="46"/>
      <c r="Y26" s="10"/>
    </row>
    <row r="27" spans="1:25" s="31" customFormat="1">
      <c r="A27" s="83"/>
      <c r="B27" s="27" t="s">
        <v>164</v>
      </c>
      <c r="C27" s="27"/>
      <c r="D27" s="27"/>
      <c r="E27" s="47">
        <f t="shared" ref="E27:R27" si="8">E19</f>
        <v>0.40244373821917812</v>
      </c>
      <c r="F27" s="46">
        <f t="shared" si="8"/>
        <v>140.52664599050001</v>
      </c>
      <c r="G27" s="46">
        <f t="shared" si="8"/>
        <v>128.77528883449997</v>
      </c>
      <c r="H27" s="46">
        <f t="shared" si="8"/>
        <v>117.02393167849989</v>
      </c>
      <c r="I27" s="46">
        <f t="shared" si="8"/>
        <v>105.27257452249987</v>
      </c>
      <c r="J27" s="46">
        <f t="shared" si="8"/>
        <v>93.521217366499812</v>
      </c>
      <c r="K27" s="46">
        <f t="shared" si="8"/>
        <v>81.769860210499758</v>
      </c>
      <c r="L27" s="46">
        <f t="shared" si="8"/>
        <v>70.018503054499718</v>
      </c>
      <c r="M27" s="46">
        <f t="shared" si="8"/>
        <v>58.267145898499727</v>
      </c>
      <c r="N27" s="46">
        <f t="shared" si="8"/>
        <v>46.515788742499751</v>
      </c>
      <c r="O27" s="46">
        <f t="shared" si="8"/>
        <v>34.764431586499796</v>
      </c>
      <c r="P27" s="46">
        <f t="shared" si="8"/>
        <v>23.013074430499795</v>
      </c>
      <c r="Q27" s="46">
        <f t="shared" si="8"/>
        <v>11.261717274499791</v>
      </c>
      <c r="R27" s="46">
        <f t="shared" si="8"/>
        <v>1.2240997037498043</v>
      </c>
      <c r="S27" s="46">
        <f t="shared" ref="S27:V27" si="9">S19</f>
        <v>0</v>
      </c>
      <c r="T27" s="46">
        <f t="shared" si="9"/>
        <v>0</v>
      </c>
      <c r="U27" s="46">
        <f t="shared" si="9"/>
        <v>0</v>
      </c>
      <c r="V27" s="46">
        <f t="shared" si="9"/>
        <v>0</v>
      </c>
      <c r="W27" s="46">
        <f>W19</f>
        <v>0</v>
      </c>
      <c r="X27" s="46">
        <f>X19</f>
        <v>0</v>
      </c>
      <c r="Y27" s="46">
        <f>Y19</f>
        <v>0</v>
      </c>
    </row>
    <row r="28" spans="1:25" s="31" customFormat="1">
      <c r="A28" s="83"/>
      <c r="B28" s="27" t="s">
        <v>166</v>
      </c>
      <c r="C28" s="27"/>
      <c r="D28" s="27"/>
      <c r="E28" s="144">
        <f>'Term Loan'!E19</f>
        <v>0.25450987397260277</v>
      </c>
      <c r="F28" s="140">
        <f>'Term Loan'!E35</f>
        <v>92.896104000000022</v>
      </c>
      <c r="G28" s="28">
        <f>'Term Loan'!E50</f>
        <v>92.896104000000022</v>
      </c>
      <c r="H28" s="17">
        <f>'Term Loan'!E65</f>
        <v>92.896104000000022</v>
      </c>
      <c r="I28" s="17">
        <f>'Term Loan'!E80</f>
        <v>92.896104000000022</v>
      </c>
      <c r="J28" s="17">
        <f>'Term Loan'!E95</f>
        <v>92.896104000000022</v>
      </c>
      <c r="K28" s="17">
        <f>'Term Loan'!E110</f>
        <v>92.896104000000022</v>
      </c>
      <c r="L28" s="17">
        <f>'Term Loan'!E125</f>
        <v>92.896104000000022</v>
      </c>
      <c r="M28" s="17">
        <f>'Term Loan'!E140</f>
        <v>92.896104000000022</v>
      </c>
      <c r="N28" s="17">
        <f>'Term Loan'!E155</f>
        <v>92.896104000000022</v>
      </c>
      <c r="O28" s="17">
        <f>'Term Loan'!E170</f>
        <v>92.896104000000022</v>
      </c>
      <c r="P28" s="17">
        <f>'Term Loan'!E185</f>
        <v>92.896104000000022</v>
      </c>
      <c r="Q28" s="28">
        <f>'Term Loan'!E200</f>
        <v>92.896104000000022</v>
      </c>
      <c r="R28" s="28">
        <f>'Term Loan'!E215</f>
        <v>46.448052000000004</v>
      </c>
      <c r="S28" s="134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s="31" customFormat="1">
      <c r="A29" s="83"/>
      <c r="B29" s="27" t="s">
        <v>167</v>
      </c>
      <c r="C29" s="27"/>
      <c r="D29" s="27">
        <f>-Assumptions!B12</f>
        <v>-595.79869999999983</v>
      </c>
      <c r="E29" s="157">
        <f>E21+E24+E25-E28+D29</f>
        <v>-595.68389146047548</v>
      </c>
      <c r="F29" s="107">
        <f>F21+F24+F25-F28</f>
        <v>82.014319962141442</v>
      </c>
      <c r="G29" s="107">
        <f>G21+G24+G25-G28</f>
        <v>91.348787773691654</v>
      </c>
      <c r="H29" s="107">
        <f>H21+H24+H25-H28</f>
        <v>77.669123033532131</v>
      </c>
      <c r="I29" s="107">
        <f t="shared" ref="I29:X29" si="10">I21+I24+I25-I28</f>
        <v>85.133107239394761</v>
      </c>
      <c r="J29" s="107">
        <f t="shared" si="10"/>
        <v>93.278970603979261</v>
      </c>
      <c r="K29" s="107">
        <f t="shared" si="10"/>
        <v>101.36213160733867</v>
      </c>
      <c r="L29" s="107">
        <f t="shared" si="10"/>
        <v>97.629626053932824</v>
      </c>
      <c r="M29" s="107">
        <f t="shared" si="10"/>
        <v>97.377308102147495</v>
      </c>
      <c r="N29" s="107">
        <f t="shared" si="10"/>
        <v>106.77721869123188</v>
      </c>
      <c r="O29" s="107">
        <f t="shared" si="10"/>
        <v>116.17712928031624</v>
      </c>
      <c r="P29" s="107">
        <f t="shared" si="10"/>
        <v>91.142492278558407</v>
      </c>
      <c r="Q29" s="107">
        <f t="shared" si="10"/>
        <v>99.959365658485027</v>
      </c>
      <c r="R29" s="107">
        <f t="shared" si="10"/>
        <v>154.43650795332798</v>
      </c>
      <c r="S29" s="107">
        <f t="shared" si="10"/>
        <v>201.86371730635744</v>
      </c>
      <c r="T29" s="107">
        <f t="shared" si="10"/>
        <v>202.44675451551521</v>
      </c>
      <c r="U29" s="107">
        <f t="shared" si="10"/>
        <v>201.86371730635744</v>
      </c>
      <c r="V29" s="107">
        <f t="shared" si="10"/>
        <v>201.86371730635744</v>
      </c>
      <c r="W29" s="107">
        <f t="shared" si="10"/>
        <v>201.86371730635744</v>
      </c>
      <c r="X29" s="107">
        <f t="shared" si="10"/>
        <v>160.67318137812117</v>
      </c>
      <c r="Y29" s="107">
        <f>Y21+Y24+Y25-Y28</f>
        <v>493.00951065207795</v>
      </c>
    </row>
    <row r="30" spans="1:25" s="31" customFormat="1">
      <c r="A30" s="83"/>
      <c r="B30" s="27" t="s">
        <v>165</v>
      </c>
      <c r="C30" s="158">
        <f>IRR(E29:Y29)</f>
        <v>0.16801910277558013</v>
      </c>
      <c r="D30" s="27"/>
      <c r="E30" s="2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38"/>
      <c r="T30" s="10"/>
      <c r="U30" s="10"/>
      <c r="V30" s="10"/>
      <c r="W30" s="10"/>
      <c r="X30" s="10"/>
      <c r="Y30" s="10"/>
    </row>
    <row r="31" spans="1:25" s="31" customFormat="1">
      <c r="A31" s="83"/>
      <c r="B31" s="106"/>
      <c r="C31" s="106"/>
      <c r="D31" s="106"/>
      <c r="E31" s="106"/>
      <c r="F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</row>
    <row r="32" spans="1:25" s="31" customFormat="1">
      <c r="A32" s="83"/>
      <c r="B32" s="106"/>
      <c r="C32" s="106"/>
      <c r="D32" s="106"/>
      <c r="E32" s="106"/>
      <c r="F32" s="106"/>
      <c r="I32" s="106"/>
      <c r="J32" s="106"/>
      <c r="K32" s="106"/>
      <c r="L32" s="106"/>
      <c r="M32" s="106"/>
      <c r="N32" s="106"/>
      <c r="O32" s="106"/>
      <c r="P32" s="106"/>
      <c r="R32" s="106"/>
      <c r="S32" s="106"/>
      <c r="T32" s="106"/>
      <c r="U32" s="106"/>
      <c r="V32" s="106"/>
      <c r="W32" s="106"/>
      <c r="X32" s="106"/>
    </row>
    <row r="33" spans="1:18" s="31" customFormat="1">
      <c r="A33" s="83"/>
      <c r="R33" s="106"/>
    </row>
  </sheetData>
  <mergeCells count="1">
    <mergeCell ref="B7:B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F22"/>
  <sheetViews>
    <sheetView workbookViewId="0">
      <selection activeCell="G14" sqref="G14"/>
    </sheetView>
  </sheetViews>
  <sheetFormatPr defaultRowHeight="12.75"/>
  <cols>
    <col min="2" max="2" width="18.42578125" bestFit="1" customWidth="1"/>
    <col min="3" max="3" width="11.85546875" bestFit="1" customWidth="1"/>
    <col min="4" max="4" width="9.7109375" bestFit="1" customWidth="1"/>
    <col min="5" max="5" width="22.7109375" bestFit="1" customWidth="1"/>
    <col min="6" max="6" width="19.7109375" bestFit="1" customWidth="1"/>
  </cols>
  <sheetData>
    <row r="2" spans="2:6">
      <c r="B2" s="31" t="s">
        <v>120</v>
      </c>
    </row>
    <row r="5" spans="2:6">
      <c r="E5" s="63" t="s">
        <v>191</v>
      </c>
      <c r="F5" s="63" t="s">
        <v>192</v>
      </c>
    </row>
    <row r="6" spans="2:6">
      <c r="B6" s="60" t="s">
        <v>110</v>
      </c>
      <c r="C6" s="34">
        <v>0</v>
      </c>
      <c r="E6" s="59"/>
      <c r="F6" s="59"/>
    </row>
    <row r="7" spans="2:6">
      <c r="B7" s="61"/>
      <c r="C7" s="34"/>
      <c r="E7" s="62">
        <f>'P&amp;L'!C27</f>
        <v>0.12876834259652742</v>
      </c>
      <c r="F7" s="62">
        <f>'P&amp;L with CDM revenue'!C30</f>
        <v>0.16801910277558013</v>
      </c>
    </row>
    <row r="8" spans="2:6">
      <c r="B8" s="60" t="s">
        <v>111</v>
      </c>
      <c r="C8" s="34">
        <v>0</v>
      </c>
    </row>
    <row r="9" spans="2:6">
      <c r="B9" s="61"/>
      <c r="C9" s="34"/>
    </row>
    <row r="10" spans="2:6">
      <c r="B10" s="60" t="s">
        <v>122</v>
      </c>
      <c r="C10" s="34">
        <v>0</v>
      </c>
    </row>
    <row r="11" spans="2:6">
      <c r="B11" s="60"/>
      <c r="C11" s="34"/>
    </row>
    <row r="12" spans="2:6">
      <c r="B12" s="60" t="s">
        <v>168</v>
      </c>
      <c r="C12" s="34">
        <v>0</v>
      </c>
    </row>
    <row r="15" spans="2:6">
      <c r="B15" t="s">
        <v>121</v>
      </c>
    </row>
    <row r="18" spans="2:5" ht="15">
      <c r="B18" s="119" t="s">
        <v>195</v>
      </c>
      <c r="C18" s="120">
        <v>-0.1</v>
      </c>
      <c r="D18" s="120">
        <v>0</v>
      </c>
      <c r="E18" s="120">
        <v>0.1</v>
      </c>
    </row>
    <row r="19" spans="2:5" ht="14.25">
      <c r="B19" s="121" t="s">
        <v>110</v>
      </c>
      <c r="C19" s="122">
        <v>0.1004</v>
      </c>
      <c r="D19" s="122">
        <f>E7</f>
        <v>0.12876834259652742</v>
      </c>
      <c r="E19" s="122">
        <v>0.15820000000000001</v>
      </c>
    </row>
    <row r="20" spans="2:5" ht="14.25">
      <c r="B20" s="121" t="s">
        <v>122</v>
      </c>
      <c r="C20" s="122">
        <v>0.1009</v>
      </c>
      <c r="D20" s="122">
        <f>E7</f>
        <v>0.12876834259652742</v>
      </c>
      <c r="E20" s="122">
        <v>0.1575</v>
      </c>
    </row>
    <row r="21" spans="2:5" ht="14.25">
      <c r="B21" s="121" t="s">
        <v>67</v>
      </c>
      <c r="C21" s="122">
        <v>0.16300000000000001</v>
      </c>
      <c r="D21" s="122">
        <f>E7</f>
        <v>0.12876834259652742</v>
      </c>
      <c r="E21" s="122">
        <v>0.1019</v>
      </c>
    </row>
    <row r="22" spans="2:5" ht="14.25">
      <c r="B22" s="121" t="s">
        <v>188</v>
      </c>
      <c r="C22" s="122">
        <v>0.13150000000000001</v>
      </c>
      <c r="D22" s="122">
        <f>E7</f>
        <v>0.12876834259652742</v>
      </c>
      <c r="E22" s="122">
        <v>0.12609999999999999</v>
      </c>
    </row>
  </sheetData>
  <phoneticPr fontId="4" type="noConversion"/>
  <pageMargins left="0.7" right="0.7" top="0.75" bottom="0.75" header="0.3" footer="0.3"/>
  <pageSetup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Assumptions</vt:lpstr>
      <vt:lpstr>Project Cost</vt:lpstr>
      <vt:lpstr>Operations</vt:lpstr>
      <vt:lpstr>Term Loan</vt:lpstr>
      <vt:lpstr>Depreciation</vt:lpstr>
      <vt:lpstr>Tax calculations</vt:lpstr>
      <vt:lpstr>P&amp;L</vt:lpstr>
      <vt:lpstr>P&amp;L with CDM revenue</vt:lpstr>
      <vt:lpstr>Sensitivity Analysis</vt:lpstr>
      <vt:lpstr>Actual Cost</vt:lpstr>
      <vt:lpstr>Assumptions!Print_Area</vt:lpstr>
      <vt:lpstr>Depreciation!Print_Area</vt:lpstr>
      <vt:lpstr>Operations!Print_Area</vt:lpstr>
      <vt:lpstr>'P&amp;L'!Print_Area</vt:lpstr>
      <vt:lpstr>'Tax calculations'!Print_Area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Ernst &amp; Young</cp:lastModifiedBy>
  <dcterms:created xsi:type="dcterms:W3CDTF">1996-10-14T23:33:28Z</dcterms:created>
  <dcterms:modified xsi:type="dcterms:W3CDTF">2012-12-21T10:08:08Z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_NewReviewCycle">
    <vt:lpwstr/>
  </property>
</Properties>
</file>