
<file path=[Content_Types].xml><?xml version="1.0" encoding="utf-8"?>
<Types xmlns="http://schemas.openxmlformats.org/package/2006/content-types">
  <Default Extension="xml" ContentType="application/xml"/>
  <Default Extension="jpeg" ContentType="image/jpeg"/>
  <Default Extension="rels" ContentType="application/vnd.openxmlformats-package.relationships+xml"/>
  <Default Extension="emf" ContentType="image/x-emf"/>
  <Default Extension="vml" ContentType="application/vnd.openxmlformats-officedocument.vmlDrawing"/>
  <Default Extension="bin" ContentType="application/vnd.openxmlformats-officedocument.oleObject"/>
  <Default Extension="pn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2810"/>
  <workbookPr showInkAnnotation="0" autoCompressPictures="0"/>
  <bookViews>
    <workbookView xWindow="240" yWindow="240" windowWidth="25360" windowHeight="15300" tabRatio="644"/>
  </bookViews>
  <sheets>
    <sheet name="References" sheetId="8" r:id="rId1"/>
    <sheet name="Summary" sheetId="2" r:id="rId2"/>
    <sheet name="ERs Toitdale CPA001" sheetId="9" r:id="rId3"/>
    <sheet name="Power plants" sheetId="7" r:id="rId4"/>
    <sheet name="EFel,m,y" sheetId="5" r:id="rId5"/>
    <sheet name="EF,grid,OM-ave,y" sheetId="4" r:id="rId6"/>
    <sheet name="EFgrid,BM,y" sheetId="6" r:id="rId7"/>
    <sheet name="CDM projects in SA" sheetId="3" r:id="rId8"/>
  </sheets>
  <externalReferences>
    <externalReference r:id="rId9"/>
  </externalReferences>
  <definedNames>
    <definedName name="EF_AGGREKO1">'[1]Power stations'!$S$16</definedName>
    <definedName name="EF_AGGREKO2">'[1]Power stations'!$S$17</definedName>
    <definedName name="EF_FIAT">'[1]Power stations'!$S$13</definedName>
    <definedName name="EF_IBERAFRICA">'[1]Power stations'!$S$15</definedName>
    <definedName name="EF_KIPEVU">'[1]Power stations'!$S$10</definedName>
    <definedName name="EF_KIPEVU_GT1">'[1]Power stations'!$S$11</definedName>
    <definedName name="EF_KIPEVU_GT2">'[1]Power stations'!$S$12</definedName>
    <definedName name="EF_TSAVO">'[1]Power stations'!$S$14</definedName>
    <definedName name="_xlnm.Print_Area" localSheetId="2">'ERs Toitdale CPA001'!$A$1:$I$60</definedName>
    <definedName name="_xlnm.Print_Area" localSheetId="1">Summary!$A$1:$J$40</definedName>
  </definedNames>
  <calcPr calcId="140001" iterate="1" concurrentCalc="0"/>
  <extLst>
    <ext xmlns:mx="http://schemas.microsoft.com/office/mac/excel/2008/main" uri="{7523E5D3-25F3-A5E0-1632-64F254C22452}">
      <mx:ArchID Flags="2"/>
    </ext>
  </extLst>
</workbook>
</file>

<file path=xl/calcChain.xml><?xml version="1.0" encoding="utf-8"?>
<calcChain xmlns="http://schemas.openxmlformats.org/spreadsheetml/2006/main">
  <c r="H140" i="6" l="1"/>
  <c r="E33" i="2"/>
  <c r="B33" i="2"/>
  <c r="E28" i="2"/>
  <c r="B28" i="2"/>
  <c r="E32" i="9"/>
  <c r="B32" i="9"/>
  <c r="C42" i="9"/>
  <c r="D42" i="9"/>
  <c r="E42" i="9"/>
  <c r="F42" i="9"/>
  <c r="G42" i="9"/>
  <c r="H42" i="9"/>
  <c r="B42" i="9"/>
  <c r="B45" i="9"/>
  <c r="B48" i="9"/>
  <c r="C28" i="4"/>
  <c r="M10" i="4"/>
  <c r="N11" i="5"/>
  <c r="O11" i="5"/>
  <c r="N10" i="4"/>
  <c r="O10" i="4"/>
  <c r="M11" i="4"/>
  <c r="N12" i="5"/>
  <c r="O12" i="5"/>
  <c r="N11" i="4"/>
  <c r="O11" i="4"/>
  <c r="M12" i="4"/>
  <c r="N13" i="5"/>
  <c r="O13" i="5"/>
  <c r="N12" i="4"/>
  <c r="O12" i="4"/>
  <c r="M13" i="4"/>
  <c r="N14" i="5"/>
  <c r="O14" i="5"/>
  <c r="N13" i="4"/>
  <c r="O13" i="4"/>
  <c r="M14" i="4"/>
  <c r="N15" i="5"/>
  <c r="O15" i="5"/>
  <c r="N14" i="4"/>
  <c r="O14" i="4"/>
  <c r="M15" i="4"/>
  <c r="N16" i="5"/>
  <c r="O16" i="5"/>
  <c r="N15" i="4"/>
  <c r="O15" i="4"/>
  <c r="M16" i="4"/>
  <c r="N16" i="4"/>
  <c r="O16" i="4"/>
  <c r="M17" i="4"/>
  <c r="N18" i="5"/>
  <c r="O18" i="5"/>
  <c r="N17" i="4"/>
  <c r="O17" i="4"/>
  <c r="M18" i="4"/>
  <c r="N19" i="5"/>
  <c r="O19" i="5"/>
  <c r="N18" i="4"/>
  <c r="O18" i="4"/>
  <c r="M19" i="4"/>
  <c r="N20" i="5"/>
  <c r="O20" i="5"/>
  <c r="N19" i="4"/>
  <c r="O19" i="4"/>
  <c r="M20" i="4"/>
  <c r="N21" i="5"/>
  <c r="O21" i="5"/>
  <c r="N20" i="4"/>
  <c r="O20" i="4"/>
  <c r="M21" i="4"/>
  <c r="N22" i="5"/>
  <c r="O22" i="5"/>
  <c r="N21" i="4"/>
  <c r="O21" i="4"/>
  <c r="M22" i="4"/>
  <c r="N23" i="5"/>
  <c r="O23" i="5"/>
  <c r="N22" i="4"/>
  <c r="O22" i="4"/>
  <c r="M23" i="4"/>
  <c r="N23" i="4"/>
  <c r="O23" i="4"/>
  <c r="M24" i="4"/>
  <c r="N24" i="4"/>
  <c r="O24" i="4"/>
  <c r="M25" i="4"/>
  <c r="N25" i="4"/>
  <c r="O25" i="4"/>
  <c r="M26" i="4"/>
  <c r="N26" i="4"/>
  <c r="O26" i="4"/>
  <c r="M27" i="4"/>
  <c r="O27" i="4"/>
  <c r="M28" i="4"/>
  <c r="O28" i="4"/>
  <c r="M29" i="4"/>
  <c r="O29" i="4"/>
  <c r="M30" i="4"/>
  <c r="O30" i="4"/>
  <c r="M31" i="4"/>
  <c r="O31" i="4"/>
  <c r="M32" i="4"/>
  <c r="O32" i="4"/>
  <c r="M33" i="4"/>
  <c r="O33" i="4"/>
  <c r="M34" i="4"/>
  <c r="O34" i="4"/>
  <c r="M35" i="4"/>
  <c r="O35" i="4"/>
  <c r="M36" i="4"/>
  <c r="O36" i="4"/>
  <c r="L10" i="3"/>
  <c r="M10" i="3"/>
  <c r="M37" i="4"/>
  <c r="O37" i="4"/>
  <c r="L11" i="3"/>
  <c r="M11" i="3"/>
  <c r="M38" i="4"/>
  <c r="O38" i="4"/>
  <c r="L13" i="3"/>
  <c r="M13" i="3"/>
  <c r="M39" i="4"/>
  <c r="O39" i="4"/>
  <c r="L12" i="3"/>
  <c r="M12" i="3"/>
  <c r="M40" i="4"/>
  <c r="O40" i="4"/>
  <c r="O41" i="4"/>
  <c r="M41" i="4"/>
  <c r="O43" i="4"/>
  <c r="V10" i="4"/>
  <c r="N37" i="5"/>
  <c r="O37" i="5"/>
  <c r="W10" i="4"/>
  <c r="X10" i="4"/>
  <c r="V11" i="4"/>
  <c r="N38" i="5"/>
  <c r="O38" i="5"/>
  <c r="W11" i="4"/>
  <c r="X11" i="4"/>
  <c r="V12" i="4"/>
  <c r="N39" i="5"/>
  <c r="O39" i="5"/>
  <c r="W12" i="4"/>
  <c r="X12" i="4"/>
  <c r="V13" i="4"/>
  <c r="N40" i="5"/>
  <c r="O40" i="5"/>
  <c r="W13" i="4"/>
  <c r="X13" i="4"/>
  <c r="V14" i="4"/>
  <c r="N41" i="5"/>
  <c r="O41" i="5"/>
  <c r="W14" i="4"/>
  <c r="X14" i="4"/>
  <c r="V15" i="4"/>
  <c r="N42" i="5"/>
  <c r="O42" i="5"/>
  <c r="W15" i="4"/>
  <c r="X15" i="4"/>
  <c r="V16" i="4"/>
  <c r="N43" i="5"/>
  <c r="O43" i="5"/>
  <c r="W16" i="4"/>
  <c r="X16" i="4"/>
  <c r="V17" i="4"/>
  <c r="N44" i="5"/>
  <c r="O44" i="5"/>
  <c r="W17" i="4"/>
  <c r="X17" i="4"/>
  <c r="V18" i="4"/>
  <c r="N45" i="5"/>
  <c r="O45" i="5"/>
  <c r="W18" i="4"/>
  <c r="X18" i="4"/>
  <c r="V19" i="4"/>
  <c r="N46" i="5"/>
  <c r="O46" i="5"/>
  <c r="W19" i="4"/>
  <c r="X19" i="4"/>
  <c r="V20" i="4"/>
  <c r="N47" i="5"/>
  <c r="O47" i="5"/>
  <c r="W20" i="4"/>
  <c r="X20" i="4"/>
  <c r="V21" i="4"/>
  <c r="N48" i="5"/>
  <c r="O48" i="5"/>
  <c r="W21" i="4"/>
  <c r="X21" i="4"/>
  <c r="V22" i="4"/>
  <c r="N49" i="5"/>
  <c r="O49" i="5"/>
  <c r="W22" i="4"/>
  <c r="X22" i="4"/>
  <c r="V23" i="4"/>
  <c r="R50" i="5"/>
  <c r="T50" i="5"/>
  <c r="W23" i="4"/>
  <c r="X23" i="4"/>
  <c r="V24" i="4"/>
  <c r="R51" i="5"/>
  <c r="T51" i="5"/>
  <c r="W24" i="4"/>
  <c r="X24" i="4"/>
  <c r="V25" i="4"/>
  <c r="R52" i="5"/>
  <c r="T52" i="5"/>
  <c r="W25" i="4"/>
  <c r="X25" i="4"/>
  <c r="V26" i="4"/>
  <c r="R53" i="5"/>
  <c r="T53" i="5"/>
  <c r="W26" i="4"/>
  <c r="X26" i="4"/>
  <c r="V27" i="4"/>
  <c r="X27" i="4"/>
  <c r="V28" i="4"/>
  <c r="X28" i="4"/>
  <c r="V29" i="4"/>
  <c r="X29" i="4"/>
  <c r="V30" i="4"/>
  <c r="X30" i="4"/>
  <c r="V31" i="4"/>
  <c r="X31" i="4"/>
  <c r="V32" i="4"/>
  <c r="X32" i="4"/>
  <c r="V33" i="4"/>
  <c r="X33" i="4"/>
  <c r="V34" i="4"/>
  <c r="X34" i="4"/>
  <c r="V35" i="4"/>
  <c r="X35" i="4"/>
  <c r="V36" i="4"/>
  <c r="X36" i="4"/>
  <c r="V37" i="4"/>
  <c r="X37" i="4"/>
  <c r="V38" i="4"/>
  <c r="X38" i="4"/>
  <c r="V39" i="4"/>
  <c r="X39" i="4"/>
  <c r="V40" i="4"/>
  <c r="X40" i="4"/>
  <c r="X41" i="4"/>
  <c r="V41" i="4"/>
  <c r="X43" i="4"/>
  <c r="AE10" i="4"/>
  <c r="N62" i="5"/>
  <c r="O62" i="5"/>
  <c r="AF10" i="4"/>
  <c r="AG10" i="4"/>
  <c r="AE11" i="4"/>
  <c r="N63" i="5"/>
  <c r="O63" i="5"/>
  <c r="AF11" i="4"/>
  <c r="AG11" i="4"/>
  <c r="AE12" i="4"/>
  <c r="N64" i="5"/>
  <c r="O64" i="5"/>
  <c r="AF12" i="4"/>
  <c r="AG12" i="4"/>
  <c r="AE13" i="4"/>
  <c r="N65" i="5"/>
  <c r="O65" i="5"/>
  <c r="AF13" i="4"/>
  <c r="AG13" i="4"/>
  <c r="AE14" i="4"/>
  <c r="N66" i="5"/>
  <c r="O66" i="5"/>
  <c r="AF14" i="4"/>
  <c r="AG14" i="4"/>
  <c r="AE15" i="4"/>
  <c r="N67" i="5"/>
  <c r="O67" i="5"/>
  <c r="AF15" i="4"/>
  <c r="AG15" i="4"/>
  <c r="AE16" i="4"/>
  <c r="N68" i="5"/>
  <c r="O68" i="5"/>
  <c r="AF16" i="4"/>
  <c r="AG16" i="4"/>
  <c r="AE17" i="4"/>
  <c r="N69" i="5"/>
  <c r="O69" i="5"/>
  <c r="AF17" i="4"/>
  <c r="AG17" i="4"/>
  <c r="AE18" i="4"/>
  <c r="N70" i="5"/>
  <c r="O70" i="5"/>
  <c r="AF18" i="4"/>
  <c r="AG18" i="4"/>
  <c r="AE19" i="4"/>
  <c r="N71" i="5"/>
  <c r="O71" i="5"/>
  <c r="AF19" i="4"/>
  <c r="AG19" i="4"/>
  <c r="AE20" i="4"/>
  <c r="N72" i="5"/>
  <c r="O72" i="5"/>
  <c r="AF20" i="4"/>
  <c r="AG20" i="4"/>
  <c r="AE21" i="4"/>
  <c r="N73" i="5"/>
  <c r="O73" i="5"/>
  <c r="AF21" i="4"/>
  <c r="AG21" i="4"/>
  <c r="AE22" i="4"/>
  <c r="N74" i="5"/>
  <c r="O74" i="5"/>
  <c r="AF22" i="4"/>
  <c r="AG22" i="4"/>
  <c r="AE23" i="4"/>
  <c r="K75" i="5"/>
  <c r="O75" i="5"/>
  <c r="AF23" i="4"/>
  <c r="AG23" i="4"/>
  <c r="AE24" i="4"/>
  <c r="K76" i="5"/>
  <c r="O76" i="5"/>
  <c r="AF24" i="4"/>
  <c r="AG24" i="4"/>
  <c r="AE25" i="4"/>
  <c r="AF25" i="4"/>
  <c r="AG25" i="4"/>
  <c r="AE26" i="4"/>
  <c r="AF26" i="4"/>
  <c r="AG26" i="4"/>
  <c r="AE27" i="4"/>
  <c r="AG27" i="4"/>
  <c r="AE28" i="4"/>
  <c r="AG28" i="4"/>
  <c r="AE29" i="4"/>
  <c r="AG29" i="4"/>
  <c r="AE30" i="4"/>
  <c r="AG30" i="4"/>
  <c r="AE31" i="4"/>
  <c r="AG31" i="4"/>
  <c r="AE32" i="4"/>
  <c r="AG32" i="4"/>
  <c r="AE33" i="4"/>
  <c r="AG33" i="4"/>
  <c r="AE34" i="4"/>
  <c r="AG34" i="4"/>
  <c r="AE35" i="4"/>
  <c r="AG35" i="4"/>
  <c r="AE36" i="4"/>
  <c r="AG36" i="4"/>
  <c r="AE37" i="4"/>
  <c r="AG37" i="4"/>
  <c r="AE38" i="4"/>
  <c r="AG38" i="4"/>
  <c r="AE39" i="4"/>
  <c r="AG39" i="4"/>
  <c r="AE40" i="4"/>
  <c r="AG40" i="4"/>
  <c r="AG41" i="4"/>
  <c r="AE41" i="4"/>
  <c r="AG43" i="4"/>
  <c r="B41" i="9"/>
  <c r="C41" i="9"/>
  <c r="D41" i="9"/>
  <c r="E41" i="9"/>
  <c r="F41" i="9"/>
  <c r="G41" i="9"/>
  <c r="H41" i="9"/>
  <c r="B47" i="9"/>
  <c r="C32" i="9"/>
  <c r="F10" i="6"/>
  <c r="H131" i="6"/>
  <c r="H114" i="6"/>
  <c r="G130" i="6"/>
  <c r="F9" i="6"/>
  <c r="H130" i="6"/>
  <c r="H113" i="6"/>
  <c r="G129" i="6"/>
  <c r="F8" i="6"/>
  <c r="H129" i="6"/>
  <c r="H83" i="6"/>
  <c r="H132" i="6"/>
  <c r="H84" i="6"/>
  <c r="H133" i="6"/>
  <c r="H85" i="6"/>
  <c r="H134" i="6"/>
  <c r="H86" i="6"/>
  <c r="H135" i="6"/>
  <c r="H120" i="6"/>
  <c r="G136" i="6"/>
  <c r="F11" i="6"/>
  <c r="H136" i="6"/>
  <c r="H121" i="6"/>
  <c r="G137" i="6"/>
  <c r="F12" i="6"/>
  <c r="H137" i="6"/>
  <c r="H138" i="6"/>
  <c r="C33" i="2"/>
  <c r="E66" i="6"/>
  <c r="E137" i="6"/>
  <c r="E65" i="6"/>
  <c r="E136" i="6"/>
  <c r="E85" i="6"/>
  <c r="E134" i="6"/>
  <c r="E86" i="6"/>
  <c r="E135" i="6"/>
  <c r="E84" i="6"/>
  <c r="E133" i="6"/>
  <c r="E83" i="6"/>
  <c r="E132" i="6"/>
  <c r="E121" i="6"/>
  <c r="E120" i="6"/>
  <c r="E119" i="6"/>
  <c r="E118" i="6"/>
  <c r="E117" i="6"/>
  <c r="E116" i="6"/>
  <c r="E64" i="6"/>
  <c r="E82" i="6"/>
  <c r="E115" i="6"/>
  <c r="E63" i="6"/>
  <c r="E81" i="6"/>
  <c r="E114" i="6"/>
  <c r="E62" i="6"/>
  <c r="E80" i="6"/>
  <c r="E113" i="6"/>
  <c r="F32" i="6"/>
  <c r="G32" i="6"/>
  <c r="F33" i="6"/>
  <c r="F34" i="6"/>
  <c r="F13" i="6"/>
  <c r="F14" i="6"/>
  <c r="F15" i="6"/>
  <c r="F16" i="6"/>
  <c r="F17" i="6"/>
  <c r="F18" i="6"/>
  <c r="F19" i="6"/>
  <c r="F20" i="6"/>
  <c r="F21" i="6"/>
  <c r="F22" i="6"/>
  <c r="F23" i="6"/>
  <c r="F24" i="6"/>
  <c r="F25" i="6"/>
  <c r="F26" i="6"/>
  <c r="F27" i="6"/>
  <c r="F28" i="6"/>
  <c r="F29" i="6"/>
  <c r="F30" i="6"/>
  <c r="F31" i="6"/>
  <c r="F40" i="6"/>
  <c r="H32" i="6"/>
  <c r="G33" i="6"/>
  <c r="H33" i="6"/>
  <c r="G34" i="6"/>
  <c r="H34" i="6"/>
  <c r="C28" i="2"/>
  <c r="H62" i="6"/>
  <c r="H63" i="6"/>
  <c r="H64" i="6"/>
  <c r="H65" i="6"/>
  <c r="H66" i="6"/>
  <c r="H67" i="6"/>
  <c r="C59" i="6"/>
  <c r="D66" i="6"/>
  <c r="C66" i="6"/>
  <c r="D65" i="6"/>
  <c r="C65" i="6"/>
  <c r="D64" i="6"/>
  <c r="C64" i="6"/>
  <c r="G9" i="6"/>
  <c r="G8" i="6"/>
  <c r="G11" i="6"/>
  <c r="G12" i="6"/>
  <c r="N50" i="5"/>
  <c r="O50" i="5"/>
  <c r="N51" i="5"/>
  <c r="O51" i="5"/>
  <c r="N52" i="5"/>
  <c r="O52" i="5"/>
  <c r="N53" i="5"/>
  <c r="O53" i="5"/>
  <c r="N25" i="5"/>
  <c r="N26" i="5"/>
  <c r="N27" i="5"/>
  <c r="N24" i="5"/>
  <c r="N17" i="5"/>
  <c r="J24" i="7"/>
  <c r="J29" i="7"/>
  <c r="J36" i="7"/>
  <c r="J38" i="7"/>
  <c r="J43" i="7"/>
  <c r="J44" i="7"/>
  <c r="I24" i="7"/>
  <c r="I29" i="7"/>
  <c r="I36" i="7"/>
  <c r="I38" i="7"/>
  <c r="I43" i="7"/>
  <c r="I44" i="7"/>
  <c r="H24" i="7"/>
  <c r="H29" i="7"/>
  <c r="H36" i="7"/>
  <c r="H38" i="7"/>
  <c r="H43" i="7"/>
  <c r="H44" i="7"/>
  <c r="F129" i="6"/>
  <c r="F130" i="6"/>
  <c r="F131" i="6"/>
  <c r="F132" i="6"/>
  <c r="F133" i="6"/>
  <c r="F134" i="6"/>
  <c r="F135" i="6"/>
  <c r="F136" i="6"/>
  <c r="F137" i="6"/>
  <c r="H80" i="6"/>
  <c r="H81" i="6"/>
  <c r="H82" i="6"/>
  <c r="H87" i="6"/>
  <c r="G81" i="6"/>
  <c r="G82" i="6"/>
  <c r="G80" i="6"/>
  <c r="F87" i="6"/>
  <c r="F80" i="6"/>
  <c r="F81" i="6"/>
  <c r="F82" i="6"/>
  <c r="H48" i="6"/>
  <c r="H49" i="6"/>
  <c r="H50" i="6"/>
  <c r="H51" i="6"/>
  <c r="H52" i="6"/>
  <c r="H53" i="6"/>
  <c r="H9" i="6"/>
  <c r="H8" i="6"/>
  <c r="G31" i="6"/>
  <c r="G29" i="6"/>
  <c r="G28" i="6"/>
  <c r="G27" i="6"/>
  <c r="G26" i="6"/>
  <c r="G22" i="6"/>
  <c r="G21" i="6"/>
  <c r="G16" i="6"/>
  <c r="G15" i="6"/>
  <c r="G14" i="6"/>
  <c r="G24" i="7"/>
  <c r="J41" i="7"/>
  <c r="I41" i="7"/>
  <c r="H41" i="7"/>
  <c r="G29" i="7"/>
  <c r="G36" i="7"/>
  <c r="G38" i="7"/>
  <c r="G41" i="7"/>
  <c r="G43" i="7"/>
  <c r="G44" i="7"/>
  <c r="G64" i="6"/>
  <c r="G63" i="6"/>
  <c r="G62" i="6"/>
  <c r="E131" i="6"/>
  <c r="D82" i="6"/>
  <c r="D131" i="6"/>
  <c r="C82" i="6"/>
  <c r="C131" i="6"/>
  <c r="E130" i="6"/>
  <c r="D63" i="6"/>
  <c r="D81" i="6"/>
  <c r="D130" i="6"/>
  <c r="C63" i="6"/>
  <c r="C81" i="6"/>
  <c r="C130" i="6"/>
  <c r="E129" i="6"/>
  <c r="D62" i="6"/>
  <c r="D80" i="6"/>
  <c r="D129" i="6"/>
  <c r="C62" i="6"/>
  <c r="C80" i="6"/>
  <c r="C129" i="6"/>
  <c r="F83" i="6"/>
  <c r="F84" i="6"/>
  <c r="F85" i="6"/>
  <c r="F86" i="6"/>
  <c r="G66" i="6"/>
  <c r="H12" i="6"/>
  <c r="F66" i="6"/>
  <c r="G65" i="6"/>
  <c r="H11" i="6"/>
  <c r="F65" i="6"/>
  <c r="H10" i="6"/>
  <c r="F64" i="6"/>
  <c r="F63" i="6"/>
  <c r="F62" i="6"/>
  <c r="G52" i="6"/>
  <c r="F52" i="6"/>
  <c r="E52" i="6"/>
  <c r="D52" i="6"/>
  <c r="C52" i="6"/>
  <c r="G51" i="6"/>
  <c r="F51" i="6"/>
  <c r="E51" i="6"/>
  <c r="D51" i="6"/>
  <c r="C51" i="6"/>
  <c r="G50" i="6"/>
  <c r="F50" i="6"/>
  <c r="E50" i="6"/>
  <c r="D50" i="6"/>
  <c r="C50" i="6"/>
  <c r="G49" i="6"/>
  <c r="F49" i="6"/>
  <c r="E49" i="6"/>
  <c r="D49" i="6"/>
  <c r="C49" i="6"/>
  <c r="G48" i="6"/>
  <c r="F48" i="6"/>
  <c r="E48" i="6"/>
  <c r="D48" i="6"/>
  <c r="C48" i="6"/>
  <c r="H31" i="6"/>
  <c r="H30" i="6"/>
  <c r="H29" i="6"/>
  <c r="H28" i="6"/>
  <c r="H27" i="6"/>
  <c r="H26" i="6"/>
  <c r="H25" i="6"/>
  <c r="H24" i="6"/>
  <c r="H23" i="6"/>
  <c r="H22" i="6"/>
  <c r="H21" i="6"/>
  <c r="H20" i="6"/>
  <c r="H19" i="6"/>
  <c r="H18" i="6"/>
  <c r="H17" i="6"/>
  <c r="H16" i="6"/>
  <c r="H15" i="6"/>
  <c r="H14" i="6"/>
  <c r="H13" i="6"/>
</calcChain>
</file>

<file path=xl/sharedStrings.xml><?xml version="1.0" encoding="utf-8"?>
<sst xmlns="http://schemas.openxmlformats.org/spreadsheetml/2006/main" count="830" uniqueCount="251">
  <si>
    <t>Project Information</t>
  </si>
  <si>
    <t>Project Name</t>
  </si>
  <si>
    <t>Host Country</t>
  </si>
  <si>
    <t>South Africa</t>
  </si>
  <si>
    <t>Methodology</t>
  </si>
  <si>
    <t>Project Start Date</t>
  </si>
  <si>
    <t>Justification: Date of signing supply contract</t>
  </si>
  <si>
    <t>Type of Crediting Period</t>
  </si>
  <si>
    <t>7 year renewable</t>
  </si>
  <si>
    <t>Start Date 1st Crediting Period</t>
  </si>
  <si>
    <t xml:space="preserve">Justification: Date of commissioning of first </t>
  </si>
  <si>
    <t>End Date 1st Crediting Period</t>
  </si>
  <si>
    <t>Justification: Start Date 1st Crediting Period + 84 months</t>
  </si>
  <si>
    <t>Date of submission Prior Consideration</t>
  </si>
  <si>
    <t>Methodological Choices</t>
  </si>
  <si>
    <t>Tool</t>
  </si>
  <si>
    <t>Version 02.2.1 of the Tool to calculate the emission factor for an electricity system</t>
  </si>
  <si>
    <t>Grid/Off-Grid Option</t>
  </si>
  <si>
    <t>Option I: Only Grid Power Plants</t>
  </si>
  <si>
    <t>OM Method</t>
  </si>
  <si>
    <t>Average OM Analysis</t>
  </si>
  <si>
    <t>Data</t>
  </si>
  <si>
    <t>Electricity Generation by Project</t>
  </si>
  <si>
    <t>Estimated based on plant capacity factor and implementation plan</t>
  </si>
  <si>
    <t>Electricity Generation by Grid Power Plants</t>
  </si>
  <si>
    <t>ESKOM (2008-2011 data)</t>
  </si>
  <si>
    <t>Fuel Consumption</t>
  </si>
  <si>
    <t>ESKOM GEF Calculator made available on the ESKOM website</t>
  </si>
  <si>
    <t>Net Calorific Value</t>
  </si>
  <si>
    <t>IPCC</t>
  </si>
  <si>
    <t>Emission Factor</t>
  </si>
  <si>
    <t>Emission Reductions</t>
  </si>
  <si>
    <t>ER(y)</t>
  </si>
  <si>
    <t>EF(grid,CM,y)</t>
  </si>
  <si>
    <t>EF(grid,OM,y)</t>
  </si>
  <si>
    <t>w(OM)</t>
  </si>
  <si>
    <t>EF(grid,BM,y)</t>
  </si>
  <si>
    <t>w(BM)</t>
  </si>
  <si>
    <t>Annual Emission Reductions</t>
  </si>
  <si>
    <t>EG(y)</t>
  </si>
  <si>
    <t>Total Emission Reductions</t>
  </si>
  <si>
    <t>Average Annual Emission Reductions</t>
  </si>
  <si>
    <t>Grid connected CDM Projects in South Africa</t>
  </si>
  <si>
    <t>CDM Registration Number</t>
  </si>
  <si>
    <t>Name</t>
  </si>
  <si>
    <t>Description</t>
  </si>
  <si>
    <t>Methodology Type</t>
  </si>
  <si>
    <t>Registration Date</t>
  </si>
  <si>
    <t>Monitoring Period (Based on Monitoring Report)</t>
  </si>
  <si>
    <t>Comissioning/ Power production Start Date</t>
  </si>
  <si>
    <t>Electricity Generation (MWh)</t>
  </si>
  <si>
    <t>Electricity generation per month</t>
  </si>
  <si>
    <t>Electricity generation in relevant year (MWh)</t>
  </si>
  <si>
    <t>Relevant Year(s)</t>
  </si>
  <si>
    <t>GEF</t>
  </si>
  <si>
    <t>Contacts</t>
  </si>
  <si>
    <t>Website Link</t>
  </si>
  <si>
    <t>PetroSA biogas to energy</t>
  </si>
  <si>
    <t>Waste water</t>
  </si>
  <si>
    <t>AMS-I.D.</t>
  </si>
  <si>
    <t>2nd monitoring period 1 Oct 2008 – 30 November 2009</t>
  </si>
  <si>
    <t>2009-2011</t>
  </si>
  <si>
    <t>MethCap SPV1 (Pty) Ltd, EMAIL:info@biothermenergy.com</t>
  </si>
  <si>
    <t>http://cdm.unfccc.int/Projects/DB/PriceWaterhouseCoopers1148482596.97/view</t>
  </si>
  <si>
    <t xml:space="preserve">Bethlehem Hydroelectric project     </t>
  </si>
  <si>
    <t>Hydro</t>
  </si>
  <si>
    <t xml:space="preserve"> 08/10/2009 to 31/12/2009</t>
  </si>
  <si>
    <t>2010-2011</t>
  </si>
  <si>
    <t>Olivier Antoin Louis EMAIL: al@nuplanet.co.za</t>
  </si>
  <si>
    <t>http://cdm.unfccc.int/Projects/DB/SGS-UKL1245061289.99/view</t>
  </si>
  <si>
    <t>Landfill</t>
  </si>
  <si>
    <t>AM0010</t>
  </si>
  <si>
    <t>26th March to 31st August 2009</t>
  </si>
  <si>
    <t>John Parkin ,TEL: 27 (0)31 311 8820, EMAIL:JohnPa@dmws.durban.gov.za</t>
  </si>
  <si>
    <t>http://cdm.unfccc.int/Projects/DB/TUEV-SUED1214927681.45/view</t>
  </si>
  <si>
    <t xml:space="preserve"> 2nd November 2007 to 28th February 2010</t>
  </si>
  <si>
    <t>0.958 &amp; 1.00</t>
  </si>
  <si>
    <t>NAME: J. StrachanTEL: 27 (0)31 302 4821 EMAIL:lindsay@dmws.durban.gov.za</t>
  </si>
  <si>
    <t xml:space="preserve">http://cdm.unfccc.int/Projects/DB/TUEV-SUED1154520464.04/view </t>
  </si>
  <si>
    <t>Year 2008-2009</t>
  </si>
  <si>
    <t>Year 2009-2010</t>
  </si>
  <si>
    <t>Year 2010-2011</t>
  </si>
  <si>
    <t>Fuel Type</t>
  </si>
  <si>
    <t>EGm,y (MWh/yr)</t>
  </si>
  <si>
    <t>EFel,m,y</t>
  </si>
  <si>
    <t>Egm,y*EFel,m,y</t>
  </si>
  <si>
    <t>Coal</t>
  </si>
  <si>
    <t>Camden</t>
  </si>
  <si>
    <t>Duvha</t>
  </si>
  <si>
    <t>Grootvlei</t>
  </si>
  <si>
    <t>Hendrina</t>
  </si>
  <si>
    <t>Kendal</t>
  </si>
  <si>
    <t>Komati</t>
  </si>
  <si>
    <t>Kriel</t>
  </si>
  <si>
    <t>Lethabo</t>
  </si>
  <si>
    <t>Majuba</t>
  </si>
  <si>
    <t>Matimba</t>
  </si>
  <si>
    <t>Matla</t>
  </si>
  <si>
    <t>Tutuka</t>
  </si>
  <si>
    <t>Acacia</t>
  </si>
  <si>
    <t>Port Rex</t>
  </si>
  <si>
    <t>Ankerlig</t>
  </si>
  <si>
    <t>Gourikwa</t>
  </si>
  <si>
    <t>Gariep</t>
  </si>
  <si>
    <t>Hydropower</t>
  </si>
  <si>
    <t>EF grid,OM average,y</t>
  </si>
  <si>
    <t>Vanderkloof</t>
  </si>
  <si>
    <t>Colleywobbles</t>
  </si>
  <si>
    <t>First Falls</t>
  </si>
  <si>
    <t>Second Falls</t>
  </si>
  <si>
    <t>Ncora</t>
  </si>
  <si>
    <t>Koeberg</t>
  </si>
  <si>
    <t>Nuclear</t>
  </si>
  <si>
    <t>Drakensberg</t>
  </si>
  <si>
    <t>Pumped Storage</t>
  </si>
  <si>
    <t>Palmiet</t>
  </si>
  <si>
    <t>Klipheuwel</t>
  </si>
  <si>
    <t>Wind</t>
  </si>
  <si>
    <t>CDM</t>
  </si>
  <si>
    <t>Durban Landfill-gas-to-electricity project – Mariannhill and La Mercy Landfills</t>
  </si>
  <si>
    <t>Durban landfill gas Bisasar Road project</t>
  </si>
  <si>
    <t>Totals</t>
  </si>
  <si>
    <t>Fci,m,y (kg/year)</t>
  </si>
  <si>
    <t>NCV (GJ/kg)</t>
  </si>
  <si>
    <t>EFco2,I,y (tCO2/GJ)</t>
  </si>
  <si>
    <t>Density of Jet Gasolene</t>
  </si>
  <si>
    <t>Jet Kerosene</t>
  </si>
  <si>
    <t>Power Units to be included in the Build Margin</t>
  </si>
  <si>
    <t>Number</t>
  </si>
  <si>
    <t>Technology</t>
  </si>
  <si>
    <t>Year of Commissioning</t>
  </si>
  <si>
    <t>Emission Factor (tCO2/MWh)</t>
  </si>
  <si>
    <t>%</t>
  </si>
  <si>
    <t>Gas fuel</t>
  </si>
  <si>
    <t>Pumped storage</t>
  </si>
  <si>
    <r>
      <rPr>
        <b/>
        <sz val="12"/>
        <color theme="1"/>
        <rFont val="Calibri"/>
        <family val="2"/>
        <scheme val="minor"/>
      </rPr>
      <t>Step a)</t>
    </r>
    <r>
      <rPr>
        <sz val="12"/>
        <color theme="1"/>
        <rFont val="Calibri"/>
        <family val="2"/>
        <scheme val="minor"/>
      </rPr>
      <t xml:space="preserve"> Identify the set of five power units, excluding power units registered as CDM project activities, that started to supply electricity to the grid most recently (SET5-units) and determine their annual electricity generation (AEGSET-5-units, in MWh)</t>
    </r>
  </si>
  <si>
    <t>Cumulative %</t>
  </si>
  <si>
    <t>EFel,m,y (tCO2/MWh)</t>
  </si>
  <si>
    <t>EGm,y (MWh/y)</t>
  </si>
  <si>
    <t>Total</t>
  </si>
  <si>
    <t>AEG SET5-units</t>
  </si>
  <si>
    <r>
      <rPr>
        <b/>
        <sz val="12"/>
        <color theme="1"/>
        <rFont val="Calibri"/>
        <family val="2"/>
        <scheme val="minor"/>
      </rPr>
      <t>Step b)</t>
    </r>
    <r>
      <rPr>
        <sz val="12"/>
        <color theme="1"/>
        <rFont val="Calibri"/>
        <family val="2"/>
        <scheme val="minor"/>
      </rPr>
      <t>Determine the annual electricity generation of the project electricity system, excluding power units registered as CDM project activities (AEGtotal, in MWh). Identify the set of power units, excluding power units registered as CDM project activities, that started to supply electricity to the grid most recently and that comprise 20% of AEGtotal (if 20% falls on part of the generation of a unit, the generation of that unit is fully included in the calculation) (SET≥20%) and determine their annual electricity generation (AEGSET-≥20%, in MWh);</t>
    </r>
  </si>
  <si>
    <t>AEG total</t>
  </si>
  <si>
    <t>AEG SET&gt;20%</t>
  </si>
  <si>
    <r>
      <t xml:space="preserve">Step c) </t>
    </r>
    <r>
      <rPr>
        <sz val="12"/>
        <color rgb="FF000000"/>
        <rFont val="Calibri"/>
        <family val="2"/>
        <scheme val="minor"/>
      </rPr>
      <t>From SET5-units and SET≥20% select the set of power units that comprises the larger annual electricity generation (SETsample);
Identify the date when the power units in SETsample started to supply electricity to the grid.
If none of the power units in SETsample started to supply electricity to the grid more than 10 years ago, then use SETsample to calculate the build margin. In this case ignore steps (d), (e) and (f).</t>
    </r>
  </si>
  <si>
    <r>
      <rPr>
        <b/>
        <i/>
        <sz val="12"/>
        <color theme="1"/>
        <rFont val="Calibri"/>
        <scheme val="minor"/>
      </rPr>
      <t>SETsample</t>
    </r>
    <r>
      <rPr>
        <sz val="12"/>
        <color theme="1"/>
        <rFont val="Calibri"/>
        <family val="2"/>
        <scheme val="minor"/>
      </rPr>
      <t xml:space="preserve"> is the same for one case and the other. Some power units started to supply electricity to the grid more than 10 years, therefore:</t>
    </r>
  </si>
  <si>
    <r>
      <t>Step d)</t>
    </r>
    <r>
      <rPr>
        <sz val="12"/>
        <color rgb="FF000000"/>
        <rFont val="Calibri"/>
        <family val="2"/>
        <scheme val="minor"/>
      </rPr>
      <t xml:space="preserve"> Exclude from SETsample the power units which started to supply electricity to the grid more than 10 years ago. Include in that set the power units registered as CDM project activities, starting with power units that started to supply electricity to the grid most recently, until the electricity generation of the new set comprises 20% of the annual electricity generation of the project electricity system (if 20% falls on part of the generation of a unit, the generation of that unit is fully included in the calculation) to the extent is possible. Determine for the resulting set (SETsample-CDM) the annual electricity generation (AEGSET-sample-CDM, in MWh);
If the annual electricity generation of that set is comprises at least 20% of the annual electricity generation of the project electricity system (i.e. AEGSET-sample-CDM ≥ 0.2 × AEGtotal), then use the sample group SETsample-CDM to calculate the build margin. Ignore steps (e) and (f).</t>
    </r>
  </si>
  <si>
    <t>Land Fill Project</t>
  </si>
  <si>
    <t>Bethlehem hydroelectric project</t>
  </si>
  <si>
    <t>AEG SETsample-CDM</t>
  </si>
  <si>
    <r>
      <rPr>
        <b/>
        <i/>
        <sz val="12"/>
        <color theme="1"/>
        <rFont val="Calibri"/>
        <scheme val="minor"/>
      </rPr>
      <t>AEG SETsample-CDM</t>
    </r>
    <r>
      <rPr>
        <sz val="12"/>
        <color theme="1"/>
        <rFont val="Calibri"/>
        <family val="2"/>
        <scheme val="minor"/>
      </rPr>
      <t xml:space="preserve"> is lower than 20%, therefore:</t>
    </r>
  </si>
  <si>
    <t>Land fill</t>
  </si>
  <si>
    <t>AEG SETsample-CDM&gt;10years</t>
  </si>
  <si>
    <t>EFgrid,BM,y</t>
  </si>
  <si>
    <t>a) Baseline power plants and their generation</t>
  </si>
  <si>
    <t>Generation Data (MWh)</t>
  </si>
  <si>
    <t>Source</t>
  </si>
  <si>
    <t xml:space="preserve">Name </t>
  </si>
  <si>
    <t xml:space="preserve">Technology </t>
  </si>
  <si>
    <t>Owner</t>
  </si>
  <si>
    <t>Date of Commissionig</t>
  </si>
  <si>
    <t>Nominal Capacity</t>
  </si>
  <si>
    <t>2008-2009</t>
  </si>
  <si>
    <t>2009-2010</t>
  </si>
  <si>
    <t>Eskom CEF</t>
  </si>
  <si>
    <t>ESKOM</t>
  </si>
  <si>
    <t>Total Coal Powered Plants</t>
  </si>
  <si>
    <t>Gas</t>
  </si>
  <si>
    <t>Total Gas/Liquid fuel turbine stations</t>
  </si>
  <si>
    <t>Total Hydroelctric stations</t>
  </si>
  <si>
    <t>Total Nuclear power plants</t>
  </si>
  <si>
    <t>Total pumped storage schemes</t>
  </si>
  <si>
    <t>Total wind power plants</t>
  </si>
  <si>
    <t>Power plants names</t>
  </si>
  <si>
    <t>ESKOM Holdings Intergrated Report 2011</t>
  </si>
  <si>
    <t>Plant nominal capacity</t>
  </si>
  <si>
    <t>Date of commissioning</t>
  </si>
  <si>
    <t>Diesel</t>
  </si>
  <si>
    <t xml:space="preserve">Gas </t>
  </si>
  <si>
    <t>Power Plant Sheet</t>
  </si>
  <si>
    <t>b) Calculation of EFel,m,y</t>
  </si>
  <si>
    <t>25.09 TJ/Gg fuel used = 0.02509 TJ/t fuel</t>
  </si>
  <si>
    <t>IPCC values based on ESKOM website</t>
  </si>
  <si>
    <t>Based on ESKOM Holdings Intergrated Report 2011 the average calorific value (MJ/Kg) are as follows</t>
  </si>
  <si>
    <t>Compared with values in the IPCC document, the closest value is 25.8 "other bituminous coal" and the lower calorific value for this fuel is 19.9TJ/Gg</t>
  </si>
  <si>
    <t>Coal powered plants</t>
  </si>
  <si>
    <t>Gas turbines</t>
  </si>
  <si>
    <t>Acacia and Port Rex are powered using kerosene. See http://www.eskom.co.za/content/GS_0001GasTurbAcaciaPortRexRev6~1~1.pdf</t>
  </si>
  <si>
    <t>ESKOM website on the GEF calculation gives the emission factor for gas as 15.3tC/TJ (Based on IPCC values). 15.3 tarries with Natural gas</t>
  </si>
  <si>
    <r>
      <t>Value used in the calculation for acacia and portrex is</t>
    </r>
    <r>
      <rPr>
        <b/>
        <sz val="12"/>
        <color theme="1"/>
        <rFont val="Calibri"/>
        <family val="2"/>
        <scheme val="minor"/>
      </rPr>
      <t xml:space="preserve"> 42TJ/Gg</t>
    </r>
    <r>
      <rPr>
        <sz val="12"/>
        <color theme="1"/>
        <rFont val="Calibri"/>
        <family val="2"/>
        <scheme val="minor"/>
      </rPr>
      <t xml:space="preserve"> based on Chapter 1 of the 2009 IPCC guidelines for National Green house gas emissions. The engines of the generators are described as being similar to boeing 707 aircraft.</t>
    </r>
  </si>
  <si>
    <t xml:space="preserve">Ankerlig and Gourikwa use diesel fuel. Seehttp://www.eskom.co.za/content/GS_0002AnkerlGourikGasTurbPstnsRev5~1~1.pdf </t>
  </si>
  <si>
    <t>Based on this document the values were based on those for gas/diesel oil</t>
  </si>
  <si>
    <t>NCV</t>
  </si>
  <si>
    <t xml:space="preserve"> Ankerlig- See ESKOM 'fact sheet ankerlig and gourikwa'</t>
  </si>
  <si>
    <t>Gourikwa-See ESKOM 'fact sheet ankerlig and gourikwa'</t>
  </si>
  <si>
    <t>Port Rex-See 'Eskom fact sheet acaciaportrex'</t>
  </si>
  <si>
    <t>Acacia- See 'Eskom fact sheet acaciaportrex'</t>
  </si>
  <si>
    <t>EFCO2</t>
  </si>
  <si>
    <t>Values obtained from table 1.2 of Chapter 1 of the 2006 IPCC national greenhouse gas inventories</t>
  </si>
  <si>
    <t>Values obtained from table 1.4 of Chapter 1 of the 2006 IPCC national greenhouse gas inventories</t>
  </si>
  <si>
    <t>NCV and EFco2 values used</t>
  </si>
  <si>
    <t>c) Calculation of Average OM (EF,grid,OM-ave,y)</t>
  </si>
  <si>
    <t>d) Build margin Calculation</t>
  </si>
  <si>
    <t>Build Margin</t>
  </si>
  <si>
    <t>CDM project data</t>
  </si>
  <si>
    <t>Derived from monitoring reports.</t>
  </si>
  <si>
    <t>EFCO2,m,I,y</t>
  </si>
  <si>
    <t>ηm,y</t>
  </si>
  <si>
    <t>This value is derived from annex 1 of the tool to calculate the emission reductions for an electricity system</t>
  </si>
  <si>
    <t>The technology used for the gas turbines is open cycle technology based on discussions with ESKOM as well as 'ESKOM fact sheet gourikwa and ankerlig gas turbines'</t>
  </si>
  <si>
    <t>Type of gas turbine used</t>
  </si>
  <si>
    <t>See ESKOM 'fact sheet gourikwa and ankerlig'</t>
  </si>
  <si>
    <t>Density of Diesel</t>
  </si>
  <si>
    <t>Kg/litre</t>
  </si>
  <si>
    <t>n/a</t>
  </si>
  <si>
    <t>MWh</t>
  </si>
  <si>
    <t>tCo2e</t>
  </si>
  <si>
    <r>
      <t>Step e)</t>
    </r>
    <r>
      <rPr>
        <sz val="12"/>
        <color rgb="FF000000"/>
        <rFont val="Calibri"/>
        <family val="2"/>
        <scheme val="minor"/>
      </rPr>
      <t xml:space="preserve"> Include in the sample group SETsample-CDM the power units that started to supply electricity to the grid more than 10 years ago until the electricity generation of the new set comprises 20% of the annual electricity generation of the project electricity system (if 20% falls on part of the generation of a unit, the generation of that unit is fully included in the calculation); The sample group of power units m used to calculate the build margin is the resulting set (SETsample-CDM-&gt;10yrs).</t>
    </r>
  </si>
  <si>
    <t>ŋm,y</t>
  </si>
  <si>
    <t>EFEL,m,y</t>
  </si>
  <si>
    <t>EFCO2,m,i,y (tCO2/GJ)</t>
  </si>
  <si>
    <t>-</t>
  </si>
  <si>
    <t>PoA Start Date</t>
  </si>
  <si>
    <t>Type of technology</t>
  </si>
  <si>
    <t>Wind and Solar PV</t>
  </si>
  <si>
    <t>ESKOM Holdings Integrated Report 2011</t>
  </si>
  <si>
    <t>ESKOM CEF calculator 2010-2011</t>
  </si>
  <si>
    <t>For coal stations (ESKOM CEF calculator 2010-2011)</t>
  </si>
  <si>
    <t>Klipheuwel- ESKOM Holdings Integrated Report 2011</t>
  </si>
  <si>
    <t>Koeberg- ESKOM Holdings Integrated Report 2011</t>
  </si>
  <si>
    <t>ESKOM CEF calculator 2010-2011. Also see ESKOM fact sheet onhttp://www.eskom.co.za/content/GS_0002AnkerlGourikGasTurbPstnsRev5~1~1.pdf</t>
  </si>
  <si>
    <t>Arnot</t>
  </si>
  <si>
    <t>ESKOM Holdings Intergrated Report 2011 &amp; commissioning date was obtained from www.eskom.co.za/content/RW_0002KliphWindfRev5~2.pdf (Klipheuwel wind energy facilty)</t>
  </si>
  <si>
    <t>Small Scale Renewable Energy Carbon Programme (SRECP)</t>
  </si>
  <si>
    <t>AMS-I.D. version 17</t>
  </si>
  <si>
    <t>Justification: PoA uploaded for GSC</t>
  </si>
  <si>
    <t>Hydro (run-of-river and with reservoirs)</t>
  </si>
  <si>
    <t>Year 1</t>
  </si>
  <si>
    <t>Year 2</t>
  </si>
  <si>
    <t>Year 3</t>
  </si>
  <si>
    <t>Year 4</t>
  </si>
  <si>
    <t>Year 5</t>
  </si>
  <si>
    <t>Year 6</t>
  </si>
  <si>
    <t>Year 7</t>
  </si>
  <si>
    <t>Degradation</t>
  </si>
  <si>
    <t>Energy yield</t>
  </si>
  <si>
    <t>Night tracker parasitic load</t>
  </si>
  <si>
    <t xml:space="preserve">Average Annual Electricity Generation </t>
  </si>
  <si>
    <t>tCO2e</t>
  </si>
  <si>
    <t>Value was multiplied by (9/12) because during the first 3 months of 2009, there was no production</t>
  </si>
  <si>
    <t>Toitdale 9.52 MW Concentrated Photovoltaic Project (CPA-001)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</si>
</sst>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d\-mmm\-yyyy"/>
    <numFmt numFmtId="165" formatCode="_(* #,##0_);_(* \(#,##0\);_(* &quot;-&quot;??_);_(@_)"/>
    <numFmt numFmtId="166" formatCode="0.000%"/>
    <numFmt numFmtId="167" formatCode="_ * #,##0_ ;_ * \-#,##0_ ;_ * &quot;-&quot;??_ ;_ @_ "/>
    <numFmt numFmtId="168" formatCode="0.0000"/>
    <numFmt numFmtId="169" formatCode="0.0%"/>
    <numFmt numFmtId="170" formatCode="#,##0.0000"/>
    <numFmt numFmtId="171" formatCode="[$-409]d\-mmm\-yyyy;@"/>
  </numFmts>
  <fonts count="28" x14ac:knownFonts="1">
    <font>
      <sz val="12"/>
      <color theme="1"/>
      <name val="Calibri"/>
      <family val="2"/>
      <scheme val="minor"/>
    </font>
    <font>
      <sz val="12"/>
      <color theme="1"/>
      <name val="Calibri"/>
      <family val="2"/>
      <scheme val="minor"/>
    </font>
    <font>
      <sz val="12"/>
      <color rgb="FFFF0000"/>
      <name val="Calibri"/>
      <family val="2"/>
      <scheme val="minor"/>
    </font>
    <font>
      <b/>
      <sz val="12"/>
      <color theme="1"/>
      <name val="Calibri"/>
      <family val="2"/>
      <scheme val="minor"/>
    </font>
    <font>
      <sz val="10"/>
      <name val="Verdana"/>
      <family val="2"/>
    </font>
    <font>
      <b/>
      <u/>
      <sz val="11"/>
      <name val="Verdana"/>
    </font>
    <font>
      <sz val="11"/>
      <name val="Verdana"/>
    </font>
    <font>
      <b/>
      <u/>
      <sz val="10"/>
      <name val="Verdana"/>
    </font>
    <font>
      <i/>
      <sz val="10"/>
      <name val="Verdana"/>
    </font>
    <font>
      <b/>
      <sz val="10"/>
      <name val="Verdana"/>
      <family val="2"/>
    </font>
    <font>
      <b/>
      <i/>
      <u/>
      <sz val="14"/>
      <color theme="1"/>
      <name val="Calibri"/>
      <scheme val="minor"/>
    </font>
    <font>
      <b/>
      <i/>
      <sz val="12"/>
      <color theme="1"/>
      <name val="Calibri"/>
      <scheme val="minor"/>
    </font>
    <font>
      <sz val="10"/>
      <name val="Arial"/>
    </font>
    <font>
      <sz val="10"/>
      <color indexed="8"/>
      <name val="Verdana"/>
      <family val="2"/>
    </font>
    <font>
      <i/>
      <sz val="12"/>
      <color theme="1"/>
      <name val="Calibri"/>
      <scheme val="minor"/>
    </font>
    <font>
      <b/>
      <i/>
      <sz val="14"/>
      <color theme="1"/>
      <name val="Calibri"/>
      <scheme val="minor"/>
    </font>
    <font>
      <b/>
      <i/>
      <sz val="10"/>
      <color indexed="9"/>
      <name val="Verdana"/>
      <family val="2"/>
    </font>
    <font>
      <b/>
      <sz val="12"/>
      <color rgb="FF000000"/>
      <name val="Calibri"/>
      <family val="2"/>
      <scheme val="minor"/>
    </font>
    <font>
      <sz val="12"/>
      <color rgb="FF000000"/>
      <name val="Calibri"/>
      <family val="2"/>
      <scheme val="minor"/>
    </font>
    <font>
      <b/>
      <i/>
      <sz val="11"/>
      <color theme="1"/>
      <name val="Calibri"/>
      <scheme val="minor"/>
    </font>
    <font>
      <i/>
      <u/>
      <sz val="12"/>
      <color theme="1"/>
      <name val="Calibri"/>
      <scheme val="minor"/>
    </font>
    <font>
      <u/>
      <sz val="12"/>
      <color theme="10"/>
      <name val="Calibri"/>
      <family val="2"/>
      <scheme val="minor"/>
    </font>
    <font>
      <u/>
      <sz val="12"/>
      <color theme="11"/>
      <name val="Calibri"/>
      <family val="2"/>
      <scheme val="minor"/>
    </font>
    <font>
      <b/>
      <i/>
      <sz val="12"/>
      <color rgb="FF000000"/>
      <name val="Calibri"/>
      <scheme val="minor"/>
    </font>
    <font>
      <sz val="12"/>
      <name val="Calibri"/>
      <scheme val="minor"/>
    </font>
    <font>
      <sz val="8"/>
      <name val="Calibri"/>
      <family val="2"/>
      <scheme val="minor"/>
    </font>
    <font>
      <b/>
      <i/>
      <sz val="12"/>
      <name val="Calibri"/>
      <scheme val="minor"/>
    </font>
    <font>
      <b/>
      <i/>
      <sz val="10"/>
      <name val="Verdana"/>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8"/>
        <bgColor indexed="64"/>
      </patternFill>
    </fill>
  </fills>
  <borders count="41">
    <border>
      <left/>
      <right/>
      <top/>
      <bottom/>
      <diagonal/>
    </border>
    <border>
      <left/>
      <right style="thin">
        <color auto="1"/>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top style="thin">
        <color auto="1"/>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thin">
        <color auto="1"/>
      </top>
      <bottom/>
      <diagonal/>
    </border>
    <border>
      <left style="thin">
        <color auto="1"/>
      </left>
      <right/>
      <top/>
      <bottom style="thin">
        <color auto="1"/>
      </bottom>
      <diagonal/>
    </border>
    <border>
      <left/>
      <right style="thin">
        <color rgb="FF000000"/>
      </right>
      <top style="thin">
        <color auto="1"/>
      </top>
      <bottom/>
      <diagonal/>
    </border>
    <border>
      <left style="thin">
        <color auto="1"/>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thin">
        <color auto="1"/>
      </left>
      <right/>
      <top/>
      <bottom/>
      <diagonal/>
    </border>
  </borders>
  <cellStyleXfs count="173">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272">
    <xf numFmtId="0" fontId="0" fillId="0" borderId="0" xfId="0"/>
    <xf numFmtId="0" fontId="5" fillId="0" borderId="0" xfId="3" applyFont="1"/>
    <xf numFmtId="0" fontId="4" fillId="0" borderId="0" xfId="3"/>
    <xf numFmtId="0" fontId="6" fillId="0" borderId="0" xfId="3" applyFont="1"/>
    <xf numFmtId="0" fontId="7" fillId="0" borderId="0" xfId="3" applyFont="1"/>
    <xf numFmtId="0" fontId="4" fillId="0" borderId="0" xfId="3" applyFont="1"/>
    <xf numFmtId="0" fontId="4" fillId="0" borderId="0" xfId="3" applyFont="1" applyFill="1" applyBorder="1"/>
    <xf numFmtId="4" fontId="4" fillId="0" borderId="5" xfId="3" applyNumberFormat="1" applyFont="1" applyFill="1" applyBorder="1" applyAlignment="1">
      <alignment horizontal="center"/>
    </xf>
    <xf numFmtId="3" fontId="9" fillId="0" borderId="0" xfId="3" applyNumberFormat="1" applyFont="1" applyFill="1" applyBorder="1" applyAlignment="1">
      <alignment horizontal="center"/>
    </xf>
    <xf numFmtId="3" fontId="4" fillId="0" borderId="0" xfId="3" applyNumberFormat="1" applyFont="1" applyFill="1" applyBorder="1" applyAlignment="1">
      <alignment horizontal="center"/>
    </xf>
    <xf numFmtId="4" fontId="4" fillId="0" borderId="0" xfId="3" applyNumberFormat="1" applyFont="1" applyFill="1" applyBorder="1" applyAlignment="1">
      <alignment horizontal="center"/>
    </xf>
    <xf numFmtId="0" fontId="8" fillId="0" borderId="3" xfId="3" applyFont="1" applyFill="1" applyBorder="1" applyAlignment="1">
      <alignment horizontal="center" wrapText="1"/>
    </xf>
    <xf numFmtId="0" fontId="8" fillId="0" borderId="2" xfId="3" applyFont="1" applyFill="1" applyBorder="1" applyAlignment="1">
      <alignment horizontal="center" wrapText="1"/>
    </xf>
    <xf numFmtId="1" fontId="8" fillId="0" borderId="2" xfId="3" applyNumberFormat="1" applyFont="1" applyBorder="1"/>
    <xf numFmtId="0" fontId="8" fillId="0" borderId="0" xfId="3" applyFont="1" applyAlignment="1">
      <alignment horizontal="right"/>
    </xf>
    <xf numFmtId="3" fontId="4" fillId="0" borderId="0" xfId="3" applyNumberFormat="1"/>
    <xf numFmtId="0" fontId="0" fillId="0" borderId="0" xfId="0" applyBorder="1"/>
    <xf numFmtId="0" fontId="10" fillId="0" borderId="0" xfId="0" applyFont="1" applyBorder="1"/>
    <xf numFmtId="0" fontId="11" fillId="0" borderId="7" xfId="0" applyFont="1" applyBorder="1" applyAlignment="1">
      <alignment wrapText="1"/>
    </xf>
    <xf numFmtId="0" fontId="11" fillId="0" borderId="7" xfId="0" applyFont="1" applyBorder="1"/>
    <xf numFmtId="0" fontId="11" fillId="0" borderId="8" xfId="0" applyFont="1" applyFill="1" applyBorder="1" applyAlignment="1">
      <alignment wrapText="1"/>
    </xf>
    <xf numFmtId="1" fontId="12" fillId="3" borderId="9" xfId="3" applyNumberFormat="1" applyFont="1" applyFill="1" applyBorder="1" applyAlignment="1">
      <alignment vertical="top" wrapText="1"/>
    </xf>
    <xf numFmtId="0" fontId="12" fillId="0" borderId="9" xfId="3" applyFont="1" applyFill="1" applyBorder="1" applyAlignment="1">
      <alignment horizontal="left" vertical="top" wrapText="1"/>
    </xf>
    <xf numFmtId="0" fontId="13" fillId="0" borderId="9" xfId="3" applyFont="1" applyFill="1" applyBorder="1" applyAlignment="1">
      <alignment vertical="top" wrapText="1"/>
    </xf>
    <xf numFmtId="0" fontId="4" fillId="0" borderId="9" xfId="3" applyFill="1" applyBorder="1" applyAlignment="1">
      <alignment horizontal="center" vertical="top" wrapText="1"/>
    </xf>
    <xf numFmtId="15" fontId="0" fillId="0" borderId="9" xfId="0" applyNumberFormat="1" applyBorder="1"/>
    <xf numFmtId="0" fontId="0" fillId="0" borderId="9" xfId="0" applyBorder="1" applyAlignment="1">
      <alignment wrapText="1"/>
    </xf>
    <xf numFmtId="43" fontId="0" fillId="0" borderId="9" xfId="1" applyFont="1" applyBorder="1"/>
    <xf numFmtId="0" fontId="0" fillId="0" borderId="9" xfId="0" applyBorder="1"/>
    <xf numFmtId="0" fontId="0" fillId="0" borderId="3" xfId="0" applyBorder="1"/>
    <xf numFmtId="1" fontId="12" fillId="3" borderId="10" xfId="3" applyNumberFormat="1" applyFont="1" applyFill="1" applyBorder="1" applyAlignment="1">
      <alignment vertical="top" wrapText="1"/>
    </xf>
    <xf numFmtId="0" fontId="4" fillId="0" borderId="10" xfId="3" applyFill="1" applyBorder="1" applyAlignment="1">
      <alignment horizontal="left" vertical="top" wrapText="1"/>
    </xf>
    <xf numFmtId="0" fontId="4" fillId="0" borderId="10" xfId="3" applyFill="1" applyBorder="1" applyAlignment="1">
      <alignment horizontal="center" vertical="top" wrapText="1"/>
    </xf>
    <xf numFmtId="15" fontId="0" fillId="0" borderId="10" xfId="0" applyNumberFormat="1" applyBorder="1"/>
    <xf numFmtId="0" fontId="0" fillId="0" borderId="10" xfId="0" applyBorder="1" applyAlignment="1">
      <alignment wrapText="1"/>
    </xf>
    <xf numFmtId="39" fontId="0" fillId="0" borderId="10" xfId="1" applyNumberFormat="1" applyFont="1" applyBorder="1"/>
    <xf numFmtId="2" fontId="0" fillId="0" borderId="10" xfId="1" applyNumberFormat="1" applyFont="1" applyBorder="1"/>
    <xf numFmtId="43" fontId="0" fillId="0" borderId="10" xfId="1" applyFont="1" applyBorder="1"/>
    <xf numFmtId="0" fontId="0" fillId="0" borderId="10" xfId="0" applyBorder="1"/>
    <xf numFmtId="0" fontId="0" fillId="0" borderId="0" xfId="0" applyFill="1" applyBorder="1" applyAlignment="1">
      <alignment wrapText="1"/>
    </xf>
    <xf numFmtId="0" fontId="0" fillId="0" borderId="3" xfId="0" applyFill="1" applyBorder="1" applyAlignment="1">
      <alignment wrapText="1"/>
    </xf>
    <xf numFmtId="0" fontId="0" fillId="0" borderId="10" xfId="0" applyFill="1" applyBorder="1" applyAlignment="1">
      <alignment wrapText="1"/>
    </xf>
    <xf numFmtId="0" fontId="12" fillId="3" borderId="10" xfId="3" applyNumberFormat="1" applyFont="1" applyFill="1" applyBorder="1" applyAlignment="1">
      <alignment vertical="top" wrapText="1"/>
    </xf>
    <xf numFmtId="43" fontId="0" fillId="0" borderId="0" xfId="1" applyFont="1" applyBorder="1"/>
    <xf numFmtId="0" fontId="11" fillId="0" borderId="0" xfId="0" applyFont="1" applyBorder="1" applyAlignment="1">
      <alignment wrapText="1"/>
    </xf>
    <xf numFmtId="0" fontId="0" fillId="0" borderId="0" xfId="0" applyFont="1" applyBorder="1"/>
    <xf numFmtId="43" fontId="0" fillId="0" borderId="0" xfId="1" applyFont="1" applyFill="1" applyBorder="1"/>
    <xf numFmtId="0" fontId="0" fillId="0" borderId="0" xfId="0" applyFont="1" applyFill="1" applyBorder="1"/>
    <xf numFmtId="0" fontId="11" fillId="0" borderId="0" xfId="0" applyFont="1" applyBorder="1"/>
    <xf numFmtId="0" fontId="14" fillId="0" borderId="0" xfId="0" applyFont="1" applyBorder="1"/>
    <xf numFmtId="0" fontId="15" fillId="0" borderId="0" xfId="0" applyFont="1"/>
    <xf numFmtId="0" fontId="11" fillId="0" borderId="11" xfId="0" applyFont="1" applyBorder="1" applyAlignment="1">
      <alignment wrapText="1"/>
    </xf>
    <xf numFmtId="0" fontId="11" fillId="0" borderId="12" xfId="0" applyFont="1" applyBorder="1" applyAlignment="1">
      <alignment wrapText="1"/>
    </xf>
    <xf numFmtId="0" fontId="11" fillId="0" borderId="13" xfId="0" applyFont="1" applyFill="1" applyBorder="1" applyAlignment="1">
      <alignment wrapText="1"/>
    </xf>
    <xf numFmtId="0" fontId="0" fillId="0" borderId="14" xfId="0" applyFill="1" applyBorder="1"/>
    <xf numFmtId="3" fontId="0" fillId="0" borderId="0" xfId="0" applyNumberFormat="1" applyBorder="1"/>
    <xf numFmtId="2" fontId="0" fillId="0" borderId="0" xfId="0" applyNumberFormat="1" applyBorder="1"/>
    <xf numFmtId="0" fontId="0" fillId="0" borderId="0" xfId="0" applyFill="1" applyBorder="1"/>
    <xf numFmtId="0" fontId="11" fillId="0" borderId="16" xfId="0" applyFont="1" applyFill="1" applyBorder="1" applyAlignment="1">
      <alignment wrapText="1"/>
    </xf>
    <xf numFmtId="0" fontId="0" fillId="0" borderId="0" xfId="0" applyFill="1"/>
    <xf numFmtId="0" fontId="0" fillId="4" borderId="14" xfId="0" applyFill="1" applyBorder="1"/>
    <xf numFmtId="0" fontId="0" fillId="4" borderId="0" xfId="0" applyFill="1" applyBorder="1"/>
    <xf numFmtId="165" fontId="0" fillId="0" borderId="0" xfId="1" applyNumberFormat="1" applyFont="1" applyBorder="1"/>
    <xf numFmtId="0" fontId="12" fillId="0" borderId="14" xfId="3" applyFont="1" applyFill="1" applyBorder="1" applyAlignment="1">
      <alignment horizontal="left" vertical="top" wrapText="1"/>
    </xf>
    <xf numFmtId="0" fontId="4" fillId="0" borderId="14" xfId="3" applyFill="1" applyBorder="1" applyAlignment="1">
      <alignment horizontal="left" vertical="top" wrapText="1"/>
    </xf>
    <xf numFmtId="0" fontId="0" fillId="0" borderId="14" xfId="0" applyBorder="1" applyAlignment="1">
      <alignment wrapText="1"/>
    </xf>
    <xf numFmtId="0" fontId="3" fillId="0" borderId="11" xfId="0" applyFont="1" applyFill="1" applyBorder="1"/>
    <xf numFmtId="0" fontId="0" fillId="0" borderId="12" xfId="0" applyBorder="1"/>
    <xf numFmtId="3" fontId="0" fillId="0" borderId="13" xfId="0" applyNumberFormat="1" applyBorder="1"/>
    <xf numFmtId="2" fontId="11" fillId="0" borderId="13" xfId="0" applyNumberFormat="1" applyFont="1" applyBorder="1" applyAlignment="1">
      <alignment wrapText="1"/>
    </xf>
    <xf numFmtId="0" fontId="10" fillId="0" borderId="0" xfId="0" applyFont="1"/>
    <xf numFmtId="0" fontId="11" fillId="0" borderId="0" xfId="0" applyFont="1"/>
    <xf numFmtId="0" fontId="11" fillId="0" borderId="16" xfId="0" applyFont="1" applyBorder="1" applyAlignment="1">
      <alignment wrapText="1"/>
    </xf>
    <xf numFmtId="0" fontId="11" fillId="0" borderId="8" xfId="0" applyFont="1" applyBorder="1" applyAlignment="1">
      <alignment wrapText="1"/>
    </xf>
    <xf numFmtId="0" fontId="0" fillId="0" borderId="17" xfId="0" applyFill="1" applyBorder="1"/>
    <xf numFmtId="0" fontId="0" fillId="0" borderId="9" xfId="0" applyFill="1" applyBorder="1"/>
    <xf numFmtId="3" fontId="0" fillId="0" borderId="9" xfId="0" applyNumberFormat="1" applyBorder="1"/>
    <xf numFmtId="2" fontId="0" fillId="0" borderId="18" xfId="0" applyNumberFormat="1" applyBorder="1"/>
    <xf numFmtId="0" fontId="0" fillId="0" borderId="19" xfId="0" applyFill="1" applyBorder="1"/>
    <xf numFmtId="0" fontId="0" fillId="0" borderId="10" xfId="0" applyFill="1" applyBorder="1"/>
    <xf numFmtId="3" fontId="0" fillId="0" borderId="10" xfId="0" applyNumberFormat="1" applyBorder="1"/>
    <xf numFmtId="2" fontId="0" fillId="0" borderId="20" xfId="0" applyNumberFormat="1" applyBorder="1"/>
    <xf numFmtId="0" fontId="0" fillId="0" borderId="19" xfId="0" applyBorder="1"/>
    <xf numFmtId="0" fontId="0" fillId="0" borderId="23" xfId="0" applyBorder="1"/>
    <xf numFmtId="0" fontId="0" fillId="0" borderId="24" xfId="0" applyFill="1" applyBorder="1"/>
    <xf numFmtId="9" fontId="0" fillId="0" borderId="25" xfId="2" applyFont="1" applyFill="1" applyBorder="1"/>
    <xf numFmtId="0" fontId="0" fillId="0" borderId="14" xfId="0" applyBorder="1"/>
    <xf numFmtId="14" fontId="0" fillId="2" borderId="0" xfId="0" applyNumberFormat="1" applyFill="1" applyBorder="1"/>
    <xf numFmtId="3" fontId="0" fillId="0" borderId="0" xfId="0" applyNumberFormat="1" applyFill="1" applyBorder="1"/>
    <xf numFmtId="9" fontId="0" fillId="0" borderId="15" xfId="2" applyFont="1" applyFill="1" applyBorder="1"/>
    <xf numFmtId="9" fontId="0" fillId="0" borderId="15" xfId="2" applyFont="1" applyBorder="1"/>
    <xf numFmtId="0" fontId="3" fillId="0" borderId="16" xfId="0" applyFont="1" applyBorder="1"/>
    <xf numFmtId="0" fontId="3" fillId="0" borderId="7" xfId="0" applyFont="1" applyFill="1" applyBorder="1"/>
    <xf numFmtId="0" fontId="3" fillId="0" borderId="7" xfId="0" applyFont="1" applyBorder="1"/>
    <xf numFmtId="9" fontId="3" fillId="0" borderId="8" xfId="2" applyFont="1" applyBorder="1"/>
    <xf numFmtId="0" fontId="0" fillId="0" borderId="0" xfId="0" applyAlignment="1">
      <alignment horizontal="left" wrapText="1"/>
    </xf>
    <xf numFmtId="0" fontId="16" fillId="6" borderId="11" xfId="4" applyFont="1" applyFill="1" applyBorder="1" applyAlignment="1">
      <alignment wrapText="1"/>
    </xf>
    <xf numFmtId="0" fontId="16" fillId="6" borderId="12" xfId="4" applyFont="1" applyFill="1" applyBorder="1" applyAlignment="1">
      <alignment wrapText="1"/>
    </xf>
    <xf numFmtId="0" fontId="16" fillId="6" borderId="24" xfId="4" applyFont="1" applyFill="1" applyBorder="1" applyAlignment="1">
      <alignment wrapText="1"/>
    </xf>
    <xf numFmtId="0" fontId="16" fillId="6" borderId="13" xfId="4" applyFont="1" applyFill="1" applyBorder="1" applyAlignment="1">
      <alignment wrapText="1"/>
    </xf>
    <xf numFmtId="9" fontId="0" fillId="0" borderId="0" xfId="0" applyNumberFormat="1" applyBorder="1"/>
    <xf numFmtId="3" fontId="0" fillId="0" borderId="15" xfId="0" applyNumberFormat="1" applyBorder="1"/>
    <xf numFmtId="0" fontId="0" fillId="0" borderId="11" xfId="0" applyBorder="1"/>
    <xf numFmtId="0" fontId="11" fillId="0" borderId="12" xfId="0" applyFont="1" applyFill="1" applyBorder="1"/>
    <xf numFmtId="0" fontId="11" fillId="0" borderId="12" xfId="0" applyFont="1" applyBorder="1"/>
    <xf numFmtId="3" fontId="11" fillId="0" borderId="13" xfId="0" applyNumberFormat="1" applyFont="1" applyBorder="1"/>
    <xf numFmtId="0" fontId="11" fillId="0" borderId="11" xfId="0" applyFont="1" applyBorder="1"/>
    <xf numFmtId="0" fontId="16" fillId="6" borderId="23" xfId="4" applyFont="1" applyFill="1" applyBorder="1" applyAlignment="1">
      <alignment wrapText="1"/>
    </xf>
    <xf numFmtId="0" fontId="16" fillId="6" borderId="25" xfId="4" applyFont="1" applyFill="1" applyBorder="1" applyAlignment="1">
      <alignment wrapText="1"/>
    </xf>
    <xf numFmtId="166" fontId="0" fillId="0" borderId="24" xfId="2" applyNumberFormat="1" applyFont="1" applyFill="1" applyBorder="1"/>
    <xf numFmtId="0" fontId="0" fillId="0" borderId="25" xfId="0" applyFill="1" applyBorder="1"/>
    <xf numFmtId="166" fontId="0" fillId="0" borderId="0" xfId="2" applyNumberFormat="1" applyFont="1" applyFill="1" applyBorder="1"/>
    <xf numFmtId="0" fontId="0" fillId="0" borderId="15" xfId="0" applyFill="1" applyBorder="1"/>
    <xf numFmtId="0" fontId="0" fillId="0" borderId="0" xfId="0" applyBorder="1" applyAlignment="1">
      <alignment wrapText="1"/>
    </xf>
    <xf numFmtId="167" fontId="0" fillId="4" borderId="15" xfId="0" applyNumberFormat="1" applyFill="1" applyBorder="1"/>
    <xf numFmtId="167" fontId="0" fillId="4" borderId="15" xfId="1" applyNumberFormat="1" applyFont="1" applyFill="1" applyBorder="1"/>
    <xf numFmtId="14" fontId="0" fillId="0" borderId="0" xfId="0" applyNumberFormat="1" applyFill="1" applyBorder="1" applyAlignment="1">
      <alignment wrapText="1"/>
    </xf>
    <xf numFmtId="0" fontId="0" fillId="0" borderId="32" xfId="0" applyBorder="1"/>
    <xf numFmtId="0" fontId="0" fillId="0" borderId="33" xfId="0" applyFill="1" applyBorder="1"/>
    <xf numFmtId="166" fontId="0" fillId="0" borderId="33" xfId="2" applyNumberFormat="1" applyFont="1" applyFill="1" applyBorder="1"/>
    <xf numFmtId="3" fontId="12" fillId="4" borderId="34" xfId="0" applyNumberFormat="1" applyFont="1" applyFill="1" applyBorder="1"/>
    <xf numFmtId="0" fontId="11" fillId="0" borderId="33" xfId="0" applyFont="1" applyBorder="1"/>
    <xf numFmtId="0" fontId="0" fillId="0" borderId="33" xfId="0" applyBorder="1"/>
    <xf numFmtId="166" fontId="0" fillId="0" borderId="33" xfId="2" applyNumberFormat="1" applyFont="1" applyBorder="1"/>
    <xf numFmtId="3" fontId="11" fillId="0" borderId="34" xfId="0" applyNumberFormat="1" applyFont="1" applyBorder="1"/>
    <xf numFmtId="10" fontId="0" fillId="0" borderId="24" xfId="2" applyNumberFormat="1" applyFont="1" applyFill="1" applyBorder="1"/>
    <xf numFmtId="10" fontId="0" fillId="0" borderId="0" xfId="2" applyNumberFormat="1" applyFont="1" applyFill="1" applyBorder="1"/>
    <xf numFmtId="1" fontId="0" fillId="0" borderId="15" xfId="0" applyNumberFormat="1" applyFill="1" applyBorder="1"/>
    <xf numFmtId="165" fontId="12" fillId="0" borderId="15" xfId="1" applyNumberFormat="1" applyFont="1" applyBorder="1"/>
    <xf numFmtId="165" fontId="12" fillId="0" borderId="34" xfId="1" applyNumberFormat="1" applyFont="1" applyBorder="1"/>
    <xf numFmtId="9" fontId="0" fillId="0" borderId="12" xfId="2" applyNumberFormat="1" applyFont="1" applyBorder="1"/>
    <xf numFmtId="0" fontId="9" fillId="0" borderId="16" xfId="4" applyFont="1" applyFill="1" applyBorder="1"/>
    <xf numFmtId="0" fontId="3" fillId="0" borderId="6" xfId="0" applyFont="1" applyBorder="1"/>
    <xf numFmtId="0" fontId="19" fillId="0" borderId="11" xfId="0" applyFont="1" applyBorder="1" applyAlignment="1">
      <alignment wrapText="1"/>
    </xf>
    <xf numFmtId="0" fontId="19" fillId="0" borderId="12" xfId="0" applyFont="1" applyBorder="1" applyAlignment="1">
      <alignment wrapText="1"/>
    </xf>
    <xf numFmtId="0" fontId="0" fillId="0" borderId="35" xfId="0" applyBorder="1"/>
    <xf numFmtId="14" fontId="0" fillId="0" borderId="0" xfId="0" applyNumberFormat="1" applyBorder="1"/>
    <xf numFmtId="0" fontId="11" fillId="0" borderId="36" xfId="0" applyFont="1" applyFill="1" applyBorder="1"/>
    <xf numFmtId="0" fontId="11" fillId="0" borderId="37" xfId="0" applyFont="1" applyBorder="1"/>
    <xf numFmtId="165" fontId="11" fillId="0" borderId="37" xfId="1" applyNumberFormat="1" applyFont="1" applyBorder="1"/>
    <xf numFmtId="0" fontId="0" fillId="2" borderId="14" xfId="0" applyFill="1" applyBorder="1"/>
    <xf numFmtId="9" fontId="0" fillId="0" borderId="0" xfId="2" applyFont="1" applyBorder="1"/>
    <xf numFmtId="1" fontId="0" fillId="0" borderId="0" xfId="1" applyNumberFormat="1" applyFont="1" applyBorder="1"/>
    <xf numFmtId="0" fontId="0" fillId="0" borderId="39" xfId="0" applyBorder="1"/>
    <xf numFmtId="9" fontId="0" fillId="0" borderId="0" xfId="2" applyFont="1"/>
    <xf numFmtId="0" fontId="20" fillId="0" borderId="0" xfId="0" applyFont="1"/>
    <xf numFmtId="0" fontId="3" fillId="0" borderId="0" xfId="0" applyFont="1" applyBorder="1" applyAlignment="1">
      <alignment horizontal="center"/>
    </xf>
    <xf numFmtId="0" fontId="0" fillId="0" borderId="40" xfId="0" applyFill="1" applyBorder="1"/>
    <xf numFmtId="0" fontId="0" fillId="2" borderId="0" xfId="0" applyFill="1" applyBorder="1"/>
    <xf numFmtId="0" fontId="11" fillId="0" borderId="0" xfId="0" applyFont="1" applyFill="1" applyBorder="1" applyAlignment="1">
      <alignment wrapText="1"/>
    </xf>
    <xf numFmtId="165" fontId="0" fillId="0" borderId="0" xfId="0" applyNumberFormat="1" applyBorder="1"/>
    <xf numFmtId="9" fontId="11" fillId="0" borderId="0" xfId="2" applyFont="1" applyBorder="1"/>
    <xf numFmtId="0" fontId="3" fillId="0" borderId="0" xfId="0" applyFont="1" applyFill="1" applyBorder="1"/>
    <xf numFmtId="0" fontId="14" fillId="0" borderId="0" xfId="0" applyFont="1" applyFill="1" applyBorder="1"/>
    <xf numFmtId="0" fontId="11" fillId="0" borderId="0" xfId="0" applyFont="1" applyFill="1" applyBorder="1"/>
    <xf numFmtId="0" fontId="20" fillId="0" borderId="0" xfId="0" applyFont="1" applyFill="1" applyBorder="1"/>
    <xf numFmtId="165" fontId="3" fillId="0" borderId="0" xfId="0" applyNumberFormat="1" applyFont="1" applyFill="1" applyBorder="1"/>
    <xf numFmtId="0" fontId="3" fillId="0" borderId="0" xfId="0" applyFont="1" applyFill="1" applyBorder="1" applyAlignment="1">
      <alignment wrapText="1"/>
    </xf>
    <xf numFmtId="0" fontId="3" fillId="0" borderId="0" xfId="2" applyNumberFormat="1" applyFont="1" applyFill="1" applyBorder="1"/>
    <xf numFmtId="9" fontId="3" fillId="0" borderId="0" xfId="2" applyFont="1" applyFill="1" applyBorder="1"/>
    <xf numFmtId="3" fontId="3" fillId="0" borderId="0" xfId="0" applyNumberFormat="1" applyFont="1" applyFill="1" applyBorder="1"/>
    <xf numFmtId="3" fontId="14" fillId="0" borderId="0" xfId="0" applyNumberFormat="1" applyFont="1" applyFill="1" applyBorder="1"/>
    <xf numFmtId="10" fontId="3" fillId="0" borderId="0" xfId="2" applyNumberFormat="1" applyFont="1" applyFill="1" applyBorder="1"/>
    <xf numFmtId="0" fontId="0" fillId="0" borderId="35" xfId="0" applyBorder="1" applyAlignment="1">
      <alignment wrapText="1"/>
    </xf>
    <xf numFmtId="165" fontId="11" fillId="0" borderId="37" xfId="0" applyNumberFormat="1" applyFont="1" applyBorder="1"/>
    <xf numFmtId="0" fontId="2" fillId="0" borderId="0" xfId="0" applyFont="1" applyFill="1" applyBorder="1"/>
    <xf numFmtId="2" fontId="0" fillId="0" borderId="0" xfId="0" applyNumberFormat="1"/>
    <xf numFmtId="43" fontId="0" fillId="0" borderId="15" xfId="1" applyFont="1" applyBorder="1"/>
    <xf numFmtId="43" fontId="0" fillId="4" borderId="0" xfId="1" applyFont="1" applyFill="1" applyBorder="1"/>
    <xf numFmtId="43" fontId="0" fillId="5" borderId="0" xfId="1" applyFont="1" applyFill="1" applyBorder="1"/>
    <xf numFmtId="43" fontId="0" fillId="0" borderId="12" xfId="1" applyFont="1" applyBorder="1"/>
    <xf numFmtId="43" fontId="0" fillId="0" borderId="13" xfId="1" applyFont="1" applyBorder="1"/>
    <xf numFmtId="43" fontId="0" fillId="0" borderId="0" xfId="1" applyNumberFormat="1" applyFont="1" applyBorder="1"/>
    <xf numFmtId="43" fontId="0" fillId="0" borderId="15" xfId="1" applyNumberFormat="1" applyFont="1" applyBorder="1"/>
    <xf numFmtId="43" fontId="0" fillId="4" borderId="0" xfId="1" applyNumberFormat="1" applyFont="1" applyFill="1" applyBorder="1"/>
    <xf numFmtId="43" fontId="0" fillId="5" borderId="0" xfId="1" applyNumberFormat="1" applyFont="1" applyFill="1" applyBorder="1"/>
    <xf numFmtId="43" fontId="0" fillId="0" borderId="12" xfId="1" applyNumberFormat="1" applyFont="1" applyBorder="1"/>
    <xf numFmtId="43" fontId="0" fillId="0" borderId="13" xfId="1" applyNumberFormat="1" applyFont="1" applyBorder="1"/>
    <xf numFmtId="43" fontId="0" fillId="0" borderId="24" xfId="1" applyFont="1" applyFill="1" applyBorder="1"/>
    <xf numFmtId="43" fontId="3" fillId="0" borderId="7" xfId="1" applyFont="1" applyBorder="1"/>
    <xf numFmtId="0" fontId="18" fillId="0" borderId="0" xfId="0" applyFont="1" applyAlignment="1">
      <alignment wrapText="1"/>
    </xf>
    <xf numFmtId="0" fontId="12" fillId="0" borderId="0" xfId="3" applyFont="1" applyFill="1" applyBorder="1" applyAlignment="1">
      <alignment horizontal="left" vertical="top" wrapText="1"/>
    </xf>
    <xf numFmtId="43" fontId="0" fillId="0" borderId="24" xfId="0" applyNumberFormat="1" applyFill="1" applyBorder="1"/>
    <xf numFmtId="43" fontId="0" fillId="0" borderId="0" xfId="0" applyNumberFormat="1" applyFill="1" applyBorder="1"/>
    <xf numFmtId="43" fontId="0" fillId="0" borderId="25" xfId="0" applyNumberFormat="1" applyFill="1" applyBorder="1"/>
    <xf numFmtId="43" fontId="0" fillId="0" borderId="15" xfId="0" applyNumberFormat="1" applyFill="1" applyBorder="1"/>
    <xf numFmtId="43" fontId="11" fillId="0" borderId="37" xfId="1" applyFont="1" applyBorder="1"/>
    <xf numFmtId="43" fontId="0" fillId="2" borderId="0" xfId="1" applyFont="1" applyFill="1" applyBorder="1"/>
    <xf numFmtId="3" fontId="18" fillId="0" borderId="11" xfId="0" applyNumberFormat="1" applyFont="1" applyBorder="1"/>
    <xf numFmtId="0" fontId="23" fillId="0" borderId="12" xfId="0" applyFont="1" applyBorder="1"/>
    <xf numFmtId="0" fontId="23" fillId="0" borderId="13" xfId="0" applyFont="1" applyBorder="1"/>
    <xf numFmtId="0" fontId="18" fillId="0" borderId="14" xfId="0" applyFont="1" applyBorder="1"/>
    <xf numFmtId="2" fontId="18" fillId="0" borderId="15" xfId="0" applyNumberFormat="1" applyFont="1" applyBorder="1"/>
    <xf numFmtId="0" fontId="24" fillId="0" borderId="14" xfId="0" applyFont="1" applyBorder="1"/>
    <xf numFmtId="0" fontId="24" fillId="0" borderId="32" xfId="0" applyFont="1" applyBorder="1"/>
    <xf numFmtId="0" fontId="18" fillId="0" borderId="33" xfId="0" applyFont="1" applyBorder="1"/>
    <xf numFmtId="9" fontId="18" fillId="0" borderId="33" xfId="0" applyNumberFormat="1" applyFont="1" applyBorder="1"/>
    <xf numFmtId="2" fontId="18" fillId="0" borderId="34" xfId="0" applyNumberFormat="1" applyFont="1" applyBorder="1"/>
    <xf numFmtId="0" fontId="18" fillId="0" borderId="0" xfId="0" applyFont="1" applyBorder="1"/>
    <xf numFmtId="9" fontId="18" fillId="0" borderId="0" xfId="0" applyNumberFormat="1" applyFont="1" applyBorder="1"/>
    <xf numFmtId="43" fontId="0" fillId="0" borderId="10" xfId="0" applyNumberFormat="1" applyBorder="1"/>
    <xf numFmtId="3" fontId="4" fillId="0" borderId="0" xfId="3" applyNumberFormat="1" applyFill="1" applyBorder="1"/>
    <xf numFmtId="0" fontId="4" fillId="0" borderId="0" xfId="3" applyFill="1"/>
    <xf numFmtId="43" fontId="26" fillId="0" borderId="37" xfId="1" applyFont="1" applyBorder="1"/>
    <xf numFmtId="43" fontId="24" fillId="0" borderId="0" xfId="1" applyFont="1" applyFill="1" applyBorder="1"/>
    <xf numFmtId="43" fontId="24" fillId="0" borderId="0" xfId="1" applyFont="1" applyBorder="1"/>
    <xf numFmtId="43" fontId="24" fillId="2" borderId="0" xfId="1" applyFont="1" applyFill="1" applyBorder="1"/>
    <xf numFmtId="168" fontId="0" fillId="0" borderId="24" xfId="2" applyNumberFormat="1" applyFont="1" applyFill="1" applyBorder="1"/>
    <xf numFmtId="168" fontId="0" fillId="0" borderId="0" xfId="2" applyNumberFormat="1" applyFont="1" applyFill="1" applyBorder="1"/>
    <xf numFmtId="169" fontId="0" fillId="0" borderId="24" xfId="2" applyNumberFormat="1" applyFont="1" applyFill="1" applyBorder="1"/>
    <xf numFmtId="169" fontId="0" fillId="0" borderId="0" xfId="2" applyNumberFormat="1" applyFont="1" applyFill="1" applyBorder="1"/>
    <xf numFmtId="169" fontId="0" fillId="0" borderId="33" xfId="2" applyNumberFormat="1" applyFont="1" applyFill="1" applyBorder="1"/>
    <xf numFmtId="43" fontId="0" fillId="0" borderId="33" xfId="0" applyNumberFormat="1" applyFill="1" applyBorder="1"/>
    <xf numFmtId="170" fontId="8" fillId="2" borderId="6" xfId="3" applyNumberFormat="1" applyFont="1" applyFill="1" applyBorder="1" applyAlignment="1">
      <alignment horizontal="center"/>
    </xf>
    <xf numFmtId="170" fontId="4" fillId="0" borderId="5" xfId="3" applyNumberFormat="1" applyFont="1" applyFill="1" applyBorder="1" applyAlignment="1">
      <alignment horizontal="center"/>
    </xf>
    <xf numFmtId="15" fontId="4" fillId="0" borderId="0" xfId="3" applyNumberFormat="1" applyFill="1" applyAlignment="1">
      <alignment horizontal="left"/>
    </xf>
    <xf numFmtId="164" fontId="4" fillId="0" borderId="0" xfId="3" applyNumberFormat="1" applyFill="1" applyAlignment="1">
      <alignment horizontal="left"/>
    </xf>
    <xf numFmtId="3" fontId="4" fillId="0" borderId="0" xfId="3" applyNumberFormat="1" applyFill="1"/>
    <xf numFmtId="170" fontId="8" fillId="0" borderId="6" xfId="3" applyNumberFormat="1" applyFont="1" applyFill="1" applyBorder="1" applyAlignment="1">
      <alignment horizontal="center"/>
    </xf>
    <xf numFmtId="17" fontId="0" fillId="0" borderId="0" xfId="0" applyNumberFormat="1" applyFill="1" applyBorder="1"/>
    <xf numFmtId="165" fontId="0" fillId="0" borderId="0" xfId="1" applyNumberFormat="1" applyFont="1" applyFill="1" applyBorder="1"/>
    <xf numFmtId="43" fontId="0" fillId="0" borderId="10" xfId="0" applyNumberFormat="1" applyFill="1" applyBorder="1"/>
    <xf numFmtId="2" fontId="0" fillId="0" borderId="20" xfId="0" applyNumberFormat="1" applyFill="1" applyBorder="1"/>
    <xf numFmtId="0" fontId="0" fillId="0" borderId="21" xfId="0" applyFill="1" applyBorder="1"/>
    <xf numFmtId="0" fontId="0" fillId="0" borderId="22" xfId="0" applyFill="1" applyBorder="1"/>
    <xf numFmtId="43" fontId="0" fillId="0" borderId="22" xfId="0" applyNumberFormat="1" applyFill="1" applyBorder="1"/>
    <xf numFmtId="2" fontId="0" fillId="0" borderId="38" xfId="0" applyNumberFormat="1" applyFill="1" applyBorder="1"/>
    <xf numFmtId="3" fontId="0" fillId="0" borderId="10" xfId="0" applyNumberFormat="1" applyFill="1" applyBorder="1"/>
    <xf numFmtId="3" fontId="0" fillId="0" borderId="22" xfId="0" applyNumberFormat="1" applyFill="1" applyBorder="1"/>
    <xf numFmtId="4" fontId="4" fillId="0" borderId="0" xfId="3" applyNumberFormat="1" applyFill="1"/>
    <xf numFmtId="10" fontId="4" fillId="0" borderId="0" xfId="2" applyNumberFormat="1" applyFont="1" applyFill="1"/>
    <xf numFmtId="171" fontId="0" fillId="0" borderId="24" xfId="0" applyNumberFormat="1" applyFill="1" applyBorder="1"/>
    <xf numFmtId="171" fontId="0" fillId="0" borderId="0" xfId="0" applyNumberFormat="1" applyFill="1" applyBorder="1"/>
    <xf numFmtId="171" fontId="0" fillId="0" borderId="9" xfId="0" applyNumberFormat="1" applyBorder="1" applyAlignment="1">
      <alignment horizontal="center"/>
    </xf>
    <xf numFmtId="171" fontId="0" fillId="0" borderId="0" xfId="0" applyNumberFormat="1" applyFill="1" applyBorder="1" applyAlignment="1">
      <alignment horizontal="right"/>
    </xf>
    <xf numFmtId="171" fontId="0" fillId="0" borderId="0" xfId="0" applyNumberFormat="1" applyFill="1" applyBorder="1" applyAlignment="1">
      <alignment horizontal="right" wrapText="1"/>
    </xf>
    <xf numFmtId="171" fontId="0" fillId="0" borderId="33" xfId="0" applyNumberFormat="1" applyFill="1" applyBorder="1" applyAlignment="1">
      <alignment horizontal="right" wrapText="1"/>
    </xf>
    <xf numFmtId="165" fontId="4" fillId="0" borderId="0" xfId="1" applyNumberFormat="1" applyFont="1"/>
    <xf numFmtId="3" fontId="9" fillId="0" borderId="0" xfId="3" applyNumberFormat="1" applyFont="1" applyFill="1"/>
    <xf numFmtId="3" fontId="9" fillId="0" borderId="0" xfId="3" applyNumberFormat="1" applyFont="1"/>
    <xf numFmtId="0" fontId="27" fillId="0" borderId="0" xfId="3" applyFont="1" applyAlignment="1">
      <alignment horizontal="right"/>
    </xf>
    <xf numFmtId="170" fontId="26" fillId="0" borderId="8" xfId="0" applyNumberFormat="1" applyFont="1" applyFill="1" applyBorder="1"/>
    <xf numFmtId="43" fontId="24" fillId="5" borderId="0" xfId="1" applyNumberFormat="1" applyFont="1" applyFill="1" applyBorder="1"/>
    <xf numFmtId="43" fontId="24" fillId="0" borderId="0" xfId="1" applyNumberFormat="1" applyFont="1" applyBorder="1"/>
    <xf numFmtId="43" fontId="24" fillId="0" borderId="15" xfId="1" applyNumberFormat="1" applyFont="1" applyBorder="1"/>
    <xf numFmtId="0" fontId="24" fillId="0" borderId="0" xfId="0" applyFont="1"/>
    <xf numFmtId="9" fontId="24" fillId="0" borderId="0" xfId="0" applyNumberFormat="1" applyFont="1" applyBorder="1"/>
    <xf numFmtId="0" fontId="0" fillId="0" borderId="0" xfId="0" applyNumberFormat="1"/>
    <xf numFmtId="170" fontId="4" fillId="0" borderId="0" xfId="3" applyNumberFormat="1" applyFill="1"/>
    <xf numFmtId="0" fontId="0" fillId="0" borderId="0" xfId="0" applyAlignment="1">
      <alignment horizontal="left"/>
    </xf>
    <xf numFmtId="0" fontId="0" fillId="0" borderId="0" xfId="0" applyAlignment="1">
      <alignment horizontal="right"/>
    </xf>
    <xf numFmtId="0" fontId="0" fillId="0" borderId="0" xfId="0" applyAlignment="1">
      <alignment horizontal="left" vertical="top"/>
    </xf>
    <xf numFmtId="0" fontId="0" fillId="0" borderId="0" xfId="0" applyAlignment="1">
      <alignment horizontal="right" vertical="top"/>
    </xf>
    <xf numFmtId="0" fontId="3" fillId="0" borderId="0" xfId="0" applyFont="1" applyFill="1" applyBorder="1" applyAlignment="1">
      <alignment horizontal="center"/>
    </xf>
    <xf numFmtId="0" fontId="11" fillId="0" borderId="0" xfId="0" applyFont="1" applyFill="1" applyBorder="1" applyAlignment="1">
      <alignment horizontal="center"/>
    </xf>
    <xf numFmtId="0" fontId="11" fillId="0" borderId="11" xfId="0" applyFont="1" applyBorder="1" applyAlignment="1">
      <alignment horizontal="center"/>
    </xf>
    <xf numFmtId="0" fontId="11" fillId="0" borderId="12" xfId="0" applyFont="1" applyBorder="1" applyAlignment="1">
      <alignment horizontal="center"/>
    </xf>
    <xf numFmtId="0" fontId="11" fillId="0" borderId="13" xfId="0" applyFont="1" applyBorder="1" applyAlignment="1">
      <alignment horizontal="center"/>
    </xf>
    <xf numFmtId="0" fontId="11" fillId="0" borderId="0" xfId="0" applyFont="1" applyFill="1" applyBorder="1" applyAlignment="1">
      <alignment horizontal="center" wrapText="1"/>
    </xf>
    <xf numFmtId="0" fontId="0" fillId="0" borderId="26" xfId="0" applyBorder="1" applyAlignment="1">
      <alignment horizontal="left" vertic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0" fillId="0" borderId="27" xfId="0" applyBorder="1" applyAlignment="1">
      <alignment horizontal="lef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17" fillId="0" borderId="26" xfId="0" applyFont="1" applyBorder="1" applyAlignment="1">
      <alignment horizontal="left" vertical="center" wrapText="1"/>
    </xf>
    <xf numFmtId="0" fontId="17" fillId="0" borderId="5" xfId="0" applyFont="1" applyBorder="1" applyAlignment="1">
      <alignment horizontal="left" vertical="center" wrapText="1"/>
    </xf>
    <xf numFmtId="0" fontId="17" fillId="0" borderId="28" xfId="0" applyFont="1" applyBorder="1" applyAlignment="1">
      <alignment horizontal="left" vertical="center" wrapText="1"/>
    </xf>
    <xf numFmtId="0" fontId="17" fillId="0" borderId="29" xfId="0" applyFont="1" applyBorder="1" applyAlignment="1">
      <alignment horizontal="left" vertical="center" wrapText="1"/>
    </xf>
    <xf numFmtId="0" fontId="17" fillId="0" borderId="30" xfId="0" applyFont="1" applyBorder="1" applyAlignment="1">
      <alignment horizontal="left" vertical="center" wrapText="1"/>
    </xf>
    <xf numFmtId="0" fontId="17" fillId="0" borderId="31" xfId="0" applyFont="1" applyBorder="1" applyAlignment="1">
      <alignment horizontal="left" vertical="center" wrapText="1"/>
    </xf>
    <xf numFmtId="168" fontId="11" fillId="2" borderId="13" xfId="0" applyNumberFormat="1" applyFont="1" applyFill="1" applyBorder="1"/>
  </cellXfs>
  <cellStyles count="173">
    <cellStyle name="Comma" xfId="1" builtinId="3"/>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Normal" xfId="0" builtinId="0"/>
    <cellStyle name="Normal 2" xfId="3"/>
    <cellStyle name="Percent" xfId="2" builtinId="5"/>
    <cellStyle name="Standard 2" xfId="4"/>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externalLink" Target="externalLinks/externalLink1.xml"/><Relationship Id="rId10"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 Id="rId2"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11</xdr:col>
      <xdr:colOff>1079500</xdr:colOff>
      <xdr:row>23</xdr:row>
      <xdr:rowOff>63500</xdr:rowOff>
    </xdr:from>
    <xdr:to>
      <xdr:col>14</xdr:col>
      <xdr:colOff>863600</xdr:colOff>
      <xdr:row>27</xdr:row>
      <xdr:rowOff>101600</xdr:rowOff>
    </xdr:to>
    <xdr:sp macro="" textlink="">
      <xdr:nvSpPr>
        <xdr:cNvPr id="9" name="TextBox 8"/>
        <xdr:cNvSpPr txBox="1"/>
      </xdr:nvSpPr>
      <xdr:spPr>
        <a:xfrm>
          <a:off x="13081000" y="4940300"/>
          <a:ext cx="3251200" cy="8001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tx1"/>
              </a:solidFill>
            </a:rPr>
            <a:t>Power plants</a:t>
          </a:r>
          <a:r>
            <a:rPr lang="en-US" sz="1100" baseline="0">
              <a:solidFill>
                <a:schemeClr val="tx1"/>
              </a:solidFill>
            </a:rPr>
            <a:t> highlighted in yellow are ESKOM owned plants whose data was not available in the ESKOM CEF calculator 2010-2011. </a:t>
          </a:r>
        </a:p>
        <a:p>
          <a:endParaRPr lang="en-US" sz="1100"/>
        </a:p>
      </xdr:txBody>
    </xdr:sp>
    <xdr:clientData/>
  </xdr:twoCellAnchor>
  <xdr:twoCellAnchor>
    <xdr:from>
      <xdr:col>2</xdr:col>
      <xdr:colOff>12700</xdr:colOff>
      <xdr:row>3</xdr:row>
      <xdr:rowOff>38100</xdr:rowOff>
    </xdr:from>
    <xdr:to>
      <xdr:col>6</xdr:col>
      <xdr:colOff>1219200</xdr:colOff>
      <xdr:row>6</xdr:row>
      <xdr:rowOff>215900</xdr:rowOff>
    </xdr:to>
    <xdr:sp macro="" textlink="">
      <xdr:nvSpPr>
        <xdr:cNvPr id="10" name="TextBox 9"/>
        <xdr:cNvSpPr txBox="1"/>
      </xdr:nvSpPr>
      <xdr:spPr>
        <a:xfrm>
          <a:off x="1663700" y="685800"/>
          <a:ext cx="5359400" cy="8636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ESKOM supplies 95% of the electricity</a:t>
          </a:r>
          <a:r>
            <a:rPr lang="en-US" sz="1100" baseline="0"/>
            <a:t> to the grid system. 5% of the generated electricity is supplied by municipalities and IPPs. For the assessment of the grid emission factor, only ESKOM power plants are considered.</a:t>
          </a:r>
          <a:endParaRPr lang="en-US" sz="1100"/>
        </a:p>
      </xdr:txBody>
    </xdr:sp>
    <xdr:clientData/>
  </xdr:twoCellAnchor>
  <xdr:twoCellAnchor>
    <xdr:from>
      <xdr:col>10</xdr:col>
      <xdr:colOff>12700</xdr:colOff>
      <xdr:row>25</xdr:row>
      <xdr:rowOff>82550</xdr:rowOff>
    </xdr:from>
    <xdr:to>
      <xdr:col>11</xdr:col>
      <xdr:colOff>1079500</xdr:colOff>
      <xdr:row>27</xdr:row>
      <xdr:rowOff>114300</xdr:rowOff>
    </xdr:to>
    <xdr:cxnSp macro="">
      <xdr:nvCxnSpPr>
        <xdr:cNvPr id="12" name="Straight Arrow Connector 11"/>
        <xdr:cNvCxnSpPr>
          <a:stCxn id="9" idx="1"/>
        </xdr:cNvCxnSpPr>
      </xdr:nvCxnSpPr>
      <xdr:spPr>
        <a:xfrm flipH="1">
          <a:off x="10858500" y="5340350"/>
          <a:ext cx="2222500" cy="41275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11</xdr:col>
      <xdr:colOff>431800</xdr:colOff>
      <xdr:row>36</xdr:row>
      <xdr:rowOff>0</xdr:rowOff>
    </xdr:from>
    <xdr:to>
      <xdr:col>13</xdr:col>
      <xdr:colOff>292100</xdr:colOff>
      <xdr:row>40</xdr:row>
      <xdr:rowOff>38100</xdr:rowOff>
    </xdr:to>
    <xdr:sp macro="" textlink="">
      <xdr:nvSpPr>
        <xdr:cNvPr id="2" name="TextBox 1"/>
        <xdr:cNvSpPr txBox="1"/>
      </xdr:nvSpPr>
      <xdr:spPr>
        <a:xfrm>
          <a:off x="14236700" y="7353300"/>
          <a:ext cx="2171700" cy="8001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Pumped</a:t>
          </a:r>
          <a:r>
            <a:rPr lang="en-US" sz="1100" baseline="0"/>
            <a:t> storage systems are net users of electricity and thus are not included in the calculation of the grid emission factor.</a:t>
          </a:r>
          <a:endParaRPr lang="en-US" sz="1100"/>
        </a:p>
      </xdr:txBody>
    </xdr:sp>
    <xdr:clientData/>
  </xdr:twoCellAnchor>
  <xdr:twoCellAnchor>
    <xdr:from>
      <xdr:col>10</xdr:col>
      <xdr:colOff>12700</xdr:colOff>
      <xdr:row>38</xdr:row>
      <xdr:rowOff>19050</xdr:rowOff>
    </xdr:from>
    <xdr:to>
      <xdr:col>11</xdr:col>
      <xdr:colOff>431800</xdr:colOff>
      <xdr:row>38</xdr:row>
      <xdr:rowOff>152400</xdr:rowOff>
    </xdr:to>
    <xdr:cxnSp macro="">
      <xdr:nvCxnSpPr>
        <xdr:cNvPr id="4" name="Straight Arrow Connector 3"/>
        <xdr:cNvCxnSpPr>
          <a:stCxn id="2" idx="1"/>
        </xdr:cNvCxnSpPr>
      </xdr:nvCxnSpPr>
      <xdr:spPr>
        <a:xfrm flipH="1">
          <a:off x="10858500" y="7753350"/>
          <a:ext cx="3378200" cy="13335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812800</xdr:colOff>
      <xdr:row>8</xdr:row>
      <xdr:rowOff>127000</xdr:rowOff>
    </xdr:from>
    <xdr:to>
      <xdr:col>6</xdr:col>
      <xdr:colOff>393700</xdr:colOff>
      <xdr:row>18</xdr:row>
      <xdr:rowOff>88900</xdr:rowOff>
    </xdr:to>
    <xdr:sp macro="" textlink="">
      <xdr:nvSpPr>
        <xdr:cNvPr id="2" name="TextBox 1"/>
        <xdr:cNvSpPr txBox="1"/>
      </xdr:nvSpPr>
      <xdr:spPr>
        <a:xfrm>
          <a:off x="812800" y="1727200"/>
          <a:ext cx="4762500" cy="20828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200"/>
            <a:t>1) The parameter EFel,m,y</a:t>
          </a:r>
          <a:r>
            <a:rPr lang="en-US" sz="1200" baseline="0"/>
            <a:t> was calculated using equation 2, option A1 shown below:</a:t>
          </a:r>
        </a:p>
        <a:p>
          <a:endParaRPr lang="en-US" sz="1400" baseline="0"/>
        </a:p>
        <a:p>
          <a:endParaRPr lang="en-US" sz="1100" baseline="0"/>
        </a:p>
        <a:p>
          <a:endParaRPr lang="en-US" sz="1100"/>
        </a:p>
      </xdr:txBody>
    </xdr:sp>
    <xdr:clientData/>
  </xdr:twoCellAnchor>
  <xdr:twoCellAnchor editAs="oneCell">
    <xdr:from>
      <xdr:col>1</xdr:col>
      <xdr:colOff>165100</xdr:colOff>
      <xdr:row>11</xdr:row>
      <xdr:rowOff>112438</xdr:rowOff>
    </xdr:from>
    <xdr:to>
      <xdr:col>6</xdr:col>
      <xdr:colOff>114300</xdr:colOff>
      <xdr:row>16</xdr:row>
      <xdr:rowOff>139700</xdr:rowOff>
    </xdr:to>
    <xdr:pic>
      <xdr:nvPicPr>
        <xdr:cNvPr id="3" name="Picture 2"/>
        <xdr:cNvPicPr>
          <a:picLocks noChangeAspect="1"/>
        </xdr:cNvPicPr>
      </xdr:nvPicPr>
      <xdr:blipFill>
        <a:blip xmlns:r="http://schemas.openxmlformats.org/officeDocument/2006/relationships" r:embed="rId1"/>
        <a:stretch>
          <a:fillRect/>
        </a:stretch>
      </xdr:blipFill>
      <xdr:spPr>
        <a:xfrm>
          <a:off x="990600" y="2500038"/>
          <a:ext cx="4305300" cy="979762"/>
        </a:xfrm>
        <a:prstGeom prst="rect">
          <a:avLst/>
        </a:prstGeom>
      </xdr:spPr>
    </xdr:pic>
    <xdr:clientData/>
  </xdr:twoCellAnchor>
  <xdr:twoCellAnchor>
    <xdr:from>
      <xdr:col>10</xdr:col>
      <xdr:colOff>1003300</xdr:colOff>
      <xdr:row>4</xdr:row>
      <xdr:rowOff>0</xdr:rowOff>
    </xdr:from>
    <xdr:to>
      <xdr:col>14</xdr:col>
      <xdr:colOff>101600</xdr:colOff>
      <xdr:row>7</xdr:row>
      <xdr:rowOff>127000</xdr:rowOff>
    </xdr:to>
    <xdr:sp macro="" textlink="">
      <xdr:nvSpPr>
        <xdr:cNvPr id="4" name="TextBox 3"/>
        <xdr:cNvSpPr txBox="1"/>
      </xdr:nvSpPr>
      <xdr:spPr>
        <a:xfrm>
          <a:off x="9486900" y="800100"/>
          <a:ext cx="3124200" cy="7366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NCV Values</a:t>
          </a:r>
          <a:r>
            <a:rPr lang="en-US" sz="1100" baseline="0"/>
            <a:t> are obtained from Chapter 1 of the 2006 IPCC guidelines for National green house gas inventories using the lower confidence interval. </a:t>
          </a:r>
          <a:endParaRPr lang="en-US" sz="1100"/>
        </a:p>
      </xdr:txBody>
    </xdr:sp>
    <xdr:clientData/>
  </xdr:twoCellAnchor>
  <xdr:twoCellAnchor>
    <xdr:from>
      <xdr:col>14</xdr:col>
      <xdr:colOff>800100</xdr:colOff>
      <xdr:row>2</xdr:row>
      <xdr:rowOff>12700</xdr:rowOff>
    </xdr:from>
    <xdr:to>
      <xdr:col>17</xdr:col>
      <xdr:colOff>749300</xdr:colOff>
      <xdr:row>8</xdr:row>
      <xdr:rowOff>38100</xdr:rowOff>
    </xdr:to>
    <xdr:sp macro="" textlink="">
      <xdr:nvSpPr>
        <xdr:cNvPr id="6" name="TextBox 5"/>
        <xdr:cNvSpPr txBox="1"/>
      </xdr:nvSpPr>
      <xdr:spPr>
        <a:xfrm>
          <a:off x="13309600" y="393700"/>
          <a:ext cx="2971800" cy="1244600"/>
        </a:xfrm>
        <a:prstGeom prst="rect">
          <a:avLst/>
        </a:prstGeom>
        <a:ln>
          <a:tailEnd type="arrow"/>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baseline="0">
              <a:solidFill>
                <a:schemeClr val="dk1"/>
              </a:solidFill>
              <a:latin typeface="+mn-lt"/>
              <a:ea typeface="+mn-ea"/>
              <a:cs typeface="+mn-cs"/>
            </a:rPr>
            <a:t>EFCO2 values are obtained from Chapter 1 of the 2006 IPCC guidelines for National green house gas inventories. Values for the coal fired power plants are from the fuel name 'other bituminous' while for acacia and portrex jet kerosene was used. For ankerlig and gourikwa values for gas/diesel oil were used.</a:t>
          </a:r>
        </a:p>
      </xdr:txBody>
    </xdr:sp>
    <xdr:clientData/>
  </xdr:twoCellAnchor>
  <xdr:twoCellAnchor>
    <xdr:from>
      <xdr:col>1</xdr:col>
      <xdr:colOff>12700</xdr:colOff>
      <xdr:row>19</xdr:row>
      <xdr:rowOff>177800</xdr:rowOff>
    </xdr:from>
    <xdr:to>
      <xdr:col>6</xdr:col>
      <xdr:colOff>393700</xdr:colOff>
      <xdr:row>23</xdr:row>
      <xdr:rowOff>177800</xdr:rowOff>
    </xdr:to>
    <xdr:sp macro="" textlink="">
      <xdr:nvSpPr>
        <xdr:cNvPr id="8" name="TextBox 7"/>
        <xdr:cNvSpPr txBox="1"/>
      </xdr:nvSpPr>
      <xdr:spPr>
        <a:xfrm>
          <a:off x="838200" y="4089400"/>
          <a:ext cx="4737100" cy="7620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Density of</a:t>
          </a:r>
          <a:r>
            <a:rPr lang="en-US" sz="1100" baseline="0"/>
            <a:t> jet kerosene obtained from </a:t>
          </a:r>
          <a:r>
            <a:rPr lang="de-DE" sz="1100" baseline="0"/>
            <a:t>http://en.wikipedia.org/wiki/Kerosene is used to convert fuel consumption in liters to Kg for our calculation.</a:t>
          </a:r>
        </a:p>
        <a:p>
          <a:r>
            <a:rPr lang="de-DE" sz="1100" baseline="0"/>
            <a:t>Density of diesel oil is obtained from </a:t>
          </a:r>
          <a:r>
            <a:rPr lang="en-US" sz="1100" baseline="0"/>
            <a:t>http://www.csgnetwork.com/specificgravliqtable.html accessed on 14-02-2012</a:t>
          </a:r>
          <a:endParaRPr lang="en-US" sz="1100"/>
        </a:p>
      </xdr:txBody>
    </xdr:sp>
    <xdr:clientData/>
  </xdr:twoCellAnchor>
  <xdr:twoCellAnchor>
    <xdr:from>
      <xdr:col>11</xdr:col>
      <xdr:colOff>660400</xdr:colOff>
      <xdr:row>7</xdr:row>
      <xdr:rowOff>127000</xdr:rowOff>
    </xdr:from>
    <xdr:to>
      <xdr:col>12</xdr:col>
      <xdr:colOff>685800</xdr:colOff>
      <xdr:row>9</xdr:row>
      <xdr:rowOff>38100</xdr:rowOff>
    </xdr:to>
    <xdr:cxnSp macro="">
      <xdr:nvCxnSpPr>
        <xdr:cNvPr id="13" name="Straight Arrow Connector 12"/>
        <xdr:cNvCxnSpPr>
          <a:stCxn id="4" idx="2"/>
        </xdr:cNvCxnSpPr>
      </xdr:nvCxnSpPr>
      <xdr:spPr>
        <a:xfrm flipH="1">
          <a:off x="10198100" y="1536700"/>
          <a:ext cx="850900" cy="3048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12</xdr:col>
      <xdr:colOff>977900</xdr:colOff>
      <xdr:row>5</xdr:row>
      <xdr:rowOff>25400</xdr:rowOff>
    </xdr:from>
    <xdr:to>
      <xdr:col>14</xdr:col>
      <xdr:colOff>800100</xdr:colOff>
      <xdr:row>9</xdr:row>
      <xdr:rowOff>266700</xdr:rowOff>
    </xdr:to>
    <xdr:cxnSp macro="">
      <xdr:nvCxnSpPr>
        <xdr:cNvPr id="15" name="Straight Arrow Connector 14"/>
        <xdr:cNvCxnSpPr>
          <a:stCxn id="6" idx="1"/>
        </xdr:cNvCxnSpPr>
      </xdr:nvCxnSpPr>
      <xdr:spPr>
        <a:xfrm flipH="1">
          <a:off x="11341100" y="1016000"/>
          <a:ext cx="1968500" cy="10541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xdr:col>
      <xdr:colOff>0</xdr:colOff>
      <xdr:row>27</xdr:row>
      <xdr:rowOff>0</xdr:rowOff>
    </xdr:from>
    <xdr:to>
      <xdr:col>6</xdr:col>
      <xdr:colOff>774700</xdr:colOff>
      <xdr:row>39</xdr:row>
      <xdr:rowOff>139700</xdr:rowOff>
    </xdr:to>
    <xdr:sp macro="" textlink="">
      <xdr:nvSpPr>
        <xdr:cNvPr id="16" name="TextBox 15"/>
        <xdr:cNvSpPr txBox="1"/>
      </xdr:nvSpPr>
      <xdr:spPr>
        <a:xfrm>
          <a:off x="825500" y="5664200"/>
          <a:ext cx="5130800" cy="26797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200"/>
            <a:t>2) If for a power unit m only data on electricity generation and the fuel types used is</a:t>
          </a:r>
          <a:r>
            <a:rPr lang="en-US" sz="1200" baseline="0"/>
            <a:t> </a:t>
          </a:r>
          <a:r>
            <a:rPr lang="en-US" sz="1200"/>
            <a:t>available, the emission factor should be determined based on the CO2 emission factor of the fuel</a:t>
          </a:r>
          <a:r>
            <a:rPr lang="en-US" sz="1200" baseline="0"/>
            <a:t> </a:t>
          </a:r>
          <a:r>
            <a:rPr lang="en-US" sz="1200"/>
            <a:t>type used and the efficiency of the power unit, as follows: This was used for Acacia portrex,</a:t>
          </a:r>
          <a:r>
            <a:rPr lang="en-US" sz="1200" baseline="0"/>
            <a:t> ankerlig and gourikwa for the year 2009-2010.</a:t>
          </a:r>
        </a:p>
        <a:p>
          <a:endParaRPr lang="en-US" sz="1200" baseline="0"/>
        </a:p>
        <a:p>
          <a:endParaRPr lang="en-US" sz="1200" baseline="0"/>
        </a:p>
        <a:p>
          <a:endParaRPr lang="en-US" sz="1200"/>
        </a:p>
        <a:p>
          <a:endParaRPr lang="en-US" sz="1100"/>
        </a:p>
        <a:p>
          <a:endParaRPr lang="en-US" sz="1100"/>
        </a:p>
      </xdr:txBody>
    </xdr:sp>
    <xdr:clientData/>
  </xdr:twoCellAnchor>
  <xdr:twoCellAnchor editAs="oneCell">
    <xdr:from>
      <xdr:col>1</xdr:col>
      <xdr:colOff>660399</xdr:colOff>
      <xdr:row>33</xdr:row>
      <xdr:rowOff>50800</xdr:rowOff>
    </xdr:from>
    <xdr:to>
      <xdr:col>5</xdr:col>
      <xdr:colOff>195556</xdr:colOff>
      <xdr:row>37</xdr:row>
      <xdr:rowOff>152400</xdr:rowOff>
    </xdr:to>
    <xdr:pic>
      <xdr:nvPicPr>
        <xdr:cNvPr id="17" name="Picture 16"/>
        <xdr:cNvPicPr>
          <a:picLocks noChangeAspect="1"/>
        </xdr:cNvPicPr>
      </xdr:nvPicPr>
      <xdr:blipFill>
        <a:blip xmlns:r="http://schemas.openxmlformats.org/officeDocument/2006/relationships" r:embed="rId2"/>
        <a:stretch>
          <a:fillRect/>
        </a:stretch>
      </xdr:blipFill>
      <xdr:spPr>
        <a:xfrm>
          <a:off x="1485899" y="6896100"/>
          <a:ext cx="3065757" cy="1079500"/>
        </a:xfrm>
        <a:prstGeom prst="rect">
          <a:avLst/>
        </a:prstGeom>
      </xdr:spPr>
    </xdr:pic>
    <xdr:clientData/>
  </xdr:twoCellAnchor>
  <xdr:twoCellAnchor>
    <xdr:from>
      <xdr:col>18</xdr:col>
      <xdr:colOff>0</xdr:colOff>
      <xdr:row>42</xdr:row>
      <xdr:rowOff>0</xdr:rowOff>
    </xdr:from>
    <xdr:to>
      <xdr:col>21</xdr:col>
      <xdr:colOff>76200</xdr:colOff>
      <xdr:row>45</xdr:row>
      <xdr:rowOff>88900</xdr:rowOff>
    </xdr:to>
    <xdr:sp macro="" textlink="">
      <xdr:nvSpPr>
        <xdr:cNvPr id="19" name="TextBox 18"/>
        <xdr:cNvSpPr txBox="1"/>
      </xdr:nvSpPr>
      <xdr:spPr>
        <a:xfrm>
          <a:off x="16357600" y="8775700"/>
          <a:ext cx="2552700" cy="6604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Open gas turbine fueled by oil (see annex 1 of the tool to calculate the emission factor for an electricity system.</a:t>
          </a:r>
        </a:p>
      </xdr:txBody>
    </xdr:sp>
    <xdr:clientData/>
  </xdr:twoCellAnchor>
  <xdr:twoCellAnchor>
    <xdr:from>
      <xdr:col>18</xdr:col>
      <xdr:colOff>558800</xdr:colOff>
      <xdr:row>45</xdr:row>
      <xdr:rowOff>88900</xdr:rowOff>
    </xdr:from>
    <xdr:to>
      <xdr:col>19</xdr:col>
      <xdr:colOff>450850</xdr:colOff>
      <xdr:row>47</xdr:row>
      <xdr:rowOff>190500</xdr:rowOff>
    </xdr:to>
    <xdr:cxnSp macro="">
      <xdr:nvCxnSpPr>
        <xdr:cNvPr id="21" name="Straight Arrow Connector 20"/>
        <xdr:cNvCxnSpPr>
          <a:stCxn id="19" idx="2"/>
        </xdr:cNvCxnSpPr>
      </xdr:nvCxnSpPr>
      <xdr:spPr>
        <a:xfrm flipH="1">
          <a:off x="16916400" y="9436100"/>
          <a:ext cx="717550" cy="4826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723900</xdr:colOff>
      <xdr:row>4</xdr:row>
      <xdr:rowOff>152400</xdr:rowOff>
    </xdr:from>
    <xdr:to>
      <xdr:col>6</xdr:col>
      <xdr:colOff>749300</xdr:colOff>
      <xdr:row>22</xdr:row>
      <xdr:rowOff>0</xdr:rowOff>
    </xdr:to>
    <xdr:sp macro="" textlink="">
      <xdr:nvSpPr>
        <xdr:cNvPr id="2" name="TextBox 1"/>
        <xdr:cNvSpPr txBox="1"/>
      </xdr:nvSpPr>
      <xdr:spPr>
        <a:xfrm>
          <a:off x="723900" y="1028700"/>
          <a:ext cx="4978400" cy="34925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The average OM emission factor (EFgrid,OM-ave,y) is calculated as the average emission rate of all power</a:t>
          </a:r>
          <a:r>
            <a:rPr lang="en-US" sz="1100" baseline="0"/>
            <a:t> </a:t>
          </a:r>
          <a:r>
            <a:rPr lang="en-US" sz="1100"/>
            <a:t>plants serving the grid, using the methodological guidance as described under (a) above for the simple</a:t>
          </a:r>
          <a:r>
            <a:rPr lang="en-US" sz="1100" baseline="0"/>
            <a:t> </a:t>
          </a:r>
          <a:r>
            <a:rPr lang="en-US" sz="1100"/>
            <a:t>OM, but also including the low-cost/must-run power plants in all equations:</a:t>
          </a:r>
        </a:p>
        <a:p>
          <a:endParaRPr lang="en-US" sz="1100"/>
        </a:p>
        <a:p>
          <a:r>
            <a:rPr lang="en-US" sz="1100"/>
            <a:t>The</a:t>
          </a:r>
          <a:r>
            <a:rPr lang="en-US" sz="1100" baseline="0"/>
            <a:t> equation used is thus:</a:t>
          </a:r>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r>
            <a:rPr lang="en-US" sz="1100" baseline="0"/>
            <a:t>Where m represents all power plants connected to the grid.</a:t>
          </a:r>
        </a:p>
      </xdr:txBody>
    </xdr:sp>
    <xdr:clientData/>
  </xdr:twoCellAnchor>
  <mc:AlternateContent xmlns:mc="http://schemas.openxmlformats.org/markup-compatibility/2006">
    <mc:Choice xmlns:a14="http://schemas.microsoft.com/office/drawing/2010/main" Requires="a14">
      <xdr:twoCellAnchor editAs="oneCell">
        <xdr:from>
          <xdr:col>1</xdr:col>
          <xdr:colOff>254000</xdr:colOff>
          <xdr:row>10</xdr:row>
          <xdr:rowOff>165100</xdr:rowOff>
        </xdr:from>
        <xdr:to>
          <xdr:col>5</xdr:col>
          <xdr:colOff>50800</xdr:colOff>
          <xdr:row>15</xdr:row>
          <xdr:rowOff>101600</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xdr:twoCellAnchor>
    <xdr:from>
      <xdr:col>7</xdr:col>
      <xdr:colOff>88900</xdr:colOff>
      <xdr:row>31</xdr:row>
      <xdr:rowOff>139700</xdr:rowOff>
    </xdr:from>
    <xdr:to>
      <xdr:col>9</xdr:col>
      <xdr:colOff>419100</xdr:colOff>
      <xdr:row>36</xdr:row>
      <xdr:rowOff>139700</xdr:rowOff>
    </xdr:to>
    <xdr:sp macro="" textlink="">
      <xdr:nvSpPr>
        <xdr:cNvPr id="4" name="TextBox 3"/>
        <xdr:cNvSpPr txBox="1"/>
      </xdr:nvSpPr>
      <xdr:spPr>
        <a:xfrm>
          <a:off x="5867400" y="6134100"/>
          <a:ext cx="1981200" cy="9525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Pumped storage being net consumers of power</a:t>
          </a:r>
          <a:r>
            <a:rPr lang="en-US" sz="1100" baseline="0"/>
            <a:t> are not considered in the calculaton of the GEF.</a:t>
          </a:r>
          <a:endParaRPr lang="en-US" sz="1100"/>
        </a:p>
      </xdr:txBody>
    </xdr:sp>
    <xdr:clientData/>
  </xdr:twoCellAnchor>
  <xdr:twoCellAnchor>
    <xdr:from>
      <xdr:col>7</xdr:col>
      <xdr:colOff>266700</xdr:colOff>
      <xdr:row>38</xdr:row>
      <xdr:rowOff>558800</xdr:rowOff>
    </xdr:from>
    <xdr:to>
      <xdr:col>9</xdr:col>
      <xdr:colOff>381000</xdr:colOff>
      <xdr:row>39</xdr:row>
      <xdr:rowOff>215900</xdr:rowOff>
    </xdr:to>
    <xdr:sp macro="" textlink="">
      <xdr:nvSpPr>
        <xdr:cNvPr id="6" name="TextBox 5"/>
        <xdr:cNvSpPr txBox="1"/>
      </xdr:nvSpPr>
      <xdr:spPr>
        <a:xfrm>
          <a:off x="6045200" y="8305800"/>
          <a:ext cx="1765300" cy="9906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Generation data is</a:t>
          </a:r>
          <a:r>
            <a:rPr lang="en-US" sz="1100" baseline="0"/>
            <a:t> obtained form monitoring reports</a:t>
          </a:r>
          <a:endParaRPr lang="en-US" sz="1100"/>
        </a:p>
      </xdr:txBody>
    </xdr:sp>
    <xdr:clientData/>
  </xdr:twoCellAnchor>
  <xdr:twoCellAnchor>
    <xdr:from>
      <xdr:col>9</xdr:col>
      <xdr:colOff>419100</xdr:colOff>
      <xdr:row>34</xdr:row>
      <xdr:rowOff>25400</xdr:rowOff>
    </xdr:from>
    <xdr:to>
      <xdr:col>10</xdr:col>
      <xdr:colOff>63500</xdr:colOff>
      <xdr:row>34</xdr:row>
      <xdr:rowOff>44450</xdr:rowOff>
    </xdr:to>
    <xdr:cxnSp macro="">
      <xdr:nvCxnSpPr>
        <xdr:cNvPr id="8" name="Straight Arrow Connector 7"/>
        <xdr:cNvCxnSpPr>
          <a:stCxn id="4" idx="3"/>
        </xdr:cNvCxnSpPr>
      </xdr:nvCxnSpPr>
      <xdr:spPr>
        <a:xfrm flipV="1">
          <a:off x="7848600" y="7048500"/>
          <a:ext cx="469900" cy="1905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381000</xdr:colOff>
      <xdr:row>38</xdr:row>
      <xdr:rowOff>1041400</xdr:rowOff>
    </xdr:from>
    <xdr:to>
      <xdr:col>10</xdr:col>
      <xdr:colOff>12700</xdr:colOff>
      <xdr:row>38</xdr:row>
      <xdr:rowOff>1054100</xdr:rowOff>
    </xdr:to>
    <xdr:cxnSp macro="">
      <xdr:nvCxnSpPr>
        <xdr:cNvPr id="12" name="Straight Arrow Connector 11"/>
        <xdr:cNvCxnSpPr>
          <a:stCxn id="6" idx="3"/>
        </xdr:cNvCxnSpPr>
      </xdr:nvCxnSpPr>
      <xdr:spPr>
        <a:xfrm flipV="1">
          <a:off x="7810500" y="9245600"/>
          <a:ext cx="457200" cy="127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25400</xdr:colOff>
      <xdr:row>3</xdr:row>
      <xdr:rowOff>12700</xdr:rowOff>
    </xdr:from>
    <xdr:to>
      <xdr:col>15</xdr:col>
      <xdr:colOff>25400</xdr:colOff>
      <xdr:row>16</xdr:row>
      <xdr:rowOff>177800</xdr:rowOff>
    </xdr:to>
    <xdr:sp macro="" textlink="">
      <xdr:nvSpPr>
        <xdr:cNvPr id="2" name="TextBox 1"/>
        <xdr:cNvSpPr txBox="1"/>
      </xdr:nvSpPr>
      <xdr:spPr>
        <a:xfrm>
          <a:off x="10960100" y="622300"/>
          <a:ext cx="5295900" cy="28956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200"/>
            <a:t>The build margin emissions factor is the generation-weighted average emission factor (tCO2/MWh) of all</a:t>
          </a:r>
          <a:r>
            <a:rPr lang="en-US" sz="1200" baseline="0"/>
            <a:t> </a:t>
          </a:r>
          <a:r>
            <a:rPr lang="en-US" sz="1200"/>
            <a:t>power units m during the most recent year y for which electricity generation data is available, calculated as</a:t>
          </a:r>
          <a:r>
            <a:rPr lang="en-US" sz="1200" baseline="0"/>
            <a:t> </a:t>
          </a:r>
          <a:r>
            <a:rPr lang="en-US" sz="1200"/>
            <a:t>follows:</a:t>
          </a:r>
        </a:p>
        <a:p>
          <a:endParaRPr lang="en-US" sz="1200"/>
        </a:p>
        <a:p>
          <a:endParaRPr lang="en-US" sz="1200"/>
        </a:p>
        <a:p>
          <a:endParaRPr lang="en-US" sz="1200"/>
        </a:p>
      </xdr:txBody>
    </xdr:sp>
    <xdr:clientData/>
  </xdr:twoCellAnchor>
  <xdr:twoCellAnchor editAs="oneCell">
    <xdr:from>
      <xdr:col>10</xdr:col>
      <xdr:colOff>101600</xdr:colOff>
      <xdr:row>6</xdr:row>
      <xdr:rowOff>299065</xdr:rowOff>
    </xdr:from>
    <xdr:to>
      <xdr:col>13</xdr:col>
      <xdr:colOff>762000</xdr:colOff>
      <xdr:row>14</xdr:row>
      <xdr:rowOff>165101</xdr:rowOff>
    </xdr:to>
    <xdr:pic>
      <xdr:nvPicPr>
        <xdr:cNvPr id="5" name="Picture 4"/>
        <xdr:cNvPicPr>
          <a:picLocks noChangeAspect="1"/>
        </xdr:cNvPicPr>
      </xdr:nvPicPr>
      <xdr:blipFill>
        <a:blip xmlns:r="http://schemas.openxmlformats.org/officeDocument/2006/relationships" r:embed="rId1"/>
        <a:stretch>
          <a:fillRect/>
        </a:stretch>
      </xdr:blipFill>
      <xdr:spPr>
        <a:xfrm>
          <a:off x="11861800" y="1530965"/>
          <a:ext cx="3479800" cy="1593236"/>
        </a:xfrm>
        <a:prstGeom prst="rect">
          <a:avLst/>
        </a:prstGeom>
        <a:ln w="9525" cmpd="sng">
          <a:solidFill>
            <a:schemeClr val="tx1"/>
          </a:solidFill>
        </a:ln>
      </xdr:spPr>
    </xdr:pic>
    <xdr:clientData/>
  </xdr:twoCellAnchor>
  <xdr:twoCellAnchor>
    <xdr:from>
      <xdr:col>1</xdr:col>
      <xdr:colOff>12700</xdr:colOff>
      <xdr:row>95</xdr:row>
      <xdr:rowOff>12700</xdr:rowOff>
    </xdr:from>
    <xdr:to>
      <xdr:col>6</xdr:col>
      <xdr:colOff>127000</xdr:colOff>
      <xdr:row>109</xdr:row>
      <xdr:rowOff>152400</xdr:rowOff>
    </xdr:to>
    <xdr:sp macro="" textlink="">
      <xdr:nvSpPr>
        <xdr:cNvPr id="3" name="TextBox 2"/>
        <xdr:cNvSpPr txBox="1"/>
      </xdr:nvSpPr>
      <xdr:spPr>
        <a:xfrm>
          <a:off x="838200" y="25107900"/>
          <a:ext cx="7200900" cy="28067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200"/>
            <a:t>On</a:t>
          </a:r>
          <a:r>
            <a:rPr lang="en-US" sz="1200" baseline="0"/>
            <a:t> the value EF</a:t>
          </a:r>
          <a:r>
            <a:rPr lang="en-US" sz="700" baseline="0"/>
            <a:t>EL,m,y</a:t>
          </a:r>
          <a:r>
            <a:rPr lang="en-US" sz="1200" baseline="0"/>
            <a:t> the tool stipulates that:</a:t>
          </a:r>
        </a:p>
        <a:p>
          <a:r>
            <a:rPr lang="en-US" sz="1200" baseline="0"/>
            <a:t>" </a:t>
          </a:r>
          <a:r>
            <a:rPr lang="en-US" sz="1200" i="1" baseline="0"/>
            <a:t>If the power units included in the build margin m correspond to the sample group SETsample-CDM-&gt;10yrs, then, as a conservative approach, </a:t>
          </a:r>
          <a:r>
            <a:rPr lang="en-US" sz="1200" b="1" i="1" baseline="0"/>
            <a:t>only option A2 from guidance in Step 4 (a) </a:t>
          </a:r>
          <a:r>
            <a:rPr lang="en-US" sz="1200" i="1" baseline="0"/>
            <a:t>can be used and the default values</a:t>
          </a:r>
        </a:p>
        <a:p>
          <a:r>
            <a:rPr lang="en-US" sz="1200" i="1" baseline="0"/>
            <a:t>provided in Annex 1 shall be used to determine the parameter η</a:t>
          </a:r>
          <a:r>
            <a:rPr lang="en-US" sz="700" i="1" baseline="0"/>
            <a:t>m,y</a:t>
          </a:r>
          <a:r>
            <a:rPr lang="en-US" sz="1200" i="1" baseline="0"/>
            <a:t>."</a:t>
          </a:r>
        </a:p>
        <a:p>
          <a:endParaRPr lang="en-US" sz="1200" baseline="0"/>
        </a:p>
        <a:p>
          <a:r>
            <a:rPr lang="en-US" sz="1200" baseline="0"/>
            <a:t>Calculation of EF</a:t>
          </a:r>
          <a:r>
            <a:rPr lang="en-US" sz="700" baseline="0"/>
            <a:t>EL,m,  </a:t>
          </a:r>
          <a:r>
            <a:rPr lang="en-US" sz="1200" baseline="0"/>
            <a:t> for the power units m included in the build margin was calculated using the equation shown below:</a:t>
          </a:r>
        </a:p>
        <a:p>
          <a:endParaRPr lang="en-US" sz="1200"/>
        </a:p>
        <a:p>
          <a:endParaRPr lang="en-US" sz="1200"/>
        </a:p>
      </xdr:txBody>
    </xdr:sp>
    <xdr:clientData/>
  </xdr:twoCellAnchor>
  <xdr:twoCellAnchor editAs="oneCell">
    <xdr:from>
      <xdr:col>2</xdr:col>
      <xdr:colOff>368300</xdr:colOff>
      <xdr:row>103</xdr:row>
      <xdr:rowOff>50800</xdr:rowOff>
    </xdr:from>
    <xdr:to>
      <xdr:col>4</xdr:col>
      <xdr:colOff>406400</xdr:colOff>
      <xdr:row>109</xdr:row>
      <xdr:rowOff>21089</xdr:rowOff>
    </xdr:to>
    <xdr:pic>
      <xdr:nvPicPr>
        <xdr:cNvPr id="4" name="Picture 3"/>
        <xdr:cNvPicPr>
          <a:picLocks noChangeAspect="1"/>
        </xdr:cNvPicPr>
      </xdr:nvPicPr>
      <xdr:blipFill>
        <a:blip xmlns:r="http://schemas.openxmlformats.org/officeDocument/2006/relationships" r:embed="rId2"/>
        <a:stretch>
          <a:fillRect/>
        </a:stretch>
      </xdr:blipFill>
      <xdr:spPr>
        <a:xfrm>
          <a:off x="2019300" y="26670000"/>
          <a:ext cx="3251200" cy="1113289"/>
        </a:xfrm>
        <a:prstGeom prst="rect">
          <a:avLst/>
        </a:prstGeom>
        <a:ln w="9525" cmpd="sng">
          <a:solidFill>
            <a:schemeClr val="tx1"/>
          </a:solidFill>
        </a:ln>
      </xdr:spPr>
    </xdr:pic>
    <xdr:clientData/>
  </xdr:twoCellAnchor>
  <xdr:twoCellAnchor>
    <xdr:from>
      <xdr:col>6</xdr:col>
      <xdr:colOff>774700</xdr:colOff>
      <xdr:row>104</xdr:row>
      <xdr:rowOff>152400</xdr:rowOff>
    </xdr:from>
    <xdr:to>
      <xdr:col>10</xdr:col>
      <xdr:colOff>927100</xdr:colOff>
      <xdr:row>109</xdr:row>
      <xdr:rowOff>38100</xdr:rowOff>
    </xdr:to>
    <xdr:sp macro="" textlink="">
      <xdr:nvSpPr>
        <xdr:cNvPr id="6" name="TextBox 5"/>
        <xdr:cNvSpPr txBox="1"/>
      </xdr:nvSpPr>
      <xdr:spPr>
        <a:xfrm>
          <a:off x="8686800" y="26962100"/>
          <a:ext cx="4000500" cy="8382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The values</a:t>
          </a:r>
          <a:r>
            <a:rPr lang="en-US" sz="1100" baseline="0"/>
            <a:t> are based on Annex 1 of the tool. Coal power plants in South Africa use the FBS (based on interview with ESKOM) while the gas turbines use the open cycle technology.</a:t>
          </a:r>
          <a:endParaRPr lang="en-US" sz="1100"/>
        </a:p>
      </xdr:txBody>
    </xdr:sp>
    <xdr:clientData/>
  </xdr:twoCellAnchor>
  <xdr:twoCellAnchor>
    <xdr:from>
      <xdr:col>6</xdr:col>
      <xdr:colOff>355600</xdr:colOff>
      <xdr:row>109</xdr:row>
      <xdr:rowOff>38100</xdr:rowOff>
    </xdr:from>
    <xdr:to>
      <xdr:col>8</xdr:col>
      <xdr:colOff>577850</xdr:colOff>
      <xdr:row>111</xdr:row>
      <xdr:rowOff>228600</xdr:rowOff>
    </xdr:to>
    <xdr:cxnSp macro="">
      <xdr:nvCxnSpPr>
        <xdr:cNvPr id="8" name="Straight Arrow Connector 7"/>
        <xdr:cNvCxnSpPr>
          <a:stCxn id="6" idx="2"/>
        </xdr:cNvCxnSpPr>
      </xdr:nvCxnSpPr>
      <xdr:spPr>
        <a:xfrm flipH="1">
          <a:off x="8267700" y="27800300"/>
          <a:ext cx="2419350" cy="584200"/>
        </a:xfrm>
        <a:prstGeom prst="straightConnector1">
          <a:avLst/>
        </a:prstGeom>
        <a:ln>
          <a:tailEnd type="arrow"/>
        </a:ln>
      </xdr:spPr>
      <xdr:style>
        <a:lnRef idx="2">
          <a:schemeClr val="accent3"/>
        </a:lnRef>
        <a:fillRef idx="0">
          <a:schemeClr val="accent3"/>
        </a:fillRef>
        <a:effectRef idx="1">
          <a:schemeClr val="accent3"/>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800100</xdr:colOff>
      <xdr:row>3</xdr:row>
      <xdr:rowOff>38100</xdr:rowOff>
    </xdr:from>
    <xdr:to>
      <xdr:col>7</xdr:col>
      <xdr:colOff>101600</xdr:colOff>
      <xdr:row>7</xdr:row>
      <xdr:rowOff>177800</xdr:rowOff>
    </xdr:to>
    <xdr:sp macro="" textlink="">
      <xdr:nvSpPr>
        <xdr:cNvPr id="2" name="TextBox 1"/>
        <xdr:cNvSpPr txBox="1"/>
      </xdr:nvSpPr>
      <xdr:spPr>
        <a:xfrm>
          <a:off x="3327400" y="647700"/>
          <a:ext cx="3771900" cy="9017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The tabLe below provides an overview of the grid connected CDM projects in South Africa that have monitoring reports</a:t>
          </a:r>
          <a:r>
            <a:rPr lang="en-US" sz="1100" baseline="0"/>
            <a:t> out already.</a:t>
          </a:r>
        </a:p>
        <a:p>
          <a:r>
            <a:rPr lang="en-US" sz="1100" baseline="0"/>
            <a:t>Data on electricty generation was extrapolated from these reports.</a:t>
          </a:r>
        </a:p>
        <a:p>
          <a:endParaRPr lang="en-US" sz="1100"/>
        </a:p>
      </xdr:txBody>
    </xdr:sp>
    <xdr:clientData/>
  </xdr:twoCellAnchor>
  <xdr:twoCellAnchor>
    <xdr:from>
      <xdr:col>1</xdr:col>
      <xdr:colOff>0</xdr:colOff>
      <xdr:row>9</xdr:row>
      <xdr:rowOff>114300</xdr:rowOff>
    </xdr:from>
    <xdr:to>
      <xdr:col>2</xdr:col>
      <xdr:colOff>127000</xdr:colOff>
      <xdr:row>11</xdr:row>
      <xdr:rowOff>444500</xdr:rowOff>
    </xdr:to>
    <xdr:sp macro="" textlink="">
      <xdr:nvSpPr>
        <xdr:cNvPr id="3" name="TextBox 2"/>
        <xdr:cNvSpPr txBox="1"/>
      </xdr:nvSpPr>
      <xdr:spPr>
        <a:xfrm>
          <a:off x="1143000" y="2463800"/>
          <a:ext cx="1511300" cy="13970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Note</a:t>
          </a:r>
          <a:r>
            <a:rPr lang="en-US" sz="1100" baseline="0"/>
            <a:t> that for project 1921, the electricity generated is taken as 13218 based on (13218/1) i.e CO2 emissions divide by grid emission factor of 1</a:t>
          </a:r>
          <a:endParaRPr lang="en-US" sz="1100"/>
        </a:p>
      </xdr:txBody>
    </xdr:sp>
    <xdr:clientData/>
  </xdr:twoCellAnchor>
  <xdr:twoCellAnchor>
    <xdr:from>
      <xdr:col>2</xdr:col>
      <xdr:colOff>127000</xdr:colOff>
      <xdr:row>10</xdr:row>
      <xdr:rowOff>241300</xdr:rowOff>
    </xdr:from>
    <xdr:to>
      <xdr:col>3</xdr:col>
      <xdr:colOff>152400</xdr:colOff>
      <xdr:row>11</xdr:row>
      <xdr:rowOff>457200</xdr:rowOff>
    </xdr:to>
    <xdr:cxnSp macro="">
      <xdr:nvCxnSpPr>
        <xdr:cNvPr id="4" name="Straight Arrow Connector 3"/>
        <xdr:cNvCxnSpPr>
          <a:stCxn id="3" idx="3"/>
        </xdr:cNvCxnSpPr>
      </xdr:nvCxnSpPr>
      <xdr:spPr>
        <a:xfrm>
          <a:off x="2654300" y="3162300"/>
          <a:ext cx="889000" cy="7112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10</xdr:col>
      <xdr:colOff>762000</xdr:colOff>
      <xdr:row>0</xdr:row>
      <xdr:rowOff>177800</xdr:rowOff>
    </xdr:from>
    <xdr:to>
      <xdr:col>13</xdr:col>
      <xdr:colOff>38100</xdr:colOff>
      <xdr:row>7</xdr:row>
      <xdr:rowOff>63500</xdr:rowOff>
    </xdr:to>
    <xdr:sp macro="" textlink="">
      <xdr:nvSpPr>
        <xdr:cNvPr id="5" name="TextBox 4"/>
        <xdr:cNvSpPr txBox="1"/>
      </xdr:nvSpPr>
      <xdr:spPr>
        <a:xfrm>
          <a:off x="11252200" y="177800"/>
          <a:ext cx="1930400" cy="12573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Divided by 2 instead of 3 because though</a:t>
          </a:r>
          <a:r>
            <a:rPr lang="en-US" sz="1100" baseline="0"/>
            <a:t> the monitoring period is 3 months, the project generated power for two of those. See Monitoring report.</a:t>
          </a:r>
          <a:endParaRPr lang="en-US" sz="1100"/>
        </a:p>
      </xdr:txBody>
    </xdr:sp>
    <xdr:clientData/>
  </xdr:twoCellAnchor>
  <xdr:twoCellAnchor>
    <xdr:from>
      <xdr:col>11</xdr:col>
      <xdr:colOff>520700</xdr:colOff>
      <xdr:row>7</xdr:row>
      <xdr:rowOff>63500</xdr:rowOff>
    </xdr:from>
    <xdr:to>
      <xdr:col>12</xdr:col>
      <xdr:colOff>76200</xdr:colOff>
      <xdr:row>10</xdr:row>
      <xdr:rowOff>177800</xdr:rowOff>
    </xdr:to>
    <xdr:cxnSp macro="">
      <xdr:nvCxnSpPr>
        <xdr:cNvPr id="6" name="Straight Arrow Connector 5"/>
        <xdr:cNvCxnSpPr>
          <a:stCxn id="5" idx="2"/>
        </xdr:cNvCxnSpPr>
      </xdr:nvCxnSpPr>
      <xdr:spPr>
        <a:xfrm flipH="1">
          <a:off x="11836400" y="1435100"/>
          <a:ext cx="381000" cy="16637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25400</xdr:colOff>
      <xdr:row>16</xdr:row>
      <xdr:rowOff>165100</xdr:rowOff>
    </xdr:from>
    <xdr:to>
      <xdr:col>12</xdr:col>
      <xdr:colOff>457200</xdr:colOff>
      <xdr:row>20</xdr:row>
      <xdr:rowOff>101600</xdr:rowOff>
    </xdr:to>
    <xdr:sp macro="" textlink="">
      <xdr:nvSpPr>
        <xdr:cNvPr id="7" name="TextBox 6"/>
        <xdr:cNvSpPr txBox="1"/>
      </xdr:nvSpPr>
      <xdr:spPr>
        <a:xfrm>
          <a:off x="9461500" y="6819900"/>
          <a:ext cx="3136900" cy="6985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t>For this project,</a:t>
          </a:r>
          <a:r>
            <a:rPr lang="en-US" sz="1100" baseline="0"/>
            <a:t> generation data is taken for the last 12 months as indicated in the monitoring report.</a:t>
          </a:r>
          <a:endParaRPr lang="en-US" sz="1100"/>
        </a:p>
      </xdr:txBody>
    </xdr:sp>
    <xdr:clientData/>
  </xdr:twoCellAnchor>
  <xdr:twoCellAnchor>
    <xdr:from>
      <xdr:col>10</xdr:col>
      <xdr:colOff>355600</xdr:colOff>
      <xdr:row>13</xdr:row>
      <xdr:rowOff>12700</xdr:rowOff>
    </xdr:from>
    <xdr:to>
      <xdr:col>10</xdr:col>
      <xdr:colOff>539750</xdr:colOff>
      <xdr:row>16</xdr:row>
      <xdr:rowOff>165100</xdr:rowOff>
    </xdr:to>
    <xdr:cxnSp macro="">
      <xdr:nvCxnSpPr>
        <xdr:cNvPr id="8" name="Straight Arrow Connector 7"/>
        <xdr:cNvCxnSpPr>
          <a:endCxn id="7" idx="0"/>
        </xdr:cNvCxnSpPr>
      </xdr:nvCxnSpPr>
      <xdr:spPr>
        <a:xfrm>
          <a:off x="10845800" y="6096000"/>
          <a:ext cx="184150" cy="7239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frica3/Documents/Faiths%20Documents/Projects/Lake%20Turkana/GEF%20calculations/LTWP%20CDM%20PDD%20Emission%20Reduction%20Calculations%20v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Implementation Plan"/>
      <sheetName val="EFgrid,OM,y"/>
      <sheetName val="EFel,dd,h"/>
      <sheetName val="EFgrid,BM,y"/>
      <sheetName val="Power stations"/>
      <sheetName val="Total with Project"/>
      <sheetName val="Total without Project"/>
      <sheetName val="EGpj,h"/>
      <sheetName val="FIAT-AGO"/>
      <sheetName val="KIPEVU GT2"/>
      <sheetName val="KIPEVU GT1"/>
      <sheetName val="AGGREKO Eldoret"/>
      <sheetName val="AGGREKO Embakasi"/>
      <sheetName val="IBERAFRICA"/>
      <sheetName val="KIPEVU DIESEL"/>
      <sheetName val="TSAVO-DIESEL"/>
      <sheetName val="MUMIAS"/>
      <sheetName val="TURKWEL - Hydro"/>
      <sheetName val="SONDU-Hydro"/>
      <sheetName val="GOGO-Hydro"/>
      <sheetName val="SOSIANI-Hydro"/>
      <sheetName val="SAGANA-Hydro"/>
      <sheetName val="MESCO-Hydro"/>
      <sheetName val="NDULA-Hydro"/>
      <sheetName val="KIAMBERE-Hydro"/>
      <sheetName val="KINDARUMA-Hydro"/>
      <sheetName val="GITARU-Hydro"/>
      <sheetName val="KAMBURU-Hydro"/>
      <sheetName val="MASINGA-Hydro"/>
      <sheetName val="TANA-Hydro"/>
      <sheetName val="WANJI-Hydro"/>
      <sheetName val="OLKARIA II-Geo"/>
      <sheetName val="OLKARIA I-Geo"/>
      <sheetName val="ORPOWER4-Geo"/>
    </sheetNames>
    <sheetDataSet>
      <sheetData sheetId="0"/>
      <sheetData sheetId="1"/>
      <sheetData sheetId="2"/>
      <sheetData sheetId="3" refreshError="1"/>
      <sheetData sheetId="4"/>
      <sheetData sheetId="5">
        <row r="10">
          <cell r="S10">
            <v>0.65</v>
          </cell>
        </row>
        <row r="11">
          <cell r="S11">
            <v>0.9</v>
          </cell>
        </row>
        <row r="12">
          <cell r="S12">
            <v>0.9</v>
          </cell>
        </row>
        <row r="13">
          <cell r="S13">
            <v>1.24</v>
          </cell>
        </row>
        <row r="14">
          <cell r="S14">
            <v>0.65</v>
          </cell>
        </row>
        <row r="15">
          <cell r="S15">
            <v>0.67</v>
          </cell>
        </row>
        <row r="16">
          <cell r="S16">
            <v>0.69</v>
          </cell>
        </row>
        <row r="17">
          <cell r="S17">
            <v>0.7</v>
          </cell>
        </row>
      </sheetData>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3" Type="http://schemas.openxmlformats.org/officeDocument/2006/relationships/oleObject" Target="../embeddings/Microsoft_Equation1.bin"/><Relationship Id="rId4" Type="http://schemas.openxmlformats.org/officeDocument/2006/relationships/image" Target="../media/image3.emf"/><Relationship Id="rId1" Type="http://schemas.openxmlformats.org/officeDocument/2006/relationships/drawing" Target="../drawings/drawing3.xml"/><Relationship Id="rId2"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28"/>
  <sheetViews>
    <sheetView showGridLines="0" tabSelected="1" workbookViewId="0"/>
  </sheetViews>
  <sheetFormatPr baseColWidth="10" defaultRowHeight="15" x14ac:dyDescent="0"/>
  <cols>
    <col min="1" max="1" width="12.1640625" bestFit="1" customWidth="1"/>
    <col min="2" max="2" width="25" customWidth="1"/>
  </cols>
  <sheetData>
    <row r="3" spans="1:3">
      <c r="B3" s="145" t="s">
        <v>179</v>
      </c>
    </row>
    <row r="5" spans="1:3">
      <c r="A5" s="250">
        <v>1</v>
      </c>
      <c r="B5" s="249" t="s">
        <v>173</v>
      </c>
      <c r="C5" t="s">
        <v>225</v>
      </c>
    </row>
    <row r="6" spans="1:3">
      <c r="A6" s="250"/>
      <c r="B6" s="249"/>
      <c r="C6" t="s">
        <v>226</v>
      </c>
    </row>
    <row r="7" spans="1:3">
      <c r="A7">
        <v>2</v>
      </c>
      <c r="B7" t="s">
        <v>175</v>
      </c>
      <c r="C7" t="s">
        <v>225</v>
      </c>
    </row>
    <row r="8" spans="1:3">
      <c r="A8">
        <v>3</v>
      </c>
      <c r="B8" t="s">
        <v>155</v>
      </c>
      <c r="C8" t="s">
        <v>226</v>
      </c>
    </row>
    <row r="9" spans="1:3">
      <c r="C9" t="s">
        <v>228</v>
      </c>
    </row>
    <row r="10" spans="1:3">
      <c r="C10" t="s">
        <v>229</v>
      </c>
    </row>
    <row r="11" spans="1:3">
      <c r="A11">
        <v>4</v>
      </c>
      <c r="B11" t="s">
        <v>176</v>
      </c>
      <c r="C11" t="s">
        <v>230</v>
      </c>
    </row>
    <row r="12" spans="1:3">
      <c r="A12">
        <v>5</v>
      </c>
      <c r="B12" t="s">
        <v>129</v>
      </c>
      <c r="C12" t="s">
        <v>225</v>
      </c>
    </row>
    <row r="14" spans="1:3">
      <c r="B14" s="145" t="s">
        <v>84</v>
      </c>
    </row>
    <row r="16" spans="1:3">
      <c r="A16" s="252">
        <v>6</v>
      </c>
      <c r="B16" s="251" t="s">
        <v>82</v>
      </c>
      <c r="C16" t="s">
        <v>227</v>
      </c>
    </row>
    <row r="17" spans="1:3">
      <c r="A17" s="252"/>
      <c r="B17" s="251"/>
      <c r="C17" t="s">
        <v>193</v>
      </c>
    </row>
    <row r="18" spans="1:3">
      <c r="A18" s="252"/>
      <c r="B18" s="251"/>
      <c r="C18" t="s">
        <v>194</v>
      </c>
    </row>
    <row r="19" spans="1:3">
      <c r="A19" s="252"/>
      <c r="B19" s="251"/>
      <c r="C19" t="s">
        <v>196</v>
      </c>
    </row>
    <row r="20" spans="1:3">
      <c r="A20" s="252"/>
      <c r="B20" s="251"/>
      <c r="C20" t="s">
        <v>195</v>
      </c>
    </row>
    <row r="21" spans="1:3">
      <c r="A21">
        <v>7</v>
      </c>
      <c r="B21" t="s">
        <v>192</v>
      </c>
      <c r="C21" t="s">
        <v>198</v>
      </c>
    </row>
    <row r="22" spans="1:3">
      <c r="A22">
        <v>8</v>
      </c>
      <c r="B22" t="s">
        <v>197</v>
      </c>
      <c r="C22" t="s">
        <v>199</v>
      </c>
    </row>
    <row r="24" spans="1:3">
      <c r="A24">
        <v>9</v>
      </c>
      <c r="B24" t="s">
        <v>210</v>
      </c>
      <c r="C24" t="s">
        <v>211</v>
      </c>
    </row>
    <row r="26" spans="1:3">
      <c r="B26" s="145" t="s">
        <v>203</v>
      </c>
    </row>
    <row r="28" spans="1:3">
      <c r="A28">
        <v>1</v>
      </c>
      <c r="B28" t="s">
        <v>204</v>
      </c>
      <c r="C28" t="s">
        <v>205</v>
      </c>
    </row>
  </sheetData>
  <mergeCells count="4">
    <mergeCell ref="B5:B6"/>
    <mergeCell ref="A5:A6"/>
    <mergeCell ref="B16:B20"/>
    <mergeCell ref="A16:A20"/>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view="pageLayout" workbookViewId="0">
      <selection activeCell="E33" sqref="E33"/>
    </sheetView>
  </sheetViews>
  <sheetFormatPr baseColWidth="10" defaultColWidth="12.83203125" defaultRowHeight="13" x14ac:dyDescent="0"/>
  <cols>
    <col min="1" max="1" width="40.33203125" style="2" customWidth="1"/>
    <col min="2" max="2" width="15.1640625" style="2" customWidth="1"/>
    <col min="3" max="3" width="14.6640625" style="2" customWidth="1"/>
    <col min="4" max="4" width="16.33203125" style="2" customWidth="1"/>
    <col min="5" max="5" width="16.5" style="2" customWidth="1"/>
    <col min="6" max="6" width="16.83203125" style="2" customWidth="1"/>
    <col min="7" max="16384" width="12.83203125" style="2"/>
  </cols>
  <sheetData>
    <row r="1" spans="1:3" ht="14">
      <c r="A1" s="1" t="s">
        <v>0</v>
      </c>
    </row>
    <row r="2" spans="1:3" ht="14">
      <c r="A2" s="1"/>
    </row>
    <row r="3" spans="1:3" ht="14">
      <c r="A3" s="3" t="s">
        <v>1</v>
      </c>
      <c r="B3" s="202" t="s">
        <v>233</v>
      </c>
    </row>
    <row r="4" spans="1:3" ht="14">
      <c r="A4" s="3" t="s">
        <v>2</v>
      </c>
      <c r="B4" s="2" t="s">
        <v>3</v>
      </c>
    </row>
    <row r="5" spans="1:3" ht="14">
      <c r="A5" s="3" t="s">
        <v>4</v>
      </c>
      <c r="B5" s="2" t="s">
        <v>234</v>
      </c>
    </row>
    <row r="6" spans="1:3" ht="14">
      <c r="A6" s="3" t="s">
        <v>222</v>
      </c>
      <c r="B6" s="215">
        <v>41072</v>
      </c>
      <c r="C6" s="2" t="s">
        <v>235</v>
      </c>
    </row>
    <row r="8" spans="1:3">
      <c r="A8" s="4" t="s">
        <v>14</v>
      </c>
    </row>
    <row r="10" spans="1:3">
      <c r="A10" s="2" t="s">
        <v>15</v>
      </c>
      <c r="B10" s="2" t="s">
        <v>16</v>
      </c>
    </row>
    <row r="11" spans="1:3">
      <c r="A11" s="2" t="s">
        <v>17</v>
      </c>
      <c r="B11" s="2" t="s">
        <v>18</v>
      </c>
    </row>
    <row r="12" spans="1:3">
      <c r="A12" s="2" t="s">
        <v>19</v>
      </c>
      <c r="B12" s="2" t="s">
        <v>20</v>
      </c>
    </row>
    <row r="14" spans="1:3">
      <c r="A14" s="4" t="s">
        <v>21</v>
      </c>
    </row>
    <row r="15" spans="1:3">
      <c r="A15" s="4"/>
    </row>
    <row r="16" spans="1:3">
      <c r="A16" s="5" t="s">
        <v>22</v>
      </c>
      <c r="B16" s="2" t="s">
        <v>23</v>
      </c>
    </row>
    <row r="17" spans="1:6">
      <c r="A17" s="5" t="s">
        <v>24</v>
      </c>
      <c r="B17" s="2" t="s">
        <v>25</v>
      </c>
    </row>
    <row r="18" spans="1:6">
      <c r="A18" s="5" t="s">
        <v>26</v>
      </c>
      <c r="B18" s="2" t="s">
        <v>27</v>
      </c>
    </row>
    <row r="19" spans="1:6">
      <c r="A19" s="5" t="s">
        <v>28</v>
      </c>
      <c r="B19" s="2" t="s">
        <v>29</v>
      </c>
    </row>
    <row r="20" spans="1:6">
      <c r="A20" s="5" t="s">
        <v>30</v>
      </c>
      <c r="B20" s="2" t="s">
        <v>29</v>
      </c>
    </row>
    <row r="22" spans="1:6">
      <c r="A22" s="4" t="s">
        <v>30</v>
      </c>
    </row>
    <row r="24" spans="1:6">
      <c r="A24" s="2" t="s">
        <v>223</v>
      </c>
      <c r="B24" s="2" t="s">
        <v>224</v>
      </c>
    </row>
    <row r="25" spans="1:6">
      <c r="B25" s="8"/>
      <c r="C25" s="9"/>
      <c r="D25" s="10"/>
      <c r="E25" s="6"/>
      <c r="F25" s="6"/>
    </row>
    <row r="26" spans="1:6" ht="14" customHeight="1">
      <c r="B26" s="6"/>
      <c r="C26" s="6"/>
      <c r="D26" s="6"/>
      <c r="E26" s="6"/>
      <c r="F26" s="6"/>
    </row>
    <row r="27" spans="1:6" ht="14" customHeight="1" thickBot="1">
      <c r="B27" s="11" t="s">
        <v>33</v>
      </c>
      <c r="C27" s="12" t="s">
        <v>34</v>
      </c>
      <c r="D27" s="12" t="s">
        <v>35</v>
      </c>
      <c r="E27" s="12" t="s">
        <v>36</v>
      </c>
      <c r="F27" s="12" t="s">
        <v>37</v>
      </c>
    </row>
    <row r="28" spans="1:6" ht="14" thickBot="1">
      <c r="B28" s="213">
        <f>ROUNDDOWN(((C28*D28)+(E28*F28)),4)</f>
        <v>0.94540000000000002</v>
      </c>
      <c r="C28" s="214">
        <f>'EF,grid,OM-ave,y'!C28</f>
        <v>0.95849338617373858</v>
      </c>
      <c r="D28" s="7">
        <v>0.75</v>
      </c>
      <c r="E28" s="214">
        <f>'EFgrid,BM,y'!H140</f>
        <v>0.90634859432673709</v>
      </c>
      <c r="F28" s="7">
        <v>0.25</v>
      </c>
    </row>
    <row r="30" spans="1:6">
      <c r="B30" s="2" t="s">
        <v>236</v>
      </c>
    </row>
    <row r="31" spans="1:6">
      <c r="A31" s="4"/>
      <c r="B31" s="15"/>
    </row>
    <row r="32" spans="1:6" ht="14" thickBot="1">
      <c r="B32" s="11" t="s">
        <v>33</v>
      </c>
      <c r="C32" s="12" t="s">
        <v>34</v>
      </c>
      <c r="D32" s="12" t="s">
        <v>35</v>
      </c>
      <c r="E32" s="12" t="s">
        <v>36</v>
      </c>
      <c r="F32" s="12" t="s">
        <v>37</v>
      </c>
    </row>
    <row r="33" spans="2:6" ht="14" thickBot="1">
      <c r="B33" s="213">
        <f>ROUNDDOWN(((C33*D33)+(E33*F33)),4)</f>
        <v>0.93240000000000001</v>
      </c>
      <c r="C33" s="214">
        <f>'EF,grid,OM-ave,y'!C28</f>
        <v>0.95849338617373858</v>
      </c>
      <c r="D33" s="7">
        <v>0.5</v>
      </c>
      <c r="E33" s="214">
        <f>'EFgrid,BM,y'!H140</f>
        <v>0.90634859432673709</v>
      </c>
      <c r="F33" s="7">
        <v>0.5</v>
      </c>
    </row>
  </sheetData>
  <phoneticPr fontId="25" type="noConversion"/>
  <printOptions horizontalCentered="1" verticalCentered="1"/>
  <pageMargins left="0.75" right="0.75" top="1" bottom="1" header="0.5" footer="0.5"/>
  <pageSetup scale="47" orientation="landscape" horizontalDpi="4294967292" verticalDpi="4294967292"/>
  <headerFooter>
    <oddHeader>&amp;L&amp;"Calibri,Bold"&amp;20&amp;K000000Summary- Grid Emission Factor Calculation</oddHeader>
  </headerFooter>
  <extLst>
    <ext xmlns:mx="http://schemas.microsoft.com/office/mac/excel/2008/main" uri="{64002731-A6B0-56B0-2670-7721B7C09600}">
      <mx:PLV Mode="1" OnePage="0" WScale="47"/>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view="pageLayout" topLeftCell="A27" workbookViewId="0">
      <selection activeCell="A24" sqref="A24"/>
    </sheetView>
  </sheetViews>
  <sheetFormatPr baseColWidth="10" defaultColWidth="12.83203125" defaultRowHeight="13" x14ac:dyDescent="0"/>
  <cols>
    <col min="1" max="1" width="40.33203125" style="2" customWidth="1"/>
    <col min="2" max="2" width="15.1640625" style="2" customWidth="1"/>
    <col min="3" max="3" width="14.6640625" style="2" customWidth="1"/>
    <col min="4" max="4" width="16.33203125" style="2" customWidth="1"/>
    <col min="5" max="5" width="16.5" style="2" customWidth="1"/>
    <col min="6" max="6" width="16.83203125" style="2" customWidth="1"/>
    <col min="7" max="16384" width="12.83203125" style="2"/>
  </cols>
  <sheetData>
    <row r="1" spans="1:3" ht="14">
      <c r="A1" s="1" t="s">
        <v>0</v>
      </c>
    </row>
    <row r="2" spans="1:3" ht="14">
      <c r="A2" s="1"/>
    </row>
    <row r="3" spans="1:3" ht="14">
      <c r="A3" s="3" t="s">
        <v>1</v>
      </c>
      <c r="B3" s="202" t="s">
        <v>250</v>
      </c>
    </row>
    <row r="4" spans="1:3" ht="14">
      <c r="A4" s="3" t="s">
        <v>2</v>
      </c>
      <c r="B4" s="248" t="s">
        <v>3</v>
      </c>
    </row>
    <row r="5" spans="1:3" ht="14">
      <c r="A5" s="3" t="s">
        <v>4</v>
      </c>
      <c r="B5" s="202" t="s">
        <v>234</v>
      </c>
    </row>
    <row r="6" spans="1:3" ht="14">
      <c r="A6" s="3" t="s">
        <v>5</v>
      </c>
      <c r="B6" s="215">
        <v>41426</v>
      </c>
      <c r="C6" s="2" t="s">
        <v>6</v>
      </c>
    </row>
    <row r="7" spans="1:3" ht="14">
      <c r="A7" s="3" t="s">
        <v>7</v>
      </c>
      <c r="B7" s="202" t="s">
        <v>8</v>
      </c>
    </row>
    <row r="8" spans="1:3" ht="14">
      <c r="A8" s="3" t="s">
        <v>9</v>
      </c>
      <c r="B8" s="216">
        <v>41852</v>
      </c>
      <c r="C8" s="202" t="s">
        <v>10</v>
      </c>
    </row>
    <row r="9" spans="1:3" ht="14">
      <c r="A9" s="3" t="s">
        <v>11</v>
      </c>
      <c r="B9" s="216">
        <v>44408</v>
      </c>
      <c r="C9" s="2" t="s">
        <v>12</v>
      </c>
    </row>
    <row r="10" spans="1:3" ht="14">
      <c r="A10" s="3" t="s">
        <v>13</v>
      </c>
      <c r="B10" s="216" t="s">
        <v>214</v>
      </c>
    </row>
    <row r="12" spans="1:3">
      <c r="A12" s="4" t="s">
        <v>14</v>
      </c>
    </row>
    <row r="14" spans="1:3">
      <c r="A14" s="2" t="s">
        <v>15</v>
      </c>
      <c r="B14" s="2" t="s">
        <v>16</v>
      </c>
    </row>
    <row r="15" spans="1:3">
      <c r="A15" s="2" t="s">
        <v>17</v>
      </c>
      <c r="B15" s="2" t="s">
        <v>18</v>
      </c>
    </row>
    <row r="16" spans="1:3">
      <c r="A16" s="2" t="s">
        <v>19</v>
      </c>
      <c r="B16" s="2" t="s">
        <v>20</v>
      </c>
    </row>
    <row r="18" spans="1:6">
      <c r="A18" s="4" t="s">
        <v>21</v>
      </c>
    </row>
    <row r="19" spans="1:6">
      <c r="A19" s="4"/>
    </row>
    <row r="20" spans="1:6">
      <c r="A20" s="5" t="s">
        <v>22</v>
      </c>
      <c r="B20" s="2" t="s">
        <v>23</v>
      </c>
    </row>
    <row r="21" spans="1:6">
      <c r="A21" s="5" t="s">
        <v>24</v>
      </c>
      <c r="B21" s="2" t="s">
        <v>25</v>
      </c>
    </row>
    <row r="22" spans="1:6">
      <c r="A22" s="5" t="s">
        <v>26</v>
      </c>
      <c r="B22" s="2" t="s">
        <v>27</v>
      </c>
    </row>
    <row r="23" spans="1:6">
      <c r="A23" s="5" t="s">
        <v>28</v>
      </c>
      <c r="B23" s="2" t="s">
        <v>29</v>
      </c>
    </row>
    <row r="24" spans="1:6">
      <c r="A24" s="5" t="s">
        <v>30</v>
      </c>
      <c r="B24" s="2" t="s">
        <v>29</v>
      </c>
    </row>
    <row r="26" spans="1:6">
      <c r="A26" s="4" t="s">
        <v>31</v>
      </c>
    </row>
    <row r="29" spans="1:6">
      <c r="B29" s="8"/>
      <c r="C29" s="9"/>
      <c r="D29" s="10"/>
      <c r="E29" s="6"/>
      <c r="F29" s="6"/>
    </row>
    <row r="30" spans="1:6" ht="14" customHeight="1">
      <c r="B30" s="6"/>
      <c r="C30" s="6"/>
      <c r="D30" s="6"/>
      <c r="E30" s="6"/>
      <c r="F30" s="6"/>
    </row>
    <row r="31" spans="1:6" ht="14" customHeight="1" thickBot="1">
      <c r="B31" s="11" t="s">
        <v>33</v>
      </c>
      <c r="C31" s="12" t="s">
        <v>34</v>
      </c>
      <c r="D31" s="12" t="s">
        <v>35</v>
      </c>
      <c r="E31" s="12" t="s">
        <v>36</v>
      </c>
      <c r="F31" s="12" t="s">
        <v>37</v>
      </c>
    </row>
    <row r="32" spans="1:6" ht="14" thickBot="1">
      <c r="B32" s="218">
        <f>ROUNDDOWN(((C32*D32)+(E32*F32)),4)</f>
        <v>0.94540000000000002</v>
      </c>
      <c r="C32" s="214">
        <f>'EF,grid,OM-ave,y'!C28</f>
        <v>0.95849338617373858</v>
      </c>
      <c r="D32" s="7">
        <v>0.75</v>
      </c>
      <c r="E32" s="214">
        <f>'EFgrid,BM,y'!H140</f>
        <v>0.90634859432673709</v>
      </c>
      <c r="F32" s="7">
        <v>0.25</v>
      </c>
    </row>
    <row r="35" spans="1:9">
      <c r="A35" s="4" t="s">
        <v>38</v>
      </c>
    </row>
    <row r="37" spans="1:9">
      <c r="B37" s="13" t="s">
        <v>237</v>
      </c>
      <c r="C37" s="13" t="s">
        <v>238</v>
      </c>
      <c r="D37" s="13" t="s">
        <v>239</v>
      </c>
      <c r="E37" s="13" t="s">
        <v>240</v>
      </c>
      <c r="F37" s="13" t="s">
        <v>241</v>
      </c>
      <c r="G37" s="13" t="s">
        <v>242</v>
      </c>
      <c r="H37" s="13" t="s">
        <v>243</v>
      </c>
    </row>
    <row r="38" spans="1:9">
      <c r="A38" s="14" t="s">
        <v>245</v>
      </c>
      <c r="B38" s="217">
        <v>25017</v>
      </c>
      <c r="C38" s="217">
        <v>24917</v>
      </c>
      <c r="D38" s="217">
        <v>24817</v>
      </c>
      <c r="E38" s="217">
        <v>24715</v>
      </c>
      <c r="F38" s="217">
        <v>24613</v>
      </c>
      <c r="G38" s="217">
        <v>24509</v>
      </c>
      <c r="H38" s="217">
        <v>24405</v>
      </c>
      <c r="I38" s="201" t="s">
        <v>215</v>
      </c>
    </row>
    <row r="39" spans="1:9">
      <c r="A39" s="14" t="s">
        <v>244</v>
      </c>
      <c r="B39" s="217"/>
      <c r="C39" s="230">
        <v>4.0000000000000001E-3</v>
      </c>
      <c r="D39" s="230">
        <v>4.0000000000000001E-3</v>
      </c>
      <c r="E39" s="230">
        <v>4.1000000000000003E-3</v>
      </c>
      <c r="F39" s="230">
        <v>4.1000000000000003E-3</v>
      </c>
      <c r="G39" s="230">
        <v>4.1999999999999997E-3</v>
      </c>
      <c r="H39" s="230">
        <v>4.1999999999999997E-3</v>
      </c>
      <c r="I39" s="201"/>
    </row>
    <row r="40" spans="1:9">
      <c r="A40" s="14" t="s">
        <v>246</v>
      </c>
      <c r="B40" s="229">
        <v>11.2</v>
      </c>
      <c r="C40" s="229">
        <v>11.2</v>
      </c>
      <c r="D40" s="229">
        <v>11.2</v>
      </c>
      <c r="E40" s="229">
        <v>11.2</v>
      </c>
      <c r="F40" s="229">
        <v>11.2</v>
      </c>
      <c r="G40" s="229">
        <v>11.2</v>
      </c>
      <c r="H40" s="229">
        <v>11.2</v>
      </c>
      <c r="I40" s="201"/>
    </row>
    <row r="41" spans="1:9">
      <c r="A41" s="240" t="s">
        <v>39</v>
      </c>
      <c r="B41" s="238">
        <f>B38-B40</f>
        <v>25005.8</v>
      </c>
      <c r="C41" s="238">
        <f t="shared" ref="C41:H41" si="0">C38-C40</f>
        <v>24905.8</v>
      </c>
      <c r="D41" s="238">
        <f t="shared" si="0"/>
        <v>24805.8</v>
      </c>
      <c r="E41" s="238">
        <f t="shared" si="0"/>
        <v>24703.8</v>
      </c>
      <c r="F41" s="238">
        <f t="shared" si="0"/>
        <v>24601.8</v>
      </c>
      <c r="G41" s="238">
        <f t="shared" si="0"/>
        <v>24497.8</v>
      </c>
      <c r="H41" s="238">
        <f t="shared" si="0"/>
        <v>24393.8</v>
      </c>
      <c r="I41" s="201"/>
    </row>
    <row r="42" spans="1:9">
      <c r="A42" s="240" t="s">
        <v>32</v>
      </c>
      <c r="B42" s="239">
        <f>ROUNDDOWN(B41*$B$32,0)</f>
        <v>23640</v>
      </c>
      <c r="C42" s="239">
        <f t="shared" ref="C42:H42" si="1">ROUNDDOWN(C41*$B$32,0)</f>
        <v>23545</v>
      </c>
      <c r="D42" s="239">
        <f t="shared" si="1"/>
        <v>23451</v>
      </c>
      <c r="E42" s="239">
        <f t="shared" si="1"/>
        <v>23354</v>
      </c>
      <c r="F42" s="239">
        <f t="shared" si="1"/>
        <v>23258</v>
      </c>
      <c r="G42" s="239">
        <f t="shared" si="1"/>
        <v>23160</v>
      </c>
      <c r="H42" s="239">
        <f t="shared" si="1"/>
        <v>23061</v>
      </c>
      <c r="I42" s="201" t="s">
        <v>216</v>
      </c>
    </row>
    <row r="43" spans="1:9">
      <c r="A43" s="14"/>
      <c r="B43" s="15"/>
      <c r="C43" s="15"/>
      <c r="D43" s="15"/>
      <c r="E43" s="15"/>
      <c r="F43" s="15"/>
      <c r="G43" s="15"/>
      <c r="H43" s="15"/>
    </row>
    <row r="45" spans="1:9">
      <c r="A45" s="4" t="s">
        <v>40</v>
      </c>
      <c r="B45" s="15">
        <f>SUM(B42:H42)</f>
        <v>163469</v>
      </c>
      <c r="C45" s="201" t="s">
        <v>248</v>
      </c>
    </row>
    <row r="47" spans="1:9">
      <c r="A47" s="4" t="s">
        <v>247</v>
      </c>
      <c r="B47" s="237">
        <f>SUM(B41:H41)/7</f>
        <v>24702.085714285709</v>
      </c>
      <c r="C47" s="2" t="s">
        <v>215</v>
      </c>
    </row>
    <row r="48" spans="1:9">
      <c r="A48" s="4" t="s">
        <v>41</v>
      </c>
      <c r="B48" s="15">
        <f>B45/7</f>
        <v>23352.714285714286</v>
      </c>
      <c r="C48" s="201" t="s">
        <v>248</v>
      </c>
    </row>
    <row r="51" spans="1:2">
      <c r="A51" s="4"/>
      <c r="B51" s="15"/>
    </row>
  </sheetData>
  <phoneticPr fontId="25" type="noConversion"/>
  <printOptions horizontalCentered="1" verticalCentered="1"/>
  <pageMargins left="0.75" right="0.75" top="1" bottom="1" header="0.5" footer="0.5"/>
  <pageSetup scale="47" orientation="landscape" horizontalDpi="4294967292" verticalDpi="4294967292"/>
  <headerFooter>
    <oddHeader>&amp;L&amp;"Calibri,Bold"&amp;20&amp;K000000ERs CPA Toitdale 9.52 MW Concentrated Photovoltaic Project (CPA-001)_x000D_</oddHeader>
  </headerFooter>
  <extLst>
    <ext xmlns:mx="http://schemas.microsoft.com/office/mac/excel/2008/main" uri="{64002731-A6B0-56B0-2670-7721B7C09600}">
      <mx:PLV Mode="1" OnePage="0" WScale="47"/>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145"/>
  <sheetViews>
    <sheetView showGridLines="0" workbookViewId="0"/>
  </sheetViews>
  <sheetFormatPr baseColWidth="10" defaultRowHeight="15" x14ac:dyDescent="0"/>
  <cols>
    <col min="2" max="2" width="10.83203125" style="57"/>
    <col min="3" max="3" width="16" style="57" customWidth="1"/>
    <col min="4" max="4" width="12.6640625" style="57" bestFit="1" customWidth="1"/>
    <col min="5" max="5" width="12.5" style="57" bestFit="1" customWidth="1"/>
    <col min="6" max="6" width="13.33203125" style="57" customWidth="1"/>
    <col min="7" max="7" width="16.1640625" style="57" customWidth="1"/>
    <col min="8" max="8" width="16.1640625" style="57" bestFit="1" customWidth="1"/>
    <col min="9" max="9" width="17.6640625" style="57" customWidth="1"/>
    <col min="10" max="10" width="16.1640625" style="57" bestFit="1" customWidth="1"/>
    <col min="11" max="11" width="38.83203125" customWidth="1"/>
    <col min="12" max="14" width="15.1640625" bestFit="1" customWidth="1"/>
    <col min="15" max="15" width="18" customWidth="1"/>
    <col min="26" max="26" width="30.5" customWidth="1"/>
    <col min="27" max="29" width="11.33203125" bestFit="1" customWidth="1"/>
    <col min="30" max="31" width="12.5" bestFit="1" customWidth="1"/>
  </cols>
  <sheetData>
    <row r="1" spans="2:28">
      <c r="B1"/>
      <c r="C1"/>
      <c r="D1"/>
      <c r="E1"/>
      <c r="F1"/>
      <c r="G1"/>
      <c r="H1"/>
      <c r="I1"/>
      <c r="J1"/>
    </row>
    <row r="2" spans="2:28" ht="18">
      <c r="B2" s="50" t="s">
        <v>154</v>
      </c>
      <c r="C2"/>
      <c r="D2"/>
      <c r="E2"/>
      <c r="F2"/>
      <c r="G2"/>
      <c r="H2"/>
      <c r="I2"/>
      <c r="J2"/>
    </row>
    <row r="3" spans="2:28" ht="18">
      <c r="B3" s="50"/>
      <c r="C3"/>
      <c r="D3"/>
      <c r="E3"/>
      <c r="F3"/>
      <c r="G3"/>
      <c r="H3"/>
      <c r="I3"/>
      <c r="J3"/>
    </row>
    <row r="4" spans="2:28" ht="18">
      <c r="B4" s="50"/>
      <c r="C4"/>
      <c r="D4"/>
      <c r="E4"/>
      <c r="F4"/>
      <c r="G4"/>
      <c r="H4"/>
      <c r="I4"/>
      <c r="J4"/>
    </row>
    <row r="5" spans="2:28" ht="18">
      <c r="B5" s="50"/>
      <c r="C5"/>
      <c r="D5"/>
      <c r="E5"/>
      <c r="F5"/>
      <c r="G5"/>
      <c r="H5"/>
      <c r="I5"/>
      <c r="J5"/>
    </row>
    <row r="6" spans="2:28" ht="18">
      <c r="B6" s="50"/>
      <c r="C6"/>
      <c r="D6"/>
      <c r="E6"/>
      <c r="F6"/>
      <c r="G6"/>
      <c r="H6"/>
      <c r="I6"/>
      <c r="J6"/>
    </row>
    <row r="7" spans="2:28" ht="18">
      <c r="B7" s="50"/>
      <c r="C7"/>
      <c r="D7"/>
      <c r="E7"/>
      <c r="F7"/>
      <c r="G7"/>
      <c r="H7"/>
      <c r="I7"/>
      <c r="J7"/>
    </row>
    <row r="8" spans="2:28" ht="19" thickBot="1">
      <c r="B8" s="50"/>
      <c r="C8"/>
      <c r="D8"/>
      <c r="E8"/>
      <c r="F8"/>
      <c r="G8"/>
      <c r="H8"/>
      <c r="I8"/>
      <c r="J8"/>
    </row>
    <row r="9" spans="2:28" ht="16" thickBot="1">
      <c r="B9"/>
      <c r="C9"/>
      <c r="D9"/>
      <c r="E9"/>
      <c r="F9"/>
      <c r="G9"/>
      <c r="H9" s="255" t="s">
        <v>155</v>
      </c>
      <c r="I9" s="256"/>
      <c r="J9" s="257"/>
      <c r="K9" s="146"/>
      <c r="L9" s="146"/>
      <c r="M9" s="146"/>
      <c r="Y9" s="16"/>
      <c r="Z9" s="48"/>
      <c r="AA9" s="16"/>
      <c r="AB9" s="16"/>
    </row>
    <row r="10" spans="2:28" ht="31" thickBot="1">
      <c r="B10"/>
      <c r="C10" s="133" t="s">
        <v>157</v>
      </c>
      <c r="D10" s="52" t="s">
        <v>158</v>
      </c>
      <c r="E10" s="52" t="s">
        <v>159</v>
      </c>
      <c r="F10" s="52" t="s">
        <v>160</v>
      </c>
      <c r="G10" s="134" t="s">
        <v>161</v>
      </c>
      <c r="H10" s="52" t="s">
        <v>162</v>
      </c>
      <c r="I10" s="52" t="s">
        <v>163</v>
      </c>
      <c r="J10" s="52" t="s">
        <v>67</v>
      </c>
      <c r="K10" s="132" t="s">
        <v>156</v>
      </c>
      <c r="Y10" s="16"/>
      <c r="Z10" s="48"/>
      <c r="AA10" s="48"/>
      <c r="AB10" s="16"/>
    </row>
    <row r="11" spans="2:28">
      <c r="B11"/>
      <c r="C11" s="54" t="s">
        <v>231</v>
      </c>
      <c r="D11" s="16" t="s">
        <v>86</v>
      </c>
      <c r="E11" s="16" t="s">
        <v>165</v>
      </c>
      <c r="F11" s="136">
        <v>26197</v>
      </c>
      <c r="G11" s="16">
        <v>2352</v>
      </c>
      <c r="H11" s="43">
        <v>11987281</v>
      </c>
      <c r="I11" s="43">
        <v>13227864</v>
      </c>
      <c r="J11" s="43">
        <v>12194878</v>
      </c>
      <c r="K11" s="135" t="s">
        <v>164</v>
      </c>
      <c r="Y11" s="16"/>
      <c r="Z11" s="16"/>
      <c r="AA11" s="16"/>
      <c r="AB11" s="16"/>
    </row>
    <row r="12" spans="2:28">
      <c r="B12"/>
      <c r="C12" s="54" t="s">
        <v>87</v>
      </c>
      <c r="D12" s="16" t="s">
        <v>86</v>
      </c>
      <c r="E12" s="16" t="s">
        <v>165</v>
      </c>
      <c r="F12" s="136">
        <v>24462</v>
      </c>
      <c r="G12" s="16">
        <v>1510</v>
      </c>
      <c r="H12" s="43">
        <v>6509079</v>
      </c>
      <c r="I12" s="43">
        <v>7472070</v>
      </c>
      <c r="J12" s="43">
        <v>7490836</v>
      </c>
      <c r="K12" s="135" t="s">
        <v>164</v>
      </c>
      <c r="Y12" s="16"/>
      <c r="Z12" s="16"/>
      <c r="AA12" s="16"/>
      <c r="AB12" s="16"/>
    </row>
    <row r="13" spans="2:28">
      <c r="B13"/>
      <c r="C13" s="54" t="s">
        <v>88</v>
      </c>
      <c r="D13" s="16" t="s">
        <v>86</v>
      </c>
      <c r="E13" s="16" t="s">
        <v>165</v>
      </c>
      <c r="F13" s="136">
        <v>29238</v>
      </c>
      <c r="G13" s="16">
        <v>3600</v>
      </c>
      <c r="H13" s="43">
        <v>21769489</v>
      </c>
      <c r="I13" s="43">
        <v>22581228</v>
      </c>
      <c r="J13" s="43">
        <v>20267508</v>
      </c>
      <c r="K13" s="135" t="s">
        <v>164</v>
      </c>
      <c r="Y13" s="16"/>
      <c r="Z13" s="16"/>
      <c r="AA13" s="16"/>
      <c r="AB13" s="16"/>
    </row>
    <row r="14" spans="2:28">
      <c r="B14"/>
      <c r="C14" s="54" t="s">
        <v>89</v>
      </c>
      <c r="D14" s="16" t="s">
        <v>86</v>
      </c>
      <c r="E14" s="16" t="s">
        <v>165</v>
      </c>
      <c r="F14" s="136">
        <v>25384</v>
      </c>
      <c r="G14" s="16">
        <v>1200</v>
      </c>
      <c r="H14" s="43">
        <v>1249556</v>
      </c>
      <c r="I14" s="43">
        <v>2656230</v>
      </c>
      <c r="J14" s="43">
        <v>3546952</v>
      </c>
      <c r="K14" s="135" t="s">
        <v>164</v>
      </c>
      <c r="Y14" s="16"/>
      <c r="Z14" s="16"/>
      <c r="AA14" s="57"/>
      <c r="AB14" s="16"/>
    </row>
    <row r="15" spans="2:28">
      <c r="B15"/>
      <c r="C15" s="54" t="s">
        <v>90</v>
      </c>
      <c r="D15" s="16" t="s">
        <v>86</v>
      </c>
      <c r="E15" s="16" t="s">
        <v>165</v>
      </c>
      <c r="F15" s="136">
        <v>25700</v>
      </c>
      <c r="G15" s="16">
        <v>1965</v>
      </c>
      <c r="H15" s="43">
        <v>12296687</v>
      </c>
      <c r="I15" s="43">
        <v>12143292</v>
      </c>
      <c r="J15" s="43">
        <v>11938206</v>
      </c>
      <c r="K15" s="135" t="s">
        <v>164</v>
      </c>
      <c r="Y15" s="16"/>
      <c r="Z15" s="16"/>
      <c r="AA15" s="16"/>
      <c r="AB15" s="16"/>
    </row>
    <row r="16" spans="2:28">
      <c r="B16"/>
      <c r="C16" s="54" t="s">
        <v>91</v>
      </c>
      <c r="D16" s="16" t="s">
        <v>86</v>
      </c>
      <c r="E16" s="16" t="s">
        <v>165</v>
      </c>
      <c r="F16" s="136">
        <v>32417</v>
      </c>
      <c r="G16" s="16">
        <v>4116</v>
      </c>
      <c r="H16" s="43">
        <v>23841401</v>
      </c>
      <c r="I16" s="43">
        <v>23307031</v>
      </c>
      <c r="J16" s="43">
        <v>25648258</v>
      </c>
      <c r="K16" s="135" t="s">
        <v>164</v>
      </c>
      <c r="Y16" s="16"/>
      <c r="Z16" s="16"/>
      <c r="AA16" s="16"/>
      <c r="AB16" s="16"/>
    </row>
    <row r="17" spans="2:32">
      <c r="B17"/>
      <c r="C17" s="54" t="s">
        <v>92</v>
      </c>
      <c r="D17" s="16" t="s">
        <v>86</v>
      </c>
      <c r="E17" s="16" t="s">
        <v>165</v>
      </c>
      <c r="F17" s="136">
        <v>22591</v>
      </c>
      <c r="G17" s="16">
        <v>940</v>
      </c>
      <c r="H17" s="43">
        <v>0</v>
      </c>
      <c r="I17" s="43">
        <v>1016023</v>
      </c>
      <c r="J17" s="43">
        <v>2060141</v>
      </c>
      <c r="K17" s="135" t="s">
        <v>164</v>
      </c>
      <c r="Y17" s="16"/>
      <c r="Z17" s="16"/>
      <c r="AA17" s="16"/>
      <c r="AB17" s="16"/>
    </row>
    <row r="18" spans="2:32">
      <c r="B18"/>
      <c r="C18" s="54" t="s">
        <v>93</v>
      </c>
      <c r="D18" s="16" t="s">
        <v>86</v>
      </c>
      <c r="E18" s="16" t="s">
        <v>165</v>
      </c>
      <c r="F18" s="136">
        <v>27886</v>
      </c>
      <c r="G18" s="16">
        <v>3000</v>
      </c>
      <c r="H18" s="43">
        <v>18156686</v>
      </c>
      <c r="I18" s="43">
        <v>15906816</v>
      </c>
      <c r="J18" s="43">
        <v>18204910</v>
      </c>
      <c r="K18" s="135" t="s">
        <v>164</v>
      </c>
      <c r="Y18" s="16"/>
      <c r="Z18" s="16"/>
      <c r="AA18" s="16"/>
      <c r="AB18" s="16"/>
    </row>
    <row r="19" spans="2:32">
      <c r="B19"/>
      <c r="C19" s="54" t="s">
        <v>94</v>
      </c>
      <c r="D19" s="16" t="s">
        <v>86</v>
      </c>
      <c r="E19" s="16" t="s">
        <v>165</v>
      </c>
      <c r="F19" s="136">
        <v>31403</v>
      </c>
      <c r="G19" s="16">
        <v>3708</v>
      </c>
      <c r="H19" s="43">
        <v>23580232</v>
      </c>
      <c r="I19" s="43">
        <v>25522698</v>
      </c>
      <c r="J19" s="43">
        <v>25500366</v>
      </c>
      <c r="K19" s="135" t="s">
        <v>164</v>
      </c>
      <c r="Y19" s="16"/>
      <c r="Z19" s="16"/>
      <c r="AA19" s="16"/>
      <c r="AB19" s="16"/>
    </row>
    <row r="20" spans="2:32">
      <c r="B20"/>
      <c r="C20" s="54" t="s">
        <v>95</v>
      </c>
      <c r="D20" s="16" t="s">
        <v>86</v>
      </c>
      <c r="E20" s="16" t="s">
        <v>165</v>
      </c>
      <c r="F20" s="136">
        <v>35156</v>
      </c>
      <c r="G20" s="16">
        <v>4110</v>
      </c>
      <c r="H20" s="43">
        <v>22676924</v>
      </c>
      <c r="I20" s="43">
        <v>22340081</v>
      </c>
      <c r="J20" s="43">
        <v>24632585</v>
      </c>
      <c r="K20" s="135" t="s">
        <v>164</v>
      </c>
      <c r="Y20" s="16"/>
      <c r="Z20" s="16"/>
      <c r="AA20" s="16"/>
      <c r="AB20" s="16"/>
    </row>
    <row r="21" spans="2:32">
      <c r="B21"/>
      <c r="C21" s="54" t="s">
        <v>96</v>
      </c>
      <c r="D21" s="16" t="s">
        <v>86</v>
      </c>
      <c r="E21" s="16" t="s">
        <v>165</v>
      </c>
      <c r="F21" s="136">
        <v>32115</v>
      </c>
      <c r="G21" s="16">
        <v>3990</v>
      </c>
      <c r="H21" s="43">
        <v>26256068</v>
      </c>
      <c r="I21" s="43">
        <v>27964141</v>
      </c>
      <c r="J21" s="43">
        <v>28163040</v>
      </c>
      <c r="K21" s="135" t="s">
        <v>164</v>
      </c>
    </row>
    <row r="22" spans="2:32">
      <c r="B22"/>
      <c r="C22" s="54" t="s">
        <v>97</v>
      </c>
      <c r="D22" s="16" t="s">
        <v>86</v>
      </c>
      <c r="E22" s="16" t="s">
        <v>165</v>
      </c>
      <c r="F22" s="136">
        <v>29127</v>
      </c>
      <c r="G22" s="16">
        <v>3600</v>
      </c>
      <c r="H22" s="43">
        <v>21863400</v>
      </c>
      <c r="I22" s="43">
        <v>21954536</v>
      </c>
      <c r="J22" s="43">
        <v>21504422</v>
      </c>
      <c r="K22" s="135" t="s">
        <v>164</v>
      </c>
    </row>
    <row r="23" spans="2:32">
      <c r="B23"/>
      <c r="C23" s="54" t="s">
        <v>98</v>
      </c>
      <c r="D23" s="16" t="s">
        <v>86</v>
      </c>
      <c r="E23" s="16" t="s">
        <v>165</v>
      </c>
      <c r="F23" s="136">
        <v>31199</v>
      </c>
      <c r="G23" s="16">
        <v>3654</v>
      </c>
      <c r="H23" s="43">
        <v>21504122</v>
      </c>
      <c r="I23" s="43">
        <v>19847894</v>
      </c>
      <c r="J23" s="43">
        <v>19067501</v>
      </c>
      <c r="K23" s="135" t="s">
        <v>164</v>
      </c>
    </row>
    <row r="24" spans="2:32">
      <c r="B24"/>
      <c r="C24" s="137" t="s">
        <v>166</v>
      </c>
      <c r="D24" s="138"/>
      <c r="E24" s="138"/>
      <c r="F24" s="138"/>
      <c r="G24" s="139">
        <f>SUM(G11:G23)</f>
        <v>37745</v>
      </c>
      <c r="H24" s="186">
        <f>SUM(H11:H23)</f>
        <v>211690925</v>
      </c>
      <c r="I24" s="203">
        <f>SUM(I11:I23)</f>
        <v>215939904</v>
      </c>
      <c r="J24" s="203">
        <f>SUM(J11:J23)</f>
        <v>220219603</v>
      </c>
      <c r="K24" s="135"/>
    </row>
    <row r="25" spans="2:32">
      <c r="B25"/>
      <c r="C25" s="86" t="s">
        <v>99</v>
      </c>
      <c r="D25" s="57" t="s">
        <v>178</v>
      </c>
      <c r="E25" s="57" t="s">
        <v>165</v>
      </c>
      <c r="F25" s="136">
        <v>27893</v>
      </c>
      <c r="G25" s="16">
        <v>171</v>
      </c>
      <c r="H25" s="43"/>
      <c r="I25" s="204">
        <v>971</v>
      </c>
      <c r="J25" s="205">
        <v>992</v>
      </c>
      <c r="K25" s="135" t="s">
        <v>164</v>
      </c>
      <c r="Y25" s="44"/>
      <c r="Z25" s="44"/>
      <c r="AA25" s="44"/>
      <c r="AB25" s="44"/>
      <c r="AC25" s="44"/>
      <c r="AD25" s="44"/>
      <c r="AE25" s="149"/>
      <c r="AF25" s="16"/>
    </row>
    <row r="26" spans="2:32">
      <c r="B26"/>
      <c r="C26" s="86" t="s">
        <v>100</v>
      </c>
      <c r="D26" s="57" t="s">
        <v>167</v>
      </c>
      <c r="E26" s="57" t="s">
        <v>165</v>
      </c>
      <c r="F26" s="136">
        <v>28033</v>
      </c>
      <c r="G26" s="16">
        <v>171</v>
      </c>
      <c r="H26" s="43"/>
      <c r="I26" s="204">
        <v>322</v>
      </c>
      <c r="J26" s="205">
        <v>5507</v>
      </c>
      <c r="K26" s="135" t="s">
        <v>164</v>
      </c>
      <c r="Y26" s="16"/>
      <c r="Z26" s="55"/>
      <c r="AA26" s="55"/>
      <c r="AB26" s="55"/>
      <c r="AC26" s="55"/>
      <c r="AD26" s="55"/>
      <c r="AE26" s="141"/>
      <c r="AF26" s="16"/>
    </row>
    <row r="27" spans="2:32">
      <c r="B27"/>
      <c r="C27" s="140" t="s">
        <v>101</v>
      </c>
      <c r="D27" s="148" t="s">
        <v>167</v>
      </c>
      <c r="E27" s="148" t="s">
        <v>165</v>
      </c>
      <c r="F27" s="87">
        <v>39170</v>
      </c>
      <c r="G27" s="148">
        <v>1338</v>
      </c>
      <c r="H27" s="187"/>
      <c r="I27" s="206">
        <v>6303</v>
      </c>
      <c r="J27" s="206">
        <v>0</v>
      </c>
      <c r="K27" s="135"/>
      <c r="Y27" s="16"/>
      <c r="Z27" s="55"/>
      <c r="AA27" s="55"/>
      <c r="AB27" s="55"/>
      <c r="AC27" s="55"/>
      <c r="AD27" s="55"/>
      <c r="AE27" s="141"/>
      <c r="AF27" s="16"/>
    </row>
    <row r="28" spans="2:32">
      <c r="B28"/>
      <c r="C28" s="140" t="s">
        <v>102</v>
      </c>
      <c r="D28" s="148" t="s">
        <v>167</v>
      </c>
      <c r="E28" s="148" t="s">
        <v>165</v>
      </c>
      <c r="F28" s="87">
        <v>39171</v>
      </c>
      <c r="G28" s="148">
        <v>746</v>
      </c>
      <c r="H28" s="187"/>
      <c r="I28" s="206">
        <v>5817</v>
      </c>
      <c r="J28" s="206">
        <v>0</v>
      </c>
      <c r="K28" s="135"/>
      <c r="Y28" s="16"/>
      <c r="Z28" s="55"/>
      <c r="AA28" s="55"/>
      <c r="AB28" s="55"/>
      <c r="AC28" s="55"/>
      <c r="AD28" s="55"/>
      <c r="AE28" s="141"/>
      <c r="AF28" s="16"/>
    </row>
    <row r="29" spans="2:32">
      <c r="B29"/>
      <c r="C29" s="137" t="s">
        <v>168</v>
      </c>
      <c r="D29" s="138"/>
      <c r="E29" s="138"/>
      <c r="F29" s="138"/>
      <c r="G29" s="139">
        <f>SUM(G25:G28)</f>
        <v>2426</v>
      </c>
      <c r="H29" s="186">
        <f>SUM(H25:H28)</f>
        <v>0</v>
      </c>
      <c r="I29" s="203">
        <f>SUM(I25:I28)</f>
        <v>13413</v>
      </c>
      <c r="J29" s="203">
        <f>SUM(J25:J28)</f>
        <v>6499</v>
      </c>
      <c r="K29" s="135"/>
      <c r="Y29" s="16"/>
      <c r="Z29" s="55"/>
      <c r="AA29" s="55"/>
      <c r="AB29" s="55"/>
      <c r="AC29" s="55"/>
      <c r="AD29" s="55"/>
      <c r="AE29" s="141"/>
      <c r="AF29" s="16"/>
    </row>
    <row r="30" spans="2:32">
      <c r="B30"/>
      <c r="C30" s="86" t="s">
        <v>103</v>
      </c>
      <c r="D30" s="16" t="s">
        <v>104</v>
      </c>
      <c r="E30" s="57" t="s">
        <v>165</v>
      </c>
      <c r="F30" s="136">
        <v>26184</v>
      </c>
      <c r="G30" s="16">
        <v>360</v>
      </c>
      <c r="H30" s="43"/>
      <c r="I30" s="43"/>
      <c r="J30" s="43"/>
      <c r="K30" s="135" t="s">
        <v>164</v>
      </c>
      <c r="Y30" s="16"/>
      <c r="Z30" s="55"/>
      <c r="AA30" s="55"/>
      <c r="AB30" s="55"/>
      <c r="AC30" s="55"/>
      <c r="AD30" s="55"/>
      <c r="AE30" s="141"/>
      <c r="AF30" s="16"/>
    </row>
    <row r="31" spans="2:32">
      <c r="B31"/>
      <c r="C31" s="86" t="s">
        <v>106</v>
      </c>
      <c r="D31" s="16" t="s">
        <v>104</v>
      </c>
      <c r="E31" s="57" t="s">
        <v>165</v>
      </c>
      <c r="F31" s="136">
        <v>28126</v>
      </c>
      <c r="G31" s="16">
        <v>240</v>
      </c>
      <c r="H31" s="43"/>
      <c r="I31" s="43"/>
      <c r="J31" s="43"/>
      <c r="K31" s="135" t="s">
        <v>164</v>
      </c>
      <c r="Y31" s="16"/>
      <c r="Z31" s="55"/>
      <c r="AA31" s="55"/>
      <c r="AB31" s="55"/>
      <c r="AC31" s="55"/>
      <c r="AD31" s="55"/>
      <c r="AE31" s="141"/>
      <c r="AF31" s="16"/>
    </row>
    <row r="32" spans="2:32">
      <c r="B32"/>
      <c r="C32" s="86" t="s">
        <v>107</v>
      </c>
      <c r="D32" s="16" t="s">
        <v>104</v>
      </c>
      <c r="E32" s="57" t="s">
        <v>165</v>
      </c>
      <c r="F32" s="136">
        <v>31048</v>
      </c>
      <c r="G32" s="16">
        <v>42</v>
      </c>
      <c r="H32" s="43"/>
      <c r="I32" s="43"/>
      <c r="J32" s="43"/>
      <c r="K32" s="135" t="s">
        <v>164</v>
      </c>
      <c r="Y32" s="16"/>
      <c r="Z32" s="142"/>
      <c r="AA32" s="142"/>
      <c r="AB32" s="142"/>
      <c r="AC32" s="142"/>
      <c r="AD32" s="142"/>
      <c r="AE32" s="141"/>
      <c r="AF32" s="16"/>
    </row>
    <row r="33" spans="2:32">
      <c r="B33"/>
      <c r="C33" s="86" t="s">
        <v>108</v>
      </c>
      <c r="D33" s="16" t="s">
        <v>104</v>
      </c>
      <c r="E33" s="57" t="s">
        <v>165</v>
      </c>
      <c r="F33" s="136">
        <v>28887</v>
      </c>
      <c r="G33" s="16">
        <v>6</v>
      </c>
      <c r="H33" s="43"/>
      <c r="I33" s="43"/>
      <c r="J33" s="43"/>
      <c r="K33" s="135" t="s">
        <v>164</v>
      </c>
      <c r="Y33" s="16"/>
      <c r="Z33" s="55"/>
      <c r="AA33" s="55"/>
      <c r="AB33" s="55"/>
      <c r="AC33" s="55"/>
      <c r="AD33" s="55"/>
      <c r="AE33" s="55"/>
      <c r="AF33" s="16"/>
    </row>
    <row r="34" spans="2:32">
      <c r="B34"/>
      <c r="C34" s="86" t="s">
        <v>109</v>
      </c>
      <c r="D34" s="16" t="s">
        <v>104</v>
      </c>
      <c r="E34" s="57" t="s">
        <v>165</v>
      </c>
      <c r="F34" s="136">
        <v>28946</v>
      </c>
      <c r="G34" s="16">
        <v>11</v>
      </c>
      <c r="H34" s="43"/>
      <c r="I34" s="43"/>
      <c r="J34" s="43"/>
      <c r="K34" s="135" t="s">
        <v>164</v>
      </c>
      <c r="Y34" s="16"/>
      <c r="Z34" s="16"/>
      <c r="AA34" s="16"/>
      <c r="AB34" s="16"/>
      <c r="AC34" s="16"/>
      <c r="AD34" s="16"/>
      <c r="AE34" s="150"/>
      <c r="AF34" s="16"/>
    </row>
    <row r="35" spans="2:32">
      <c r="B35"/>
      <c r="C35" s="86" t="s">
        <v>110</v>
      </c>
      <c r="D35" s="16" t="s">
        <v>104</v>
      </c>
      <c r="E35" s="57" t="s">
        <v>165</v>
      </c>
      <c r="F35" s="136">
        <v>30376</v>
      </c>
      <c r="G35" s="16">
        <v>2</v>
      </c>
      <c r="H35" s="43"/>
      <c r="I35" s="43"/>
      <c r="J35" s="43"/>
      <c r="K35" s="135" t="s">
        <v>164</v>
      </c>
      <c r="Y35" s="16"/>
      <c r="Z35" s="16"/>
      <c r="AA35" s="16"/>
      <c r="AB35" s="16"/>
      <c r="AC35" s="113"/>
      <c r="AD35" s="55"/>
      <c r="AE35" s="141"/>
      <c r="AF35" s="16"/>
    </row>
    <row r="36" spans="2:32">
      <c r="B36"/>
      <c r="C36" s="137" t="s">
        <v>169</v>
      </c>
      <c r="D36" s="138"/>
      <c r="E36" s="138"/>
      <c r="F36" s="138"/>
      <c r="G36" s="139">
        <f>SUM(G30:G35)</f>
        <v>661</v>
      </c>
      <c r="H36" s="186">
        <f>SUM(H30:H35)</f>
        <v>0</v>
      </c>
      <c r="I36" s="186">
        <f>SUM(I30:I35)</f>
        <v>0</v>
      </c>
      <c r="J36" s="186">
        <f>SUM(J30:J35)</f>
        <v>0</v>
      </c>
      <c r="K36" s="135"/>
      <c r="Y36" s="16"/>
      <c r="Z36" s="16"/>
      <c r="AA36" s="16"/>
      <c r="AB36" s="16"/>
      <c r="AC36" s="113"/>
      <c r="AD36" s="150"/>
      <c r="AE36" s="16"/>
      <c r="AF36" s="16"/>
    </row>
    <row r="37" spans="2:32">
      <c r="B37"/>
      <c r="C37" s="54" t="s">
        <v>111</v>
      </c>
      <c r="D37" s="57" t="s">
        <v>112</v>
      </c>
      <c r="E37" s="57" t="s">
        <v>165</v>
      </c>
      <c r="F37" s="136">
        <v>30884</v>
      </c>
      <c r="G37" s="62">
        <v>1910</v>
      </c>
      <c r="H37" s="43">
        <v>13004000</v>
      </c>
      <c r="I37" s="43">
        <v>12806000</v>
      </c>
      <c r="J37" s="43">
        <v>12099000</v>
      </c>
      <c r="K37" s="163" t="s">
        <v>174</v>
      </c>
      <c r="Y37" s="16"/>
      <c r="Z37" s="16"/>
      <c r="AA37" s="16"/>
      <c r="AB37" s="16"/>
      <c r="AC37" s="44"/>
      <c r="AD37" s="151"/>
      <c r="AE37" s="16"/>
      <c r="AF37" s="16"/>
    </row>
    <row r="38" spans="2:32">
      <c r="B38"/>
      <c r="C38" s="137" t="s">
        <v>170</v>
      </c>
      <c r="D38" s="138"/>
      <c r="E38" s="138"/>
      <c r="F38" s="138"/>
      <c r="G38" s="139">
        <f>G37</f>
        <v>1910</v>
      </c>
      <c r="H38" s="186">
        <f>H37</f>
        <v>13004000</v>
      </c>
      <c r="I38" s="186">
        <f>I37</f>
        <v>12806000</v>
      </c>
      <c r="J38" s="186">
        <f>J37</f>
        <v>12099000</v>
      </c>
      <c r="K38" s="135"/>
    </row>
    <row r="39" spans="2:32">
      <c r="B39"/>
      <c r="C39" s="86" t="s">
        <v>113</v>
      </c>
      <c r="D39" s="57" t="s">
        <v>134</v>
      </c>
      <c r="E39" s="57" t="s">
        <v>165</v>
      </c>
      <c r="F39" s="136">
        <v>29754</v>
      </c>
      <c r="G39" s="16">
        <v>1000</v>
      </c>
      <c r="H39" s="43"/>
      <c r="I39" s="43"/>
      <c r="J39" s="43"/>
      <c r="K39" s="135"/>
    </row>
    <row r="40" spans="2:32">
      <c r="B40"/>
      <c r="C40" s="86" t="s">
        <v>115</v>
      </c>
      <c r="D40" s="57" t="s">
        <v>134</v>
      </c>
      <c r="E40" s="47" t="s">
        <v>165</v>
      </c>
      <c r="F40" s="136">
        <v>32251</v>
      </c>
      <c r="G40" s="16">
        <v>400</v>
      </c>
      <c r="H40" s="43"/>
      <c r="I40" s="43"/>
      <c r="J40" s="43"/>
      <c r="K40" s="135"/>
    </row>
    <row r="41" spans="2:32">
      <c r="B41"/>
      <c r="C41" s="137" t="s">
        <v>171</v>
      </c>
      <c r="D41" s="138"/>
      <c r="E41" s="138"/>
      <c r="F41" s="138"/>
      <c r="G41" s="139">
        <f>SUM(G39:G40)</f>
        <v>1400</v>
      </c>
      <c r="H41" s="186">
        <f>SUM(H39:H40)</f>
        <v>0</v>
      </c>
      <c r="I41" s="186">
        <f>SUM(I39:I40)</f>
        <v>0</v>
      </c>
      <c r="J41" s="186">
        <f>SUM(J39:J40)</f>
        <v>0</v>
      </c>
      <c r="K41" s="135"/>
    </row>
    <row r="42" spans="2:32" ht="60" customHeight="1">
      <c r="B42"/>
      <c r="C42" s="54" t="s">
        <v>116</v>
      </c>
      <c r="D42" s="57" t="s">
        <v>117</v>
      </c>
      <c r="E42" s="47" t="s">
        <v>165</v>
      </c>
      <c r="F42" s="219">
        <v>37469</v>
      </c>
      <c r="G42" s="220">
        <v>3</v>
      </c>
      <c r="H42" s="46">
        <v>2000</v>
      </c>
      <c r="I42" s="46">
        <v>1000</v>
      </c>
      <c r="J42" s="46">
        <v>2000</v>
      </c>
      <c r="K42" s="163" t="s">
        <v>232</v>
      </c>
    </row>
    <row r="43" spans="2:32">
      <c r="B43"/>
      <c r="C43" s="137" t="s">
        <v>172</v>
      </c>
      <c r="D43" s="138"/>
      <c r="E43" s="138"/>
      <c r="F43" s="138"/>
      <c r="G43" s="139">
        <f>G42</f>
        <v>3</v>
      </c>
      <c r="H43" s="186">
        <f>H42</f>
        <v>2000</v>
      </c>
      <c r="I43" s="186">
        <f>I42</f>
        <v>1000</v>
      </c>
      <c r="J43" s="186">
        <f>J42</f>
        <v>2000</v>
      </c>
      <c r="K43" s="135"/>
    </row>
    <row r="44" spans="2:32">
      <c r="B44"/>
      <c r="C44" s="137" t="s">
        <v>121</v>
      </c>
      <c r="D44" s="138"/>
      <c r="E44" s="138"/>
      <c r="F44" s="138"/>
      <c r="G44" s="164">
        <f>G24+G29+G36+G38+G41+G43</f>
        <v>44145</v>
      </c>
      <c r="H44" s="186">
        <f>H24+H29+H36+H38+H43</f>
        <v>224696925</v>
      </c>
      <c r="I44" s="186">
        <f>I24+I29+I36+I38+I43</f>
        <v>228760317</v>
      </c>
      <c r="J44" s="186">
        <f>J24+J29+J36+J38+J43</f>
        <v>232327102</v>
      </c>
      <c r="K44" s="135"/>
    </row>
    <row r="45" spans="2:32" ht="16" thickBot="1">
      <c r="B45"/>
      <c r="C45" s="117"/>
      <c r="D45" s="122"/>
      <c r="E45" s="122"/>
      <c r="F45" s="122"/>
      <c r="G45" s="122"/>
      <c r="H45" s="122"/>
      <c r="I45" s="122"/>
      <c r="J45" s="122"/>
      <c r="K45" s="143"/>
      <c r="O45" s="57"/>
    </row>
    <row r="46" spans="2:32">
      <c r="B46"/>
      <c r="C46"/>
      <c r="D46"/>
      <c r="E46"/>
      <c r="F46"/>
      <c r="G46"/>
      <c r="H46"/>
      <c r="I46"/>
      <c r="J46"/>
    </row>
    <row r="47" spans="2:32">
      <c r="B47"/>
      <c r="C47"/>
      <c r="D47"/>
      <c r="E47"/>
      <c r="F47"/>
      <c r="G47"/>
      <c r="H47" s="144"/>
      <c r="I47"/>
      <c r="J47"/>
    </row>
    <row r="48" spans="2:32">
      <c r="B48"/>
      <c r="C48"/>
      <c r="D48"/>
      <c r="E48"/>
      <c r="F48"/>
      <c r="G48"/>
      <c r="H48"/>
      <c r="I48"/>
      <c r="J48"/>
    </row>
    <row r="49" spans="2:10">
      <c r="B49"/>
      <c r="C49"/>
      <c r="D49"/>
      <c r="E49"/>
      <c r="F49"/>
      <c r="G49"/>
      <c r="H49"/>
      <c r="I49"/>
      <c r="J49"/>
    </row>
    <row r="50" spans="2:10">
      <c r="B50"/>
      <c r="C50"/>
      <c r="D50"/>
      <c r="E50"/>
      <c r="F50"/>
      <c r="G50"/>
      <c r="H50"/>
      <c r="I50"/>
      <c r="J50"/>
    </row>
    <row r="51" spans="2:10">
      <c r="B51"/>
      <c r="C51"/>
      <c r="D51"/>
      <c r="E51"/>
      <c r="F51"/>
      <c r="G51"/>
      <c r="H51"/>
      <c r="I51"/>
      <c r="J51"/>
    </row>
    <row r="52" spans="2:10">
      <c r="B52"/>
      <c r="C52"/>
      <c r="D52"/>
      <c r="E52"/>
      <c r="F52"/>
      <c r="G52"/>
      <c r="H52"/>
      <c r="I52"/>
      <c r="J52"/>
    </row>
    <row r="53" spans="2:10">
      <c r="B53"/>
      <c r="C53"/>
      <c r="D53"/>
      <c r="E53"/>
      <c r="F53"/>
      <c r="G53"/>
      <c r="H53"/>
      <c r="I53"/>
      <c r="J53"/>
    </row>
    <row r="54" spans="2:10">
      <c r="B54"/>
      <c r="C54"/>
      <c r="D54"/>
      <c r="E54"/>
      <c r="F54"/>
      <c r="G54"/>
      <c r="H54"/>
      <c r="I54"/>
      <c r="J54"/>
    </row>
    <row r="55" spans="2:10">
      <c r="B55"/>
      <c r="C55"/>
      <c r="D55"/>
      <c r="E55"/>
      <c r="F55"/>
      <c r="G55"/>
      <c r="H55"/>
      <c r="I55"/>
      <c r="J55"/>
    </row>
    <row r="56" spans="2:10">
      <c r="B56"/>
      <c r="C56"/>
      <c r="D56"/>
      <c r="E56"/>
      <c r="F56"/>
      <c r="G56"/>
      <c r="H56"/>
      <c r="I56"/>
      <c r="J56"/>
    </row>
    <row r="57" spans="2:10">
      <c r="B57"/>
      <c r="C57"/>
      <c r="D57"/>
      <c r="E57"/>
      <c r="F57"/>
      <c r="G57"/>
      <c r="H57"/>
      <c r="I57"/>
      <c r="J57"/>
    </row>
    <row r="58" spans="2:10">
      <c r="B58"/>
      <c r="C58"/>
      <c r="D58"/>
      <c r="E58"/>
      <c r="F58"/>
      <c r="G58"/>
      <c r="H58"/>
      <c r="I58"/>
      <c r="J58"/>
    </row>
    <row r="59" spans="2:10">
      <c r="B59"/>
      <c r="C59"/>
      <c r="D59"/>
      <c r="E59"/>
      <c r="F59"/>
      <c r="G59"/>
      <c r="H59"/>
      <c r="I59"/>
      <c r="J59"/>
    </row>
    <row r="60" spans="2:10">
      <c r="B60" s="152"/>
    </row>
    <row r="62" spans="2:10">
      <c r="B62" s="155"/>
    </row>
    <row r="63" spans="2:10">
      <c r="B63" s="155"/>
    </row>
    <row r="64" spans="2:10">
      <c r="B64" s="155"/>
      <c r="E64" s="253"/>
      <c r="F64" s="253"/>
      <c r="G64" s="253"/>
      <c r="H64" s="253"/>
      <c r="I64" s="253"/>
    </row>
    <row r="65" spans="3:10">
      <c r="E65" s="149"/>
      <c r="F65" s="149"/>
      <c r="G65" s="149"/>
      <c r="H65" s="149"/>
      <c r="I65" s="149"/>
      <c r="J65" s="149"/>
    </row>
    <row r="74" spans="3:10">
      <c r="C74" s="152"/>
      <c r="D74" s="152"/>
      <c r="E74" s="152"/>
      <c r="F74" s="152"/>
      <c r="G74" s="152"/>
      <c r="H74" s="152"/>
      <c r="I74" s="152"/>
      <c r="J74" s="152"/>
    </row>
    <row r="75" spans="3:10">
      <c r="C75" s="152"/>
      <c r="D75" s="152"/>
      <c r="E75" s="156"/>
      <c r="F75" s="156"/>
      <c r="G75" s="156"/>
      <c r="H75" s="156"/>
      <c r="I75" s="156"/>
      <c r="J75" s="156"/>
    </row>
    <row r="77" spans="3:10">
      <c r="I77" s="157"/>
      <c r="J77" s="158"/>
    </row>
    <row r="82" spans="2:10">
      <c r="B82" s="155"/>
    </row>
    <row r="83" spans="2:10">
      <c r="B83" s="155"/>
    </row>
    <row r="84" spans="2:10">
      <c r="B84" s="155"/>
    </row>
    <row r="85" spans="2:10">
      <c r="B85" s="155"/>
    </row>
    <row r="86" spans="2:10">
      <c r="E86" s="254"/>
      <c r="F86" s="254"/>
      <c r="G86" s="254"/>
      <c r="H86" s="254"/>
      <c r="I86" s="254"/>
    </row>
    <row r="87" spans="2:10">
      <c r="E87" s="154"/>
      <c r="F87" s="154"/>
      <c r="G87" s="154"/>
      <c r="H87" s="154"/>
      <c r="I87" s="154"/>
      <c r="J87" s="154"/>
    </row>
    <row r="88" spans="2:10">
      <c r="C88" s="153"/>
      <c r="D88" s="154"/>
    </row>
    <row r="89" spans="2:10">
      <c r="C89" s="153"/>
      <c r="D89" s="154"/>
    </row>
    <row r="90" spans="2:10">
      <c r="C90" s="153"/>
      <c r="D90" s="154"/>
    </row>
    <row r="91" spans="2:10">
      <c r="C91" s="154"/>
      <c r="D91" s="154"/>
      <c r="E91" s="152"/>
      <c r="F91" s="152"/>
      <c r="G91" s="152"/>
      <c r="H91" s="152"/>
      <c r="I91" s="152"/>
      <c r="J91" s="152"/>
    </row>
    <row r="92" spans="2:10">
      <c r="C92" s="153"/>
      <c r="D92" s="154"/>
    </row>
    <row r="93" spans="2:10">
      <c r="C93" s="153"/>
      <c r="D93" s="154"/>
    </row>
    <row r="94" spans="2:10">
      <c r="C94" s="153"/>
      <c r="D94" s="154"/>
    </row>
    <row r="95" spans="2:10">
      <c r="C95" s="154"/>
      <c r="D95" s="154"/>
      <c r="E95" s="152"/>
      <c r="F95" s="152"/>
      <c r="G95" s="152"/>
      <c r="H95" s="152"/>
      <c r="I95" s="152"/>
      <c r="J95" s="152"/>
    </row>
    <row r="97" spans="3:10">
      <c r="I97" s="157"/>
      <c r="J97" s="159"/>
    </row>
    <row r="100" spans="3:10">
      <c r="C100" s="155"/>
    </row>
    <row r="103" spans="3:10">
      <c r="D103" s="253"/>
      <c r="E103" s="253"/>
      <c r="F103" s="253"/>
      <c r="G103" s="253"/>
      <c r="H103" s="253"/>
    </row>
    <row r="104" spans="3:10">
      <c r="D104" s="149"/>
      <c r="E104" s="149"/>
      <c r="F104" s="149"/>
      <c r="G104" s="149"/>
      <c r="H104" s="149"/>
      <c r="I104" s="149"/>
    </row>
    <row r="105" spans="3:10">
      <c r="D105" s="88"/>
      <c r="E105" s="88"/>
      <c r="F105" s="88"/>
      <c r="G105" s="88"/>
      <c r="H105" s="88"/>
      <c r="I105" s="88"/>
    </row>
    <row r="106" spans="3:10">
      <c r="D106" s="88"/>
      <c r="E106" s="88"/>
      <c r="F106" s="88"/>
      <c r="G106" s="88"/>
      <c r="H106" s="88"/>
      <c r="I106" s="88"/>
    </row>
    <row r="107" spans="3:10">
      <c r="D107" s="88"/>
      <c r="E107" s="88"/>
      <c r="F107" s="88"/>
      <c r="G107" s="88"/>
      <c r="H107" s="88"/>
      <c r="I107" s="88"/>
    </row>
    <row r="108" spans="3:10">
      <c r="D108" s="88"/>
      <c r="E108" s="88"/>
      <c r="F108" s="88"/>
      <c r="G108" s="88"/>
      <c r="H108" s="88"/>
      <c r="I108" s="88"/>
    </row>
    <row r="109" spans="3:10">
      <c r="D109" s="88"/>
      <c r="E109" s="88"/>
      <c r="F109" s="88"/>
      <c r="G109" s="88"/>
      <c r="H109" s="88"/>
      <c r="I109" s="88"/>
    </row>
    <row r="110" spans="3:10">
      <c r="D110" s="88"/>
      <c r="E110" s="88"/>
      <c r="F110" s="88"/>
      <c r="G110" s="88"/>
      <c r="H110" s="88"/>
      <c r="I110" s="88"/>
    </row>
    <row r="111" spans="3:10">
      <c r="D111" s="88"/>
      <c r="E111" s="88"/>
      <c r="F111" s="88"/>
      <c r="G111" s="88"/>
      <c r="H111" s="88"/>
      <c r="I111" s="88"/>
    </row>
    <row r="112" spans="3:10">
      <c r="D112" s="88"/>
      <c r="E112" s="88"/>
      <c r="F112" s="88"/>
      <c r="G112" s="88"/>
      <c r="H112" s="88"/>
      <c r="I112" s="88"/>
    </row>
    <row r="113" spans="3:10">
      <c r="D113" s="88"/>
      <c r="E113" s="88"/>
      <c r="F113" s="88"/>
      <c r="G113" s="88"/>
      <c r="H113" s="88"/>
      <c r="I113" s="88"/>
    </row>
    <row r="114" spans="3:10">
      <c r="D114" s="88"/>
      <c r="E114" s="88"/>
      <c r="F114" s="88"/>
      <c r="G114" s="88"/>
      <c r="H114" s="88"/>
      <c r="I114" s="88"/>
    </row>
    <row r="115" spans="3:10">
      <c r="D115" s="88"/>
      <c r="E115" s="88"/>
      <c r="F115" s="88"/>
      <c r="G115" s="88"/>
      <c r="H115" s="88"/>
      <c r="I115" s="88"/>
    </row>
    <row r="116" spans="3:10">
      <c r="D116" s="88"/>
      <c r="E116" s="88"/>
      <c r="F116" s="88"/>
      <c r="G116" s="88"/>
      <c r="H116" s="88"/>
      <c r="I116" s="88"/>
    </row>
    <row r="117" spans="3:10">
      <c r="I117" s="88"/>
    </row>
    <row r="118" spans="3:10">
      <c r="I118" s="88"/>
    </row>
    <row r="119" spans="3:10">
      <c r="D119" s="88"/>
      <c r="E119" s="88"/>
      <c r="F119" s="88"/>
      <c r="G119" s="88"/>
      <c r="H119" s="88"/>
      <c r="I119" s="88"/>
    </row>
    <row r="120" spans="3:10">
      <c r="D120" s="88"/>
      <c r="E120" s="88"/>
      <c r="F120" s="88"/>
      <c r="G120" s="88"/>
      <c r="H120" s="88"/>
      <c r="I120" s="88"/>
    </row>
    <row r="121" spans="3:10">
      <c r="D121" s="88"/>
      <c r="E121" s="88"/>
      <c r="F121" s="88"/>
      <c r="G121" s="88"/>
      <c r="H121" s="88"/>
      <c r="I121" s="88"/>
    </row>
    <row r="122" spans="3:10">
      <c r="I122" s="88"/>
    </row>
    <row r="123" spans="3:10">
      <c r="C123" s="152"/>
      <c r="D123" s="160"/>
      <c r="E123" s="160"/>
      <c r="F123" s="160"/>
      <c r="G123" s="160"/>
      <c r="H123" s="160"/>
      <c r="I123" s="160"/>
      <c r="J123" s="161"/>
    </row>
    <row r="125" spans="3:10">
      <c r="C125" s="157"/>
      <c r="D125" s="156"/>
      <c r="E125" s="156"/>
      <c r="F125" s="156"/>
      <c r="G125" s="156"/>
      <c r="H125" s="156"/>
      <c r="I125" s="156"/>
    </row>
    <row r="127" spans="3:10">
      <c r="H127" s="157"/>
      <c r="I127" s="162"/>
    </row>
    <row r="132" spans="3:9">
      <c r="C132" s="155"/>
    </row>
    <row r="135" spans="3:9">
      <c r="D135" s="253"/>
      <c r="E135" s="253"/>
      <c r="F135" s="253"/>
      <c r="G135" s="253"/>
      <c r="H135" s="253"/>
    </row>
    <row r="136" spans="3:9">
      <c r="D136" s="154"/>
      <c r="E136" s="154"/>
      <c r="F136" s="154"/>
      <c r="G136" s="154"/>
      <c r="H136" s="154"/>
      <c r="I136" s="154"/>
    </row>
    <row r="137" spans="3:9">
      <c r="C137" s="153"/>
    </row>
    <row r="138" spans="3:9">
      <c r="C138" s="153"/>
    </row>
    <row r="139" spans="3:9">
      <c r="C139" s="153"/>
    </row>
    <row r="140" spans="3:9">
      <c r="C140" s="153"/>
    </row>
    <row r="141" spans="3:9">
      <c r="C141" s="153"/>
    </row>
    <row r="142" spans="3:9">
      <c r="C142" s="154"/>
      <c r="D142" s="154"/>
      <c r="E142" s="154"/>
      <c r="F142" s="154"/>
      <c r="G142" s="154"/>
      <c r="H142" s="154"/>
      <c r="I142" s="154"/>
    </row>
    <row r="143" spans="3:9">
      <c r="C143" s="154"/>
      <c r="D143" s="154"/>
      <c r="E143" s="154"/>
      <c r="F143" s="154"/>
      <c r="G143" s="154"/>
      <c r="H143" s="154"/>
      <c r="I143" s="154"/>
    </row>
    <row r="145" spans="8:9">
      <c r="H145" s="157"/>
      <c r="I145" s="162"/>
    </row>
  </sheetData>
  <mergeCells count="5">
    <mergeCell ref="E64:I64"/>
    <mergeCell ref="E86:I86"/>
    <mergeCell ref="D103:H103"/>
    <mergeCell ref="D135:H135"/>
    <mergeCell ref="H9:J9"/>
  </mergeCells>
  <pageMargins left="0.75" right="0.75" top="1" bottom="1" header="0.5" footer="0.5"/>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9"/>
  <sheetViews>
    <sheetView showGridLines="0" workbookViewId="0"/>
  </sheetViews>
  <sheetFormatPr baseColWidth="10" defaultRowHeight="15" x14ac:dyDescent="0"/>
  <cols>
    <col min="5" max="5" width="13.83203125" customWidth="1"/>
    <col min="11" max="11" width="13.83203125" bestFit="1" customWidth="1"/>
    <col min="13" max="13" width="16.83203125" customWidth="1"/>
    <col min="14" max="14" width="11.33203125" bestFit="1" customWidth="1"/>
    <col min="15" max="15" width="15" bestFit="1" customWidth="1"/>
    <col min="16" max="16" width="13.83203125" bestFit="1" customWidth="1"/>
    <col min="22" max="22" width="34.1640625" customWidth="1"/>
  </cols>
  <sheetData>
    <row r="1" spans="1:23">
      <c r="A1" s="247"/>
    </row>
    <row r="3" spans="1:23" ht="18">
      <c r="B3" s="50" t="s">
        <v>180</v>
      </c>
      <c r="U3" s="70"/>
    </row>
    <row r="6" spans="1:23" ht="18">
      <c r="I6" s="50" t="s">
        <v>79</v>
      </c>
      <c r="J6" s="71"/>
    </row>
    <row r="8" spans="1:23">
      <c r="I8" s="71"/>
      <c r="J8" s="71"/>
    </row>
    <row r="9" spans="1:23" ht="16" thickBot="1"/>
    <row r="10" spans="1:23" ht="31" thickBot="1">
      <c r="I10" s="72" t="s">
        <v>44</v>
      </c>
      <c r="J10" s="18" t="s">
        <v>82</v>
      </c>
      <c r="K10" s="18" t="s">
        <v>122</v>
      </c>
      <c r="L10" s="18" t="s">
        <v>123</v>
      </c>
      <c r="M10" s="18" t="s">
        <v>124</v>
      </c>
      <c r="N10" s="18" t="s">
        <v>83</v>
      </c>
      <c r="O10" s="73" t="s">
        <v>84</v>
      </c>
      <c r="V10" s="71" t="s">
        <v>200</v>
      </c>
    </row>
    <row r="11" spans="1:23">
      <c r="I11" s="74" t="s">
        <v>231</v>
      </c>
      <c r="J11" s="75" t="s">
        <v>86</v>
      </c>
      <c r="K11" s="28">
        <v>6395805000</v>
      </c>
      <c r="L11" s="28">
        <v>1.9900000000000001E-2</v>
      </c>
      <c r="M11" s="28">
        <v>8.9499999999999996E-2</v>
      </c>
      <c r="N11" s="76">
        <f>'Power plants'!H11</f>
        <v>11987281</v>
      </c>
      <c r="O11" s="77">
        <f>(K11*L11*M11)/N11</f>
        <v>0.95027792334642025</v>
      </c>
      <c r="P11" s="88"/>
      <c r="V11" s="145" t="s">
        <v>185</v>
      </c>
    </row>
    <row r="12" spans="1:23">
      <c r="I12" s="78" t="s">
        <v>87</v>
      </c>
      <c r="J12" s="79" t="s">
        <v>86</v>
      </c>
      <c r="K12" s="38">
        <v>3876211000</v>
      </c>
      <c r="L12" s="38">
        <v>1.9900000000000001E-2</v>
      </c>
      <c r="M12" s="38">
        <v>8.9499999999999996E-2</v>
      </c>
      <c r="N12" s="76">
        <f>'Power plants'!H12</f>
        <v>6509079</v>
      </c>
      <c r="O12" s="81">
        <f t="shared" ref="O12:O23" si="0">(K12*L12*M12)/N12</f>
        <v>1.0606301754134495</v>
      </c>
      <c r="P12" s="88"/>
      <c r="U12">
        <v>1</v>
      </c>
      <c r="V12" t="s">
        <v>183</v>
      </c>
    </row>
    <row r="13" spans="1:23">
      <c r="I13" s="78" t="s">
        <v>88</v>
      </c>
      <c r="J13" s="79" t="s">
        <v>86</v>
      </c>
      <c r="K13" s="38">
        <v>11393553000</v>
      </c>
      <c r="L13" s="38">
        <v>1.9900000000000001E-2</v>
      </c>
      <c r="M13" s="38">
        <v>8.9499999999999996E-2</v>
      </c>
      <c r="N13" s="76">
        <f>'Power plants'!H13</f>
        <v>21769489</v>
      </c>
      <c r="O13" s="81">
        <f t="shared" si="0"/>
        <v>0.93215268262153517</v>
      </c>
      <c r="P13" s="88"/>
      <c r="V13">
        <v>2011</v>
      </c>
      <c r="W13">
        <v>19.45</v>
      </c>
    </row>
    <row r="14" spans="1:23">
      <c r="I14" s="78" t="s">
        <v>89</v>
      </c>
      <c r="J14" s="79" t="s">
        <v>86</v>
      </c>
      <c r="K14" s="38">
        <v>674538000</v>
      </c>
      <c r="L14" s="38">
        <v>1.9900000000000001E-2</v>
      </c>
      <c r="M14" s="38">
        <v>8.9499999999999996E-2</v>
      </c>
      <c r="N14" s="76">
        <f>'Power plants'!H14</f>
        <v>1249556</v>
      </c>
      <c r="O14" s="81">
        <f t="shared" si="0"/>
        <v>0.96145023104206606</v>
      </c>
      <c r="P14" s="88"/>
      <c r="V14">
        <v>2010</v>
      </c>
      <c r="W14">
        <v>19.22</v>
      </c>
    </row>
    <row r="15" spans="1:23">
      <c r="I15" s="78" t="s">
        <v>90</v>
      </c>
      <c r="J15" s="79" t="s">
        <v>86</v>
      </c>
      <c r="K15" s="38">
        <v>7122918000</v>
      </c>
      <c r="L15" s="38">
        <v>1.9900000000000001E-2</v>
      </c>
      <c r="M15" s="38">
        <v>8.9499999999999996E-2</v>
      </c>
      <c r="N15" s="76">
        <f>'Power plants'!H15</f>
        <v>12296687</v>
      </c>
      <c r="O15" s="81">
        <f>(K15*L15*M15)/N15</f>
        <v>1.0316822005715849</v>
      </c>
      <c r="P15" s="88"/>
      <c r="V15">
        <v>2009</v>
      </c>
      <c r="W15" s="166">
        <v>19.100000000000001</v>
      </c>
    </row>
    <row r="16" spans="1:23">
      <c r="I16" s="78" t="s">
        <v>91</v>
      </c>
      <c r="J16" s="79" t="s">
        <v>86</v>
      </c>
      <c r="K16" s="38">
        <v>15356595000</v>
      </c>
      <c r="L16" s="38">
        <v>1.9900000000000001E-2</v>
      </c>
      <c r="M16" s="38">
        <v>8.9499999999999996E-2</v>
      </c>
      <c r="N16" s="76">
        <f>'Power plants'!H16</f>
        <v>23841401</v>
      </c>
      <c r="O16" s="81">
        <f t="shared" si="0"/>
        <v>1.1472003480311412</v>
      </c>
      <c r="P16" s="88"/>
    </row>
    <row r="17" spans="5:23">
      <c r="I17" s="78" t="s">
        <v>92</v>
      </c>
      <c r="J17" s="79" t="s">
        <v>86</v>
      </c>
      <c r="K17" s="38">
        <v>0</v>
      </c>
      <c r="L17" s="38">
        <v>1.9900000000000001E-2</v>
      </c>
      <c r="M17" s="38">
        <v>8.9499999999999996E-2</v>
      </c>
      <c r="N17" s="76">
        <f>'Power plants'!H17</f>
        <v>0</v>
      </c>
      <c r="O17" s="81">
        <v>0</v>
      </c>
      <c r="P17" s="57"/>
      <c r="U17">
        <v>2</v>
      </c>
      <c r="V17" t="s">
        <v>182</v>
      </c>
      <c r="W17" t="s">
        <v>181</v>
      </c>
    </row>
    <row r="18" spans="5:23">
      <c r="I18" s="78" t="s">
        <v>93</v>
      </c>
      <c r="J18" s="79" t="s">
        <v>86</v>
      </c>
      <c r="K18" s="38">
        <v>9420764000</v>
      </c>
      <c r="L18" s="38">
        <v>1.9900000000000001E-2</v>
      </c>
      <c r="M18" s="38">
        <v>8.9499999999999996E-2</v>
      </c>
      <c r="N18" s="76">
        <f>'Power plants'!H18</f>
        <v>18156686</v>
      </c>
      <c r="O18" s="81">
        <f t="shared" si="0"/>
        <v>0.92411422008399569</v>
      </c>
      <c r="P18" s="88"/>
      <c r="U18">
        <v>3</v>
      </c>
      <c r="V18" t="s">
        <v>184</v>
      </c>
    </row>
    <row r="19" spans="5:23">
      <c r="I19" s="78" t="s">
        <v>94</v>
      </c>
      <c r="J19" s="79" t="s">
        <v>86</v>
      </c>
      <c r="K19" s="38">
        <v>16715323000</v>
      </c>
      <c r="L19" s="38">
        <v>1.9900000000000001E-2</v>
      </c>
      <c r="M19" s="38">
        <v>8.9499999999999996E-2</v>
      </c>
      <c r="N19" s="76">
        <f>'Power plants'!H19</f>
        <v>23580232</v>
      </c>
      <c r="O19" s="81">
        <f>(K19*L19*M19)/N19</f>
        <v>1.262533211257209</v>
      </c>
      <c r="P19" s="88"/>
    </row>
    <row r="20" spans="5:23">
      <c r="I20" s="78" t="s">
        <v>95</v>
      </c>
      <c r="J20" s="79" t="s">
        <v>86</v>
      </c>
      <c r="K20" s="38">
        <v>12554406000</v>
      </c>
      <c r="L20" s="38">
        <v>1.9900000000000001E-2</v>
      </c>
      <c r="M20" s="38">
        <v>8.9499999999999996E-2</v>
      </c>
      <c r="N20" s="76">
        <f>'Power plants'!H20</f>
        <v>22676924</v>
      </c>
      <c r="O20" s="81">
        <f t="shared" si="0"/>
        <v>0.98602547710174449</v>
      </c>
      <c r="P20" s="88"/>
      <c r="V20" s="145" t="s">
        <v>186</v>
      </c>
    </row>
    <row r="21" spans="5:23">
      <c r="I21" s="78" t="s">
        <v>96</v>
      </c>
      <c r="J21" s="79" t="s">
        <v>86</v>
      </c>
      <c r="K21" s="38">
        <v>13991453000</v>
      </c>
      <c r="L21" s="38">
        <v>1.9900000000000001E-2</v>
      </c>
      <c r="M21" s="38">
        <v>8.9499999999999996E-2</v>
      </c>
      <c r="N21" s="76">
        <f>'Power plants'!H21</f>
        <v>26256068</v>
      </c>
      <c r="O21" s="81">
        <f t="shared" si="0"/>
        <v>0.94909402906977536</v>
      </c>
      <c r="P21" s="88"/>
      <c r="U21">
        <v>1</v>
      </c>
      <c r="V21" t="s">
        <v>187</v>
      </c>
    </row>
    <row r="22" spans="5:23">
      <c r="I22" s="78" t="s">
        <v>97</v>
      </c>
      <c r="J22" s="79" t="s">
        <v>86</v>
      </c>
      <c r="K22" s="38">
        <v>12689387000</v>
      </c>
      <c r="L22" s="38">
        <v>1.9900000000000001E-2</v>
      </c>
      <c r="M22" s="38">
        <v>8.9499999999999996E-2</v>
      </c>
      <c r="N22" s="76">
        <f>'Power plants'!H22</f>
        <v>21863400</v>
      </c>
      <c r="O22" s="81">
        <f>(K22*L22*M22)/N22</f>
        <v>1.0337108005319393</v>
      </c>
      <c r="P22" s="88"/>
      <c r="U22">
        <v>2</v>
      </c>
      <c r="V22" t="s">
        <v>188</v>
      </c>
    </row>
    <row r="23" spans="5:23">
      <c r="I23" s="78" t="s">
        <v>98</v>
      </c>
      <c r="J23" s="79" t="s">
        <v>86</v>
      </c>
      <c r="K23" s="38">
        <v>11231583000</v>
      </c>
      <c r="L23" s="38">
        <v>1.9900000000000001E-2</v>
      </c>
      <c r="M23" s="38">
        <v>8.9499999999999996E-2</v>
      </c>
      <c r="N23" s="76">
        <f>'Power plants'!H23</f>
        <v>21504122</v>
      </c>
      <c r="O23" s="81">
        <f t="shared" si="0"/>
        <v>0.93024076510308118</v>
      </c>
      <c r="P23" s="88"/>
      <c r="V23" t="s">
        <v>189</v>
      </c>
    </row>
    <row r="24" spans="5:23">
      <c r="I24" s="82" t="s">
        <v>99</v>
      </c>
      <c r="J24" s="79" t="s">
        <v>126</v>
      </c>
      <c r="K24" s="38">
        <v>0</v>
      </c>
      <c r="L24" s="38">
        <v>4.2000000000000003E-2</v>
      </c>
      <c r="M24" s="38">
        <v>6.9699999999999998E-2</v>
      </c>
      <c r="N24" s="200">
        <f>'Power plants'!H25</f>
        <v>0</v>
      </c>
      <c r="O24" s="81">
        <v>0</v>
      </c>
      <c r="P24" s="57"/>
      <c r="U24">
        <v>3</v>
      </c>
      <c r="V24" t="s">
        <v>190</v>
      </c>
    </row>
    <row r="25" spans="5:23" ht="30">
      <c r="E25" s="34" t="s">
        <v>125</v>
      </c>
      <c r="F25" s="38">
        <v>0.78</v>
      </c>
      <c r="G25" s="38" t="s">
        <v>213</v>
      </c>
      <c r="I25" s="82" t="s">
        <v>100</v>
      </c>
      <c r="J25" s="79" t="s">
        <v>126</v>
      </c>
      <c r="K25" s="38">
        <v>0</v>
      </c>
      <c r="L25" s="38">
        <v>4.2000000000000003E-2</v>
      </c>
      <c r="M25" s="38">
        <v>6.9699999999999998E-2</v>
      </c>
      <c r="N25" s="200">
        <f>'Power plants'!H26</f>
        <v>0</v>
      </c>
      <c r="O25" s="81">
        <v>0</v>
      </c>
      <c r="P25" s="57"/>
      <c r="V25" t="s">
        <v>191</v>
      </c>
    </row>
    <row r="26" spans="5:23" ht="30">
      <c r="E26" s="34" t="s">
        <v>212</v>
      </c>
      <c r="F26" s="38">
        <v>0.82</v>
      </c>
      <c r="G26" s="38" t="s">
        <v>213</v>
      </c>
      <c r="I26" s="78" t="s">
        <v>101</v>
      </c>
      <c r="J26" s="79" t="s">
        <v>177</v>
      </c>
      <c r="K26" s="79">
        <v>0</v>
      </c>
      <c r="L26" s="79">
        <v>4.1399999999999999E-2</v>
      </c>
      <c r="M26" s="79">
        <v>7.2599999999999998E-2</v>
      </c>
      <c r="N26" s="221">
        <f>'Power plants'!H27</f>
        <v>0</v>
      </c>
      <c r="O26" s="222">
        <v>0</v>
      </c>
      <c r="P26" s="165"/>
    </row>
    <row r="27" spans="5:23" ht="16" thickBot="1">
      <c r="I27" s="223" t="s">
        <v>102</v>
      </c>
      <c r="J27" s="224" t="s">
        <v>177</v>
      </c>
      <c r="K27" s="224">
        <v>0</v>
      </c>
      <c r="L27" s="224">
        <v>4.1399999999999999E-2</v>
      </c>
      <c r="M27" s="224">
        <v>7.2599999999999998E-2</v>
      </c>
      <c r="N27" s="225">
        <f>'Power plants'!H28</f>
        <v>0</v>
      </c>
      <c r="O27" s="226">
        <v>0</v>
      </c>
      <c r="P27" s="165"/>
      <c r="V27" s="145" t="s">
        <v>207</v>
      </c>
    </row>
    <row r="28" spans="5:23">
      <c r="V28" t="s">
        <v>208</v>
      </c>
    </row>
    <row r="29" spans="5:23">
      <c r="V29" t="s">
        <v>209</v>
      </c>
    </row>
    <row r="33" spans="9:16" ht="18">
      <c r="I33" s="50" t="s">
        <v>80</v>
      </c>
    </row>
    <row r="35" spans="9:16" ht="16" thickBot="1"/>
    <row r="36" spans="9:16" ht="31" thickBot="1">
      <c r="I36" s="72" t="s">
        <v>44</v>
      </c>
      <c r="J36" s="18" t="s">
        <v>82</v>
      </c>
      <c r="K36" s="18" t="s">
        <v>122</v>
      </c>
      <c r="L36" s="18" t="s">
        <v>123</v>
      </c>
      <c r="M36" s="18" t="s">
        <v>124</v>
      </c>
      <c r="N36" s="18" t="s">
        <v>83</v>
      </c>
      <c r="O36" s="73" t="s">
        <v>84</v>
      </c>
    </row>
    <row r="37" spans="9:16">
      <c r="I37" s="74" t="s">
        <v>231</v>
      </c>
      <c r="J37" s="75" t="s">
        <v>86</v>
      </c>
      <c r="K37" s="28">
        <v>6794134000</v>
      </c>
      <c r="L37" s="28">
        <v>1.9900000000000001E-2</v>
      </c>
      <c r="M37" s="28">
        <v>8.9499999999999996E-2</v>
      </c>
      <c r="N37" s="76">
        <f>'Power plants'!I11</f>
        <v>13227864</v>
      </c>
      <c r="O37" s="77">
        <f>(K37*L37*M37)/N37</f>
        <v>0.91478808375259968</v>
      </c>
      <c r="P37" s="88"/>
    </row>
    <row r="38" spans="9:16">
      <c r="I38" s="78" t="s">
        <v>87</v>
      </c>
      <c r="J38" s="79" t="s">
        <v>86</v>
      </c>
      <c r="K38" s="38">
        <v>4732163000</v>
      </c>
      <c r="L38" s="38">
        <v>1.9900000000000001E-2</v>
      </c>
      <c r="M38" s="38">
        <v>8.9499999999999996E-2</v>
      </c>
      <c r="N38" s="76">
        <f>'Power plants'!I12</f>
        <v>7472070</v>
      </c>
      <c r="O38" s="81">
        <f>(K38*L38*M38)/N38</f>
        <v>1.1279630559068636</v>
      </c>
      <c r="P38" s="88"/>
    </row>
    <row r="39" spans="9:16">
      <c r="I39" s="78" t="s">
        <v>88</v>
      </c>
      <c r="J39" s="79" t="s">
        <v>86</v>
      </c>
      <c r="K39" s="38">
        <v>11744606000</v>
      </c>
      <c r="L39" s="38">
        <v>1.9900000000000001E-2</v>
      </c>
      <c r="M39" s="38">
        <v>8.9499999999999996E-2</v>
      </c>
      <c r="N39" s="76">
        <f>'Power plants'!I13</f>
        <v>22581228</v>
      </c>
      <c r="O39" s="81">
        <f t="shared" ref="O39:O53" si="1">(K39*L39*M39)/N39</f>
        <v>0.92633272717940762</v>
      </c>
      <c r="P39" s="88"/>
    </row>
    <row r="40" spans="9:16">
      <c r="I40" s="78" t="s">
        <v>89</v>
      </c>
      <c r="J40" s="79" t="s">
        <v>86</v>
      </c>
      <c r="K40" s="38">
        <v>1637371000</v>
      </c>
      <c r="L40" s="38">
        <v>1.9900000000000001E-2</v>
      </c>
      <c r="M40" s="38">
        <v>8.9499999999999996E-2</v>
      </c>
      <c r="N40" s="76">
        <f>'Power plants'!I14</f>
        <v>2656230</v>
      </c>
      <c r="O40" s="81">
        <f t="shared" si="1"/>
        <v>1.0978867114481803</v>
      </c>
      <c r="P40" s="88"/>
    </row>
    <row r="41" spans="9:16">
      <c r="I41" s="78" t="s">
        <v>90</v>
      </c>
      <c r="J41" s="79" t="s">
        <v>86</v>
      </c>
      <c r="K41" s="38">
        <v>6905917000</v>
      </c>
      <c r="L41" s="38">
        <v>1.9900000000000001E-2</v>
      </c>
      <c r="M41" s="38">
        <v>8.9499999999999996E-2</v>
      </c>
      <c r="N41" s="76">
        <f>'Power plants'!I15</f>
        <v>12143292</v>
      </c>
      <c r="O41" s="81">
        <f t="shared" si="1"/>
        <v>1.0128870715494613</v>
      </c>
      <c r="P41" s="88"/>
    </row>
    <row r="42" spans="9:16">
      <c r="I42" s="78" t="s">
        <v>91</v>
      </c>
      <c r="J42" s="79" t="s">
        <v>86</v>
      </c>
      <c r="K42" s="38">
        <v>13866514000</v>
      </c>
      <c r="L42" s="38">
        <v>1.9900000000000001E-2</v>
      </c>
      <c r="M42" s="38">
        <v>8.9499999999999996E-2</v>
      </c>
      <c r="N42" s="76">
        <f>'Power plants'!I16</f>
        <v>23307031</v>
      </c>
      <c r="O42" s="81">
        <f t="shared" si="1"/>
        <v>1.0596353846914264</v>
      </c>
      <c r="P42" s="88"/>
    </row>
    <row r="43" spans="9:16">
      <c r="I43" s="78" t="s">
        <v>92</v>
      </c>
      <c r="J43" s="79" t="s">
        <v>86</v>
      </c>
      <c r="K43" s="38">
        <v>664497000</v>
      </c>
      <c r="L43" s="38">
        <v>1.9900000000000001E-2</v>
      </c>
      <c r="M43" s="38">
        <v>8.9499999999999996E-2</v>
      </c>
      <c r="N43" s="76">
        <f>'Power plants'!I17</f>
        <v>1016023</v>
      </c>
      <c r="O43" s="81">
        <f t="shared" si="1"/>
        <v>1.1648381796967195</v>
      </c>
      <c r="P43" s="57"/>
    </row>
    <row r="44" spans="9:16">
      <c r="I44" s="78" t="s">
        <v>93</v>
      </c>
      <c r="J44" s="79" t="s">
        <v>86</v>
      </c>
      <c r="K44" s="38">
        <v>8504715000</v>
      </c>
      <c r="L44" s="38">
        <v>1.9900000000000001E-2</v>
      </c>
      <c r="M44" s="38">
        <v>8.9499999999999996E-2</v>
      </c>
      <c r="N44" s="76">
        <f>'Power plants'!I18</f>
        <v>15906816</v>
      </c>
      <c r="O44" s="81">
        <f t="shared" si="1"/>
        <v>0.95225359058343295</v>
      </c>
      <c r="P44" s="88"/>
    </row>
    <row r="45" spans="9:16">
      <c r="I45" s="78" t="s">
        <v>94</v>
      </c>
      <c r="J45" s="79" t="s">
        <v>86</v>
      </c>
      <c r="K45" s="38">
        <v>18170227000</v>
      </c>
      <c r="L45" s="38">
        <v>1.9900000000000001E-2</v>
      </c>
      <c r="M45" s="38">
        <v>8.9499999999999996E-2</v>
      </c>
      <c r="N45" s="76">
        <f>'Power plants'!I19</f>
        <v>25522698</v>
      </c>
      <c r="O45" s="81">
        <f>(K45*L45*M45)/N45</f>
        <v>1.2679726413857186</v>
      </c>
      <c r="P45" s="88"/>
    </row>
    <row r="46" spans="9:16">
      <c r="I46" s="78" t="s">
        <v>95</v>
      </c>
      <c r="J46" s="79" t="s">
        <v>86</v>
      </c>
      <c r="K46" s="38">
        <v>12261833000</v>
      </c>
      <c r="L46" s="38">
        <v>1.9900000000000001E-2</v>
      </c>
      <c r="M46" s="38">
        <v>8.9499999999999996E-2</v>
      </c>
      <c r="N46" s="76">
        <f>'Power plants'!I20</f>
        <v>22340081</v>
      </c>
      <c r="O46" s="81">
        <f>(K46*L46*M46)/N46</f>
        <v>0.97756752379948852</v>
      </c>
      <c r="P46" s="88"/>
    </row>
    <row r="47" spans="9:16">
      <c r="I47" s="78" t="s">
        <v>96</v>
      </c>
      <c r="J47" s="79" t="s">
        <v>86</v>
      </c>
      <c r="K47" s="38">
        <v>14637481000</v>
      </c>
      <c r="L47" s="38">
        <v>1.9900000000000001E-2</v>
      </c>
      <c r="M47" s="38">
        <v>8.9499999999999996E-2</v>
      </c>
      <c r="N47" s="76">
        <f>'Power plants'!I21</f>
        <v>27964141</v>
      </c>
      <c r="O47" s="81">
        <f t="shared" si="1"/>
        <v>0.93226841958242168</v>
      </c>
      <c r="P47" s="88"/>
    </row>
    <row r="48" spans="9:16" ht="16" thickBot="1">
      <c r="I48" s="78" t="s">
        <v>97</v>
      </c>
      <c r="J48" s="79" t="s">
        <v>86</v>
      </c>
      <c r="K48" s="38">
        <v>12438391000</v>
      </c>
      <c r="L48" s="38">
        <v>1.9900000000000001E-2</v>
      </c>
      <c r="M48" s="38">
        <v>8.9499999999999996E-2</v>
      </c>
      <c r="N48" s="76">
        <f>'Power plants'!I22</f>
        <v>21954536</v>
      </c>
      <c r="O48" s="81">
        <f>(K48*L48*M48)/N48</f>
        <v>1.0090578225178615</v>
      </c>
      <c r="P48" s="88"/>
    </row>
    <row r="49" spans="9:24" ht="16" thickBot="1">
      <c r="I49" s="78" t="s">
        <v>98</v>
      </c>
      <c r="J49" s="79" t="s">
        <v>86</v>
      </c>
      <c r="K49" s="38">
        <v>10602839000</v>
      </c>
      <c r="L49" s="38">
        <v>1.9900000000000001E-2</v>
      </c>
      <c r="M49" s="38">
        <v>8.9499999999999996E-2</v>
      </c>
      <c r="N49" s="76">
        <f>'Power plants'!I23</f>
        <v>19847894</v>
      </c>
      <c r="O49" s="81">
        <f t="shared" si="1"/>
        <v>0.95144534734768327</v>
      </c>
      <c r="P49" s="88"/>
      <c r="Q49" s="188"/>
      <c r="R49" s="189" t="s">
        <v>206</v>
      </c>
      <c r="S49" s="189" t="s">
        <v>207</v>
      </c>
      <c r="T49" s="190" t="s">
        <v>84</v>
      </c>
    </row>
    <row r="50" spans="9:24">
      <c r="I50" s="82" t="s">
        <v>99</v>
      </c>
      <c r="J50" s="79" t="s">
        <v>126</v>
      </c>
      <c r="K50" s="38">
        <v>0</v>
      </c>
      <c r="L50" s="38">
        <v>4.2000000000000003E-2</v>
      </c>
      <c r="M50" s="38">
        <v>6.9699999999999998E-2</v>
      </c>
      <c r="N50" s="80">
        <f>'Power plants'!I25</f>
        <v>971</v>
      </c>
      <c r="O50" s="81">
        <f>(K50*L50*M50)/N50</f>
        <v>0</v>
      </c>
      <c r="P50" s="57"/>
      <c r="Q50" s="191" t="s">
        <v>99</v>
      </c>
      <c r="R50" s="198">
        <f>M50</f>
        <v>6.9699999999999998E-2</v>
      </c>
      <c r="S50" s="246">
        <v>0.3</v>
      </c>
      <c r="T50" s="192">
        <f>(R50*3.6)/S50</f>
        <v>0.83639999999999992</v>
      </c>
    </row>
    <row r="51" spans="9:24">
      <c r="I51" s="82" t="s">
        <v>100</v>
      </c>
      <c r="J51" s="79" t="s">
        <v>126</v>
      </c>
      <c r="K51" s="38">
        <v>0</v>
      </c>
      <c r="L51" s="38">
        <v>4.2000000000000003E-2</v>
      </c>
      <c r="M51" s="38">
        <v>6.9699999999999998E-2</v>
      </c>
      <c r="N51" s="80">
        <f>'Power plants'!I26</f>
        <v>322</v>
      </c>
      <c r="O51" s="81">
        <f t="shared" si="1"/>
        <v>0</v>
      </c>
      <c r="P51" s="57"/>
      <c r="Q51" s="191" t="s">
        <v>100</v>
      </c>
      <c r="R51" s="198">
        <f t="shared" ref="R51:R53" si="2">M51</f>
        <v>6.9699999999999998E-2</v>
      </c>
      <c r="S51" s="246">
        <v>0.3</v>
      </c>
      <c r="T51" s="192">
        <f>(R51*3.6)/S51</f>
        <v>0.83639999999999992</v>
      </c>
    </row>
    <row r="52" spans="9:24">
      <c r="I52" s="78" t="s">
        <v>101</v>
      </c>
      <c r="J52" s="79" t="s">
        <v>177</v>
      </c>
      <c r="K52" s="79">
        <v>0</v>
      </c>
      <c r="L52" s="79">
        <v>4.1399999999999999E-2</v>
      </c>
      <c r="M52" s="79">
        <v>7.2599999999999998E-2</v>
      </c>
      <c r="N52" s="227">
        <f>'Power plants'!I27</f>
        <v>6303</v>
      </c>
      <c r="O52" s="222">
        <f t="shared" si="1"/>
        <v>0</v>
      </c>
      <c r="P52" s="165"/>
      <c r="Q52" s="193" t="s">
        <v>101</v>
      </c>
      <c r="R52" s="198">
        <f t="shared" si="2"/>
        <v>7.2599999999999998E-2</v>
      </c>
      <c r="S52" s="199">
        <v>0.39500000000000002</v>
      </c>
      <c r="T52" s="192">
        <f>(R52*3.6)/S52</f>
        <v>0.66167088607594926</v>
      </c>
    </row>
    <row r="53" spans="9:24" ht="16" thickBot="1">
      <c r="I53" s="223" t="s">
        <v>102</v>
      </c>
      <c r="J53" s="224" t="s">
        <v>177</v>
      </c>
      <c r="K53" s="224">
        <v>0</v>
      </c>
      <c r="L53" s="224">
        <v>4.1399999999999999E-2</v>
      </c>
      <c r="M53" s="224">
        <v>7.2599999999999998E-2</v>
      </c>
      <c r="N53" s="228">
        <f>'Power plants'!I28</f>
        <v>5817</v>
      </c>
      <c r="O53" s="226">
        <f t="shared" si="1"/>
        <v>0</v>
      </c>
      <c r="P53" s="165"/>
      <c r="Q53" s="194" t="s">
        <v>102</v>
      </c>
      <c r="R53" s="195">
        <f t="shared" si="2"/>
        <v>7.2599999999999998E-2</v>
      </c>
      <c r="S53" s="196">
        <v>0.39500000000000002</v>
      </c>
      <c r="T53" s="197">
        <f>(R53*3.6)/S53</f>
        <v>0.66167088607594926</v>
      </c>
    </row>
    <row r="57" spans="9:24" ht="18">
      <c r="I57" s="50" t="s">
        <v>81</v>
      </c>
    </row>
    <row r="60" spans="9:24" ht="16" thickBot="1"/>
    <row r="61" spans="9:24" ht="46" customHeight="1" thickBot="1">
      <c r="I61" s="72" t="s">
        <v>44</v>
      </c>
      <c r="J61" s="18" t="s">
        <v>82</v>
      </c>
      <c r="K61" s="18" t="s">
        <v>122</v>
      </c>
      <c r="L61" s="18" t="s">
        <v>123</v>
      </c>
      <c r="M61" s="18" t="s">
        <v>124</v>
      </c>
      <c r="N61" s="18" t="s">
        <v>83</v>
      </c>
      <c r="O61" s="73" t="s">
        <v>84</v>
      </c>
      <c r="Q61" s="16"/>
      <c r="R61" s="258"/>
      <c r="S61" s="258"/>
      <c r="T61" s="258"/>
      <c r="U61" s="149"/>
      <c r="V61" s="258"/>
      <c r="W61" s="258"/>
      <c r="X61" s="258"/>
    </row>
    <row r="62" spans="9:24">
      <c r="I62" s="74" t="s">
        <v>231</v>
      </c>
      <c r="J62" s="75" t="s">
        <v>86</v>
      </c>
      <c r="K62" s="28">
        <v>6525670000</v>
      </c>
      <c r="L62" s="28">
        <v>1.9900000000000001E-2</v>
      </c>
      <c r="M62" s="28">
        <v>8.9499999999999996E-2</v>
      </c>
      <c r="N62" s="76">
        <f>'Power plants'!J11</f>
        <v>12194878</v>
      </c>
      <c r="O62" s="77">
        <f>(K62*L62*M62)/N62</f>
        <v>0.95306771855364203</v>
      </c>
      <c r="P62" s="88"/>
      <c r="Q62" s="16"/>
      <c r="R62" s="48"/>
      <c r="S62" s="48"/>
      <c r="T62" s="48"/>
      <c r="U62" s="48"/>
      <c r="V62" s="48"/>
      <c r="W62" s="48"/>
      <c r="X62" s="48"/>
    </row>
    <row r="63" spans="9:24">
      <c r="I63" s="78" t="s">
        <v>87</v>
      </c>
      <c r="J63" s="79" t="s">
        <v>86</v>
      </c>
      <c r="K63" s="38">
        <v>4629763000</v>
      </c>
      <c r="L63" s="38">
        <v>1.9900000000000001E-2</v>
      </c>
      <c r="M63" s="38">
        <v>8.9499999999999996E-2</v>
      </c>
      <c r="N63" s="76">
        <f>'Power plants'!J12</f>
        <v>7490836</v>
      </c>
      <c r="O63" s="81">
        <f>(K63*L63*M63)/N63</f>
        <v>1.1007902710925723</v>
      </c>
      <c r="P63" s="88"/>
      <c r="Q63" s="16"/>
      <c r="R63" s="16"/>
      <c r="S63" s="16"/>
      <c r="T63" s="16"/>
      <c r="U63" s="16"/>
      <c r="V63" s="16"/>
      <c r="W63" s="16"/>
      <c r="X63" s="16"/>
    </row>
    <row r="64" spans="9:24">
      <c r="I64" s="78" t="s">
        <v>88</v>
      </c>
      <c r="J64" s="79" t="s">
        <v>86</v>
      </c>
      <c r="K64" s="38">
        <v>10639393000</v>
      </c>
      <c r="L64" s="38">
        <v>1.9900000000000001E-2</v>
      </c>
      <c r="M64" s="38">
        <v>8.9499999999999996E-2</v>
      </c>
      <c r="N64" s="76">
        <f>'Power plants'!J13</f>
        <v>20267508</v>
      </c>
      <c r="O64" s="81">
        <f t="shared" ref="O64:O75" si="3">(K64*L64*M64)/N64</f>
        <v>0.93495909327629245</v>
      </c>
      <c r="P64" s="88"/>
      <c r="Q64" s="16"/>
      <c r="R64" s="16"/>
      <c r="S64" s="16"/>
      <c r="T64" s="16"/>
      <c r="U64" s="16"/>
      <c r="V64" s="16"/>
      <c r="W64" s="16"/>
      <c r="X64" s="16"/>
    </row>
    <row r="65" spans="9:24">
      <c r="I65" s="78" t="s">
        <v>89</v>
      </c>
      <c r="J65" s="79" t="s">
        <v>86</v>
      </c>
      <c r="K65" s="38">
        <v>2132979000</v>
      </c>
      <c r="L65" s="38">
        <v>1.9900000000000001E-2</v>
      </c>
      <c r="M65" s="38">
        <v>8.9499999999999996E-2</v>
      </c>
      <c r="N65" s="76">
        <f>'Power plants'!J14</f>
        <v>3546952</v>
      </c>
      <c r="O65" s="81">
        <f t="shared" si="3"/>
        <v>1.071044166357481</v>
      </c>
      <c r="P65" s="88"/>
      <c r="Q65" s="16"/>
      <c r="R65" s="16"/>
      <c r="S65" s="16"/>
      <c r="T65" s="16"/>
      <c r="U65" s="16"/>
      <c r="V65" s="16"/>
      <c r="W65" s="16"/>
      <c r="X65" s="16"/>
    </row>
    <row r="66" spans="9:24">
      <c r="I66" s="78" t="s">
        <v>90</v>
      </c>
      <c r="J66" s="79" t="s">
        <v>86</v>
      </c>
      <c r="K66" s="38">
        <v>7139198000</v>
      </c>
      <c r="L66" s="38">
        <v>1.9900000000000001E-2</v>
      </c>
      <c r="M66" s="38">
        <v>8.9499999999999996E-2</v>
      </c>
      <c r="N66" s="76">
        <f>'Power plants'!J15</f>
        <v>11938206</v>
      </c>
      <c r="O66" s="81">
        <f t="shared" si="3"/>
        <v>1.0650903995039123</v>
      </c>
      <c r="P66" s="88"/>
      <c r="Q66" s="16"/>
      <c r="R66" s="16"/>
      <c r="S66" s="16"/>
      <c r="T66" s="16"/>
      <c r="U66" s="16"/>
      <c r="V66" s="16"/>
      <c r="W66" s="16"/>
      <c r="X66" s="16"/>
    </row>
    <row r="67" spans="9:24">
      <c r="I67" s="78" t="s">
        <v>91</v>
      </c>
      <c r="J67" s="79" t="s">
        <v>86</v>
      </c>
      <c r="K67" s="38">
        <v>15174501000</v>
      </c>
      <c r="L67" s="38">
        <v>1.9900000000000001E-2</v>
      </c>
      <c r="M67" s="38">
        <v>8.9499999999999996E-2</v>
      </c>
      <c r="N67" s="76">
        <f>'Power plants'!J16</f>
        <v>25648258</v>
      </c>
      <c r="O67" s="81">
        <f t="shared" si="3"/>
        <v>1.0537380357781023</v>
      </c>
      <c r="P67" s="88"/>
    </row>
    <row r="68" spans="9:24">
      <c r="I68" s="78" t="s">
        <v>92</v>
      </c>
      <c r="J68" s="79" t="s">
        <v>86</v>
      </c>
      <c r="K68" s="38">
        <v>1271010000</v>
      </c>
      <c r="L68" s="38">
        <v>1.9900000000000001E-2</v>
      </c>
      <c r="M68" s="38">
        <v>8.9499999999999996E-2</v>
      </c>
      <c r="N68" s="76">
        <f>'Power plants'!J17</f>
        <v>2060141</v>
      </c>
      <c r="O68" s="81">
        <f>(K68*L68*M68)/N68</f>
        <v>1.0988239933577362</v>
      </c>
      <c r="P68" s="57"/>
    </row>
    <row r="69" spans="9:24">
      <c r="I69" s="78" t="s">
        <v>93</v>
      </c>
      <c r="J69" s="79" t="s">
        <v>86</v>
      </c>
      <c r="K69" s="38">
        <v>9527185000</v>
      </c>
      <c r="L69" s="38">
        <v>1.9900000000000001E-2</v>
      </c>
      <c r="M69" s="38">
        <v>8.9499999999999996E-2</v>
      </c>
      <c r="N69" s="76">
        <f>'Power plants'!J18</f>
        <v>18204910</v>
      </c>
      <c r="O69" s="81">
        <f t="shared" si="3"/>
        <v>0.93207782099719261</v>
      </c>
      <c r="P69" s="88"/>
    </row>
    <row r="70" spans="9:24">
      <c r="I70" s="78" t="s">
        <v>94</v>
      </c>
      <c r="J70" s="79" t="s">
        <v>86</v>
      </c>
      <c r="K70" s="38">
        <v>17774699000</v>
      </c>
      <c r="L70" s="38">
        <v>1.9900000000000001E-2</v>
      </c>
      <c r="M70" s="38">
        <v>8.9499999999999996E-2</v>
      </c>
      <c r="N70" s="76">
        <f>'Power plants'!J19</f>
        <v>25500366</v>
      </c>
      <c r="O70" s="81">
        <f>(K70*L70*M70)/N70</f>
        <v>1.2414577757021215</v>
      </c>
      <c r="P70" s="88"/>
    </row>
    <row r="71" spans="9:24">
      <c r="I71" s="78" t="s">
        <v>95</v>
      </c>
      <c r="J71" s="79" t="s">
        <v>86</v>
      </c>
      <c r="K71" s="38">
        <v>13020512000</v>
      </c>
      <c r="L71" s="38">
        <v>1.9900000000000001E-2</v>
      </c>
      <c r="M71" s="38">
        <v>8.9499999999999996E-2</v>
      </c>
      <c r="N71" s="76">
        <f>'Power plants'!J20</f>
        <v>24632585</v>
      </c>
      <c r="O71" s="81">
        <f t="shared" si="3"/>
        <v>0.94144333197672914</v>
      </c>
      <c r="P71" s="88"/>
    </row>
    <row r="72" spans="9:24">
      <c r="I72" s="78" t="s">
        <v>96</v>
      </c>
      <c r="J72" s="79" t="s">
        <v>86</v>
      </c>
      <c r="K72" s="38">
        <v>14596842000</v>
      </c>
      <c r="L72" s="38">
        <v>1.9900000000000001E-2</v>
      </c>
      <c r="M72" s="38">
        <v>8.9499999999999996E-2</v>
      </c>
      <c r="N72" s="76">
        <f>'Power plants'!J21</f>
        <v>28163040</v>
      </c>
      <c r="O72" s="81">
        <f>(K72*L72*M72)/N72</f>
        <v>0.92311431734997362</v>
      </c>
      <c r="P72" s="88"/>
    </row>
    <row r="73" spans="9:24">
      <c r="I73" s="78" t="s">
        <v>97</v>
      </c>
      <c r="J73" s="79" t="s">
        <v>86</v>
      </c>
      <c r="K73" s="38">
        <v>12155421000</v>
      </c>
      <c r="L73" s="38">
        <v>1.9900000000000001E-2</v>
      </c>
      <c r="M73" s="38">
        <v>8.9499999999999996E-2</v>
      </c>
      <c r="N73" s="76">
        <f>'Power plants'!J22</f>
        <v>21504422</v>
      </c>
      <c r="O73" s="81">
        <f t="shared" si="3"/>
        <v>1.0067423608060706</v>
      </c>
      <c r="P73" s="88"/>
    </row>
    <row r="74" spans="9:24">
      <c r="I74" s="78" t="s">
        <v>98</v>
      </c>
      <c r="J74" s="79" t="s">
        <v>86</v>
      </c>
      <c r="K74" s="38">
        <v>10191709000</v>
      </c>
      <c r="L74" s="38">
        <v>1.9900000000000001E-2</v>
      </c>
      <c r="M74" s="38">
        <v>8.9499999999999996E-2</v>
      </c>
      <c r="N74" s="76">
        <f>'Power plants'!J23</f>
        <v>19067501</v>
      </c>
      <c r="O74" s="81">
        <f>(K74*L74*M74)/N74</f>
        <v>0.95198334141689589</v>
      </c>
      <c r="P74" s="88"/>
    </row>
    <row r="75" spans="9:24">
      <c r="I75" s="82" t="s">
        <v>99</v>
      </c>
      <c r="J75" s="79" t="s">
        <v>126</v>
      </c>
      <c r="K75" s="38">
        <f>444957*0.78</f>
        <v>347066.46</v>
      </c>
      <c r="L75" s="38">
        <v>4.2000000000000003E-2</v>
      </c>
      <c r="M75" s="38">
        <v>6.9699999999999998E-2</v>
      </c>
      <c r="N75" s="80">
        <v>992</v>
      </c>
      <c r="O75" s="81">
        <f t="shared" si="3"/>
        <v>1.0241959223830646</v>
      </c>
      <c r="P75" s="147"/>
    </row>
    <row r="76" spans="9:24">
      <c r="I76" s="82" t="s">
        <v>100</v>
      </c>
      <c r="J76" s="79" t="s">
        <v>126</v>
      </c>
      <c r="K76" s="38">
        <f>281941*0.78</f>
        <v>219913.98</v>
      </c>
      <c r="L76" s="38">
        <v>4.2000000000000003E-2</v>
      </c>
      <c r="M76" s="38">
        <v>6.9699999999999998E-2</v>
      </c>
      <c r="N76" s="80">
        <v>5507</v>
      </c>
      <c r="O76" s="81">
        <f>(K76*L76*M76)/N76</f>
        <v>0.11690143182349735</v>
      </c>
      <c r="P76" s="147"/>
    </row>
    <row r="77" spans="9:24">
      <c r="I77" s="78" t="s">
        <v>101</v>
      </c>
      <c r="J77" s="79" t="s">
        <v>177</v>
      </c>
      <c r="K77" s="79">
        <v>0</v>
      </c>
      <c r="L77" s="79">
        <v>4.1399999999999999E-2</v>
      </c>
      <c r="M77" s="79">
        <v>7.2599999999999998E-2</v>
      </c>
      <c r="N77" s="227">
        <v>0</v>
      </c>
      <c r="O77" s="222">
        <v>0</v>
      </c>
      <c r="P77" s="165"/>
    </row>
    <row r="78" spans="9:24" ht="16" thickBot="1">
      <c r="I78" s="223" t="s">
        <v>102</v>
      </c>
      <c r="J78" s="224" t="s">
        <v>177</v>
      </c>
      <c r="K78" s="224">
        <v>0</v>
      </c>
      <c r="L78" s="224">
        <v>4.1399999999999999E-2</v>
      </c>
      <c r="M78" s="224">
        <v>7.2599999999999998E-2</v>
      </c>
      <c r="N78" s="228">
        <v>0</v>
      </c>
      <c r="O78" s="226">
        <v>0</v>
      </c>
      <c r="P78" s="165"/>
    </row>
    <row r="79" spans="9:24">
      <c r="I79" s="59"/>
      <c r="J79" s="59"/>
      <c r="K79" s="59"/>
      <c r="L79" s="59"/>
      <c r="M79" s="59"/>
      <c r="N79" s="59"/>
      <c r="O79" s="59"/>
    </row>
  </sheetData>
  <mergeCells count="2">
    <mergeCell ref="R61:T61"/>
    <mergeCell ref="V61:X61"/>
  </mergeCells>
  <phoneticPr fontId="25" type="noConversion"/>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G43"/>
  <sheetViews>
    <sheetView showGridLines="0" workbookViewId="0"/>
  </sheetViews>
  <sheetFormatPr baseColWidth="10" defaultRowHeight="15" x14ac:dyDescent="0"/>
  <cols>
    <col min="11" max="11" width="23.33203125" customWidth="1"/>
    <col min="12" max="12" width="16.5" customWidth="1"/>
    <col min="13" max="13" width="16.1640625" bestFit="1" customWidth="1"/>
    <col min="14" max="14" width="11.1640625" bestFit="1" customWidth="1"/>
    <col min="15" max="15" width="15.33203125" customWidth="1"/>
    <col min="20" max="20" width="18" customWidth="1"/>
    <col min="21" max="21" width="18.1640625" customWidth="1"/>
    <col min="22" max="22" width="15.1640625" bestFit="1" customWidth="1"/>
    <col min="24" max="24" width="17.1640625" customWidth="1"/>
    <col min="29" max="29" width="13" bestFit="1" customWidth="1"/>
    <col min="30" max="30" width="14.6640625" bestFit="1" customWidth="1"/>
    <col min="31" max="31" width="15.33203125" customWidth="1"/>
    <col min="32" max="32" width="13.5" customWidth="1"/>
    <col min="33" max="33" width="15.1640625" bestFit="1" customWidth="1"/>
  </cols>
  <sheetData>
    <row r="2" spans="2:33" ht="18">
      <c r="K2" s="50" t="s">
        <v>79</v>
      </c>
      <c r="T2" s="50" t="s">
        <v>80</v>
      </c>
      <c r="AC2" s="50" t="s">
        <v>81</v>
      </c>
    </row>
    <row r="3" spans="2:33" ht="18">
      <c r="B3" s="50" t="s">
        <v>201</v>
      </c>
      <c r="K3" s="50"/>
      <c r="T3" s="50"/>
      <c r="AC3" s="50"/>
    </row>
    <row r="4" spans="2:33" ht="18">
      <c r="K4" s="50"/>
      <c r="T4" s="50"/>
      <c r="AC4" s="50"/>
    </row>
    <row r="8" spans="2:33" ht="16" thickBot="1"/>
    <row r="9" spans="2:33" ht="31" thickBot="1">
      <c r="K9" s="51" t="s">
        <v>44</v>
      </c>
      <c r="L9" s="52" t="s">
        <v>82</v>
      </c>
      <c r="M9" s="52" t="s">
        <v>83</v>
      </c>
      <c r="N9" s="52" t="s">
        <v>84</v>
      </c>
      <c r="O9" s="53" t="s">
        <v>85</v>
      </c>
      <c r="T9" s="51" t="s">
        <v>44</v>
      </c>
      <c r="U9" s="52" t="s">
        <v>82</v>
      </c>
      <c r="V9" s="52" t="s">
        <v>83</v>
      </c>
      <c r="W9" s="52" t="s">
        <v>84</v>
      </c>
      <c r="X9" s="53" t="s">
        <v>85</v>
      </c>
      <c r="AC9" s="51" t="s">
        <v>44</v>
      </c>
      <c r="AD9" s="52" t="s">
        <v>82</v>
      </c>
      <c r="AE9" s="52" t="s">
        <v>83</v>
      </c>
      <c r="AF9" s="52" t="s">
        <v>84</v>
      </c>
      <c r="AG9" s="53" t="s">
        <v>85</v>
      </c>
    </row>
    <row r="10" spans="2:33">
      <c r="K10" s="54" t="s">
        <v>231</v>
      </c>
      <c r="L10" s="16" t="s">
        <v>86</v>
      </c>
      <c r="M10" s="172">
        <f>'Power plants'!H11</f>
        <v>11987281</v>
      </c>
      <c r="N10" s="172">
        <f>'EFel,m,y'!O11</f>
        <v>0.95027792334642025</v>
      </c>
      <c r="O10" s="173">
        <f>M10*N10</f>
        <v>11391248.49525</v>
      </c>
      <c r="T10" s="54" t="s">
        <v>231</v>
      </c>
      <c r="U10" s="16" t="s">
        <v>86</v>
      </c>
      <c r="V10" s="43">
        <f>'Power plants'!I11</f>
        <v>13227864</v>
      </c>
      <c r="W10" s="43">
        <f>'EFel,m,y'!O37</f>
        <v>0.91478808375259968</v>
      </c>
      <c r="X10" s="167">
        <f>V10*W10</f>
        <v>12100692.360699998</v>
      </c>
      <c r="AC10" s="54" t="s">
        <v>231</v>
      </c>
      <c r="AD10" s="16" t="s">
        <v>86</v>
      </c>
      <c r="AE10" s="43">
        <f>'Power plants'!J11</f>
        <v>12194878</v>
      </c>
      <c r="AF10" s="43">
        <f>'EFel,m,y'!O62</f>
        <v>0.95306771855364203</v>
      </c>
      <c r="AG10" s="167">
        <f>AE10*AF10</f>
        <v>11622544.5535</v>
      </c>
    </row>
    <row r="11" spans="2:33">
      <c r="K11" s="54" t="s">
        <v>87</v>
      </c>
      <c r="L11" s="16" t="s">
        <v>86</v>
      </c>
      <c r="M11" s="172">
        <f>'Power plants'!H12</f>
        <v>6509079</v>
      </c>
      <c r="N11" s="172">
        <f>'EFel,m,y'!O12</f>
        <v>1.0606301754134495</v>
      </c>
      <c r="O11" s="173">
        <f>M11*N11</f>
        <v>6903725.6015500007</v>
      </c>
      <c r="T11" s="54" t="s">
        <v>87</v>
      </c>
      <c r="U11" s="16" t="s">
        <v>86</v>
      </c>
      <c r="V11" s="43">
        <f>'Power plants'!I12</f>
        <v>7472070</v>
      </c>
      <c r="W11" s="43">
        <f>'EFel,m,y'!O38</f>
        <v>1.1279630559068636</v>
      </c>
      <c r="X11" s="167">
        <f t="shared" ref="X11:X40" si="0">V11*W11</f>
        <v>8428218.9111499991</v>
      </c>
      <c r="AC11" s="54" t="s">
        <v>87</v>
      </c>
      <c r="AD11" s="16" t="s">
        <v>86</v>
      </c>
      <c r="AE11" s="43">
        <f>'Power plants'!J12</f>
        <v>7490836</v>
      </c>
      <c r="AF11" s="43">
        <f>'EFel,m,y'!O63</f>
        <v>1.1007902710925723</v>
      </c>
      <c r="AG11" s="167">
        <f>AE11*AF11</f>
        <v>8245839.3911500005</v>
      </c>
    </row>
    <row r="12" spans="2:33">
      <c r="K12" s="54" t="s">
        <v>88</v>
      </c>
      <c r="L12" s="16" t="s">
        <v>86</v>
      </c>
      <c r="M12" s="172">
        <f>'Power plants'!H13</f>
        <v>21769489</v>
      </c>
      <c r="N12" s="172">
        <f>'EFel,m,y'!O13</f>
        <v>0.93215268262153517</v>
      </c>
      <c r="O12" s="173">
        <f t="shared" ref="O12:O40" si="1">M12*N12</f>
        <v>20292487.57065</v>
      </c>
      <c r="T12" s="54" t="s">
        <v>88</v>
      </c>
      <c r="U12" s="16" t="s">
        <v>86</v>
      </c>
      <c r="V12" s="43">
        <f>'Power plants'!I13</f>
        <v>22581228</v>
      </c>
      <c r="W12" s="43">
        <f>'EFel,m,y'!O39</f>
        <v>0.92633272717940762</v>
      </c>
      <c r="X12" s="167">
        <f t="shared" si="0"/>
        <v>20917730.5163</v>
      </c>
      <c r="AC12" s="54" t="s">
        <v>88</v>
      </c>
      <c r="AD12" s="16" t="s">
        <v>86</v>
      </c>
      <c r="AE12" s="43">
        <f>'Power plants'!J13</f>
        <v>20267508</v>
      </c>
      <c r="AF12" s="43">
        <f>'EFel,m,y'!O64</f>
        <v>0.93495909327629245</v>
      </c>
      <c r="AG12" s="167">
        <f t="shared" ref="AG12:AG40" si="2">AE12*AF12</f>
        <v>18949290.902650002</v>
      </c>
    </row>
    <row r="13" spans="2:33">
      <c r="K13" s="54" t="s">
        <v>89</v>
      </c>
      <c r="L13" s="16" t="s">
        <v>86</v>
      </c>
      <c r="M13" s="172">
        <f>'Power plants'!H14</f>
        <v>1249556</v>
      </c>
      <c r="N13" s="172">
        <f>'EFel,m,y'!O14</f>
        <v>0.96145023104206606</v>
      </c>
      <c r="O13" s="173">
        <f>M13*N13</f>
        <v>1201385.9049</v>
      </c>
      <c r="T13" s="54" t="s">
        <v>89</v>
      </c>
      <c r="U13" s="16" t="s">
        <v>86</v>
      </c>
      <c r="V13" s="43">
        <f>'Power plants'!I14</f>
        <v>2656230</v>
      </c>
      <c r="W13" s="43">
        <f>'EFel,m,y'!O40</f>
        <v>1.0978867114481803</v>
      </c>
      <c r="X13" s="167">
        <f t="shared" si="0"/>
        <v>2916239.6195499999</v>
      </c>
      <c r="AC13" s="54" t="s">
        <v>89</v>
      </c>
      <c r="AD13" s="16" t="s">
        <v>86</v>
      </c>
      <c r="AE13" s="43">
        <f>'Power plants'!J14</f>
        <v>3546952</v>
      </c>
      <c r="AF13" s="43">
        <f>'EFel,m,y'!O65</f>
        <v>1.071044166357481</v>
      </c>
      <c r="AG13" s="167">
        <f t="shared" si="2"/>
        <v>3798942.2479499998</v>
      </c>
    </row>
    <row r="14" spans="2:33">
      <c r="K14" s="54" t="s">
        <v>90</v>
      </c>
      <c r="L14" s="16" t="s">
        <v>86</v>
      </c>
      <c r="M14" s="172">
        <f>'Power plants'!H15</f>
        <v>12296687</v>
      </c>
      <c r="N14" s="172">
        <f>'EFel,m,y'!O15</f>
        <v>1.0316822005715849</v>
      </c>
      <c r="O14" s="173">
        <f t="shared" si="1"/>
        <v>12686273.1039</v>
      </c>
      <c r="T14" s="54" t="s">
        <v>90</v>
      </c>
      <c r="U14" s="16" t="s">
        <v>86</v>
      </c>
      <c r="V14" s="43">
        <f>'Power plants'!I15</f>
        <v>12143292</v>
      </c>
      <c r="W14" s="43">
        <f>'EFel,m,y'!O41</f>
        <v>1.0128870715494613</v>
      </c>
      <c r="X14" s="167">
        <f t="shared" si="0"/>
        <v>12299783.472850002</v>
      </c>
      <c r="AC14" s="54" t="s">
        <v>90</v>
      </c>
      <c r="AD14" s="16" t="s">
        <v>86</v>
      </c>
      <c r="AE14" s="43">
        <f>'Power plants'!J15</f>
        <v>11938206</v>
      </c>
      <c r="AF14" s="43">
        <f>'EFel,m,y'!O66</f>
        <v>1.0650903995039123</v>
      </c>
      <c r="AG14" s="167">
        <f t="shared" si="2"/>
        <v>12715268.597900003</v>
      </c>
    </row>
    <row r="15" spans="2:33">
      <c r="K15" s="54" t="s">
        <v>91</v>
      </c>
      <c r="L15" s="16" t="s">
        <v>86</v>
      </c>
      <c r="M15" s="172">
        <f>'Power plants'!H16</f>
        <v>23841401</v>
      </c>
      <c r="N15" s="172">
        <f>'EFel,m,y'!O16</f>
        <v>1.1472003480311412</v>
      </c>
      <c r="O15" s="173">
        <f>M15*N15</f>
        <v>27350863.524749998</v>
      </c>
      <c r="T15" s="54" t="s">
        <v>91</v>
      </c>
      <c r="U15" s="16" t="s">
        <v>86</v>
      </c>
      <c r="V15" s="43">
        <f>'Power plants'!I16</f>
        <v>23307031</v>
      </c>
      <c r="W15" s="43">
        <f>'EFel,m,y'!O42</f>
        <v>1.0596353846914264</v>
      </c>
      <c r="X15" s="167">
        <f t="shared" si="0"/>
        <v>24696954.7597</v>
      </c>
      <c r="AC15" s="54" t="s">
        <v>91</v>
      </c>
      <c r="AD15" s="16" t="s">
        <v>86</v>
      </c>
      <c r="AE15" s="43">
        <f>'Power plants'!J16</f>
        <v>25648258</v>
      </c>
      <c r="AF15" s="43">
        <f>'EFel,m,y'!O67</f>
        <v>1.0537380357781023</v>
      </c>
      <c r="AG15" s="167">
        <f t="shared" si="2"/>
        <v>27026545.006049998</v>
      </c>
    </row>
    <row r="16" spans="2:33">
      <c r="K16" s="54" t="s">
        <v>92</v>
      </c>
      <c r="L16" s="16" t="s">
        <v>86</v>
      </c>
      <c r="M16" s="172">
        <f>'Power plants'!H17</f>
        <v>0</v>
      </c>
      <c r="N16" s="172">
        <f>'EFel,m,y'!O17</f>
        <v>0</v>
      </c>
      <c r="O16" s="173">
        <f t="shared" si="1"/>
        <v>0</v>
      </c>
      <c r="T16" s="54" t="s">
        <v>92</v>
      </c>
      <c r="U16" s="16" t="s">
        <v>86</v>
      </c>
      <c r="V16" s="43">
        <f>'Power plants'!I17</f>
        <v>1016023</v>
      </c>
      <c r="W16" s="43">
        <f>'EFel,m,y'!O43</f>
        <v>1.1648381796967195</v>
      </c>
      <c r="X16" s="167">
        <f t="shared" si="0"/>
        <v>1183502.38185</v>
      </c>
      <c r="AC16" s="54" t="s">
        <v>92</v>
      </c>
      <c r="AD16" s="16" t="s">
        <v>86</v>
      </c>
      <c r="AE16" s="43">
        <f>'Power plants'!J17</f>
        <v>2060141</v>
      </c>
      <c r="AF16" s="43">
        <f>'EFel,m,y'!O68</f>
        <v>1.0988239933577362</v>
      </c>
      <c r="AG16" s="167">
        <f t="shared" si="2"/>
        <v>2263732.3605</v>
      </c>
    </row>
    <row r="17" spans="2:33">
      <c r="K17" s="54" t="s">
        <v>93</v>
      </c>
      <c r="L17" s="16" t="s">
        <v>86</v>
      </c>
      <c r="M17" s="172">
        <f>'Power plants'!H18</f>
        <v>18156686</v>
      </c>
      <c r="N17" s="172">
        <f>'EFel,m,y'!O18</f>
        <v>0.92411422008399569</v>
      </c>
      <c r="O17" s="173">
        <f t="shared" si="1"/>
        <v>16778851.722200003</v>
      </c>
      <c r="T17" s="54" t="s">
        <v>93</v>
      </c>
      <c r="U17" s="16" t="s">
        <v>86</v>
      </c>
      <c r="V17" s="43">
        <f>'Power plants'!I18</f>
        <v>15906816</v>
      </c>
      <c r="W17" s="43">
        <f>'EFel,m,y'!O44</f>
        <v>0.95225359058343295</v>
      </c>
      <c r="X17" s="167">
        <f t="shared" si="0"/>
        <v>15147322.65075</v>
      </c>
      <c r="AC17" s="54" t="s">
        <v>93</v>
      </c>
      <c r="AD17" s="16" t="s">
        <v>86</v>
      </c>
      <c r="AE17" s="43">
        <f>'Power plants'!J18</f>
        <v>18204910</v>
      </c>
      <c r="AF17" s="43">
        <f>'EFel,m,y'!O69</f>
        <v>0.93207782099719261</v>
      </c>
      <c r="AG17" s="167">
        <f t="shared" si="2"/>
        <v>16968392.844250001</v>
      </c>
    </row>
    <row r="18" spans="2:33">
      <c r="K18" s="54" t="s">
        <v>94</v>
      </c>
      <c r="L18" s="16" t="s">
        <v>86</v>
      </c>
      <c r="M18" s="172">
        <f>'Power plants'!H19</f>
        <v>23580232</v>
      </c>
      <c r="N18" s="172">
        <f>'EFel,m,y'!O19</f>
        <v>1.262533211257209</v>
      </c>
      <c r="O18" s="173">
        <f t="shared" si="1"/>
        <v>29770826.029149998</v>
      </c>
      <c r="T18" s="54" t="s">
        <v>94</v>
      </c>
      <c r="U18" s="16" t="s">
        <v>86</v>
      </c>
      <c r="V18" s="43">
        <f>'Power plants'!I19</f>
        <v>25522698</v>
      </c>
      <c r="W18" s="43">
        <f>'EFel,m,y'!O45</f>
        <v>1.2679726413857186</v>
      </c>
      <c r="X18" s="167">
        <f t="shared" si="0"/>
        <v>32362082.798349999</v>
      </c>
      <c r="AC18" s="54" t="s">
        <v>94</v>
      </c>
      <c r="AD18" s="16" t="s">
        <v>86</v>
      </c>
      <c r="AE18" s="43">
        <f>'Power plants'!J19</f>
        <v>25500366</v>
      </c>
      <c r="AF18" s="43">
        <f>'EFel,m,y'!O70</f>
        <v>1.2414577757021215</v>
      </c>
      <c r="AG18" s="167">
        <f t="shared" si="2"/>
        <v>31657627.653950006</v>
      </c>
    </row>
    <row r="19" spans="2:33">
      <c r="K19" s="54" t="s">
        <v>95</v>
      </c>
      <c r="L19" s="16" t="s">
        <v>86</v>
      </c>
      <c r="M19" s="172">
        <f>'Power plants'!H20</f>
        <v>22676924</v>
      </c>
      <c r="N19" s="172">
        <f>'EFel,m,y'!O20</f>
        <v>0.98602547710174449</v>
      </c>
      <c r="O19" s="173">
        <f t="shared" si="1"/>
        <v>22360024.806299999</v>
      </c>
      <c r="T19" s="54" t="s">
        <v>95</v>
      </c>
      <c r="U19" s="16" t="s">
        <v>86</v>
      </c>
      <c r="V19" s="43">
        <f>'Power plants'!I20</f>
        <v>22340081</v>
      </c>
      <c r="W19" s="43">
        <f>'EFel,m,y'!O46</f>
        <v>0.97756752379948852</v>
      </c>
      <c r="X19" s="167">
        <f t="shared" si="0"/>
        <v>21838937.664650001</v>
      </c>
      <c r="AC19" s="54" t="s">
        <v>95</v>
      </c>
      <c r="AD19" s="16" t="s">
        <v>86</v>
      </c>
      <c r="AE19" s="43">
        <f>'Power plants'!J20</f>
        <v>24632585</v>
      </c>
      <c r="AF19" s="43">
        <f>'EFel,m,y'!O71</f>
        <v>0.94144333197672914</v>
      </c>
      <c r="AG19" s="167">
        <f t="shared" si="2"/>
        <v>23190182.897599999</v>
      </c>
    </row>
    <row r="20" spans="2:33">
      <c r="K20" s="54" t="s">
        <v>96</v>
      </c>
      <c r="L20" s="16" t="s">
        <v>86</v>
      </c>
      <c r="M20" s="172">
        <f>'Power plants'!H21</f>
        <v>26256068</v>
      </c>
      <c r="N20" s="172">
        <f>'EFel,m,y'!O21</f>
        <v>0.94909402906977536</v>
      </c>
      <c r="O20" s="173">
        <f t="shared" si="1"/>
        <v>24919477.365649998</v>
      </c>
      <c r="T20" s="54" t="s">
        <v>96</v>
      </c>
      <c r="U20" s="16" t="s">
        <v>86</v>
      </c>
      <c r="V20" s="43">
        <f>'Power plants'!I21</f>
        <v>27964141</v>
      </c>
      <c r="W20" s="43">
        <f>'EFel,m,y'!O47</f>
        <v>0.93226841958242168</v>
      </c>
      <c r="X20" s="167">
        <f t="shared" si="0"/>
        <v>26070085.535050001</v>
      </c>
      <c r="AC20" s="54" t="s">
        <v>96</v>
      </c>
      <c r="AD20" s="16" t="s">
        <v>86</v>
      </c>
      <c r="AE20" s="43">
        <f>'Power plants'!J21</f>
        <v>28163040</v>
      </c>
      <c r="AF20" s="43">
        <f>'EFel,m,y'!O72</f>
        <v>0.92311431734997362</v>
      </c>
      <c r="AG20" s="167">
        <f t="shared" si="2"/>
        <v>25997705.4441</v>
      </c>
    </row>
    <row r="21" spans="2:33">
      <c r="K21" s="54" t="s">
        <v>97</v>
      </c>
      <c r="L21" s="16" t="s">
        <v>86</v>
      </c>
      <c r="M21" s="172">
        <f>'Power plants'!H22</f>
        <v>21863400</v>
      </c>
      <c r="N21" s="172">
        <f>'EFel,m,y'!O22</f>
        <v>1.0337108005319393</v>
      </c>
      <c r="O21" s="173">
        <f t="shared" si="1"/>
        <v>22600432.71635</v>
      </c>
      <c r="T21" s="54" t="s">
        <v>97</v>
      </c>
      <c r="U21" s="16" t="s">
        <v>86</v>
      </c>
      <c r="V21" s="43">
        <f>'Power plants'!I22</f>
        <v>21954536</v>
      </c>
      <c r="W21" s="43">
        <f>'EFel,m,y'!O48</f>
        <v>1.0090578225178615</v>
      </c>
      <c r="X21" s="167">
        <f t="shared" si="0"/>
        <v>22153396.290550001</v>
      </c>
      <c r="AC21" s="54" t="s">
        <v>97</v>
      </c>
      <c r="AD21" s="16" t="s">
        <v>86</v>
      </c>
      <c r="AE21" s="43">
        <f>'Power plants'!J22</f>
        <v>21504422</v>
      </c>
      <c r="AF21" s="43">
        <f>'EFel,m,y'!O73</f>
        <v>1.0067423608060706</v>
      </c>
      <c r="AG21" s="167">
        <f t="shared" si="2"/>
        <v>21649412.572050001</v>
      </c>
    </row>
    <row r="22" spans="2:33">
      <c r="K22" s="54" t="s">
        <v>98</v>
      </c>
      <c r="L22" s="16" t="s">
        <v>86</v>
      </c>
      <c r="M22" s="172">
        <f>'Power plants'!H23</f>
        <v>21504122</v>
      </c>
      <c r="N22" s="172">
        <f>'EFel,m,y'!O23</f>
        <v>0.93024076510308118</v>
      </c>
      <c r="O22" s="173">
        <f t="shared" si="1"/>
        <v>20004010.902150001</v>
      </c>
      <c r="T22" s="54" t="s">
        <v>98</v>
      </c>
      <c r="U22" s="16" t="s">
        <v>86</v>
      </c>
      <c r="V22" s="43">
        <f>'Power plants'!I23</f>
        <v>19847894</v>
      </c>
      <c r="W22" s="43">
        <f>'EFel,m,y'!O49</f>
        <v>0.95144534734768327</v>
      </c>
      <c r="X22" s="167">
        <f t="shared" si="0"/>
        <v>18884186.40095</v>
      </c>
      <c r="AC22" s="54" t="s">
        <v>98</v>
      </c>
      <c r="AD22" s="16" t="s">
        <v>86</v>
      </c>
      <c r="AE22" s="43">
        <f>'Power plants'!J23</f>
        <v>19067501</v>
      </c>
      <c r="AF22" s="43">
        <f>'EFel,m,y'!O74</f>
        <v>0.95198334141689589</v>
      </c>
      <c r="AG22" s="167">
        <f t="shared" si="2"/>
        <v>18151943.314450003</v>
      </c>
    </row>
    <row r="23" spans="2:33">
      <c r="K23" s="54" t="s">
        <v>99</v>
      </c>
      <c r="L23" s="57" t="s">
        <v>126</v>
      </c>
      <c r="M23" s="172">
        <f>'Power plants'!H25</f>
        <v>0</v>
      </c>
      <c r="N23" s="172">
        <f>'EFel,m,y'!O24</f>
        <v>0</v>
      </c>
      <c r="O23" s="173">
        <f t="shared" si="1"/>
        <v>0</v>
      </c>
      <c r="T23" s="54" t="s">
        <v>99</v>
      </c>
      <c r="U23" s="57" t="s">
        <v>126</v>
      </c>
      <c r="V23" s="43">
        <f>'Power plants'!I25</f>
        <v>971</v>
      </c>
      <c r="W23" s="43">
        <f>'EFel,m,y'!T50</f>
        <v>0.83639999999999992</v>
      </c>
      <c r="X23" s="167">
        <f t="shared" si="0"/>
        <v>812.14439999999991</v>
      </c>
      <c r="AC23" s="54" t="s">
        <v>99</v>
      </c>
      <c r="AD23" s="57" t="s">
        <v>126</v>
      </c>
      <c r="AE23" s="43">
        <f>'Power plants'!J25</f>
        <v>992</v>
      </c>
      <c r="AF23" s="43">
        <f>'EFel,m,y'!O75</f>
        <v>1.0241959223830646</v>
      </c>
      <c r="AG23" s="167">
        <f t="shared" si="2"/>
        <v>1016.002355004</v>
      </c>
    </row>
    <row r="24" spans="2:33">
      <c r="K24" s="54" t="s">
        <v>100</v>
      </c>
      <c r="L24" s="57" t="s">
        <v>126</v>
      </c>
      <c r="M24" s="172">
        <f>'Power plants'!H26</f>
        <v>0</v>
      </c>
      <c r="N24" s="172">
        <f>'EFel,m,y'!O25</f>
        <v>0</v>
      </c>
      <c r="O24" s="173">
        <f t="shared" si="1"/>
        <v>0</v>
      </c>
      <c r="T24" s="54" t="s">
        <v>100</v>
      </c>
      <c r="U24" s="57" t="s">
        <v>126</v>
      </c>
      <c r="V24" s="43">
        <f>'Power plants'!I26</f>
        <v>322</v>
      </c>
      <c r="W24" s="43">
        <f>'EFel,m,y'!T51</f>
        <v>0.83639999999999992</v>
      </c>
      <c r="X24" s="167">
        <f t="shared" si="0"/>
        <v>269.32079999999996</v>
      </c>
      <c r="AC24" s="54" t="s">
        <v>100</v>
      </c>
      <c r="AD24" s="57" t="s">
        <v>126</v>
      </c>
      <c r="AE24" s="43">
        <f>'Power plants'!J26</f>
        <v>5507</v>
      </c>
      <c r="AF24" s="43">
        <f>'EFel,m,y'!O76</f>
        <v>0.11690143182349735</v>
      </c>
      <c r="AG24" s="167">
        <f t="shared" si="2"/>
        <v>643.77618505199996</v>
      </c>
    </row>
    <row r="25" spans="2:33">
      <c r="K25" s="54" t="s">
        <v>101</v>
      </c>
      <c r="L25" s="57" t="s">
        <v>177</v>
      </c>
      <c r="M25" s="172">
        <f>'Power plants'!H27</f>
        <v>0</v>
      </c>
      <c r="N25" s="172">
        <f>'EFel,m,y'!O26</f>
        <v>0</v>
      </c>
      <c r="O25" s="173">
        <f t="shared" si="1"/>
        <v>0</v>
      </c>
      <c r="T25" s="54" t="s">
        <v>101</v>
      </c>
      <c r="U25" s="57" t="s">
        <v>177</v>
      </c>
      <c r="V25" s="43">
        <f>'Power plants'!I27</f>
        <v>6303</v>
      </c>
      <c r="W25" s="43">
        <f>'EFel,m,y'!T52</f>
        <v>0.66167088607594926</v>
      </c>
      <c r="X25" s="167">
        <f t="shared" si="0"/>
        <v>4170.5115949367082</v>
      </c>
      <c r="AC25" s="54" t="s">
        <v>101</v>
      </c>
      <c r="AD25" s="57" t="s">
        <v>177</v>
      </c>
      <c r="AE25" s="43">
        <f>'Power plants'!J27</f>
        <v>0</v>
      </c>
      <c r="AF25" s="43">
        <f>'EFel,m,y'!O77</f>
        <v>0</v>
      </c>
      <c r="AG25" s="167">
        <f t="shared" si="2"/>
        <v>0</v>
      </c>
    </row>
    <row r="26" spans="2:33">
      <c r="K26" s="54" t="s">
        <v>102</v>
      </c>
      <c r="L26" s="57" t="s">
        <v>177</v>
      </c>
      <c r="M26" s="172">
        <f>'Power plants'!H28</f>
        <v>0</v>
      </c>
      <c r="N26" s="172">
        <f>'EFel,m,y'!O27</f>
        <v>0</v>
      </c>
      <c r="O26" s="173">
        <f t="shared" si="1"/>
        <v>0</v>
      </c>
      <c r="T26" s="54" t="s">
        <v>102</v>
      </c>
      <c r="U26" s="57" t="s">
        <v>177</v>
      </c>
      <c r="V26" s="43">
        <f>'Power plants'!I28</f>
        <v>5817</v>
      </c>
      <c r="W26" s="43">
        <f>'EFel,m,y'!T53</f>
        <v>0.66167088607594926</v>
      </c>
      <c r="X26" s="167">
        <f t="shared" si="0"/>
        <v>3848.939544303797</v>
      </c>
      <c r="AC26" s="54" t="s">
        <v>102</v>
      </c>
      <c r="AD26" s="57" t="s">
        <v>177</v>
      </c>
      <c r="AE26" s="43">
        <f>'Power plants'!J28</f>
        <v>0</v>
      </c>
      <c r="AF26" s="43">
        <f>'EFel,m,y'!O78</f>
        <v>0</v>
      </c>
      <c r="AG26" s="167">
        <f t="shared" si="2"/>
        <v>0</v>
      </c>
    </row>
    <row r="27" spans="2:33" ht="16" thickBot="1">
      <c r="K27" s="54" t="s">
        <v>103</v>
      </c>
      <c r="L27" s="57" t="s">
        <v>104</v>
      </c>
      <c r="M27" s="172">
        <f>'Power plants'!H30</f>
        <v>0</v>
      </c>
      <c r="N27" s="172">
        <v>0</v>
      </c>
      <c r="O27" s="173">
        <f t="shared" si="1"/>
        <v>0</v>
      </c>
      <c r="T27" s="54" t="s">
        <v>103</v>
      </c>
      <c r="U27" s="57" t="s">
        <v>104</v>
      </c>
      <c r="V27" s="43">
        <f>'Power plants'!I30</f>
        <v>0</v>
      </c>
      <c r="W27" s="43">
        <v>0</v>
      </c>
      <c r="X27" s="167">
        <f t="shared" si="0"/>
        <v>0</v>
      </c>
      <c r="AC27" s="54" t="s">
        <v>103</v>
      </c>
      <c r="AD27" s="57" t="s">
        <v>104</v>
      </c>
      <c r="AE27" s="43">
        <f>'Power plants'!J30</f>
        <v>0</v>
      </c>
      <c r="AF27" s="43">
        <v>0</v>
      </c>
      <c r="AG27" s="167">
        <f t="shared" si="2"/>
        <v>0</v>
      </c>
    </row>
    <row r="28" spans="2:33" ht="31" thickBot="1">
      <c r="B28" s="58" t="s">
        <v>105</v>
      </c>
      <c r="C28" s="241">
        <f>((O43*M41)+(X43*V41)+(AG43*AE41))/((AE41+V41+M41))</f>
        <v>0.95849338617373858</v>
      </c>
      <c r="D28" s="59"/>
      <c r="E28" s="59"/>
      <c r="K28" s="54" t="s">
        <v>106</v>
      </c>
      <c r="L28" s="57" t="s">
        <v>104</v>
      </c>
      <c r="M28" s="172">
        <f>'Power plants'!H31</f>
        <v>0</v>
      </c>
      <c r="N28" s="172">
        <v>0</v>
      </c>
      <c r="O28" s="173">
        <f t="shared" si="1"/>
        <v>0</v>
      </c>
      <c r="T28" s="54" t="s">
        <v>106</v>
      </c>
      <c r="U28" s="57" t="s">
        <v>104</v>
      </c>
      <c r="V28" s="43">
        <f>'Power plants'!I31</f>
        <v>0</v>
      </c>
      <c r="W28" s="43">
        <v>0</v>
      </c>
      <c r="X28" s="167">
        <f t="shared" si="0"/>
        <v>0</v>
      </c>
      <c r="AC28" s="54" t="s">
        <v>106</v>
      </c>
      <c r="AD28" s="57" t="s">
        <v>104</v>
      </c>
      <c r="AE28" s="43">
        <f>'Power plants'!J31</f>
        <v>0</v>
      </c>
      <c r="AF28" s="43">
        <v>0</v>
      </c>
      <c r="AG28" s="167">
        <f t="shared" si="2"/>
        <v>0</v>
      </c>
    </row>
    <row r="29" spans="2:33">
      <c r="B29" s="59"/>
      <c r="C29" s="59"/>
      <c r="D29" s="59"/>
      <c r="E29" s="59"/>
      <c r="K29" s="54" t="s">
        <v>107</v>
      </c>
      <c r="L29" s="57" t="s">
        <v>104</v>
      </c>
      <c r="M29" s="172">
        <f>'Power plants'!H32</f>
        <v>0</v>
      </c>
      <c r="N29" s="172">
        <v>0</v>
      </c>
      <c r="O29" s="173">
        <f t="shared" si="1"/>
        <v>0</v>
      </c>
      <c r="T29" s="54" t="s">
        <v>107</v>
      </c>
      <c r="U29" s="57" t="s">
        <v>104</v>
      </c>
      <c r="V29" s="43">
        <f>'Power plants'!I32</f>
        <v>0</v>
      </c>
      <c r="W29" s="43">
        <v>0</v>
      </c>
      <c r="X29" s="167">
        <f t="shared" si="0"/>
        <v>0</v>
      </c>
      <c r="AC29" s="54" t="s">
        <v>107</v>
      </c>
      <c r="AD29" s="57" t="s">
        <v>104</v>
      </c>
      <c r="AE29" s="43">
        <f>'Power plants'!J32</f>
        <v>0</v>
      </c>
      <c r="AF29" s="43">
        <v>0</v>
      </c>
      <c r="AG29" s="167">
        <f t="shared" si="2"/>
        <v>0</v>
      </c>
    </row>
    <row r="30" spans="2:33">
      <c r="B30" s="59"/>
      <c r="C30" s="59"/>
      <c r="D30" s="59"/>
      <c r="E30" s="59"/>
      <c r="K30" s="54" t="s">
        <v>108</v>
      </c>
      <c r="L30" s="57" t="s">
        <v>104</v>
      </c>
      <c r="M30" s="172">
        <f>'Power plants'!H33</f>
        <v>0</v>
      </c>
      <c r="N30" s="172">
        <v>0</v>
      </c>
      <c r="O30" s="173">
        <f t="shared" si="1"/>
        <v>0</v>
      </c>
      <c r="T30" s="54" t="s">
        <v>108</v>
      </c>
      <c r="U30" s="57" t="s">
        <v>104</v>
      </c>
      <c r="V30" s="43">
        <f>'Power plants'!I33</f>
        <v>0</v>
      </c>
      <c r="W30" s="43">
        <v>0</v>
      </c>
      <c r="X30" s="167">
        <f t="shared" si="0"/>
        <v>0</v>
      </c>
      <c r="AC30" s="54" t="s">
        <v>108</v>
      </c>
      <c r="AD30" s="57" t="s">
        <v>104</v>
      </c>
      <c r="AE30" s="43">
        <f>'Power plants'!J33</f>
        <v>0</v>
      </c>
      <c r="AF30" s="43">
        <v>0</v>
      </c>
      <c r="AG30" s="167">
        <f t="shared" si="2"/>
        <v>0</v>
      </c>
    </row>
    <row r="31" spans="2:33">
      <c r="B31" s="59"/>
      <c r="C31" s="59"/>
      <c r="D31" s="59"/>
      <c r="E31" s="59"/>
      <c r="K31" s="54" t="s">
        <v>109</v>
      </c>
      <c r="L31" s="57" t="s">
        <v>104</v>
      </c>
      <c r="M31" s="172">
        <f>'Power plants'!H34</f>
        <v>0</v>
      </c>
      <c r="N31" s="172">
        <v>0</v>
      </c>
      <c r="O31" s="173">
        <f t="shared" si="1"/>
        <v>0</v>
      </c>
      <c r="T31" s="54" t="s">
        <v>109</v>
      </c>
      <c r="U31" s="57" t="s">
        <v>104</v>
      </c>
      <c r="V31" s="43">
        <f>'Power plants'!I34</f>
        <v>0</v>
      </c>
      <c r="W31" s="43">
        <v>0</v>
      </c>
      <c r="X31" s="167">
        <f t="shared" si="0"/>
        <v>0</v>
      </c>
      <c r="AC31" s="54" t="s">
        <v>109</v>
      </c>
      <c r="AD31" s="57" t="s">
        <v>104</v>
      </c>
      <c r="AE31" s="43">
        <f>'Power plants'!J34</f>
        <v>0</v>
      </c>
      <c r="AF31" s="43">
        <v>0</v>
      </c>
      <c r="AG31" s="167">
        <f t="shared" si="2"/>
        <v>0</v>
      </c>
    </row>
    <row r="32" spans="2:33">
      <c r="B32" s="59"/>
      <c r="C32" s="59"/>
      <c r="D32" s="59"/>
      <c r="E32" s="59"/>
      <c r="K32" s="54" t="s">
        <v>110</v>
      </c>
      <c r="L32" s="57" t="s">
        <v>104</v>
      </c>
      <c r="M32" s="172">
        <f>'Power plants'!H35</f>
        <v>0</v>
      </c>
      <c r="N32" s="172">
        <v>0</v>
      </c>
      <c r="O32" s="173">
        <f t="shared" si="1"/>
        <v>0</v>
      </c>
      <c r="T32" s="54" t="s">
        <v>110</v>
      </c>
      <c r="U32" s="57" t="s">
        <v>104</v>
      </c>
      <c r="V32" s="43">
        <f>'Power plants'!I35</f>
        <v>0</v>
      </c>
      <c r="W32" s="43">
        <v>0</v>
      </c>
      <c r="X32" s="167">
        <f t="shared" si="0"/>
        <v>0</v>
      </c>
      <c r="AC32" s="54" t="s">
        <v>110</v>
      </c>
      <c r="AD32" s="57" t="s">
        <v>104</v>
      </c>
      <c r="AE32" s="43">
        <f>'Power plants'!J35</f>
        <v>0</v>
      </c>
      <c r="AF32" s="43">
        <v>0</v>
      </c>
      <c r="AG32" s="167">
        <f t="shared" si="2"/>
        <v>0</v>
      </c>
    </row>
    <row r="33" spans="2:33">
      <c r="B33" s="59"/>
      <c r="C33" s="59"/>
      <c r="D33" s="59"/>
      <c r="E33" s="59"/>
      <c r="K33" s="54" t="s">
        <v>111</v>
      </c>
      <c r="L33" s="57" t="s">
        <v>112</v>
      </c>
      <c r="M33" s="172">
        <f>'Power plants'!H37</f>
        <v>13004000</v>
      </c>
      <c r="N33" s="172">
        <v>0</v>
      </c>
      <c r="O33" s="173">
        <f t="shared" si="1"/>
        <v>0</v>
      </c>
      <c r="T33" s="54" t="s">
        <v>111</v>
      </c>
      <c r="U33" s="57" t="s">
        <v>112</v>
      </c>
      <c r="V33" s="43">
        <f>'Power plants'!I37</f>
        <v>12806000</v>
      </c>
      <c r="W33" s="43">
        <v>0</v>
      </c>
      <c r="X33" s="167">
        <f t="shared" si="0"/>
        <v>0</v>
      </c>
      <c r="AC33" s="54" t="s">
        <v>111</v>
      </c>
      <c r="AD33" s="57" t="s">
        <v>112</v>
      </c>
      <c r="AE33" s="43">
        <f>'Power plants'!J37</f>
        <v>12099000</v>
      </c>
      <c r="AF33" s="43">
        <v>0</v>
      </c>
      <c r="AG33" s="167">
        <f t="shared" si="2"/>
        <v>0</v>
      </c>
    </row>
    <row r="34" spans="2:33">
      <c r="K34" s="60" t="s">
        <v>113</v>
      </c>
      <c r="L34" s="61" t="s">
        <v>114</v>
      </c>
      <c r="M34" s="174">
        <f>'Power plants'!H39</f>
        <v>0</v>
      </c>
      <c r="N34" s="172">
        <v>0</v>
      </c>
      <c r="O34" s="173">
        <f t="shared" si="1"/>
        <v>0</v>
      </c>
      <c r="T34" s="60" t="s">
        <v>113</v>
      </c>
      <c r="U34" s="61" t="s">
        <v>114</v>
      </c>
      <c r="V34" s="168">
        <f>'Power plants'!I39</f>
        <v>0</v>
      </c>
      <c r="W34" s="43">
        <v>0</v>
      </c>
      <c r="X34" s="167">
        <f t="shared" si="0"/>
        <v>0</v>
      </c>
      <c r="AC34" s="60" t="s">
        <v>113</v>
      </c>
      <c r="AD34" s="61" t="s">
        <v>114</v>
      </c>
      <c r="AE34" s="168">
        <f>'Power plants'!J39</f>
        <v>0</v>
      </c>
      <c r="AF34" s="43">
        <v>0</v>
      </c>
      <c r="AG34" s="167">
        <f t="shared" si="2"/>
        <v>0</v>
      </c>
    </row>
    <row r="35" spans="2:33">
      <c r="K35" s="60" t="s">
        <v>115</v>
      </c>
      <c r="L35" s="61" t="s">
        <v>114</v>
      </c>
      <c r="M35" s="174">
        <f>'Power plants'!H40</f>
        <v>0</v>
      </c>
      <c r="N35" s="172">
        <v>0</v>
      </c>
      <c r="O35" s="173">
        <f t="shared" si="1"/>
        <v>0</v>
      </c>
      <c r="T35" s="60" t="s">
        <v>115</v>
      </c>
      <c r="U35" s="61" t="s">
        <v>114</v>
      </c>
      <c r="V35" s="168">
        <f>'Power plants'!I40</f>
        <v>0</v>
      </c>
      <c r="W35" s="43">
        <v>0</v>
      </c>
      <c r="X35" s="167">
        <f t="shared" si="0"/>
        <v>0</v>
      </c>
      <c r="AC35" s="60" t="s">
        <v>115</v>
      </c>
      <c r="AD35" s="61" t="s">
        <v>114</v>
      </c>
      <c r="AE35" s="168">
        <f>'Power plants'!J40</f>
        <v>0</v>
      </c>
      <c r="AF35" s="43">
        <v>0</v>
      </c>
      <c r="AG35" s="167">
        <f t="shared" si="2"/>
        <v>0</v>
      </c>
    </row>
    <row r="36" spans="2:33">
      <c r="K36" s="54" t="s">
        <v>116</v>
      </c>
      <c r="L36" s="57" t="s">
        <v>117</v>
      </c>
      <c r="M36" s="172">
        <f>'Power plants'!H42</f>
        <v>2000</v>
      </c>
      <c r="N36" s="172">
        <v>0</v>
      </c>
      <c r="O36" s="173">
        <f t="shared" si="1"/>
        <v>0</v>
      </c>
      <c r="T36" s="54" t="s">
        <v>116</v>
      </c>
      <c r="U36" s="57" t="s">
        <v>117</v>
      </c>
      <c r="V36" s="43">
        <f>'Power plants'!I42</f>
        <v>1000</v>
      </c>
      <c r="W36" s="43">
        <v>0</v>
      </c>
      <c r="X36" s="167">
        <f t="shared" si="0"/>
        <v>0</v>
      </c>
      <c r="AC36" s="54" t="s">
        <v>116</v>
      </c>
      <c r="AD36" s="57" t="s">
        <v>117</v>
      </c>
      <c r="AE36" s="43">
        <f>'Power plants'!J42</f>
        <v>2000</v>
      </c>
      <c r="AF36" s="43">
        <v>0</v>
      </c>
      <c r="AG36" s="167">
        <f t="shared" si="2"/>
        <v>0</v>
      </c>
    </row>
    <row r="37" spans="2:33" ht="24">
      <c r="K37" s="63" t="s">
        <v>57</v>
      </c>
      <c r="L37" s="57" t="s">
        <v>118</v>
      </c>
      <c r="M37" s="175">
        <f>'CDM projects in SA'!M10</f>
        <v>23285.538461538461</v>
      </c>
      <c r="N37" s="172">
        <v>0</v>
      </c>
      <c r="O37" s="173">
        <f t="shared" si="1"/>
        <v>0</v>
      </c>
      <c r="T37" s="63" t="s">
        <v>57</v>
      </c>
      <c r="U37" s="57" t="s">
        <v>118</v>
      </c>
      <c r="V37" s="169">
        <f>'CDM projects in SA'!M10</f>
        <v>23285.538461538461</v>
      </c>
      <c r="W37" s="43">
        <v>0</v>
      </c>
      <c r="X37" s="167">
        <f t="shared" si="0"/>
        <v>0</v>
      </c>
      <c r="AC37" s="63" t="s">
        <v>57</v>
      </c>
      <c r="AD37" s="57" t="s">
        <v>118</v>
      </c>
      <c r="AE37" s="169">
        <f>'CDM projects in SA'!M10</f>
        <v>23285.538461538461</v>
      </c>
      <c r="AF37" s="43">
        <v>0</v>
      </c>
      <c r="AG37" s="167">
        <f t="shared" si="2"/>
        <v>0</v>
      </c>
    </row>
    <row r="38" spans="2:33" ht="39">
      <c r="K38" s="64" t="s">
        <v>64</v>
      </c>
      <c r="L38" s="57" t="s">
        <v>118</v>
      </c>
      <c r="M38" s="175">
        <f>'CDM projects in SA'!M11</f>
        <v>8983.1280000000006</v>
      </c>
      <c r="N38" s="172">
        <v>0</v>
      </c>
      <c r="O38" s="173">
        <f t="shared" si="1"/>
        <v>0</v>
      </c>
      <c r="T38" s="64" t="s">
        <v>64</v>
      </c>
      <c r="U38" s="57" t="s">
        <v>118</v>
      </c>
      <c r="V38" s="169">
        <f>'CDM projects in SA'!M11</f>
        <v>8983.1280000000006</v>
      </c>
      <c r="W38" s="43">
        <v>0</v>
      </c>
      <c r="X38" s="167">
        <f t="shared" si="0"/>
        <v>0</v>
      </c>
      <c r="AC38" s="64" t="s">
        <v>64</v>
      </c>
      <c r="AD38" s="57" t="s">
        <v>118</v>
      </c>
      <c r="AE38" s="169">
        <f>'CDM projects in SA'!M11</f>
        <v>8983.1280000000006</v>
      </c>
      <c r="AF38" s="43">
        <v>0</v>
      </c>
      <c r="AG38" s="167">
        <f t="shared" si="2"/>
        <v>0</v>
      </c>
    </row>
    <row r="39" spans="2:33" ht="105">
      <c r="K39" s="65" t="s">
        <v>119</v>
      </c>
      <c r="L39" s="57" t="s">
        <v>118</v>
      </c>
      <c r="M39" s="175">
        <f>'CDM projects in SA'!M13</f>
        <v>3744</v>
      </c>
      <c r="N39" s="172">
        <v>0</v>
      </c>
      <c r="O39" s="173">
        <f t="shared" si="1"/>
        <v>0</v>
      </c>
      <c r="T39" s="65" t="s">
        <v>119</v>
      </c>
      <c r="U39" s="57" t="s">
        <v>118</v>
      </c>
      <c r="V39" s="169">
        <f>'CDM projects in SA'!M13</f>
        <v>3744</v>
      </c>
      <c r="W39" s="43">
        <v>0</v>
      </c>
      <c r="X39" s="167">
        <f t="shared" si="0"/>
        <v>0</v>
      </c>
      <c r="AC39" s="65" t="s">
        <v>119</v>
      </c>
      <c r="AD39" s="57" t="s">
        <v>118</v>
      </c>
      <c r="AE39" s="169">
        <f>'CDM projects in SA'!M13</f>
        <v>3744</v>
      </c>
      <c r="AF39" s="43">
        <v>0</v>
      </c>
      <c r="AG39" s="167">
        <f t="shared" si="2"/>
        <v>0</v>
      </c>
    </row>
    <row r="40" spans="2:33" ht="61" thickBot="1">
      <c r="K40" s="65" t="s">
        <v>120</v>
      </c>
      <c r="L40" s="57" t="s">
        <v>118</v>
      </c>
      <c r="M40" s="242">
        <f>'CDM projects in SA'!M12*(9/12)</f>
        <v>23792.399999999998</v>
      </c>
      <c r="N40" s="243">
        <v>0</v>
      </c>
      <c r="O40" s="244">
        <f t="shared" si="1"/>
        <v>0</v>
      </c>
      <c r="P40" s="245" t="s">
        <v>249</v>
      </c>
      <c r="T40" s="65" t="s">
        <v>120</v>
      </c>
      <c r="U40" s="57" t="s">
        <v>118</v>
      </c>
      <c r="V40" s="169">
        <f>'CDM projects in SA'!M12</f>
        <v>31723.199999999997</v>
      </c>
      <c r="W40" s="43">
        <v>0</v>
      </c>
      <c r="X40" s="167">
        <f t="shared" si="0"/>
        <v>0</v>
      </c>
      <c r="AC40" s="65" t="s">
        <v>120</v>
      </c>
      <c r="AD40" s="57" t="s">
        <v>118</v>
      </c>
      <c r="AE40" s="169">
        <f>'CDM projects in SA'!M12</f>
        <v>31723.199999999997</v>
      </c>
      <c r="AF40" s="43">
        <v>0</v>
      </c>
      <c r="AG40" s="167">
        <f t="shared" si="2"/>
        <v>0</v>
      </c>
    </row>
    <row r="41" spans="2:33" ht="16" thickBot="1">
      <c r="K41" s="66" t="s">
        <v>121</v>
      </c>
      <c r="L41" s="67"/>
      <c r="M41" s="176">
        <f>SUM(M10:M40)</f>
        <v>224756730.06646153</v>
      </c>
      <c r="N41" s="176"/>
      <c r="O41" s="177">
        <f>SUM(O10:O40)</f>
        <v>216259607.7428</v>
      </c>
      <c r="T41" s="66" t="s">
        <v>121</v>
      </c>
      <c r="U41" s="67"/>
      <c r="V41" s="170">
        <f>SUM(V10:V40)</f>
        <v>228828052.86646152</v>
      </c>
      <c r="W41" s="170"/>
      <c r="X41" s="171">
        <f>SUM(X10:X40)</f>
        <v>219008234.27873924</v>
      </c>
      <c r="AC41" s="66" t="s">
        <v>121</v>
      </c>
      <c r="AD41" s="67"/>
      <c r="AE41" s="170">
        <f>SUM(AE10:AE40)</f>
        <v>232394837.86646152</v>
      </c>
      <c r="AF41" s="170"/>
      <c r="AG41" s="171">
        <f>SUM(AG10:AG40)</f>
        <v>222239087.56464007</v>
      </c>
    </row>
    <row r="42" spans="2:33" ht="16" thickBot="1"/>
    <row r="43" spans="2:33" ht="31" thickBot="1">
      <c r="N43" s="51" t="s">
        <v>105</v>
      </c>
      <c r="O43" s="69">
        <f>O41/M41</f>
        <v>0.96219413620607086</v>
      </c>
      <c r="W43" s="51" t="s">
        <v>105</v>
      </c>
      <c r="X43" s="69">
        <f>X41/V41</f>
        <v>0.95708647403711078</v>
      </c>
      <c r="AF43" s="51" t="s">
        <v>105</v>
      </c>
      <c r="AG43" s="69">
        <f>AG41/AE41</f>
        <v>0.95629958739592513</v>
      </c>
    </row>
  </sheetData>
  <pageMargins left="0.75" right="0.75" top="1" bottom="1" header="0.5" footer="0.5"/>
  <drawing r:id="rId1"/>
  <legacyDrawing r:id="rId2"/>
  <oleObjects>
    <mc:AlternateContent xmlns:mc="http://schemas.openxmlformats.org/markup-compatibility/2006">
      <mc:Choice Requires="x14">
        <oleObject progId="Equation.3" shapeId="4097" r:id="rId3">
          <objectPr defaultSize="0" autoPict="0" r:id="rId4">
            <anchor moveWithCells="1">
              <from>
                <xdr:col>1</xdr:col>
                <xdr:colOff>254000</xdr:colOff>
                <xdr:row>10</xdr:row>
                <xdr:rowOff>165100</xdr:rowOff>
              </from>
              <to>
                <xdr:col>5</xdr:col>
                <xdr:colOff>50800</xdr:colOff>
                <xdr:row>15</xdr:row>
                <xdr:rowOff>101600</xdr:rowOff>
              </to>
            </anchor>
          </objectPr>
        </oleObject>
      </mc:Choice>
      <mc:Fallback>
        <oleObject progId="Equation.3" shapeId="4097" r:id="rId3"/>
      </mc:Fallback>
    </mc:AlternateContent>
  </oleObjects>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M140"/>
  <sheetViews>
    <sheetView showGridLines="0" workbookViewId="0"/>
  </sheetViews>
  <sheetFormatPr baseColWidth="10" defaultRowHeight="15" x14ac:dyDescent="0"/>
  <cols>
    <col min="1" max="1" width="10.83203125" customWidth="1"/>
    <col min="3" max="3" width="24.33203125" customWidth="1"/>
    <col min="4" max="4" width="17.83203125" customWidth="1"/>
    <col min="5" max="5" width="17.5" customWidth="1"/>
    <col min="6" max="6" width="22.5" bestFit="1" customWidth="1"/>
    <col min="7" max="7" width="14.83203125" customWidth="1"/>
    <col min="8" max="8" width="14" bestFit="1" customWidth="1"/>
    <col min="11" max="11" width="14.1640625" bestFit="1" customWidth="1"/>
    <col min="12" max="12" width="12" bestFit="1" customWidth="1"/>
  </cols>
  <sheetData>
    <row r="3" spans="2:8" ht="18">
      <c r="B3" s="50" t="s">
        <v>202</v>
      </c>
    </row>
    <row r="5" spans="2:8" ht="18">
      <c r="B5" s="70" t="s">
        <v>127</v>
      </c>
    </row>
    <row r="6" spans="2:8" ht="16" thickBot="1"/>
    <row r="7" spans="2:8" ht="31" thickBot="1">
      <c r="B7" s="72" t="s">
        <v>128</v>
      </c>
      <c r="C7" s="18" t="s">
        <v>44</v>
      </c>
      <c r="D7" s="18" t="s">
        <v>129</v>
      </c>
      <c r="E7" s="18" t="s">
        <v>130</v>
      </c>
      <c r="F7" s="18" t="s">
        <v>50</v>
      </c>
      <c r="G7" s="18" t="s">
        <v>131</v>
      </c>
      <c r="H7" s="73" t="s">
        <v>132</v>
      </c>
    </row>
    <row r="8" spans="2:8">
      <c r="B8" s="83">
        <v>1</v>
      </c>
      <c r="C8" s="84" t="s">
        <v>102</v>
      </c>
      <c r="D8" s="84" t="s">
        <v>133</v>
      </c>
      <c r="E8" s="231">
        <v>39171</v>
      </c>
      <c r="F8" s="178">
        <f>'Power plants'!J28</f>
        <v>0</v>
      </c>
      <c r="G8" s="178">
        <f>'EFel,m,y'!O78</f>
        <v>0</v>
      </c>
      <c r="H8" s="85">
        <f>SUM($F$8:F8)/$F$40</f>
        <v>0</v>
      </c>
    </row>
    <row r="9" spans="2:8">
      <c r="B9" s="86">
        <v>2</v>
      </c>
      <c r="C9" s="57" t="s">
        <v>101</v>
      </c>
      <c r="D9" s="57" t="s">
        <v>133</v>
      </c>
      <c r="E9" s="232">
        <v>39170</v>
      </c>
      <c r="F9" s="46">
        <f>'Power plants'!J27</f>
        <v>0</v>
      </c>
      <c r="G9" s="46">
        <f>'EFel,m,y'!O77</f>
        <v>0</v>
      </c>
      <c r="H9" s="89">
        <f>SUM($F$8:F9)/$F$40</f>
        <v>0</v>
      </c>
    </row>
    <row r="10" spans="2:8">
      <c r="B10" s="86">
        <v>3</v>
      </c>
      <c r="C10" s="57" t="s">
        <v>116</v>
      </c>
      <c r="D10" s="57" t="s">
        <v>117</v>
      </c>
      <c r="E10" s="232">
        <v>37469</v>
      </c>
      <c r="F10" s="46">
        <f>'Power plants'!J42</f>
        <v>2000</v>
      </c>
      <c r="G10" s="46">
        <v>0</v>
      </c>
      <c r="H10" s="89">
        <f>SUM($F$8:F10)/$F$40</f>
        <v>8.6085522643845492E-6</v>
      </c>
    </row>
    <row r="11" spans="2:8">
      <c r="B11" s="86">
        <v>4</v>
      </c>
      <c r="C11" s="57" t="s">
        <v>95</v>
      </c>
      <c r="D11" s="57" t="s">
        <v>86</v>
      </c>
      <c r="E11" s="232">
        <v>35156</v>
      </c>
      <c r="F11" s="46">
        <f>'Power plants'!J20</f>
        <v>24632585</v>
      </c>
      <c r="G11" s="46">
        <f>'EFel,m,y'!O71</f>
        <v>0.94144333197672914</v>
      </c>
      <c r="H11" s="89">
        <f>SUM($F$8:F11)/$F$40</f>
        <v>0.10603405624196181</v>
      </c>
    </row>
    <row r="12" spans="2:8">
      <c r="B12" s="86">
        <v>5</v>
      </c>
      <c r="C12" s="57" t="s">
        <v>91</v>
      </c>
      <c r="D12" s="57" t="s">
        <v>86</v>
      </c>
      <c r="E12" s="232">
        <v>32417</v>
      </c>
      <c r="F12" s="46">
        <f>'Power plants'!J16</f>
        <v>25648258</v>
      </c>
      <c r="G12" s="46">
        <f>'EFel,m,y'!O67</f>
        <v>1.0537380357781023</v>
      </c>
      <c r="H12" s="89">
        <f>SUM($F$8:F12)/$F$40</f>
        <v>0.21643124098367136</v>
      </c>
    </row>
    <row r="13" spans="2:8">
      <c r="B13" s="86">
        <v>6</v>
      </c>
      <c r="C13" s="57" t="s">
        <v>115</v>
      </c>
      <c r="D13" s="57" t="s">
        <v>134</v>
      </c>
      <c r="E13" s="232">
        <v>32251</v>
      </c>
      <c r="F13" s="46">
        <f>'Power plants'!J40</f>
        <v>0</v>
      </c>
      <c r="G13" s="46">
        <v>0</v>
      </c>
      <c r="H13" s="89">
        <f>SUM($F$8:F13)/$F$40</f>
        <v>0.21643124098367136</v>
      </c>
    </row>
    <row r="14" spans="2:8">
      <c r="B14" s="86">
        <v>7</v>
      </c>
      <c r="C14" s="57" t="s">
        <v>96</v>
      </c>
      <c r="D14" s="57" t="s">
        <v>86</v>
      </c>
      <c r="E14" s="232">
        <v>32115</v>
      </c>
      <c r="F14" s="46">
        <f>'Power plants'!J21</f>
        <v>28163040</v>
      </c>
      <c r="G14" s="46">
        <f>'EFel,m,y'!O72</f>
        <v>0.92311431734997362</v>
      </c>
      <c r="H14" s="89">
        <f>SUM($F$8:F14)/$F$40</f>
        <v>0.3376527418656477</v>
      </c>
    </row>
    <row r="15" spans="2:8">
      <c r="B15" s="86">
        <v>8</v>
      </c>
      <c r="C15" s="57" t="s">
        <v>94</v>
      </c>
      <c r="D15" s="57" t="s">
        <v>86</v>
      </c>
      <c r="E15" s="232">
        <v>31403</v>
      </c>
      <c r="F15" s="46">
        <f>'Power plants'!J19</f>
        <v>25500366</v>
      </c>
      <c r="G15" s="46">
        <f>'EFel,m,y'!O70</f>
        <v>1.2414577757021215</v>
      </c>
      <c r="H15" s="89">
        <f>SUM($F$8:F15)/$F$40</f>
        <v>0.44741335860161507</v>
      </c>
    </row>
    <row r="16" spans="2:8">
      <c r="B16" s="86">
        <v>9</v>
      </c>
      <c r="C16" s="57" t="s">
        <v>98</v>
      </c>
      <c r="D16" s="57" t="s">
        <v>86</v>
      </c>
      <c r="E16" s="232">
        <v>31199</v>
      </c>
      <c r="F16" s="46">
        <f>'Power plants'!J23</f>
        <v>19067501</v>
      </c>
      <c r="G16" s="46">
        <f>'EFel,m,y'!O74</f>
        <v>0.95198334141689589</v>
      </c>
      <c r="H16" s="89">
        <f>SUM($F$8:F16)/$F$40</f>
        <v>0.5294851480564674</v>
      </c>
    </row>
    <row r="17" spans="2:8">
      <c r="B17" s="86">
        <v>10</v>
      </c>
      <c r="C17" s="57" t="s">
        <v>107</v>
      </c>
      <c r="D17" s="57" t="s">
        <v>104</v>
      </c>
      <c r="E17" s="232">
        <v>31048</v>
      </c>
      <c r="F17" s="46">
        <f>'Power plants'!J32</f>
        <v>0</v>
      </c>
      <c r="G17" s="46">
        <v>0</v>
      </c>
      <c r="H17" s="89">
        <f>SUM($F$8:F17)/$F$40</f>
        <v>0.5294851480564674</v>
      </c>
    </row>
    <row r="18" spans="2:8">
      <c r="B18" s="86">
        <v>11</v>
      </c>
      <c r="C18" s="57" t="s">
        <v>111</v>
      </c>
      <c r="D18" s="57" t="s">
        <v>112</v>
      </c>
      <c r="E18" s="232">
        <v>30884</v>
      </c>
      <c r="F18" s="46">
        <f>'Power plants'!J37</f>
        <v>12099000</v>
      </c>
      <c r="G18" s="46">
        <v>0</v>
      </c>
      <c r="H18" s="89">
        <f>SUM($F$8:F18)/$F$40</f>
        <v>0.58156258497986169</v>
      </c>
    </row>
    <row r="19" spans="2:8">
      <c r="B19" s="86">
        <v>12</v>
      </c>
      <c r="C19" s="57" t="s">
        <v>110</v>
      </c>
      <c r="D19" s="57" t="s">
        <v>104</v>
      </c>
      <c r="E19" s="232">
        <v>30376</v>
      </c>
      <c r="F19" s="46">
        <f>'Power plants'!J35</f>
        <v>0</v>
      </c>
      <c r="G19" s="46">
        <v>0</v>
      </c>
      <c r="H19" s="89">
        <f>SUM($F$8:F19)/$F$40</f>
        <v>0.58156258497986169</v>
      </c>
    </row>
    <row r="20" spans="2:8">
      <c r="B20" s="86">
        <v>13</v>
      </c>
      <c r="C20" s="57" t="s">
        <v>113</v>
      </c>
      <c r="D20" s="57" t="s">
        <v>134</v>
      </c>
      <c r="E20" s="232">
        <v>29754</v>
      </c>
      <c r="F20" s="46">
        <f>'Power plants'!J39</f>
        <v>0</v>
      </c>
      <c r="G20" s="46">
        <v>0</v>
      </c>
      <c r="H20" s="89">
        <f>SUM($F$8:F20)/$F$40</f>
        <v>0.58156258497986169</v>
      </c>
    </row>
    <row r="21" spans="2:8">
      <c r="B21" s="86">
        <v>14</v>
      </c>
      <c r="C21" s="57" t="s">
        <v>88</v>
      </c>
      <c r="D21" s="57" t="s">
        <v>86</v>
      </c>
      <c r="E21" s="232">
        <v>29238</v>
      </c>
      <c r="F21" s="46">
        <f>'Power plants'!J13</f>
        <v>20267508</v>
      </c>
      <c r="G21" s="46">
        <f>'EFel,m,y'!O64</f>
        <v>0.93495909327629245</v>
      </c>
      <c r="H21" s="89">
        <f>SUM($F$8:F21)/$F$40</f>
        <v>0.66879953592327768</v>
      </c>
    </row>
    <row r="22" spans="2:8">
      <c r="B22" s="86">
        <v>15</v>
      </c>
      <c r="C22" s="57" t="s">
        <v>97</v>
      </c>
      <c r="D22" s="57" t="s">
        <v>86</v>
      </c>
      <c r="E22" s="232">
        <v>29127</v>
      </c>
      <c r="F22" s="46">
        <f>'Power plants'!J22</f>
        <v>21504422</v>
      </c>
      <c r="G22" s="46">
        <f>'EFel,m,y'!O73</f>
        <v>1.0067423608060706</v>
      </c>
      <c r="H22" s="89">
        <f>SUM($F$8:F22)/$F$40</f>
        <v>0.76136050627446816</v>
      </c>
    </row>
    <row r="23" spans="2:8">
      <c r="B23" s="86">
        <v>16</v>
      </c>
      <c r="C23" s="57" t="s">
        <v>109</v>
      </c>
      <c r="D23" s="57" t="s">
        <v>104</v>
      </c>
      <c r="E23" s="232">
        <v>28946</v>
      </c>
      <c r="F23" s="46">
        <f>'Power plants'!J34</f>
        <v>0</v>
      </c>
      <c r="G23" s="46">
        <v>0</v>
      </c>
      <c r="H23" s="89">
        <f>SUM($F$8:F23)/$F$40</f>
        <v>0.76136050627446816</v>
      </c>
    </row>
    <row r="24" spans="2:8">
      <c r="B24" s="86">
        <v>17</v>
      </c>
      <c r="C24" s="57" t="s">
        <v>108</v>
      </c>
      <c r="D24" s="57" t="s">
        <v>104</v>
      </c>
      <c r="E24" s="232">
        <v>28887</v>
      </c>
      <c r="F24" s="46">
        <f>'Power plants'!J33</f>
        <v>0</v>
      </c>
      <c r="G24" s="46">
        <v>0</v>
      </c>
      <c r="H24" s="89">
        <f>SUM($F$8:F24)/$F$40</f>
        <v>0.76136050627446816</v>
      </c>
    </row>
    <row r="25" spans="2:8">
      <c r="B25" s="86">
        <v>18</v>
      </c>
      <c r="C25" s="57" t="s">
        <v>106</v>
      </c>
      <c r="D25" s="57" t="s">
        <v>104</v>
      </c>
      <c r="E25" s="232">
        <v>28126</v>
      </c>
      <c r="F25" s="46">
        <f>'Power plants'!J31</f>
        <v>0</v>
      </c>
      <c r="G25" s="46">
        <v>0</v>
      </c>
      <c r="H25" s="89">
        <f>SUM($F$8:F25)/$F$40</f>
        <v>0.76136050627446816</v>
      </c>
    </row>
    <row r="26" spans="2:8">
      <c r="B26" s="86">
        <v>19</v>
      </c>
      <c r="C26" s="57" t="s">
        <v>100</v>
      </c>
      <c r="D26" s="57" t="s">
        <v>133</v>
      </c>
      <c r="E26" s="232">
        <v>28033</v>
      </c>
      <c r="F26" s="46">
        <f>'Power plants'!J26</f>
        <v>5507</v>
      </c>
      <c r="G26" s="46">
        <f>'EFel,m,y'!O76</f>
        <v>0.11690143182349735</v>
      </c>
      <c r="H26" s="89">
        <f>SUM($F$8:F26)/$F$40</f>
        <v>0.76138420992312816</v>
      </c>
    </row>
    <row r="27" spans="2:8">
      <c r="B27" s="86">
        <v>20</v>
      </c>
      <c r="C27" s="57" t="s">
        <v>99</v>
      </c>
      <c r="D27" s="57" t="s">
        <v>133</v>
      </c>
      <c r="E27" s="232">
        <v>27893</v>
      </c>
      <c r="F27" s="46">
        <f>'Power plants'!J25</f>
        <v>992</v>
      </c>
      <c r="G27" s="46">
        <f>'EFel,m,y'!O75</f>
        <v>1.0241959223830646</v>
      </c>
      <c r="H27" s="89">
        <f>SUM($F$8:F27)/$F$40</f>
        <v>0.76138847976505131</v>
      </c>
    </row>
    <row r="28" spans="2:8">
      <c r="B28" s="86">
        <v>21</v>
      </c>
      <c r="C28" s="57" t="s">
        <v>93</v>
      </c>
      <c r="D28" s="57" t="s">
        <v>86</v>
      </c>
      <c r="E28" s="232">
        <v>27886</v>
      </c>
      <c r="F28" s="46">
        <f>'Power plants'!J18</f>
        <v>18204910</v>
      </c>
      <c r="G28" s="46">
        <f>'EFel,m,y'!O69</f>
        <v>0.93207782099719261</v>
      </c>
      <c r="H28" s="89">
        <f>SUM($F$8:F28)/$F$40</f>
        <v>0.83974743936675966</v>
      </c>
    </row>
    <row r="29" spans="2:8">
      <c r="B29" s="86">
        <v>22</v>
      </c>
      <c r="C29" s="57" t="s">
        <v>231</v>
      </c>
      <c r="D29" s="57" t="s">
        <v>86</v>
      </c>
      <c r="E29" s="232">
        <v>26197</v>
      </c>
      <c r="F29" s="46">
        <f>'Power plants'!J11</f>
        <v>12194878</v>
      </c>
      <c r="G29" s="46">
        <f>'EFel,m,y'!O62</f>
        <v>0.95306771855364203</v>
      </c>
      <c r="H29" s="89">
        <f>SUM($F$8:F29)/$F$40</f>
        <v>0.8922375616771564</v>
      </c>
    </row>
    <row r="30" spans="2:8">
      <c r="B30" s="86">
        <v>23</v>
      </c>
      <c r="C30" s="57" t="s">
        <v>103</v>
      </c>
      <c r="D30" s="57" t="s">
        <v>104</v>
      </c>
      <c r="E30" s="232">
        <v>26184</v>
      </c>
      <c r="F30" s="46">
        <f>'Power plants'!J30</f>
        <v>0</v>
      </c>
      <c r="G30" s="46">
        <v>0</v>
      </c>
      <c r="H30" s="89">
        <f>SUM($F$8:F30)/$F$40</f>
        <v>0.8922375616771564</v>
      </c>
    </row>
    <row r="31" spans="2:8">
      <c r="B31" s="86">
        <v>24</v>
      </c>
      <c r="C31" s="57" t="s">
        <v>90</v>
      </c>
      <c r="D31" s="57" t="s">
        <v>86</v>
      </c>
      <c r="E31" s="232">
        <v>25700</v>
      </c>
      <c r="F31" s="46">
        <f>'Power plants'!J15</f>
        <v>11938206</v>
      </c>
      <c r="G31" s="46">
        <f>'EFel,m,y'!O66</f>
        <v>1.0650903995039123</v>
      </c>
      <c r="H31" s="89">
        <f>SUM($F$8:F31)/$F$40</f>
        <v>0.94362289682415101</v>
      </c>
    </row>
    <row r="32" spans="2:8">
      <c r="B32" s="86">
        <v>25</v>
      </c>
      <c r="C32" s="57" t="s">
        <v>89</v>
      </c>
      <c r="D32" s="57" t="s">
        <v>86</v>
      </c>
      <c r="E32" s="232">
        <v>25384</v>
      </c>
      <c r="F32" s="46">
        <f>'Power plants'!J14</f>
        <v>3546952</v>
      </c>
      <c r="G32" s="46">
        <f>'EFel,m,y'!O65</f>
        <v>1.071044166357481</v>
      </c>
      <c r="H32" s="89">
        <f>SUM($F$8:F32)/$F$40</f>
        <v>0.95888995765978258</v>
      </c>
    </row>
    <row r="33" spans="2:8">
      <c r="B33" s="86">
        <v>26</v>
      </c>
      <c r="C33" s="57" t="s">
        <v>87</v>
      </c>
      <c r="D33" s="57" t="s">
        <v>86</v>
      </c>
      <c r="E33" s="232">
        <v>24462</v>
      </c>
      <c r="F33" s="46">
        <f>'Power plants'!J12</f>
        <v>7490836</v>
      </c>
      <c r="G33" s="46">
        <f>'EFel,m,y'!O63</f>
        <v>1.1007902710925723</v>
      </c>
      <c r="H33" s="89">
        <f>SUM($F$8:F33)/$F$40</f>
        <v>0.99113258426474926</v>
      </c>
    </row>
    <row r="34" spans="2:8">
      <c r="B34" s="86">
        <v>27</v>
      </c>
      <c r="C34" s="57" t="s">
        <v>92</v>
      </c>
      <c r="D34" s="57" t="s">
        <v>86</v>
      </c>
      <c r="E34" s="232">
        <v>22591</v>
      </c>
      <c r="F34" s="46">
        <f>'Power plants'!J17</f>
        <v>2060141</v>
      </c>
      <c r="G34" s="46">
        <f>'EFel,m,y'!O68</f>
        <v>1.0988239933577362</v>
      </c>
      <c r="H34" s="89">
        <f>SUM($F$8:F34)/$F$40</f>
        <v>1</v>
      </c>
    </row>
    <row r="35" spans="2:8">
      <c r="B35" s="86"/>
      <c r="C35" s="57"/>
      <c r="D35" s="57"/>
      <c r="E35" s="57"/>
      <c r="F35" s="43"/>
      <c r="G35" s="43"/>
      <c r="H35" s="90"/>
    </row>
    <row r="36" spans="2:8">
      <c r="B36" s="86"/>
      <c r="C36" s="57"/>
      <c r="D36" s="57"/>
      <c r="E36" s="57"/>
      <c r="F36" s="43"/>
      <c r="G36" s="43"/>
      <c r="H36" s="90"/>
    </row>
    <row r="37" spans="2:8">
      <c r="B37" s="86"/>
      <c r="C37" s="57"/>
      <c r="D37" s="57"/>
      <c r="E37" s="57"/>
      <c r="F37" s="43"/>
      <c r="G37" s="43"/>
      <c r="H37" s="90"/>
    </row>
    <row r="38" spans="2:8">
      <c r="B38" s="86"/>
      <c r="C38" s="57"/>
      <c r="D38" s="57"/>
      <c r="E38" s="57"/>
      <c r="F38" s="43"/>
      <c r="G38" s="43"/>
      <c r="H38" s="90"/>
    </row>
    <row r="39" spans="2:8" ht="16" thickBot="1">
      <c r="B39" s="86"/>
      <c r="C39" s="57"/>
      <c r="D39" s="57"/>
      <c r="E39" s="57"/>
      <c r="F39" s="43"/>
      <c r="G39" s="43"/>
      <c r="H39" s="90"/>
    </row>
    <row r="40" spans="2:8" ht="16" thickBot="1">
      <c r="B40" s="91"/>
      <c r="C40" s="92" t="s">
        <v>121</v>
      </c>
      <c r="D40" s="92"/>
      <c r="E40" s="93"/>
      <c r="F40" s="179">
        <f>SUM(F8:F34)</f>
        <v>232327102</v>
      </c>
      <c r="G40" s="179"/>
      <c r="H40" s="94"/>
    </row>
    <row r="44" spans="2:8" ht="48" customHeight="1">
      <c r="B44" s="259" t="s">
        <v>135</v>
      </c>
      <c r="C44" s="260"/>
      <c r="D44" s="260"/>
      <c r="E44" s="260"/>
      <c r="F44" s="261"/>
    </row>
    <row r="45" spans="2:8">
      <c r="B45" s="262"/>
      <c r="C45" s="263"/>
      <c r="D45" s="263"/>
      <c r="E45" s="263"/>
      <c r="F45" s="264"/>
    </row>
    <row r="46" spans="2:8" ht="16" thickBot="1">
      <c r="B46" s="95"/>
      <c r="C46" s="95"/>
      <c r="D46" s="95"/>
      <c r="E46" s="95"/>
      <c r="F46" s="95"/>
    </row>
    <row r="47" spans="2:8" ht="28" thickBot="1">
      <c r="B47" s="96" t="s">
        <v>128</v>
      </c>
      <c r="C47" s="96" t="s">
        <v>44</v>
      </c>
      <c r="D47" s="97" t="s">
        <v>129</v>
      </c>
      <c r="E47" s="98" t="s">
        <v>130</v>
      </c>
      <c r="F47" s="97" t="s">
        <v>136</v>
      </c>
      <c r="G47" s="97" t="s">
        <v>137</v>
      </c>
      <c r="H47" s="99" t="s">
        <v>138</v>
      </c>
    </row>
    <row r="48" spans="2:8">
      <c r="B48" s="86">
        <v>1</v>
      </c>
      <c r="C48" s="84" t="str">
        <f t="shared" ref="C48:E49" si="0">C8</f>
        <v>Gourikwa</v>
      </c>
      <c r="D48" s="84" t="str">
        <f t="shared" si="0"/>
        <v>Gas fuel</v>
      </c>
      <c r="E48" s="232">
        <f t="shared" si="0"/>
        <v>39171</v>
      </c>
      <c r="F48" s="100">
        <f>H8</f>
        <v>0</v>
      </c>
      <c r="G48" s="56">
        <f>G8</f>
        <v>0</v>
      </c>
      <c r="H48" s="101">
        <f>F8</f>
        <v>0</v>
      </c>
    </row>
    <row r="49" spans="2:8">
      <c r="B49" s="86">
        <v>2</v>
      </c>
      <c r="C49" s="57" t="str">
        <f t="shared" si="0"/>
        <v>Ankerlig</v>
      </c>
      <c r="D49" s="57" t="str">
        <f t="shared" si="0"/>
        <v>Gas fuel</v>
      </c>
      <c r="E49" s="232">
        <f t="shared" si="0"/>
        <v>39170</v>
      </c>
      <c r="F49" s="100">
        <f>H9</f>
        <v>0</v>
      </c>
      <c r="G49" s="56">
        <f>G9</f>
        <v>0</v>
      </c>
      <c r="H49" s="101">
        <f>F9</f>
        <v>0</v>
      </c>
    </row>
    <row r="50" spans="2:8">
      <c r="B50" s="86">
        <v>3</v>
      </c>
      <c r="C50" s="57" t="str">
        <f t="shared" ref="C50:E52" si="1">C10</f>
        <v>Klipheuwel</v>
      </c>
      <c r="D50" s="57" t="str">
        <f t="shared" si="1"/>
        <v>Wind</v>
      </c>
      <c r="E50" s="232">
        <f t="shared" si="1"/>
        <v>37469</v>
      </c>
      <c r="F50" s="100">
        <f>H10</f>
        <v>8.6085522643845492E-6</v>
      </c>
      <c r="G50" s="56">
        <f>G10</f>
        <v>0</v>
      </c>
      <c r="H50" s="101">
        <f>F10</f>
        <v>2000</v>
      </c>
    </row>
    <row r="51" spans="2:8">
      <c r="B51" s="86">
        <v>4</v>
      </c>
      <c r="C51" s="57" t="str">
        <f t="shared" si="1"/>
        <v>Majuba</v>
      </c>
      <c r="D51" s="57" t="str">
        <f t="shared" si="1"/>
        <v>Coal</v>
      </c>
      <c r="E51" s="232">
        <f t="shared" si="1"/>
        <v>35156</v>
      </c>
      <c r="F51" s="100">
        <f>H11</f>
        <v>0.10603405624196181</v>
      </c>
      <c r="G51" s="56">
        <f>G11</f>
        <v>0.94144333197672914</v>
      </c>
      <c r="H51" s="101">
        <f>F11</f>
        <v>24632585</v>
      </c>
    </row>
    <row r="52" spans="2:8" ht="16" thickBot="1">
      <c r="B52" s="86">
        <v>5</v>
      </c>
      <c r="C52" s="57" t="str">
        <f t="shared" si="1"/>
        <v>Kendal</v>
      </c>
      <c r="D52" s="57" t="str">
        <f t="shared" si="1"/>
        <v>Coal</v>
      </c>
      <c r="E52" s="232">
        <f t="shared" si="1"/>
        <v>32417</v>
      </c>
      <c r="F52" s="100">
        <f>H12</f>
        <v>0.21643124098367136</v>
      </c>
      <c r="G52" s="56">
        <f>G12</f>
        <v>1.0537380357781023</v>
      </c>
      <c r="H52" s="101">
        <f>F12</f>
        <v>25648258</v>
      </c>
    </row>
    <row r="53" spans="2:8" ht="16" thickBot="1">
      <c r="B53" s="102"/>
      <c r="C53" s="103" t="s">
        <v>139</v>
      </c>
      <c r="D53" s="104" t="s">
        <v>140</v>
      </c>
      <c r="E53" s="67"/>
      <c r="F53" s="67"/>
      <c r="G53" s="67"/>
      <c r="H53" s="105">
        <f>SUM(H48:H52)</f>
        <v>50282843</v>
      </c>
    </row>
    <row r="56" spans="2:8">
      <c r="B56" s="259" t="s">
        <v>141</v>
      </c>
      <c r="C56" s="260"/>
      <c r="D56" s="260"/>
      <c r="E56" s="260"/>
      <c r="F56" s="261"/>
    </row>
    <row r="57" spans="2:8" ht="96" customHeight="1">
      <c r="B57" s="262"/>
      <c r="C57" s="263"/>
      <c r="D57" s="263"/>
      <c r="E57" s="263"/>
      <c r="F57" s="264"/>
    </row>
    <row r="58" spans="2:8" ht="16" thickBot="1"/>
    <row r="59" spans="2:8" ht="16" thickBot="1">
      <c r="B59" s="106" t="s">
        <v>142</v>
      </c>
      <c r="C59" s="68">
        <f>F40</f>
        <v>232327102</v>
      </c>
    </row>
    <row r="60" spans="2:8" ht="16" thickBot="1"/>
    <row r="61" spans="2:8" ht="28" thickBot="1">
      <c r="B61" s="96" t="s">
        <v>128</v>
      </c>
      <c r="C61" s="107" t="s">
        <v>44</v>
      </c>
      <c r="D61" s="98" t="s">
        <v>129</v>
      </c>
      <c r="E61" s="98" t="s">
        <v>130</v>
      </c>
      <c r="F61" s="97" t="s">
        <v>136</v>
      </c>
      <c r="G61" s="97" t="s">
        <v>137</v>
      </c>
      <c r="H61" s="99" t="s">
        <v>138</v>
      </c>
    </row>
    <row r="62" spans="2:8">
      <c r="B62" s="86">
        <v>1</v>
      </c>
      <c r="C62" s="57" t="str">
        <f t="shared" ref="C62:E66" si="2">C8</f>
        <v>Gourikwa</v>
      </c>
      <c r="D62" s="57" t="str">
        <f t="shared" si="2"/>
        <v>Gas fuel</v>
      </c>
      <c r="E62" s="232">
        <f t="shared" si="2"/>
        <v>39171</v>
      </c>
      <c r="F62" s="100">
        <f>H8</f>
        <v>0</v>
      </c>
      <c r="G62" s="56">
        <f>G8</f>
        <v>0</v>
      </c>
      <c r="H62" s="101">
        <f>F8</f>
        <v>0</v>
      </c>
    </row>
    <row r="63" spans="2:8">
      <c r="B63" s="86">
        <v>2</v>
      </c>
      <c r="C63" s="57" t="str">
        <f t="shared" si="2"/>
        <v>Ankerlig</v>
      </c>
      <c r="D63" s="57" t="str">
        <f t="shared" si="2"/>
        <v>Gas fuel</v>
      </c>
      <c r="E63" s="232">
        <f t="shared" si="2"/>
        <v>39170</v>
      </c>
      <c r="F63" s="100">
        <f>H9</f>
        <v>0</v>
      </c>
      <c r="G63" s="56">
        <f>G9</f>
        <v>0</v>
      </c>
      <c r="H63" s="101">
        <f>F9</f>
        <v>0</v>
      </c>
    </row>
    <row r="64" spans="2:8">
      <c r="B64" s="86">
        <v>3</v>
      </c>
      <c r="C64" s="57" t="str">
        <f t="shared" si="2"/>
        <v>Klipheuwel</v>
      </c>
      <c r="D64" s="57" t="str">
        <f t="shared" si="2"/>
        <v>Wind</v>
      </c>
      <c r="E64" s="232">
        <f t="shared" si="2"/>
        <v>37469</v>
      </c>
      <c r="F64" s="100">
        <f>H10</f>
        <v>8.6085522643845492E-6</v>
      </c>
      <c r="G64" s="56">
        <f>G10</f>
        <v>0</v>
      </c>
      <c r="H64" s="101">
        <f>F10</f>
        <v>2000</v>
      </c>
    </row>
    <row r="65" spans="2:8">
      <c r="B65" s="86">
        <v>4</v>
      </c>
      <c r="C65" s="57" t="str">
        <f t="shared" si="2"/>
        <v>Majuba</v>
      </c>
      <c r="D65" s="57" t="str">
        <f t="shared" si="2"/>
        <v>Coal</v>
      </c>
      <c r="E65" s="232">
        <f t="shared" si="2"/>
        <v>35156</v>
      </c>
      <c r="F65" s="100">
        <f>H11</f>
        <v>0.10603405624196181</v>
      </c>
      <c r="G65" s="56">
        <f>G11</f>
        <v>0.94144333197672914</v>
      </c>
      <c r="H65" s="101">
        <f>F11</f>
        <v>24632585</v>
      </c>
    </row>
    <row r="66" spans="2:8" ht="16" thickBot="1">
      <c r="B66" s="86">
        <v>5</v>
      </c>
      <c r="C66" s="57" t="str">
        <f t="shared" si="2"/>
        <v>Kendal</v>
      </c>
      <c r="D66" s="57" t="str">
        <f t="shared" si="2"/>
        <v>Coal</v>
      </c>
      <c r="E66" s="232">
        <f t="shared" si="2"/>
        <v>32417</v>
      </c>
      <c r="F66" s="100">
        <f>H12</f>
        <v>0.21643124098367136</v>
      </c>
      <c r="G66" s="56">
        <f>G12</f>
        <v>1.0537380357781023</v>
      </c>
      <c r="H66" s="101">
        <f>F12</f>
        <v>25648258</v>
      </c>
    </row>
    <row r="67" spans="2:8" ht="16" thickBot="1">
      <c r="B67" s="102"/>
      <c r="C67" s="103" t="s">
        <v>139</v>
      </c>
      <c r="D67" s="104" t="s">
        <v>143</v>
      </c>
      <c r="E67" s="67"/>
      <c r="F67" s="67"/>
      <c r="G67" s="67"/>
      <c r="H67" s="105">
        <f>SUM(H62:H66)</f>
        <v>50282843</v>
      </c>
    </row>
    <row r="70" spans="2:8" ht="90" customHeight="1">
      <c r="B70" s="265" t="s">
        <v>144</v>
      </c>
      <c r="C70" s="266"/>
      <c r="D70" s="266"/>
      <c r="E70" s="266"/>
      <c r="F70" s="267"/>
    </row>
    <row r="71" spans="2:8">
      <c r="B71" s="268"/>
      <c r="C71" s="269"/>
      <c r="D71" s="269"/>
      <c r="E71" s="269"/>
      <c r="F71" s="270"/>
    </row>
    <row r="73" spans="2:8">
      <c r="B73" t="s">
        <v>145</v>
      </c>
    </row>
    <row r="76" spans="2:8">
      <c r="B76" s="265" t="s">
        <v>146</v>
      </c>
      <c r="C76" s="266"/>
      <c r="D76" s="266"/>
      <c r="E76" s="266"/>
      <c r="F76" s="267"/>
    </row>
    <row r="77" spans="2:8" ht="183" customHeight="1">
      <c r="B77" s="268"/>
      <c r="C77" s="269"/>
      <c r="D77" s="269"/>
      <c r="E77" s="269"/>
      <c r="F77" s="270"/>
    </row>
    <row r="78" spans="2:8" ht="16" thickBot="1"/>
    <row r="79" spans="2:8" ht="28" thickBot="1">
      <c r="B79" s="107" t="s">
        <v>128</v>
      </c>
      <c r="C79" s="107" t="s">
        <v>44</v>
      </c>
      <c r="D79" s="98" t="s">
        <v>129</v>
      </c>
      <c r="E79" s="98" t="s">
        <v>130</v>
      </c>
      <c r="F79" s="98" t="s">
        <v>136</v>
      </c>
      <c r="G79" s="98" t="s">
        <v>137</v>
      </c>
      <c r="H79" s="108" t="s">
        <v>138</v>
      </c>
    </row>
    <row r="80" spans="2:8">
      <c r="B80" s="83">
        <v>1</v>
      </c>
      <c r="C80" s="84" t="str">
        <f t="shared" ref="C80:E82" si="3">C62</f>
        <v>Gourikwa</v>
      </c>
      <c r="D80" s="84" t="str">
        <f t="shared" si="3"/>
        <v>Gas fuel</v>
      </c>
      <c r="E80" s="231">
        <f t="shared" si="3"/>
        <v>39171</v>
      </c>
      <c r="F80" s="109">
        <f>H80/C59</f>
        <v>0</v>
      </c>
      <c r="G80" s="182">
        <f>G8</f>
        <v>0</v>
      </c>
      <c r="H80" s="110">
        <f>H62</f>
        <v>0</v>
      </c>
    </row>
    <row r="81" spans="2:13">
      <c r="B81" s="86">
        <v>2</v>
      </c>
      <c r="C81" s="57" t="str">
        <f t="shared" si="3"/>
        <v>Ankerlig</v>
      </c>
      <c r="D81" s="57" t="str">
        <f t="shared" si="3"/>
        <v>Gas fuel</v>
      </c>
      <c r="E81" s="232">
        <f t="shared" si="3"/>
        <v>39170</v>
      </c>
      <c r="F81" s="111">
        <f t="shared" ref="F81:F86" si="4">(H81/$C$59)+F80</f>
        <v>0</v>
      </c>
      <c r="G81" s="183">
        <f>G9</f>
        <v>0</v>
      </c>
      <c r="H81" s="112">
        <f>H63</f>
        <v>0</v>
      </c>
    </row>
    <row r="82" spans="2:13">
      <c r="B82" s="86">
        <v>3</v>
      </c>
      <c r="C82" s="57" t="str">
        <f t="shared" si="3"/>
        <v>Klipheuwel</v>
      </c>
      <c r="D82" s="57" t="str">
        <f t="shared" si="3"/>
        <v>Wind</v>
      </c>
      <c r="E82" s="232">
        <f t="shared" si="3"/>
        <v>37469</v>
      </c>
      <c r="F82" s="111">
        <f t="shared" si="4"/>
        <v>8.6085522643845492E-6</v>
      </c>
      <c r="G82" s="183">
        <f>G10</f>
        <v>0</v>
      </c>
      <c r="H82" s="112">
        <f>H64</f>
        <v>2000</v>
      </c>
    </row>
    <row r="83" spans="2:13" ht="30">
      <c r="B83" s="86"/>
      <c r="C83" s="39" t="s">
        <v>148</v>
      </c>
      <c r="D83" s="57" t="s">
        <v>65</v>
      </c>
      <c r="E83" s="234">
        <f>'CDM projects in SA'!J11</f>
        <v>40128</v>
      </c>
      <c r="F83" s="111">
        <f t="shared" si="4"/>
        <v>4.7274415707212673E-5</v>
      </c>
      <c r="G83" s="57">
        <v>0</v>
      </c>
      <c r="H83" s="114">
        <f>'CDM projects in SA'!M11</f>
        <v>8983.1280000000006</v>
      </c>
      <c r="J83" s="113"/>
      <c r="K83" s="57"/>
      <c r="L83" s="116"/>
      <c r="M83" s="16"/>
    </row>
    <row r="84" spans="2:13" ht="30">
      <c r="B84" s="86"/>
      <c r="C84" s="113" t="s">
        <v>120</v>
      </c>
      <c r="D84" s="57" t="s">
        <v>147</v>
      </c>
      <c r="E84" s="234">
        <f>'CDM projects in SA'!J12</f>
        <v>39508</v>
      </c>
      <c r="F84" s="111">
        <f t="shared" si="4"/>
        <v>1.8381982830397461E-4</v>
      </c>
      <c r="G84" s="57">
        <v>0</v>
      </c>
      <c r="H84" s="115">
        <f>'CDM projects in SA'!M12</f>
        <v>31723.199999999997</v>
      </c>
      <c r="J84" s="113"/>
      <c r="K84" s="57"/>
      <c r="L84" s="116"/>
      <c r="M84" s="16"/>
    </row>
    <row r="85" spans="2:13">
      <c r="B85" s="86"/>
      <c r="C85" s="181" t="s">
        <v>57</v>
      </c>
      <c r="D85" s="57" t="s">
        <v>58</v>
      </c>
      <c r="E85" s="235">
        <f>'CDM projects in SA'!J10</f>
        <v>39326</v>
      </c>
      <c r="F85" s="111">
        <f t="shared" si="4"/>
        <v>2.8404721572921981E-4</v>
      </c>
      <c r="G85" s="57">
        <v>0</v>
      </c>
      <c r="H85" s="115">
        <f>'CDM projects in SA'!M10</f>
        <v>23285.538461538461</v>
      </c>
      <c r="J85" s="16"/>
      <c r="K85" s="16"/>
      <c r="L85" s="16"/>
      <c r="M85" s="16"/>
    </row>
    <row r="86" spans="2:13" ht="61" thickBot="1">
      <c r="B86" s="117"/>
      <c r="C86" s="113" t="s">
        <v>119</v>
      </c>
      <c r="D86" s="118" t="s">
        <v>147</v>
      </c>
      <c r="E86" s="236">
        <f>'CDM projects in SA'!J13</f>
        <v>39022</v>
      </c>
      <c r="F86" s="119">
        <f t="shared" si="4"/>
        <v>3.001624255681477E-4</v>
      </c>
      <c r="G86" s="118">
        <v>0</v>
      </c>
      <c r="H86" s="120">
        <f>'CDM projects in SA'!M13</f>
        <v>3744</v>
      </c>
    </row>
    <row r="87" spans="2:13" ht="16" thickBot="1">
      <c r="B87" s="117"/>
      <c r="C87" s="103" t="s">
        <v>139</v>
      </c>
      <c r="D87" s="121" t="s">
        <v>149</v>
      </c>
      <c r="E87" s="122"/>
      <c r="F87" s="123">
        <f>H87/C59</f>
        <v>3.0016242556814765E-4</v>
      </c>
      <c r="G87" s="122"/>
      <c r="H87" s="124">
        <f>SUM(H80:H86)</f>
        <v>69735.866461538448</v>
      </c>
    </row>
    <row r="90" spans="2:13">
      <c r="B90" t="s">
        <v>150</v>
      </c>
    </row>
    <row r="92" spans="2:13">
      <c r="B92" s="265" t="s">
        <v>217</v>
      </c>
      <c r="C92" s="266"/>
      <c r="D92" s="266"/>
      <c r="E92" s="266"/>
      <c r="F92" s="267"/>
    </row>
    <row r="93" spans="2:13" ht="59" customHeight="1">
      <c r="B93" s="268"/>
      <c r="C93" s="269"/>
      <c r="D93" s="269"/>
      <c r="E93" s="269"/>
      <c r="F93" s="270"/>
    </row>
    <row r="111" spans="2:8" ht="16" thickBot="1"/>
    <row r="112" spans="2:8" ht="28" thickBot="1">
      <c r="B112" s="107" t="s">
        <v>128</v>
      </c>
      <c r="C112" s="107" t="s">
        <v>44</v>
      </c>
      <c r="D112" s="98" t="s">
        <v>129</v>
      </c>
      <c r="E112" s="98" t="s">
        <v>130</v>
      </c>
      <c r="F112" s="98" t="s">
        <v>220</v>
      </c>
      <c r="G112" s="98" t="s">
        <v>218</v>
      </c>
      <c r="H112" s="108" t="s">
        <v>219</v>
      </c>
    </row>
    <row r="113" spans="2:8">
      <c r="B113" s="83">
        <v>1</v>
      </c>
      <c r="C113" s="84" t="s">
        <v>102</v>
      </c>
      <c r="D113" s="84" t="s">
        <v>133</v>
      </c>
      <c r="E113" s="232">
        <f>E80</f>
        <v>39171</v>
      </c>
      <c r="F113" s="207">
        <v>7.2599999999999998E-2</v>
      </c>
      <c r="G113" s="209">
        <v>0.39500000000000002</v>
      </c>
      <c r="H113" s="184">
        <f>(F113*3.6)/G113</f>
        <v>0.66167088607594926</v>
      </c>
    </row>
    <row r="114" spans="2:8">
      <c r="B114" s="86">
        <v>2</v>
      </c>
      <c r="C114" s="57" t="s">
        <v>101</v>
      </c>
      <c r="D114" s="57" t="s">
        <v>133</v>
      </c>
      <c r="E114" s="232">
        <f t="shared" ref="E114:E119" si="5">E81</f>
        <v>39170</v>
      </c>
      <c r="F114" s="208">
        <v>7.2599999999999998E-2</v>
      </c>
      <c r="G114" s="210">
        <v>0.39500000000000002</v>
      </c>
      <c r="H114" s="185">
        <f t="shared" ref="H114:H121" si="6">(F114*3.6)/G114</f>
        <v>0.66167088607594926</v>
      </c>
    </row>
    <row r="115" spans="2:8">
      <c r="B115" s="86">
        <v>3</v>
      </c>
      <c r="C115" s="57" t="s">
        <v>116</v>
      </c>
      <c r="D115" s="57" t="s">
        <v>117</v>
      </c>
      <c r="E115" s="232">
        <f t="shared" si="5"/>
        <v>37469</v>
      </c>
      <c r="F115" s="208">
        <v>0</v>
      </c>
      <c r="G115" s="210" t="s">
        <v>221</v>
      </c>
      <c r="H115" s="185" t="s">
        <v>221</v>
      </c>
    </row>
    <row r="116" spans="2:8" ht="30">
      <c r="B116" s="86"/>
      <c r="C116" s="39" t="s">
        <v>148</v>
      </c>
      <c r="D116" s="39" t="s">
        <v>65</v>
      </c>
      <c r="E116" s="232">
        <f t="shared" si="5"/>
        <v>40128</v>
      </c>
      <c r="F116" s="208">
        <v>0</v>
      </c>
      <c r="G116" s="210" t="s">
        <v>221</v>
      </c>
      <c r="H116" s="185" t="s">
        <v>221</v>
      </c>
    </row>
    <row r="117" spans="2:8" ht="30">
      <c r="B117" s="86"/>
      <c r="C117" s="180" t="s">
        <v>120</v>
      </c>
      <c r="D117" s="57" t="s">
        <v>151</v>
      </c>
      <c r="E117" s="234">
        <f t="shared" si="5"/>
        <v>39508</v>
      </c>
      <c r="F117" s="208">
        <v>0</v>
      </c>
      <c r="G117" s="210" t="s">
        <v>221</v>
      </c>
      <c r="H117" s="185" t="s">
        <v>221</v>
      </c>
    </row>
    <row r="118" spans="2:8">
      <c r="B118" s="86"/>
      <c r="C118" s="181" t="s">
        <v>57</v>
      </c>
      <c r="D118" s="57" t="s">
        <v>58</v>
      </c>
      <c r="E118" s="232">
        <f t="shared" si="5"/>
        <v>39326</v>
      </c>
      <c r="F118" s="208">
        <v>0</v>
      </c>
      <c r="G118" s="210" t="s">
        <v>221</v>
      </c>
      <c r="H118" s="185" t="s">
        <v>221</v>
      </c>
    </row>
    <row r="119" spans="2:8" ht="60">
      <c r="B119" s="86"/>
      <c r="C119" s="113" t="s">
        <v>119</v>
      </c>
      <c r="D119" s="57" t="s">
        <v>151</v>
      </c>
      <c r="E119" s="232">
        <f t="shared" si="5"/>
        <v>39022</v>
      </c>
      <c r="F119" s="208">
        <v>0</v>
      </c>
      <c r="G119" s="210" t="s">
        <v>221</v>
      </c>
      <c r="H119" s="185" t="s">
        <v>221</v>
      </c>
    </row>
    <row r="120" spans="2:8">
      <c r="B120" s="86">
        <v>4</v>
      </c>
      <c r="C120" s="16" t="s">
        <v>95</v>
      </c>
      <c r="D120" s="57" t="s">
        <v>86</v>
      </c>
      <c r="E120" s="232">
        <f>E65</f>
        <v>35156</v>
      </c>
      <c r="F120" s="208">
        <v>8.9499999999999996E-2</v>
      </c>
      <c r="G120" s="210">
        <v>0.35499999999999998</v>
      </c>
      <c r="H120" s="185">
        <f>(F120*3.6)/G120</f>
        <v>0.90760563380281689</v>
      </c>
    </row>
    <row r="121" spans="2:8" ht="16" thickBot="1">
      <c r="B121" s="117">
        <v>5</v>
      </c>
      <c r="C121" s="122" t="s">
        <v>91</v>
      </c>
      <c r="D121" s="118" t="s">
        <v>86</v>
      </c>
      <c r="E121" s="232">
        <f>E66</f>
        <v>32417</v>
      </c>
      <c r="F121" s="208">
        <v>8.9499999999999996E-2</v>
      </c>
      <c r="G121" s="211">
        <v>0.35499999999999998</v>
      </c>
      <c r="H121" s="185">
        <f t="shared" si="6"/>
        <v>0.90760563380281689</v>
      </c>
    </row>
    <row r="122" spans="2:8" ht="16" thickBot="1">
      <c r="B122" s="102"/>
      <c r="C122" s="103"/>
      <c r="D122" s="121" t="s">
        <v>152</v>
      </c>
      <c r="E122" s="67"/>
      <c r="F122" s="130"/>
      <c r="G122" s="67"/>
      <c r="H122" s="105"/>
    </row>
    <row r="127" spans="2:8" ht="16" thickBot="1"/>
    <row r="128" spans="2:8" ht="28" thickBot="1">
      <c r="B128" s="107" t="s">
        <v>128</v>
      </c>
      <c r="C128" s="107" t="s">
        <v>44</v>
      </c>
      <c r="D128" s="98" t="s">
        <v>129</v>
      </c>
      <c r="E128" s="98" t="s">
        <v>130</v>
      </c>
      <c r="F128" s="98" t="s">
        <v>136</v>
      </c>
      <c r="G128" s="98" t="s">
        <v>137</v>
      </c>
      <c r="H128" s="108" t="s">
        <v>138</v>
      </c>
    </row>
    <row r="129" spans="2:8">
      <c r="B129" s="83">
        <v>1</v>
      </c>
      <c r="C129" s="84" t="str">
        <f t="shared" ref="C129:E133" si="7">C80</f>
        <v>Gourikwa</v>
      </c>
      <c r="D129" s="84" t="str">
        <f t="shared" si="7"/>
        <v>Gas fuel</v>
      </c>
      <c r="E129" s="231">
        <f t="shared" si="7"/>
        <v>39171</v>
      </c>
      <c r="F129" s="125">
        <f>H129/$C$59</f>
        <v>0</v>
      </c>
      <c r="G129" s="183">
        <f>H113</f>
        <v>0.66167088607594926</v>
      </c>
      <c r="H129" s="184">
        <f>F8</f>
        <v>0</v>
      </c>
    </row>
    <row r="130" spans="2:8">
      <c r="B130" s="86">
        <v>2</v>
      </c>
      <c r="C130" s="57" t="str">
        <f t="shared" si="7"/>
        <v>Ankerlig</v>
      </c>
      <c r="D130" s="57" t="str">
        <f t="shared" si="7"/>
        <v>Gas fuel</v>
      </c>
      <c r="E130" s="232">
        <f t="shared" si="7"/>
        <v>39170</v>
      </c>
      <c r="F130" s="126">
        <f t="shared" ref="F130:F137" si="8">(H130/$C$59)+F129</f>
        <v>0</v>
      </c>
      <c r="G130" s="183">
        <f t="shared" ref="G130:G137" si="9">H114</f>
        <v>0.66167088607594926</v>
      </c>
      <c r="H130" s="185">
        <f>F9</f>
        <v>0</v>
      </c>
    </row>
    <row r="131" spans="2:8">
      <c r="B131" s="86">
        <v>3</v>
      </c>
      <c r="C131" s="57" t="str">
        <f t="shared" si="7"/>
        <v>Klipheuwel</v>
      </c>
      <c r="D131" s="57" t="str">
        <f t="shared" si="7"/>
        <v>Wind</v>
      </c>
      <c r="E131" s="232">
        <f t="shared" si="7"/>
        <v>37469</v>
      </c>
      <c r="F131" s="126">
        <f t="shared" si="8"/>
        <v>8.6085522643845492E-6</v>
      </c>
      <c r="G131" s="183">
        <v>0</v>
      </c>
      <c r="H131" s="185">
        <f>F10</f>
        <v>2000</v>
      </c>
    </row>
    <row r="132" spans="2:8" ht="30">
      <c r="B132" s="86"/>
      <c r="C132" s="39" t="s">
        <v>148</v>
      </c>
      <c r="D132" s="39" t="s">
        <v>65</v>
      </c>
      <c r="E132" s="232">
        <f t="shared" si="7"/>
        <v>40128</v>
      </c>
      <c r="F132" s="126">
        <f t="shared" si="8"/>
        <v>4.7274415707212673E-5</v>
      </c>
      <c r="G132" s="183">
        <v>0</v>
      </c>
      <c r="H132" s="127">
        <f>H83</f>
        <v>8983.1280000000006</v>
      </c>
    </row>
    <row r="133" spans="2:8" ht="30" customHeight="1">
      <c r="B133" s="86"/>
      <c r="C133" s="180" t="s">
        <v>120</v>
      </c>
      <c r="D133" s="57" t="s">
        <v>151</v>
      </c>
      <c r="E133" s="232">
        <f t="shared" si="7"/>
        <v>39508</v>
      </c>
      <c r="F133" s="126">
        <f t="shared" si="8"/>
        <v>1.8381982830397461E-4</v>
      </c>
      <c r="G133" s="183">
        <v>0</v>
      </c>
      <c r="H133" s="127">
        <f>H84</f>
        <v>31723.199999999997</v>
      </c>
    </row>
    <row r="134" spans="2:8">
      <c r="B134" s="86"/>
      <c r="C134" s="181" t="s">
        <v>57</v>
      </c>
      <c r="D134" s="57" t="s">
        <v>58</v>
      </c>
      <c r="E134" s="232">
        <f t="shared" ref="E134" si="10">E85</f>
        <v>39326</v>
      </c>
      <c r="F134" s="126">
        <f t="shared" si="8"/>
        <v>2.8404721572921981E-4</v>
      </c>
      <c r="G134" s="183">
        <v>0</v>
      </c>
      <c r="H134" s="127">
        <f>H85</f>
        <v>23285.538461538461</v>
      </c>
    </row>
    <row r="135" spans="2:8" ht="60">
      <c r="B135" s="86"/>
      <c r="C135" s="113" t="s">
        <v>119</v>
      </c>
      <c r="D135" s="57" t="s">
        <v>151</v>
      </c>
      <c r="E135" s="232">
        <f t="shared" ref="E135" si="11">E86</f>
        <v>39022</v>
      </c>
      <c r="F135" s="126">
        <f t="shared" si="8"/>
        <v>3.001624255681477E-4</v>
      </c>
      <c r="G135" s="183">
        <v>0</v>
      </c>
      <c r="H135" s="127">
        <f>H86</f>
        <v>3744</v>
      </c>
    </row>
    <row r="136" spans="2:8">
      <c r="B136" s="86">
        <v>4</v>
      </c>
      <c r="C136" s="16" t="s">
        <v>95</v>
      </c>
      <c r="D136" s="57" t="s">
        <v>86</v>
      </c>
      <c r="E136" s="232">
        <f>E65</f>
        <v>35156</v>
      </c>
      <c r="F136" s="126">
        <f t="shared" si="8"/>
        <v>0.10632561011526558</v>
      </c>
      <c r="G136" s="183">
        <f t="shared" si="9"/>
        <v>0.90760563380281689</v>
      </c>
      <c r="H136" s="128">
        <f>F11</f>
        <v>24632585</v>
      </c>
    </row>
    <row r="137" spans="2:8" ht="16" thickBot="1">
      <c r="B137" s="117">
        <v>5</v>
      </c>
      <c r="C137" s="122" t="s">
        <v>91</v>
      </c>
      <c r="D137" s="118" t="s">
        <v>86</v>
      </c>
      <c r="E137" s="232">
        <f>E66</f>
        <v>32417</v>
      </c>
      <c r="F137" s="126">
        <f t="shared" si="8"/>
        <v>0.21672279485697515</v>
      </c>
      <c r="G137" s="212">
        <f t="shared" si="9"/>
        <v>0.90760563380281689</v>
      </c>
      <c r="H137" s="129">
        <f>F12</f>
        <v>25648258</v>
      </c>
    </row>
    <row r="138" spans="2:8" ht="16" thickBot="1">
      <c r="B138" s="102"/>
      <c r="C138" s="103" t="s">
        <v>139</v>
      </c>
      <c r="D138" s="121" t="s">
        <v>152</v>
      </c>
      <c r="E138" s="67"/>
      <c r="F138" s="130"/>
      <c r="G138" s="67"/>
      <c r="H138" s="105">
        <f>SUM(H129:H137)</f>
        <v>50350578.866461538</v>
      </c>
    </row>
    <row r="139" spans="2:8" ht="16" thickBot="1"/>
    <row r="140" spans="2:8" ht="16" thickBot="1">
      <c r="G140" s="131" t="s">
        <v>153</v>
      </c>
      <c r="H140" s="271">
        <f>SUM((G131*H131)+(G130*H130)+(G129*H129)+(G132*H132)+(G133*H133)+(G134*H134)+(G135*H135)+(G136*H136)+(G137*H137))/H138</f>
        <v>0.90634859432673709</v>
      </c>
    </row>
  </sheetData>
  <mergeCells count="5">
    <mergeCell ref="B44:F45"/>
    <mergeCell ref="B56:F57"/>
    <mergeCell ref="B70:F71"/>
    <mergeCell ref="B76:F77"/>
    <mergeCell ref="B92:F93"/>
  </mergeCells>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2"/>
  <sheetViews>
    <sheetView showGridLines="0" workbookViewId="0">
      <selection activeCell="J10" sqref="J10:J13"/>
    </sheetView>
  </sheetViews>
  <sheetFormatPr baseColWidth="10" defaultRowHeight="15" x14ac:dyDescent="0"/>
  <cols>
    <col min="1" max="1" width="15" style="16" customWidth="1"/>
    <col min="2" max="2" width="18.1640625" style="16" customWidth="1"/>
    <col min="3" max="3" width="11.33203125" style="16" customWidth="1"/>
    <col min="4" max="4" width="13" style="16" customWidth="1"/>
    <col min="5" max="5" width="10.5" style="16" customWidth="1"/>
    <col min="6" max="6" width="10.83203125" style="16"/>
    <col min="7" max="7" width="13" style="16" customWidth="1"/>
    <col min="8" max="8" width="11.6640625" style="16" customWidth="1"/>
    <col min="9" max="9" width="20.33203125" style="16" customWidth="1"/>
    <col min="10" max="10" width="13.83203125" style="16" customWidth="1"/>
    <col min="11" max="12" width="10.83203125" style="16"/>
    <col min="13" max="13" width="13.1640625" style="16" bestFit="1" customWidth="1"/>
    <col min="14" max="14" width="13.1640625" style="16" customWidth="1"/>
    <col min="15" max="15" width="10.83203125" style="16"/>
    <col min="16" max="16" width="55.33203125" style="16" customWidth="1"/>
    <col min="17" max="17" width="67.83203125" bestFit="1" customWidth="1"/>
  </cols>
  <sheetData>
    <row r="2" spans="1:17" ht="18">
      <c r="D2" s="17" t="s">
        <v>42</v>
      </c>
    </row>
    <row r="8" spans="1:17" ht="16" thickBot="1">
      <c r="A8"/>
      <c r="B8"/>
      <c r="C8"/>
      <c r="D8"/>
      <c r="E8"/>
      <c r="F8"/>
      <c r="G8"/>
      <c r="H8"/>
      <c r="I8"/>
      <c r="J8"/>
      <c r="K8"/>
      <c r="L8"/>
      <c r="M8"/>
      <c r="N8"/>
      <c r="O8"/>
      <c r="P8"/>
    </row>
    <row r="9" spans="1:17" ht="61" thickBot="1">
      <c r="D9" s="18" t="s">
        <v>43</v>
      </c>
      <c r="E9" s="19" t="s">
        <v>44</v>
      </c>
      <c r="F9" s="19" t="s">
        <v>45</v>
      </c>
      <c r="G9" s="18" t="s">
        <v>46</v>
      </c>
      <c r="H9" s="18" t="s">
        <v>47</v>
      </c>
      <c r="I9" s="18" t="s">
        <v>48</v>
      </c>
      <c r="J9" s="18" t="s">
        <v>49</v>
      </c>
      <c r="K9" s="18" t="s">
        <v>50</v>
      </c>
      <c r="L9" s="18" t="s">
        <v>51</v>
      </c>
      <c r="M9" s="18" t="s">
        <v>52</v>
      </c>
      <c r="N9" s="18" t="s">
        <v>53</v>
      </c>
      <c r="O9" s="18" t="s">
        <v>54</v>
      </c>
      <c r="P9" s="18" t="s">
        <v>55</v>
      </c>
      <c r="Q9" s="20" t="s">
        <v>56</v>
      </c>
    </row>
    <row r="10" spans="1:17" ht="45">
      <c r="D10" s="21">
        <v>446</v>
      </c>
      <c r="E10" s="22" t="s">
        <v>57</v>
      </c>
      <c r="F10" s="23" t="s">
        <v>58</v>
      </c>
      <c r="G10" s="24" t="s">
        <v>59</v>
      </c>
      <c r="H10" s="25">
        <v>38989</v>
      </c>
      <c r="I10" s="26" t="s">
        <v>60</v>
      </c>
      <c r="J10" s="233">
        <v>39326</v>
      </c>
      <c r="K10" s="27">
        <v>25226</v>
      </c>
      <c r="L10" s="27">
        <f>K10/13</f>
        <v>1940.4615384615386</v>
      </c>
      <c r="M10" s="27">
        <f>L10*12</f>
        <v>23285.538461538461</v>
      </c>
      <c r="N10" s="27" t="s">
        <v>61</v>
      </c>
      <c r="O10" s="28">
        <v>1.28</v>
      </c>
      <c r="P10" s="26" t="s">
        <v>62</v>
      </c>
      <c r="Q10" s="26" t="s">
        <v>63</v>
      </c>
    </row>
    <row r="11" spans="1:17" ht="39">
      <c r="C11" s="29"/>
      <c r="D11" s="30">
        <v>2692</v>
      </c>
      <c r="E11" s="31" t="s">
        <v>64</v>
      </c>
      <c r="F11" s="32" t="s">
        <v>65</v>
      </c>
      <c r="G11" s="32" t="s">
        <v>59</v>
      </c>
      <c r="H11" s="33">
        <v>40094</v>
      </c>
      <c r="I11" s="34" t="s">
        <v>66</v>
      </c>
      <c r="J11" s="233">
        <v>40128</v>
      </c>
      <c r="K11" s="35">
        <v>1497.1880000000001</v>
      </c>
      <c r="L11" s="35">
        <f>K11/2</f>
        <v>748.59400000000005</v>
      </c>
      <c r="M11" s="36">
        <f>L11*12</f>
        <v>8983.1280000000006</v>
      </c>
      <c r="N11" s="37" t="s">
        <v>67</v>
      </c>
      <c r="O11" s="38">
        <v>1.02</v>
      </c>
      <c r="P11" s="26" t="s">
        <v>68</v>
      </c>
      <c r="Q11" s="26" t="s">
        <v>69</v>
      </c>
    </row>
    <row r="12" spans="1:17" ht="75">
      <c r="A12" s="39"/>
      <c r="B12" s="39"/>
      <c r="C12" s="40"/>
      <c r="D12" s="30">
        <v>1921</v>
      </c>
      <c r="E12" s="41" t="s">
        <v>120</v>
      </c>
      <c r="F12" s="32" t="s">
        <v>70</v>
      </c>
      <c r="G12" s="32" t="s">
        <v>71</v>
      </c>
      <c r="H12" s="33">
        <v>39898</v>
      </c>
      <c r="I12" s="34" t="s">
        <v>72</v>
      </c>
      <c r="J12" s="233">
        <v>39508</v>
      </c>
      <c r="K12" s="37">
        <v>13218</v>
      </c>
      <c r="L12" s="37">
        <f>K12/5</f>
        <v>2643.6</v>
      </c>
      <c r="M12" s="37">
        <f>L12*12</f>
        <v>31723.199999999997</v>
      </c>
      <c r="N12" s="37" t="s">
        <v>61</v>
      </c>
      <c r="O12" s="38">
        <v>1</v>
      </c>
      <c r="P12" s="38" t="s">
        <v>73</v>
      </c>
      <c r="Q12" s="26" t="s">
        <v>74</v>
      </c>
    </row>
    <row r="13" spans="1:17" ht="135">
      <c r="C13" s="29"/>
      <c r="D13" s="42">
        <v>545</v>
      </c>
      <c r="E13" s="34" t="s">
        <v>119</v>
      </c>
      <c r="F13" s="32" t="s">
        <v>70</v>
      </c>
      <c r="G13" s="32" t="s">
        <v>71</v>
      </c>
      <c r="H13" s="33">
        <v>39066</v>
      </c>
      <c r="I13" s="34" t="s">
        <v>75</v>
      </c>
      <c r="J13" s="233">
        <v>39022</v>
      </c>
      <c r="K13" s="37">
        <v>3744</v>
      </c>
      <c r="L13" s="37">
        <f>K13/12</f>
        <v>312</v>
      </c>
      <c r="M13" s="37">
        <f>L13*12</f>
        <v>3744</v>
      </c>
      <c r="N13" s="37" t="s">
        <v>61</v>
      </c>
      <c r="O13" s="34" t="s">
        <v>76</v>
      </c>
      <c r="P13" s="34" t="s">
        <v>77</v>
      </c>
      <c r="Q13" s="26" t="s">
        <v>78</v>
      </c>
    </row>
    <row r="14" spans="1:17">
      <c r="K14" s="43"/>
      <c r="L14" s="43"/>
      <c r="M14" s="43"/>
      <c r="N14" s="43"/>
    </row>
    <row r="15" spans="1:17">
      <c r="E15" s="39"/>
      <c r="K15" s="43"/>
      <c r="L15" s="43"/>
      <c r="M15" s="43"/>
      <c r="N15" s="43"/>
    </row>
    <row r="16" spans="1:17">
      <c r="K16" s="43"/>
      <c r="L16" s="43"/>
      <c r="M16" s="43"/>
      <c r="N16" s="43"/>
    </row>
    <row r="17" spans="1:14">
      <c r="B17" s="44"/>
      <c r="C17" s="45"/>
      <c r="E17" s="113"/>
      <c r="K17" s="43"/>
      <c r="L17" s="43"/>
      <c r="M17" s="43"/>
      <c r="N17" s="43"/>
    </row>
    <row r="18" spans="1:14">
      <c r="C18" s="45"/>
      <c r="K18" s="46"/>
    </row>
    <row r="19" spans="1:14">
      <c r="C19" s="45"/>
      <c r="K19" s="46"/>
    </row>
    <row r="20" spans="1:14">
      <c r="C20" s="47"/>
      <c r="K20" s="46"/>
    </row>
    <row r="21" spans="1:14">
      <c r="C21" s="47"/>
      <c r="K21" s="46"/>
    </row>
    <row r="22" spans="1:14">
      <c r="C22" s="47"/>
      <c r="K22" s="46"/>
    </row>
    <row r="23" spans="1:14">
      <c r="C23" s="47"/>
      <c r="K23" s="46"/>
    </row>
    <row r="24" spans="1:14">
      <c r="C24" s="47"/>
      <c r="K24" s="46"/>
    </row>
    <row r="25" spans="1:14">
      <c r="A25" s="48"/>
      <c r="B25" s="48"/>
      <c r="C25" s="49"/>
      <c r="K25" s="46"/>
    </row>
    <row r="26" spans="1:14">
      <c r="C26" s="47"/>
      <c r="K26" s="46"/>
    </row>
    <row r="27" spans="1:14">
      <c r="C27" s="47"/>
      <c r="K27" s="46"/>
    </row>
    <row r="28" spans="1:14">
      <c r="C28" s="47"/>
    </row>
    <row r="42" spans="2:3">
      <c r="B42" s="48"/>
      <c r="C42" s="48"/>
    </row>
  </sheetData>
  <pageMargins left="0.75" right="0.75" top="1" bottom="1" header="0.5" footer="0.5"/>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References</vt:lpstr>
      <vt:lpstr>Summary</vt:lpstr>
      <vt:lpstr>ERs Toitdale CPA001</vt:lpstr>
      <vt:lpstr>Power plants</vt:lpstr>
      <vt:lpstr>EFel,m,y</vt:lpstr>
      <vt:lpstr>EF,grid,OM-ave,y</vt:lpstr>
      <vt:lpstr>EFgrid,BM,y</vt:lpstr>
      <vt:lpstr>CDM projects in SA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Carbon Africa Ltd 3</dc:creator>
  <cp:lastModifiedBy>Carsten Jung</cp:lastModifiedBy>
  <cp:lastPrinted>2012-02-08T10:07:19Z</cp:lastPrinted>
  <dcterms:created xsi:type="dcterms:W3CDTF">2012-02-07T09:43:06Z</dcterms:created>
  <dcterms:modified xsi:type="dcterms:W3CDTF">2012-12-17T09:36:12Z</dcterms:modified>
</cp:coreProperties>
</file>